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ancial Economics\"/>
    </mc:Choice>
  </mc:AlternateContent>
  <bookViews>
    <workbookView xWindow="0" yWindow="0" windowWidth="10455" windowHeight="3345" activeTab="1"/>
  </bookViews>
  <sheets>
    <sheet name="BHEL.NS (1)" sheetId="1" r:id="rId1"/>
    <sheet name="Sheet1" sheetId="2" r:id="rId2"/>
    <sheet name="Sheet2" sheetId="3" r:id="rId3"/>
  </sheets>
  <definedNames>
    <definedName name="solver_adj" localSheetId="0" hidden="1">'BHEL.NS (1)'!$G$1</definedName>
    <definedName name="solver_adj" localSheetId="1" hidden="1">Sheet1!$G$46:$G$49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Sheet1!$G$50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'BHEL.NS (1)'!$J$23</definedName>
    <definedName name="solver_opt" localSheetId="1" hidden="1">Sheet1!$G$54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I17" i="3" l="1" a="1"/>
  <c r="I17" i="3" s="1"/>
  <c r="I13" i="3" a="1"/>
  <c r="I13" i="3" s="1"/>
  <c r="E7" i="3" a="1"/>
  <c r="E7" i="3" s="1"/>
  <c r="M3" i="1"/>
  <c r="J19" i="3" l="1"/>
  <c r="J17" i="3"/>
  <c r="I18" i="3"/>
  <c r="I19" i="3"/>
  <c r="K17" i="3"/>
  <c r="K18" i="3"/>
  <c r="K19" i="3"/>
  <c r="J18" i="3"/>
  <c r="J15" i="3"/>
  <c r="I15" i="3"/>
  <c r="K13" i="3"/>
  <c r="K14" i="3"/>
  <c r="J13" i="3"/>
  <c r="I14" i="3"/>
  <c r="K15" i="3"/>
  <c r="J14" i="3"/>
  <c r="E8" i="3"/>
  <c r="G7" i="3"/>
  <c r="G8" i="3"/>
  <c r="F7" i="3"/>
  <c r="F9" i="3"/>
  <c r="E9" i="3"/>
  <c r="G9" i="3"/>
  <c r="F8" i="3"/>
  <c r="E17" i="3" a="1"/>
  <c r="E18" i="3" s="1"/>
  <c r="E13" i="3" a="1"/>
  <c r="E13" i="3"/>
  <c r="F13" i="3"/>
  <c r="G13" i="3"/>
  <c r="E14" i="3"/>
  <c r="F14" i="3"/>
  <c r="G14" i="3"/>
  <c r="E15" i="3"/>
  <c r="F15" i="3"/>
  <c r="G15" i="3"/>
  <c r="G53" i="2" a="1"/>
  <c r="G53" i="2" s="1"/>
  <c r="G52" i="2" a="1"/>
  <c r="G52" i="2" s="1"/>
  <c r="G50" i="2"/>
  <c r="G41" i="2" a="1"/>
  <c r="G41" i="2"/>
  <c r="I37" i="2"/>
  <c r="I36" i="2"/>
  <c r="I35" i="2"/>
  <c r="I34" i="2"/>
  <c r="G38" i="2"/>
  <c r="K23" i="2"/>
  <c r="J22" i="2"/>
  <c r="I21" i="2"/>
  <c r="H20" i="2"/>
  <c r="F19" i="3" l="1"/>
  <c r="E19" i="3"/>
  <c r="G17" i="3"/>
  <c r="G18" i="3"/>
  <c r="F17" i="3"/>
  <c r="G19" i="3"/>
  <c r="F18" i="3"/>
  <c r="E17" i="3"/>
  <c r="G56" i="2"/>
  <c r="G54" i="2"/>
  <c r="G40" i="2" a="1"/>
  <c r="G40" i="2" s="1"/>
  <c r="H16" i="2"/>
  <c r="I16" i="2"/>
  <c r="J16" i="2"/>
  <c r="G16" i="2"/>
  <c r="H15" i="2"/>
  <c r="I15" i="2"/>
  <c r="J15" i="2"/>
  <c r="G15" i="2"/>
  <c r="H14" i="2"/>
  <c r="I14" i="2"/>
  <c r="J14" i="2"/>
  <c r="G14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G4" i="2"/>
  <c r="G5" i="2"/>
  <c r="G6" i="2"/>
  <c r="G7" i="2"/>
  <c r="G8" i="2"/>
  <c r="G9" i="2"/>
  <c r="G10" i="2"/>
  <c r="G11" i="2"/>
  <c r="G12" i="2"/>
  <c r="G3" i="2"/>
  <c r="L13" i="1" l="1"/>
  <c r="L12" i="1"/>
  <c r="L11" i="1"/>
  <c r="L10" i="1"/>
  <c r="L9" i="1"/>
  <c r="L8" i="1"/>
  <c r="L7" i="1"/>
  <c r="L6" i="1"/>
  <c r="L5" i="1"/>
  <c r="L4" i="1"/>
  <c r="L3" i="1"/>
  <c r="H1" i="1"/>
  <c r="J13" i="1" s="1"/>
  <c r="G4" i="1" l="1"/>
  <c r="H4" i="1"/>
  <c r="G5" i="1"/>
  <c r="H5" i="1"/>
  <c r="G6" i="1"/>
  <c r="H6" i="1"/>
  <c r="G7" i="1"/>
  <c r="H7" i="1"/>
  <c r="G8" i="1"/>
  <c r="H8" i="1"/>
  <c r="G9" i="1"/>
  <c r="I9" i="1" s="1"/>
  <c r="H9" i="1"/>
  <c r="G10" i="1"/>
  <c r="H10" i="1"/>
  <c r="G11" i="1"/>
  <c r="I11" i="1" s="1"/>
  <c r="H11" i="1"/>
  <c r="G12" i="1"/>
  <c r="H12" i="1"/>
  <c r="H3" i="1"/>
  <c r="G3" i="1"/>
  <c r="I7" i="1" l="1"/>
  <c r="H14" i="1"/>
  <c r="H13" i="1"/>
  <c r="I12" i="1"/>
  <c r="I10" i="1"/>
  <c r="I8" i="1"/>
  <c r="I6" i="1"/>
  <c r="I4" i="1"/>
  <c r="G13" i="1"/>
  <c r="G14" i="1"/>
  <c r="G15" i="1"/>
  <c r="I3" i="1"/>
  <c r="G16" i="1"/>
  <c r="I5" i="1"/>
  <c r="N3" i="1" l="1"/>
  <c r="J14" i="1"/>
  <c r="J23" i="1" s="1"/>
  <c r="I14" i="1"/>
  <c r="N12" i="1"/>
  <c r="O12" i="1" s="1"/>
  <c r="N8" i="1"/>
  <c r="O8" i="1" s="1"/>
  <c r="N4" i="1"/>
  <c r="O4" i="1" s="1"/>
  <c r="N11" i="1"/>
  <c r="O11" i="1" s="1"/>
  <c r="N7" i="1"/>
  <c r="O7" i="1" s="1"/>
  <c r="O3" i="1"/>
  <c r="N10" i="1"/>
  <c r="O10" i="1" s="1"/>
  <c r="N6" i="1"/>
  <c r="O6" i="1" s="1"/>
  <c r="N13" i="1"/>
  <c r="O13" i="1" s="1"/>
  <c r="N9" i="1"/>
  <c r="O9" i="1" s="1"/>
  <c r="N5" i="1"/>
  <c r="O5" i="1" s="1"/>
  <c r="M11" i="1"/>
  <c r="M7" i="1"/>
  <c r="M10" i="1"/>
  <c r="M6" i="1"/>
  <c r="M13" i="1"/>
  <c r="M9" i="1"/>
  <c r="M5" i="1"/>
  <c r="M12" i="1"/>
  <c r="M8" i="1"/>
  <c r="M4" i="1"/>
  <c r="I13" i="1"/>
  <c r="J21" i="1" s="1"/>
</calcChain>
</file>

<file path=xl/sharedStrings.xml><?xml version="1.0" encoding="utf-8"?>
<sst xmlns="http://schemas.openxmlformats.org/spreadsheetml/2006/main" count="76" uniqueCount="32">
  <si>
    <t>Date</t>
  </si>
  <si>
    <t>BHEL</t>
  </si>
  <si>
    <t>AIRTEL</t>
  </si>
  <si>
    <t>DLF</t>
  </si>
  <si>
    <t>ICICI</t>
  </si>
  <si>
    <t>RELIANCE</t>
  </si>
  <si>
    <t>Variance</t>
  </si>
  <si>
    <t>Covariance</t>
  </si>
  <si>
    <t>Correlation</t>
  </si>
  <si>
    <t>Portfolio Return</t>
  </si>
  <si>
    <t>Portfolio Variance</t>
  </si>
  <si>
    <t>Return</t>
  </si>
  <si>
    <t>Standard deviation</t>
  </si>
  <si>
    <t>Average</t>
  </si>
  <si>
    <t>Risk free asset is</t>
  </si>
  <si>
    <t>risk premium</t>
  </si>
  <si>
    <t>Sharpe ratio</t>
  </si>
  <si>
    <t>Average monthly returns</t>
  </si>
  <si>
    <t>CORRELATION MATRIX</t>
  </si>
  <si>
    <t>Equally weighted portfolio</t>
  </si>
  <si>
    <t>SUM</t>
  </si>
  <si>
    <t>Expected portfolio returns</t>
  </si>
  <si>
    <t>Expected standard deviation</t>
  </si>
  <si>
    <t>returns</t>
  </si>
  <si>
    <t>Optimal Risky Portfolios</t>
  </si>
  <si>
    <t>Sharpe ratios</t>
  </si>
  <si>
    <t>Risk free asset</t>
  </si>
  <si>
    <t xml:space="preserve">A </t>
  </si>
  <si>
    <t>A*B</t>
  </si>
  <si>
    <t>Determinant A</t>
  </si>
  <si>
    <t xml:space="preserve">A Inverse </t>
  </si>
  <si>
    <t>Risk 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</si>
</sst>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0%"/>
    <numFmt numFmtId="166" formatCode="0.0000000000000000%"/>
    <numFmt numFmtId="167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18" fillId="0" borderId="0" xfId="0" applyFont="1" applyFill="1" applyBorder="1" applyAlignment="1">
      <alignment horizontal="left"/>
    </xf>
    <xf numFmtId="10" fontId="0" fillId="0" borderId="0" xfId="1" applyNumberFormat="1" applyFont="1"/>
    <xf numFmtId="9" fontId="0" fillId="0" borderId="0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7" fontId="0" fillId="0" borderId="0" xfId="1" applyNumberFormat="1" applyFont="1"/>
    <xf numFmtId="10" fontId="0" fillId="0" borderId="0" xfId="1" applyNumberFormat="1" applyFont="1" applyFill="1" applyBorder="1" applyAlignment="1"/>
    <xf numFmtId="166" fontId="0" fillId="0" borderId="0" xfId="0" applyNumberFormat="1" applyAlignment="1">
      <alignment horizontal="left"/>
    </xf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Portfolio returns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'BHEL.NS (1)'!$O$3:$O$13</c:f>
              <c:numCache>
                <c:formatCode>0.00%</c:formatCode>
                <c:ptCount val="11"/>
                <c:pt idx="0">
                  <c:v>6.2415302816741756E-2</c:v>
                </c:pt>
                <c:pt idx="1">
                  <c:v>5.5223564885638086E-2</c:v>
                </c:pt>
                <c:pt idx="2">
                  <c:v>4.8860422587899591E-2</c:v>
                </c:pt>
                <c:pt idx="3">
                  <c:v>4.3689430713561767E-2</c:v>
                </c:pt>
                <c:pt idx="4">
                  <c:v>4.0173604524603487E-2</c:v>
                </c:pt>
                <c:pt idx="5">
                  <c:v>3.8765929999685388E-2</c:v>
                </c:pt>
                <c:pt idx="6">
                  <c:v>3.9691344658488371E-2</c:v>
                </c:pt>
                <c:pt idx="7">
                  <c:v>4.279877377536017E-2</c:v>
                </c:pt>
                <c:pt idx="8">
                  <c:v>4.7663339332941652E-2</c:v>
                </c:pt>
                <c:pt idx="9">
                  <c:v>5.3810588919625896E-2</c:v>
                </c:pt>
                <c:pt idx="10">
                  <c:v>6.0853033837302874E-2</c:v>
                </c:pt>
              </c:numCache>
            </c:numRef>
          </c:xVal>
          <c:yVal>
            <c:numRef>
              <c:f>'BHEL.NS (1)'!$M$3:$M$13</c:f>
              <c:numCache>
                <c:formatCode>0.0000%</c:formatCode>
                <c:ptCount val="11"/>
                <c:pt idx="0">
                  <c:v>2.5609491384048035E-2</c:v>
                </c:pt>
                <c:pt idx="1">
                  <c:v>2.5013226136898263E-2</c:v>
                </c:pt>
                <c:pt idx="2">
                  <c:v>2.4416960889748492E-2</c:v>
                </c:pt>
                <c:pt idx="3">
                  <c:v>2.3820695642598717E-2</c:v>
                </c:pt>
                <c:pt idx="4">
                  <c:v>2.3224430395448945E-2</c:v>
                </c:pt>
                <c:pt idx="5">
                  <c:v>2.2628165148299174E-2</c:v>
                </c:pt>
                <c:pt idx="6">
                  <c:v>2.2031899901149402E-2</c:v>
                </c:pt>
                <c:pt idx="7">
                  <c:v>2.1435634653999631E-2</c:v>
                </c:pt>
                <c:pt idx="8">
                  <c:v>2.0839369406849856E-2</c:v>
                </c:pt>
                <c:pt idx="9">
                  <c:v>2.0243104159700084E-2</c:v>
                </c:pt>
                <c:pt idx="10">
                  <c:v>1.9646838912550313E-2</c:v>
                </c:pt>
              </c:numCache>
            </c:numRef>
          </c:yVal>
          <c:smooth val="1"/>
        </c:ser>
        <c:ser>
          <c:idx val="1"/>
          <c:order val="1"/>
          <c:tx>
            <c:v>risk free asset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'BHEL.NS (1)'!$J$19</c:f>
              <c:numCache>
                <c:formatCode>0%</c:formatCode>
                <c:ptCount val="1"/>
                <c:pt idx="0">
                  <c:v>0.02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31848"/>
        <c:axId val="573633024"/>
      </c:scatterChart>
      <c:valAx>
        <c:axId val="57363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3024"/>
        <c:crosses val="autoZero"/>
        <c:crossBetween val="midCat"/>
      </c:valAx>
      <c:valAx>
        <c:axId val="573633024"/>
        <c:scaling>
          <c:orientation val="minMax"/>
          <c:min val="1.8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8</xdr:row>
      <xdr:rowOff>176212</xdr:rowOff>
    </xdr:from>
    <xdr:to>
      <xdr:col>22</xdr:col>
      <xdr:colOff>485775</xdr:colOff>
      <xdr:row>23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565589</xdr:colOff>
      <xdr:row>9</xdr:row>
      <xdr:rowOff>180318</xdr:rowOff>
    </xdr:from>
    <xdr:to>
      <xdr:col>21</xdr:col>
      <xdr:colOff>603689</xdr:colOff>
      <xdr:row>16</xdr:row>
      <xdr:rowOff>123168</xdr:rowOff>
    </xdr:to>
    <xdr:cxnSp macro="">
      <xdr:nvCxnSpPr>
        <xdr:cNvPr id="6" name="Straight Connector 5"/>
        <xdr:cNvCxnSpPr/>
      </xdr:nvCxnSpPr>
      <xdr:spPr>
        <a:xfrm flipV="1">
          <a:off x="10609537" y="1894818"/>
          <a:ext cx="3703583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15</xdr:row>
      <xdr:rowOff>28575</xdr:rowOff>
    </xdr:from>
    <xdr:to>
      <xdr:col>19</xdr:col>
      <xdr:colOff>390525</xdr:colOff>
      <xdr:row>17</xdr:row>
      <xdr:rowOff>142875</xdr:rowOff>
    </xdr:to>
    <xdr:cxnSp macro="">
      <xdr:nvCxnSpPr>
        <xdr:cNvPr id="8" name="Straight Connector 7"/>
        <xdr:cNvCxnSpPr/>
      </xdr:nvCxnSpPr>
      <xdr:spPr>
        <a:xfrm flipV="1">
          <a:off x="10791825" y="2886075"/>
          <a:ext cx="2066925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K7" zoomScale="145" zoomScaleNormal="145" workbookViewId="0">
      <selection activeCell="W15" sqref="W15"/>
    </sheetView>
  </sheetViews>
  <sheetFormatPr defaultRowHeight="15" x14ac:dyDescent="0.25"/>
  <cols>
    <col min="1" max="1" width="10.42578125" bestFit="1" customWidth="1"/>
    <col min="9" max="9" width="8.42578125" customWidth="1"/>
    <col min="10" max="10" width="20.42578125" bestFit="1" customWidth="1"/>
    <col min="13" max="13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>
        <v>0.13054947725196606</v>
      </c>
      <c r="H1" s="5">
        <f>1-G1</f>
        <v>0.86945052274803392</v>
      </c>
    </row>
    <row r="2" spans="1:15" x14ac:dyDescent="0.25">
      <c r="A2" s="1">
        <v>42551</v>
      </c>
      <c r="B2">
        <v>144.37820400000001</v>
      </c>
      <c r="C2">
        <v>362.04998799999998</v>
      </c>
      <c r="D2">
        <v>161.300003</v>
      </c>
      <c r="E2">
        <v>234.94313</v>
      </c>
      <c r="F2">
        <v>1014.900024</v>
      </c>
      <c r="G2" s="7" t="s">
        <v>4</v>
      </c>
      <c r="H2" s="7" t="s">
        <v>5</v>
      </c>
      <c r="I2" t="s">
        <v>9</v>
      </c>
      <c r="J2" t="s">
        <v>10</v>
      </c>
      <c r="K2" t="s">
        <v>4</v>
      </c>
      <c r="L2" t="s">
        <v>5</v>
      </c>
      <c r="M2" t="s">
        <v>11</v>
      </c>
      <c r="N2" t="s">
        <v>6</v>
      </c>
      <c r="O2" t="s">
        <v>12</v>
      </c>
    </row>
    <row r="3" spans="1:15" x14ac:dyDescent="0.25">
      <c r="A3" s="1">
        <v>42582</v>
      </c>
      <c r="B3">
        <v>137.64913899999999</v>
      </c>
      <c r="C3">
        <v>331.64999399999999</v>
      </c>
      <c r="D3">
        <v>154.85000600000001</v>
      </c>
      <c r="E3">
        <v>230.563751</v>
      </c>
      <c r="F3">
        <v>1060</v>
      </c>
      <c r="G3" s="8">
        <f>(E3-E2)/E3</f>
        <v>-1.899422168925418E-2</v>
      </c>
      <c r="H3" s="8">
        <f>(F3-F2)/F3</f>
        <v>4.254714716981129E-2</v>
      </c>
      <c r="I3" s="11">
        <f t="shared" ref="I3:I12" si="0">$G$1*G3+$H$1*H3</f>
        <v>3.4512953635889868E-2</v>
      </c>
      <c r="K3" s="5">
        <v>0</v>
      </c>
      <c r="L3" s="5">
        <f t="shared" ref="L3:L13" si="1">100%-K3</f>
        <v>1</v>
      </c>
      <c r="M3" s="10">
        <f>K3*$G$13+$H$13*L3</f>
        <v>2.5609491384048035E-2</v>
      </c>
      <c r="N3">
        <f t="shared" ref="N3:N13" si="2">K3^2*$G$14+L3^2*$H$14+2*K3*L3*$G$15</f>
        <v>3.8956700257055713E-3</v>
      </c>
      <c r="O3" s="13">
        <f t="shared" ref="O3:O13" si="3">SQRT(N3)</f>
        <v>6.2415302816741756E-2</v>
      </c>
    </row>
    <row r="4" spans="1:15" x14ac:dyDescent="0.25">
      <c r="A4" s="1">
        <v>42613</v>
      </c>
      <c r="B4">
        <v>133.29501300000001</v>
      </c>
      <c r="C4">
        <v>314</v>
      </c>
      <c r="D4">
        <v>146.14999399999999</v>
      </c>
      <c r="E4">
        <v>225.336029</v>
      </c>
      <c r="F4">
        <v>1083.6999510000001</v>
      </c>
      <c r="G4" s="8">
        <f t="shared" ref="G4:G12" si="4">(E4-E3)/E4</f>
        <v>-2.3199672166052062E-2</v>
      </c>
      <c r="H4" s="8">
        <f t="shared" ref="H4:H12" si="5">(F4-F3)/F4</f>
        <v>2.1869476858544266E-2</v>
      </c>
      <c r="I4" s="11">
        <f t="shared" si="0"/>
        <v>1.5985723013192257E-2</v>
      </c>
      <c r="K4" s="5">
        <v>0.1</v>
      </c>
      <c r="L4" s="5">
        <f t="shared" si="1"/>
        <v>0.9</v>
      </c>
      <c r="M4" s="10">
        <f t="shared" ref="M3:M13" si="6">K4*$G$13+$H$13*L4</f>
        <v>2.5013226136898263E-2</v>
      </c>
      <c r="N4">
        <f t="shared" si="2"/>
        <v>3.0496421186782799E-3</v>
      </c>
      <c r="O4" s="13">
        <f t="shared" si="3"/>
        <v>5.5223564885638086E-2</v>
      </c>
    </row>
    <row r="5" spans="1:15" x14ac:dyDescent="0.25">
      <c r="A5" s="1">
        <v>42643</v>
      </c>
      <c r="B5">
        <v>138.23353599999999</v>
      </c>
      <c r="C5">
        <v>318.85000600000001</v>
      </c>
      <c r="D5">
        <v>150.5</v>
      </c>
      <c r="E5">
        <v>247.40988200000001</v>
      </c>
      <c r="F5">
        <v>1054.9499510000001</v>
      </c>
      <c r="G5" s="8">
        <f t="shared" si="4"/>
        <v>8.921977093865642E-2</v>
      </c>
      <c r="H5" s="8">
        <f t="shared" si="5"/>
        <v>-2.7252477686498321E-2</v>
      </c>
      <c r="I5" s="11">
        <f t="shared" si="0"/>
        <v>-1.2047086514123347E-2</v>
      </c>
      <c r="K5" s="5">
        <v>0.2</v>
      </c>
      <c r="L5" s="5">
        <f t="shared" si="1"/>
        <v>0.8</v>
      </c>
      <c r="M5" s="10">
        <f t="shared" si="6"/>
        <v>2.4416960889748492E-2</v>
      </c>
      <c r="N5">
        <f t="shared" si="2"/>
        <v>2.3873408954681284E-3</v>
      </c>
      <c r="O5" s="13">
        <f t="shared" si="3"/>
        <v>4.8860422587899591E-2</v>
      </c>
    </row>
    <row r="6" spans="1:15" x14ac:dyDescent="0.25">
      <c r="A6" s="1">
        <v>42674</v>
      </c>
      <c r="B6">
        <v>129.47889699999999</v>
      </c>
      <c r="C6">
        <v>324.60000600000001</v>
      </c>
      <c r="D6">
        <v>115</v>
      </c>
      <c r="E6">
        <v>237.311249</v>
      </c>
      <c r="F6">
        <v>990.04998799999998</v>
      </c>
      <c r="G6" s="8">
        <f t="shared" si="4"/>
        <v>-4.2554379712526846E-2</v>
      </c>
      <c r="H6" s="8">
        <f t="shared" si="5"/>
        <v>-6.5552208258801647E-2</v>
      </c>
      <c r="I6" s="11">
        <f t="shared" si="0"/>
        <v>-6.2549853764155131E-2</v>
      </c>
      <c r="K6" s="5">
        <v>0.3</v>
      </c>
      <c r="L6" s="5">
        <f t="shared" si="1"/>
        <v>0.7</v>
      </c>
      <c r="M6" s="10">
        <f t="shared" si="6"/>
        <v>2.3820695642598717E-2</v>
      </c>
      <c r="N6">
        <f t="shared" si="2"/>
        <v>1.9087663560751144E-3</v>
      </c>
      <c r="O6" s="13">
        <f t="shared" si="3"/>
        <v>4.3689430713561767E-2</v>
      </c>
    </row>
    <row r="7" spans="1:15" x14ac:dyDescent="0.25">
      <c r="A7" s="1">
        <v>42704</v>
      </c>
      <c r="B7">
        <v>120.575058</v>
      </c>
      <c r="C7">
        <v>305.64999399999999</v>
      </c>
      <c r="D7">
        <v>111.400002</v>
      </c>
      <c r="E7">
        <v>228.15141299999999</v>
      </c>
      <c r="F7">
        <v>1027.1999510000001</v>
      </c>
      <c r="G7" s="8">
        <f t="shared" si="4"/>
        <v>-4.0148057290357489E-2</v>
      </c>
      <c r="H7" s="8">
        <f t="shared" si="5"/>
        <v>3.6166242963537744E-2</v>
      </c>
      <c r="I7" s="11">
        <f t="shared" si="0"/>
        <v>2.6203450958542138E-2</v>
      </c>
      <c r="K7" s="5">
        <v>0.4</v>
      </c>
      <c r="L7" s="5">
        <f t="shared" si="1"/>
        <v>0.6</v>
      </c>
      <c r="M7" s="10">
        <f t="shared" si="6"/>
        <v>2.3224430395448945E-2</v>
      </c>
      <c r="N7">
        <f t="shared" si="2"/>
        <v>1.6139185004992417E-3</v>
      </c>
      <c r="O7" s="13">
        <f t="shared" si="3"/>
        <v>4.0173604524603487E-2</v>
      </c>
    </row>
    <row r="8" spans="1:15" x14ac:dyDescent="0.25">
      <c r="A8" s="1">
        <v>42735</v>
      </c>
      <c r="B8">
        <v>136.34333799999999</v>
      </c>
      <c r="C8">
        <v>348.20001200000002</v>
      </c>
      <c r="D8">
        <v>134.949997</v>
      </c>
      <c r="E8">
        <v>240.34977699999999</v>
      </c>
      <c r="F8">
        <v>1045.1999510000001</v>
      </c>
      <c r="G8" s="8">
        <f t="shared" si="4"/>
        <v>5.0752549689280543E-2</v>
      </c>
      <c r="H8" s="8">
        <f t="shared" si="5"/>
        <v>1.7221585193128275E-2</v>
      </c>
      <c r="I8" s="11">
        <f t="shared" si="0"/>
        <v>2.1599035079855188E-2</v>
      </c>
      <c r="K8" s="5">
        <v>0.5</v>
      </c>
      <c r="L8" s="5">
        <f t="shared" si="1"/>
        <v>0.5</v>
      </c>
      <c r="M8" s="10">
        <f t="shared" si="6"/>
        <v>2.2628165148299174E-2</v>
      </c>
      <c r="N8">
        <f t="shared" si="2"/>
        <v>1.5027973287405076E-3</v>
      </c>
      <c r="O8" s="13">
        <f t="shared" si="3"/>
        <v>3.8765929999685388E-2</v>
      </c>
    </row>
    <row r="9" spans="1:15" x14ac:dyDescent="0.25">
      <c r="A9" s="1">
        <v>42766</v>
      </c>
      <c r="B9">
        <v>161.61236600000001</v>
      </c>
      <c r="C9">
        <v>365.14999399999999</v>
      </c>
      <c r="D9">
        <v>150.449997</v>
      </c>
      <c r="E9">
        <v>246.96258499999999</v>
      </c>
      <c r="F9">
        <v>1238.0500489999999</v>
      </c>
      <c r="G9" s="8">
        <f t="shared" si="4"/>
        <v>2.6776558076600961E-2</v>
      </c>
      <c r="H9" s="8">
        <f t="shared" si="5"/>
        <v>0.15576922609531749</v>
      </c>
      <c r="I9" s="11">
        <f t="shared" si="0"/>
        <v>0.13892930071613763</v>
      </c>
      <c r="K9" s="5">
        <v>0.6</v>
      </c>
      <c r="L9" s="5">
        <f t="shared" si="1"/>
        <v>0.4</v>
      </c>
      <c r="M9" s="10">
        <f t="shared" si="6"/>
        <v>2.2031899901149402E-2</v>
      </c>
      <c r="N9">
        <f t="shared" si="2"/>
        <v>1.5754028407989132E-3</v>
      </c>
      <c r="O9" s="13">
        <f t="shared" si="3"/>
        <v>3.9691344658488371E-2</v>
      </c>
    </row>
    <row r="10" spans="1:15" x14ac:dyDescent="0.25">
      <c r="A10" s="1">
        <v>42794</v>
      </c>
      <c r="B10">
        <v>162.85000600000001</v>
      </c>
      <c r="C10">
        <v>350.04998799999998</v>
      </c>
      <c r="D10">
        <v>148.64999399999999</v>
      </c>
      <c r="E10">
        <v>247.40988200000001</v>
      </c>
      <c r="F10">
        <v>1320.900024</v>
      </c>
      <c r="G10" s="8">
        <f t="shared" si="4"/>
        <v>1.8079188930700037E-3</v>
      </c>
      <c r="H10" s="8">
        <f t="shared" si="5"/>
        <v>6.2722366185678932E-2</v>
      </c>
      <c r="I10" s="11">
        <f t="shared" si="0"/>
        <v>5.4770016934536397E-2</v>
      </c>
      <c r="K10" s="5">
        <v>0.7</v>
      </c>
      <c r="L10" s="5">
        <f t="shared" si="1"/>
        <v>0.30000000000000004</v>
      </c>
      <c r="M10" s="10">
        <f t="shared" si="6"/>
        <v>2.1435634653999631E-2</v>
      </c>
      <c r="N10">
        <f t="shared" si="2"/>
        <v>1.8317350366744574E-3</v>
      </c>
      <c r="O10" s="13">
        <f t="shared" si="3"/>
        <v>4.279877377536017E-2</v>
      </c>
    </row>
    <row r="11" spans="1:15" x14ac:dyDescent="0.25">
      <c r="A11" s="1">
        <v>42825</v>
      </c>
      <c r="B11">
        <v>175.699997</v>
      </c>
      <c r="C11">
        <v>355.5</v>
      </c>
      <c r="D11">
        <v>186</v>
      </c>
      <c r="E11">
        <v>248.88441499999999</v>
      </c>
      <c r="F11">
        <v>1395.1999510000001</v>
      </c>
      <c r="G11" s="8">
        <f t="shared" si="4"/>
        <v>5.9245694432091284E-3</v>
      </c>
      <c r="H11" s="8">
        <f t="shared" si="5"/>
        <v>5.3253963309521375E-2</v>
      </c>
      <c r="I11" s="11">
        <f t="shared" si="0"/>
        <v>4.7075135681621902E-2</v>
      </c>
      <c r="K11" s="5">
        <v>0.8</v>
      </c>
      <c r="L11" s="5">
        <f t="shared" si="1"/>
        <v>0.19999999999999996</v>
      </c>
      <c r="M11" s="10">
        <f t="shared" si="6"/>
        <v>2.0839369406849856E-2</v>
      </c>
      <c r="N11">
        <f t="shared" si="2"/>
        <v>2.2717939163671426E-3</v>
      </c>
      <c r="O11" s="13">
        <f t="shared" si="3"/>
        <v>4.7663339332941652E-2</v>
      </c>
    </row>
    <row r="12" spans="1:15" x14ac:dyDescent="0.25">
      <c r="A12" s="1">
        <v>42855</v>
      </c>
      <c r="B12">
        <v>138.199997</v>
      </c>
      <c r="C12">
        <v>371.54998799999998</v>
      </c>
      <c r="D12">
        <v>179.550003</v>
      </c>
      <c r="E12">
        <v>291.73550399999999</v>
      </c>
      <c r="F12">
        <v>1340.6999510000001</v>
      </c>
      <c r="G12" s="8">
        <f t="shared" si="4"/>
        <v>0.14688335294287666</v>
      </c>
      <c r="H12" s="8">
        <f t="shared" si="5"/>
        <v>-4.0650407989759073E-2</v>
      </c>
      <c r="I12" s="11">
        <f t="shared" si="0"/>
        <v>-1.6167973532908303E-2</v>
      </c>
      <c r="K12" s="5">
        <v>0.9</v>
      </c>
      <c r="L12" s="5">
        <f t="shared" si="1"/>
        <v>9.9999999999999978E-2</v>
      </c>
      <c r="M12" s="10">
        <f t="shared" si="6"/>
        <v>2.0243104159700084E-2</v>
      </c>
      <c r="N12">
        <f t="shared" si="2"/>
        <v>2.8955794798769655E-3</v>
      </c>
      <c r="O12" s="13">
        <f t="shared" si="3"/>
        <v>5.3810588919625896E-2</v>
      </c>
    </row>
    <row r="13" spans="1:15" x14ac:dyDescent="0.25">
      <c r="F13" t="s">
        <v>13</v>
      </c>
      <c r="G13" s="6">
        <f>AVERAGE($G$3:$G$12)</f>
        <v>1.9646838912550313E-2</v>
      </c>
      <c r="H13" s="6">
        <f>AVERAGE($H$3:$H$12)</f>
        <v>2.5609491384048035E-2</v>
      </c>
      <c r="I13" s="11">
        <f>AVERAGE($I$3:$I$12)</f>
        <v>2.4831070220858863E-2</v>
      </c>
      <c r="J13" s="21">
        <f>G1*G13+H1*H13</f>
        <v>2.4831070220858863E-2</v>
      </c>
      <c r="K13" s="5">
        <v>1</v>
      </c>
      <c r="L13" s="5">
        <f t="shared" si="1"/>
        <v>0</v>
      </c>
      <c r="M13" s="10">
        <f t="shared" si="6"/>
        <v>1.9646838912550313E-2</v>
      </c>
      <c r="N13">
        <f t="shared" si="2"/>
        <v>3.7030917272039285E-3</v>
      </c>
      <c r="O13" s="13">
        <f t="shared" si="3"/>
        <v>6.0853033837302874E-2</v>
      </c>
    </row>
    <row r="14" spans="1:15" x14ac:dyDescent="0.25">
      <c r="F14" t="s">
        <v>6</v>
      </c>
      <c r="G14" s="4">
        <f>VAR($G$3:$G$12)</f>
        <v>3.7030917272039285E-3</v>
      </c>
      <c r="H14" s="4">
        <f>VAR($H$3:$H$12)</f>
        <v>3.8956700257055713E-3</v>
      </c>
      <c r="I14" s="4">
        <f>VAR(I3:I12)</f>
        <v>2.8077999559774653E-3</v>
      </c>
      <c r="J14" s="12">
        <f>G1^2*G14+H1^2*H14+2*G1*H1*G15</f>
        <v>2.8278221216729792E-3</v>
      </c>
      <c r="K14" s="4"/>
      <c r="L14" s="4"/>
    </row>
    <row r="15" spans="1:15" x14ac:dyDescent="0.25">
      <c r="F15" t="s">
        <v>7</v>
      </c>
      <c r="G15" s="4">
        <f>_xlfn.COVARIANCE.P(G3:G12,H3:H12)</f>
        <v>-7.9378621897373465E-4</v>
      </c>
      <c r="H15" s="5"/>
      <c r="I15" s="9"/>
      <c r="J15" s="16"/>
      <c r="K15" s="3"/>
      <c r="L15" s="3"/>
    </row>
    <row r="16" spans="1:15" x14ac:dyDescent="0.25">
      <c r="F16" t="s">
        <v>8</v>
      </c>
      <c r="G16" s="2">
        <f>CORREL(G3:G12,H3:H12)</f>
        <v>-0.2322136412587113</v>
      </c>
      <c r="H16" s="5"/>
      <c r="I16" s="9"/>
      <c r="J16" s="3"/>
      <c r="K16" s="3"/>
      <c r="L16" s="3"/>
    </row>
    <row r="17" spans="7:12" x14ac:dyDescent="0.25">
      <c r="G17" s="2"/>
      <c r="H17" s="2"/>
      <c r="I17" s="2"/>
      <c r="J17" s="3"/>
      <c r="K17" s="3"/>
      <c r="L17" s="3"/>
    </row>
    <row r="18" spans="7:12" x14ac:dyDescent="0.25">
      <c r="G18" s="2"/>
      <c r="H18" s="2"/>
      <c r="I18" s="2"/>
      <c r="J18" s="3" t="s">
        <v>14</v>
      </c>
      <c r="K18" s="3"/>
      <c r="L18" s="3"/>
    </row>
    <row r="19" spans="7:12" x14ac:dyDescent="0.25">
      <c r="G19" s="2"/>
      <c r="H19" s="2"/>
      <c r="I19" s="2"/>
      <c r="J19" s="14">
        <v>0.02</v>
      </c>
      <c r="K19" s="3"/>
      <c r="L19" s="3"/>
    </row>
    <row r="20" spans="7:12" x14ac:dyDescent="0.25">
      <c r="G20" s="2"/>
      <c r="H20" s="2"/>
      <c r="I20" s="2"/>
      <c r="J20" s="3" t="s">
        <v>15</v>
      </c>
      <c r="K20" s="3"/>
      <c r="L20" s="3"/>
    </row>
    <row r="21" spans="7:12" x14ac:dyDescent="0.25">
      <c r="G21" s="3"/>
      <c r="H21" s="3"/>
      <c r="I21" s="3"/>
      <c r="J21" s="15">
        <f>I13-J19</f>
        <v>4.8310702208588623E-3</v>
      </c>
      <c r="K21" s="3"/>
      <c r="L21" s="3"/>
    </row>
    <row r="22" spans="7:12" x14ac:dyDescent="0.25">
      <c r="G22" s="3"/>
      <c r="H22" s="3"/>
      <c r="I22" s="3"/>
      <c r="J22" s="3" t="s">
        <v>16</v>
      </c>
      <c r="K22" s="3"/>
      <c r="L22" s="3"/>
    </row>
    <row r="23" spans="7:12" x14ac:dyDescent="0.25">
      <c r="G23" s="3"/>
      <c r="H23" s="3"/>
      <c r="I23" s="3"/>
      <c r="J23" s="3">
        <f>(J13-J19)/SQRT(J14)</f>
        <v>9.0848404874264002E-2</v>
      </c>
      <c r="K23" s="3"/>
      <c r="L23" s="3"/>
    </row>
    <row r="24" spans="7:12" x14ac:dyDescent="0.25">
      <c r="G24" s="3"/>
      <c r="H24" s="3" t="s">
        <v>4</v>
      </c>
      <c r="I24" s="14">
        <v>0.5</v>
      </c>
      <c r="K24" s="3"/>
      <c r="L24" s="3"/>
    </row>
    <row r="25" spans="7:12" x14ac:dyDescent="0.25">
      <c r="H25" t="s">
        <v>5</v>
      </c>
      <c r="I25" s="5">
        <v>0.5</v>
      </c>
    </row>
    <row r="26" spans="7:12" x14ac:dyDescent="0.25">
      <c r="J2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  <col min="6" max="6" width="26.7109375" bestFit="1" customWidth="1"/>
    <col min="7" max="7" width="2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>
        <v>42551</v>
      </c>
      <c r="B2">
        <v>144.37820400000001</v>
      </c>
      <c r="C2">
        <v>362.04998799999998</v>
      </c>
      <c r="D2">
        <v>161.300003</v>
      </c>
      <c r="E2">
        <v>234.94313</v>
      </c>
      <c r="F2">
        <v>1014.900024</v>
      </c>
    </row>
    <row r="3" spans="1:10" x14ac:dyDescent="0.25">
      <c r="A3" s="1">
        <v>42582</v>
      </c>
      <c r="B3">
        <v>137.64913899999999</v>
      </c>
      <c r="C3">
        <v>331.64999399999999</v>
      </c>
      <c r="D3">
        <v>154.85000600000001</v>
      </c>
      <c r="E3">
        <v>230.563751</v>
      </c>
      <c r="F3">
        <v>1060</v>
      </c>
      <c r="G3">
        <f>(B3-B2)/B2</f>
        <v>-4.6607208107395624E-2</v>
      </c>
      <c r="H3">
        <f t="shared" ref="H3:J12" si="0">(C3-C2)/C2</f>
        <v>-8.3966289207555486E-2</v>
      </c>
      <c r="I3">
        <f t="shared" si="0"/>
        <v>-3.9987581401346881E-2</v>
      </c>
      <c r="J3">
        <f t="shared" si="0"/>
        <v>-1.8640166239378867E-2</v>
      </c>
    </row>
    <row r="4" spans="1:10" x14ac:dyDescent="0.25">
      <c r="A4" s="1">
        <v>42613</v>
      </c>
      <c r="B4">
        <v>133.29501300000001</v>
      </c>
      <c r="C4">
        <v>314</v>
      </c>
      <c r="D4">
        <v>146.14999399999999</v>
      </c>
      <c r="E4">
        <v>225.336029</v>
      </c>
      <c r="F4">
        <v>1083.6999510000001</v>
      </c>
      <c r="G4">
        <f t="shared" ref="G4:G12" si="1">(B4-B3)/B3</f>
        <v>-3.163206128009257E-2</v>
      </c>
      <c r="H4">
        <f t="shared" si="0"/>
        <v>-5.321873758273004E-2</v>
      </c>
      <c r="I4">
        <f t="shared" si="0"/>
        <v>-5.6183478610908257E-2</v>
      </c>
      <c r="J4">
        <f t="shared" si="0"/>
        <v>-2.2673650898401631E-2</v>
      </c>
    </row>
    <row r="5" spans="1:10" x14ac:dyDescent="0.25">
      <c r="A5" s="1">
        <v>42643</v>
      </c>
      <c r="B5">
        <v>138.23353599999999</v>
      </c>
      <c r="C5">
        <v>318.85000600000001</v>
      </c>
      <c r="D5">
        <v>150.5</v>
      </c>
      <c r="E5">
        <v>247.40988200000001</v>
      </c>
      <c r="F5">
        <v>1054.9499510000001</v>
      </c>
      <c r="G5">
        <f t="shared" si="1"/>
        <v>3.7049570639225447E-2</v>
      </c>
      <c r="H5">
        <f t="shared" si="0"/>
        <v>1.5445878980891744E-2</v>
      </c>
      <c r="I5">
        <f t="shared" si="0"/>
        <v>2.9763983431980216E-2</v>
      </c>
      <c r="J5">
        <f t="shared" si="0"/>
        <v>9.7959714200874709E-2</v>
      </c>
    </row>
    <row r="6" spans="1:10" x14ac:dyDescent="0.25">
      <c r="A6" s="1">
        <v>42674</v>
      </c>
      <c r="B6">
        <v>129.47889699999999</v>
      </c>
      <c r="C6">
        <v>324.60000600000001</v>
      </c>
      <c r="D6">
        <v>115</v>
      </c>
      <c r="E6">
        <v>237.311249</v>
      </c>
      <c r="F6">
        <v>990.04998799999998</v>
      </c>
      <c r="G6">
        <f t="shared" si="1"/>
        <v>-6.3332236542079035E-2</v>
      </c>
      <c r="H6">
        <f t="shared" si="0"/>
        <v>1.8033557760071046E-2</v>
      </c>
      <c r="I6">
        <f t="shared" si="0"/>
        <v>-0.23588039867109634</v>
      </c>
      <c r="J6">
        <f t="shared" si="0"/>
        <v>-4.0817419734269167E-2</v>
      </c>
    </row>
    <row r="7" spans="1:10" x14ac:dyDescent="0.25">
      <c r="A7" s="1">
        <v>42704</v>
      </c>
      <c r="B7">
        <v>120.575058</v>
      </c>
      <c r="C7">
        <v>305.64999399999999</v>
      </c>
      <c r="D7">
        <v>111.400002</v>
      </c>
      <c r="E7">
        <v>228.15141299999999</v>
      </c>
      <c r="F7">
        <v>1027.1999510000001</v>
      </c>
      <c r="G7">
        <f t="shared" si="1"/>
        <v>-6.8766719568208803E-2</v>
      </c>
      <c r="H7">
        <f t="shared" si="0"/>
        <v>-5.8379579943692347E-2</v>
      </c>
      <c r="I7">
        <f t="shared" si="0"/>
        <v>-3.1304330434782604E-2</v>
      </c>
      <c r="J7">
        <f t="shared" si="0"/>
        <v>-3.8598406264340267E-2</v>
      </c>
    </row>
    <row r="8" spans="1:10" x14ac:dyDescent="0.25">
      <c r="A8" s="1">
        <v>42735</v>
      </c>
      <c r="B8">
        <v>136.34333799999999</v>
      </c>
      <c r="C8">
        <v>348.20001200000002</v>
      </c>
      <c r="D8">
        <v>134.949997</v>
      </c>
      <c r="E8">
        <v>240.34977699999999</v>
      </c>
      <c r="F8">
        <v>1045.1999510000001</v>
      </c>
      <c r="G8">
        <f t="shared" si="1"/>
        <v>0.13077563686513002</v>
      </c>
      <c r="H8">
        <f t="shared" si="0"/>
        <v>0.13921157806402581</v>
      </c>
      <c r="I8">
        <f t="shared" si="0"/>
        <v>0.21140031038778612</v>
      </c>
      <c r="J8">
        <f t="shared" si="0"/>
        <v>5.3466090082904719E-2</v>
      </c>
    </row>
    <row r="9" spans="1:10" x14ac:dyDescent="0.25">
      <c r="A9" s="1">
        <v>42766</v>
      </c>
      <c r="B9">
        <v>161.61236600000001</v>
      </c>
      <c r="C9">
        <v>365.14999399999999</v>
      </c>
      <c r="D9">
        <v>150.449997</v>
      </c>
      <c r="E9">
        <v>246.96258499999999</v>
      </c>
      <c r="F9">
        <v>1238.0500489999999</v>
      </c>
      <c r="G9">
        <f t="shared" si="1"/>
        <v>0.18533379313333243</v>
      </c>
      <c r="H9">
        <f t="shared" si="0"/>
        <v>4.867886678878109E-2</v>
      </c>
      <c r="I9">
        <f t="shared" si="0"/>
        <v>0.1148573571291002</v>
      </c>
      <c r="J9">
        <f t="shared" si="0"/>
        <v>2.7513268714203971E-2</v>
      </c>
    </row>
    <row r="10" spans="1:10" x14ac:dyDescent="0.25">
      <c r="A10" s="1">
        <v>42794</v>
      </c>
      <c r="B10">
        <v>162.85000600000001</v>
      </c>
      <c r="C10">
        <v>350.04998799999998</v>
      </c>
      <c r="D10">
        <v>148.64999399999999</v>
      </c>
      <c r="E10">
        <v>247.40988200000001</v>
      </c>
      <c r="F10">
        <v>1320.900024</v>
      </c>
      <c r="G10">
        <f t="shared" si="1"/>
        <v>7.6580773528184031E-3</v>
      </c>
      <c r="H10">
        <f t="shared" si="0"/>
        <v>-4.135288579520012E-2</v>
      </c>
      <c r="I10">
        <f t="shared" si="0"/>
        <v>-1.1964127855715436E-2</v>
      </c>
      <c r="J10">
        <f t="shared" si="0"/>
        <v>1.8111933838075929E-3</v>
      </c>
    </row>
    <row r="11" spans="1:10" x14ac:dyDescent="0.25">
      <c r="A11" s="1">
        <v>42825</v>
      </c>
      <c r="B11">
        <v>175.699997</v>
      </c>
      <c r="C11">
        <v>355.5</v>
      </c>
      <c r="D11">
        <v>186</v>
      </c>
      <c r="E11">
        <v>248.88441499999999</v>
      </c>
      <c r="F11">
        <v>1395.1999510000001</v>
      </c>
      <c r="G11">
        <f t="shared" si="1"/>
        <v>7.8906911431123855E-2</v>
      </c>
      <c r="H11">
        <f t="shared" si="0"/>
        <v>1.5569239213914829E-2</v>
      </c>
      <c r="I11">
        <f t="shared" si="0"/>
        <v>0.2512614026745269</v>
      </c>
      <c r="J11">
        <f t="shared" si="0"/>
        <v>5.9598791611726312E-3</v>
      </c>
    </row>
    <row r="12" spans="1:10" x14ac:dyDescent="0.25">
      <c r="A12" s="1">
        <v>42855</v>
      </c>
      <c r="B12">
        <v>138.199997</v>
      </c>
      <c r="C12">
        <v>371.54998799999998</v>
      </c>
      <c r="D12">
        <v>179.550003</v>
      </c>
      <c r="E12">
        <v>291.73550399999999</v>
      </c>
      <c r="F12">
        <v>1340.6999510000001</v>
      </c>
      <c r="G12">
        <f t="shared" si="1"/>
        <v>-0.21343198998460997</v>
      </c>
      <c r="H12">
        <f t="shared" si="0"/>
        <v>4.5147645569620212E-2</v>
      </c>
      <c r="I12">
        <f t="shared" si="0"/>
        <v>-3.4677403225806432E-2</v>
      </c>
      <c r="J12">
        <f t="shared" si="0"/>
        <v>0.1721726488980839</v>
      </c>
    </row>
    <row r="14" spans="1:10" x14ac:dyDescent="0.25">
      <c r="F14" t="s">
        <v>17</v>
      </c>
      <c r="G14" s="13">
        <f>AVERAGE(G3:G12)</f>
        <v>1.5953773939244131E-3</v>
      </c>
      <c r="H14" s="13">
        <f>AVERAGE(H3:H12)</f>
        <v>4.5169273848126735E-3</v>
      </c>
      <c r="I14" s="13">
        <f>AVERAGE(I3:I12)</f>
        <v>1.9728573342373754E-2</v>
      </c>
      <c r="J14" s="13">
        <f>AVERAGE(J3:J12)</f>
        <v>2.381531513046576E-2</v>
      </c>
    </row>
    <row r="15" spans="1:10" x14ac:dyDescent="0.25">
      <c r="F15" t="s">
        <v>6</v>
      </c>
      <c r="G15">
        <f>VAR(G3:G12)</f>
        <v>1.2949879410227721E-2</v>
      </c>
      <c r="H15">
        <f t="shared" ref="H15:J15" si="2">VAR(H3:H12)</f>
        <v>4.3767525525841133E-3</v>
      </c>
      <c r="I15">
        <f t="shared" si="2"/>
        <v>2.0081011223042212E-2</v>
      </c>
      <c r="J15">
        <f t="shared" si="2"/>
        <v>4.5821873972059397E-3</v>
      </c>
    </row>
    <row r="16" spans="1:10" x14ac:dyDescent="0.25">
      <c r="F16" t="s">
        <v>12</v>
      </c>
      <c r="G16">
        <f>STDEV(G3:G12)</f>
        <v>0.11379753692513613</v>
      </c>
      <c r="H16">
        <f t="shared" ref="H16:J16" si="3">STDEV(H3:H12)</f>
        <v>6.615702950242032E-2</v>
      </c>
      <c r="I16">
        <f t="shared" si="3"/>
        <v>0.14170748471073152</v>
      </c>
      <c r="J16">
        <f t="shared" si="3"/>
        <v>6.7691856210373935E-2</v>
      </c>
    </row>
    <row r="18" spans="6:11" ht="15.75" thickBot="1" x14ac:dyDescent="0.3">
      <c r="F18" t="s">
        <v>7</v>
      </c>
    </row>
    <row r="19" spans="6:11" x14ac:dyDescent="0.25">
      <c r="G19" s="18"/>
      <c r="H19" t="s">
        <v>1</v>
      </c>
      <c r="I19" t="s">
        <v>2</v>
      </c>
      <c r="J19" t="s">
        <v>3</v>
      </c>
      <c r="K19" t="s">
        <v>4</v>
      </c>
    </row>
    <row r="20" spans="6:11" ht="15.75" thickBot="1" x14ac:dyDescent="0.3">
      <c r="G20" s="2" t="s">
        <v>1</v>
      </c>
      <c r="H20" s="2">
        <f>VARP(Sheet1!$G$3:$G$12)</f>
        <v>1.1654891469204948E-2</v>
      </c>
      <c r="I20" s="2">
        <v>2.7472727438496527E-3</v>
      </c>
      <c r="J20" s="2">
        <v>9.7589301789168074E-3</v>
      </c>
      <c r="K20" s="17">
        <v>-1.4097058845569392E-3</v>
      </c>
    </row>
    <row r="21" spans="6:11" ht="15.75" thickBot="1" x14ac:dyDescent="0.3">
      <c r="G21" s="2" t="s">
        <v>2</v>
      </c>
      <c r="H21" s="2">
        <v>2.7472727438496527E-3</v>
      </c>
      <c r="I21" s="2">
        <f>VARP(Sheet1!$H$3:$H$12)</f>
        <v>3.9390772973257014E-3</v>
      </c>
      <c r="J21" s="2">
        <v>4.13515928366915E-3</v>
      </c>
      <c r="K21" s="17">
        <v>2.1299933470435494E-3</v>
      </c>
    </row>
    <row r="22" spans="6:11" ht="15.75" thickBot="1" x14ac:dyDescent="0.3">
      <c r="G22" s="2" t="s">
        <v>3</v>
      </c>
      <c r="H22" s="2">
        <v>9.7589301789168074E-3</v>
      </c>
      <c r="I22" s="2">
        <v>4.13515928366915E-3</v>
      </c>
      <c r="J22" s="2">
        <f>VARP(Sheet1!$I$3:$I$12)</f>
        <v>1.8072910100737992E-2</v>
      </c>
      <c r="K22" s="17">
        <v>2.1041002894499291E-3</v>
      </c>
    </row>
    <row r="23" spans="6:11" ht="15.75" thickBot="1" x14ac:dyDescent="0.3">
      <c r="G23" s="17" t="s">
        <v>4</v>
      </c>
      <c r="H23" s="17">
        <v>-1.4097058845569392E-3</v>
      </c>
      <c r="I23" s="17">
        <v>2.1299933470435494E-3</v>
      </c>
      <c r="J23" s="17">
        <v>2.1041002894499291E-3</v>
      </c>
      <c r="K23" s="17">
        <f>VARP(Sheet1!$J$3:$J$12)</f>
        <v>4.1239686574853461E-3</v>
      </c>
    </row>
    <row r="26" spans="6:11" ht="15.75" thickBot="1" x14ac:dyDescent="0.3">
      <c r="G26" t="s">
        <v>18</v>
      </c>
    </row>
    <row r="27" spans="6:11" x14ac:dyDescent="0.25">
      <c r="G27" s="18"/>
      <c r="H27" t="s">
        <v>1</v>
      </c>
      <c r="I27" t="s">
        <v>2</v>
      </c>
      <c r="J27" t="s">
        <v>3</v>
      </c>
      <c r="K27" t="s">
        <v>4</v>
      </c>
    </row>
    <row r="28" spans="6:11" ht="15.75" thickBot="1" x14ac:dyDescent="0.3">
      <c r="G28" s="2" t="s">
        <v>1</v>
      </c>
      <c r="H28" s="2">
        <v>1</v>
      </c>
      <c r="I28" s="2">
        <v>0.40546223412405991</v>
      </c>
      <c r="J28" s="2">
        <v>0.67240982383371795</v>
      </c>
      <c r="K28" s="17">
        <v>-0.2033371432879709</v>
      </c>
    </row>
    <row r="29" spans="6:11" ht="15.75" thickBot="1" x14ac:dyDescent="0.3">
      <c r="G29" s="2" t="s">
        <v>2</v>
      </c>
      <c r="H29" s="2">
        <v>0.40546223412405991</v>
      </c>
      <c r="I29" s="2">
        <v>1</v>
      </c>
      <c r="J29" s="2">
        <v>0.49009576219231804</v>
      </c>
      <c r="K29" s="17">
        <v>0.52847362491004224</v>
      </c>
    </row>
    <row r="30" spans="6:11" ht="15.75" thickBot="1" x14ac:dyDescent="0.3">
      <c r="G30" s="2" t="s">
        <v>3</v>
      </c>
      <c r="H30" s="2">
        <v>0.67240982383371795</v>
      </c>
      <c r="I30" s="2">
        <v>0.49009576219231804</v>
      </c>
      <c r="J30" s="2">
        <v>1</v>
      </c>
      <c r="K30" s="17">
        <v>0.24372198914722326</v>
      </c>
    </row>
    <row r="31" spans="6:11" ht="15.75" thickBot="1" x14ac:dyDescent="0.3">
      <c r="G31" s="17" t="s">
        <v>4</v>
      </c>
      <c r="H31" s="17">
        <v>-0.2033371432879709</v>
      </c>
      <c r="I31" s="17">
        <v>0.52847362491004224</v>
      </c>
      <c r="J31" s="17">
        <v>0.24372198914722326</v>
      </c>
      <c r="K31" s="17">
        <v>1</v>
      </c>
    </row>
    <row r="33" spans="6:13" x14ac:dyDescent="0.25">
      <c r="F33" s="22" t="s">
        <v>19</v>
      </c>
      <c r="H33" t="s">
        <v>23</v>
      </c>
      <c r="K33" t="s">
        <v>26</v>
      </c>
      <c r="M33" s="5">
        <v>0.04</v>
      </c>
    </row>
    <row r="34" spans="6:13" x14ac:dyDescent="0.25">
      <c r="F34" s="2" t="s">
        <v>1</v>
      </c>
      <c r="G34" s="2">
        <v>0.25</v>
      </c>
      <c r="H34" s="13">
        <v>1.5953773939244131E-3</v>
      </c>
      <c r="I34" s="13">
        <f>H34*12</f>
        <v>1.9144528727092956E-2</v>
      </c>
      <c r="K34" t="s">
        <v>27</v>
      </c>
      <c r="M34">
        <v>70</v>
      </c>
    </row>
    <row r="35" spans="6:13" x14ac:dyDescent="0.25">
      <c r="F35" s="2" t="s">
        <v>2</v>
      </c>
      <c r="G35" s="2">
        <v>0.25</v>
      </c>
      <c r="H35" s="13">
        <v>4.5169273848126735E-3</v>
      </c>
      <c r="I35" s="13">
        <f>H35*12</f>
        <v>5.4203128617752082E-2</v>
      </c>
    </row>
    <row r="36" spans="6:13" x14ac:dyDescent="0.25">
      <c r="F36" s="2" t="s">
        <v>3</v>
      </c>
      <c r="G36" s="2">
        <v>0.25</v>
      </c>
      <c r="H36" s="13">
        <v>1.9728573342373754E-2</v>
      </c>
      <c r="I36" s="13">
        <f>H36*12</f>
        <v>0.23674288010848504</v>
      </c>
    </row>
    <row r="37" spans="6:13" ht="15.75" thickBot="1" x14ac:dyDescent="0.3">
      <c r="F37" s="17" t="s">
        <v>4</v>
      </c>
      <c r="G37" s="2">
        <v>0.25</v>
      </c>
      <c r="H37" s="13">
        <v>2.381531513046576E-2</v>
      </c>
      <c r="I37" s="13">
        <f>H37*12</f>
        <v>0.28578378156558915</v>
      </c>
    </row>
    <row r="38" spans="6:13" x14ac:dyDescent="0.25">
      <c r="F38" s="2" t="s">
        <v>20</v>
      </c>
      <c r="G38">
        <f>1</f>
        <v>1</v>
      </c>
    </row>
    <row r="40" spans="6:13" x14ac:dyDescent="0.25">
      <c r="F40" t="s">
        <v>21</v>
      </c>
      <c r="G40" s="19">
        <f t="array" ref="G40">MMULT(TRANSPOSE(G34:G37),I34:I37)</f>
        <v>0.14896857975472982</v>
      </c>
    </row>
    <row r="41" spans="6:13" x14ac:dyDescent="0.25">
      <c r="F41" t="s">
        <v>22</v>
      </c>
      <c r="G41" s="13">
        <f t="array" ref="G41">SQRT(MMULT(MMULT(TRANSPOSE(G34:G37),H20:K23),G34:G37))</f>
        <v>6.9246997877840472E-2</v>
      </c>
    </row>
    <row r="44" spans="6:13" x14ac:dyDescent="0.25">
      <c r="F44" s="22" t="s">
        <v>24</v>
      </c>
    </row>
    <row r="45" spans="6:13" x14ac:dyDescent="0.25">
      <c r="F45" t="s">
        <v>19</v>
      </c>
    </row>
    <row r="46" spans="6:13" x14ac:dyDescent="0.25">
      <c r="F46" s="2" t="s">
        <v>1</v>
      </c>
      <c r="G46" s="20">
        <v>6.177301514314637E-2</v>
      </c>
    </row>
    <row r="47" spans="6:13" x14ac:dyDescent="0.25">
      <c r="F47" s="2" t="s">
        <v>2</v>
      </c>
      <c r="G47" s="20">
        <v>0</v>
      </c>
    </row>
    <row r="48" spans="6:13" x14ac:dyDescent="0.25">
      <c r="F48" s="2" t="s">
        <v>3</v>
      </c>
      <c r="G48" s="20">
        <v>2.5619173671703251E-2</v>
      </c>
    </row>
    <row r="49" spans="6:7" ht="15.75" thickBot="1" x14ac:dyDescent="0.3">
      <c r="F49" s="17" t="s">
        <v>4</v>
      </c>
      <c r="G49" s="20">
        <v>0.91260781118515044</v>
      </c>
    </row>
    <row r="50" spans="6:7" x14ac:dyDescent="0.25">
      <c r="F50" s="2" t="s">
        <v>20</v>
      </c>
      <c r="G50">
        <f>SUM(G46:G49)</f>
        <v>1</v>
      </c>
    </row>
    <row r="52" spans="6:7" x14ac:dyDescent="0.25">
      <c r="F52" t="s">
        <v>21</v>
      </c>
      <c r="G52" s="19">
        <f t="array" ref="G52">MMULT(TRANSPOSE(G46:G49),I34:I37)</f>
        <v>0.26805628359079309</v>
      </c>
    </row>
    <row r="53" spans="6:7" x14ac:dyDescent="0.25">
      <c r="F53" t="s">
        <v>22</v>
      </c>
      <c r="G53" s="13">
        <f t="array" ref="G53">SQRT(MMULT(MMULT(TRANSPOSE(G46:G49),H20:K23),G46:G49))</f>
        <v>5.8833068491192506E-2</v>
      </c>
    </row>
    <row r="54" spans="6:7" x14ac:dyDescent="0.25">
      <c r="F54" t="s">
        <v>25</v>
      </c>
      <c r="G54">
        <f>(G52-M33)/G53</f>
        <v>3.8763282187964379</v>
      </c>
    </row>
    <row r="56" spans="6:7" x14ac:dyDescent="0.25">
      <c r="F56" t="s">
        <v>31</v>
      </c>
      <c r="G56">
        <f>(G52-M33)/(M34*(G53^2))</f>
        <v>0.94124136019979421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9"/>
  <sheetViews>
    <sheetView workbookViewId="0">
      <selection activeCell="I17" sqref="I17:K19"/>
    </sheetView>
  </sheetViews>
  <sheetFormatPr defaultRowHeight="15" x14ac:dyDescent="0.25"/>
  <sheetData>
    <row r="3" spans="3:11" x14ac:dyDescent="0.25">
      <c r="C3">
        <v>1</v>
      </c>
      <c r="D3">
        <v>3</v>
      </c>
      <c r="E3">
        <v>5</v>
      </c>
      <c r="F3">
        <v>5</v>
      </c>
      <c r="I3">
        <v>3</v>
      </c>
      <c r="J3">
        <v>5</v>
      </c>
      <c r="K3">
        <v>5</v>
      </c>
    </row>
    <row r="4" spans="3:11" x14ac:dyDescent="0.25">
      <c r="D4">
        <v>3</v>
      </c>
      <c r="E4">
        <v>4</v>
      </c>
      <c r="F4">
        <v>4</v>
      </c>
      <c r="I4">
        <v>3</v>
      </c>
      <c r="J4">
        <v>4</v>
      </c>
      <c r="K4">
        <v>4</v>
      </c>
    </row>
    <row r="5" spans="3:11" x14ac:dyDescent="0.25">
      <c r="D5">
        <v>3</v>
      </c>
      <c r="E5">
        <v>6</v>
      </c>
      <c r="F5">
        <v>7</v>
      </c>
      <c r="I5">
        <v>3</v>
      </c>
      <c r="J5">
        <v>6</v>
      </c>
      <c r="K5">
        <v>7</v>
      </c>
    </row>
    <row r="7" spans="3:11" x14ac:dyDescent="0.25">
      <c r="D7" t="s">
        <v>28</v>
      </c>
      <c r="E7">
        <f t="array" ref="E7:G9">MMULT(D3:F5,I3:K5)</f>
        <v>39</v>
      </c>
      <c r="F7">
        <v>65</v>
      </c>
      <c r="G7">
        <v>70</v>
      </c>
    </row>
    <row r="8" spans="3:11" x14ac:dyDescent="0.25">
      <c r="E8">
        <v>33</v>
      </c>
      <c r="F8">
        <v>55</v>
      </c>
      <c r="G8">
        <v>59</v>
      </c>
    </row>
    <row r="9" spans="3:11" x14ac:dyDescent="0.25">
      <c r="E9">
        <v>48</v>
      </c>
      <c r="F9">
        <v>81</v>
      </c>
      <c r="G9">
        <v>88</v>
      </c>
    </row>
    <row r="12" spans="3:11" x14ac:dyDescent="0.25">
      <c r="D12" t="s">
        <v>29</v>
      </c>
    </row>
    <row r="13" spans="3:11" x14ac:dyDescent="0.25">
      <c r="E13">
        <f t="array" ref="E13:G15">MDETERM(D3:F5)</f>
        <v>-3</v>
      </c>
      <c r="F13">
        <v>-3</v>
      </c>
      <c r="G13">
        <v>-3</v>
      </c>
      <c r="I13">
        <f t="array" ref="I13:K15">MDETERM(D3:F5)</f>
        <v>-3</v>
      </c>
      <c r="J13">
        <v>-3</v>
      </c>
      <c r="K13">
        <v>-3</v>
      </c>
    </row>
    <row r="14" spans="3:11" x14ac:dyDescent="0.25">
      <c r="E14">
        <v>-3</v>
      </c>
      <c r="F14">
        <v>-3</v>
      </c>
      <c r="G14">
        <v>-3</v>
      </c>
      <c r="I14">
        <v>-3</v>
      </c>
      <c r="J14">
        <v>-3</v>
      </c>
      <c r="K14">
        <v>-3</v>
      </c>
    </row>
    <row r="15" spans="3:11" x14ac:dyDescent="0.25">
      <c r="E15">
        <v>-3</v>
      </c>
      <c r="F15">
        <v>-3</v>
      </c>
      <c r="G15">
        <v>-3</v>
      </c>
      <c r="I15">
        <v>-3</v>
      </c>
      <c r="J15">
        <v>-3</v>
      </c>
      <c r="K15">
        <v>-3</v>
      </c>
    </row>
    <row r="17" spans="4:11" x14ac:dyDescent="0.25">
      <c r="D17" t="s">
        <v>30</v>
      </c>
      <c r="E17">
        <f t="array" ref="E17:G19">MINVERSE(D3:F5)</f>
        <v>-1.3333333333333333</v>
      </c>
      <c r="F17">
        <v>1.6666666666666667</v>
      </c>
      <c r="G17">
        <v>0</v>
      </c>
      <c r="I17">
        <f t="array" ref="I17:K19">MINVERSE(D3:F5)</f>
        <v>-1.3333333333333333</v>
      </c>
      <c r="J17">
        <v>1.6666666666666667</v>
      </c>
      <c r="K17">
        <v>0</v>
      </c>
    </row>
    <row r="18" spans="4:11" x14ac:dyDescent="0.25">
      <c r="E18">
        <v>3</v>
      </c>
      <c r="F18">
        <v>-2</v>
      </c>
      <c r="G18">
        <v>-1</v>
      </c>
      <c r="I18">
        <v>3</v>
      </c>
      <c r="J18">
        <v>-2</v>
      </c>
      <c r="K18">
        <v>-1</v>
      </c>
    </row>
    <row r="19" spans="4:11" x14ac:dyDescent="0.25">
      <c r="E19">
        <v>-2</v>
      </c>
      <c r="F19">
        <v>1</v>
      </c>
      <c r="G19">
        <v>1</v>
      </c>
      <c r="I19">
        <v>-2</v>
      </c>
      <c r="J19">
        <v>1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BHEL.NS (1)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Ahmad</dc:creator>
  <cp:lastModifiedBy>hp-pc</cp:lastModifiedBy>
  <dcterms:created xsi:type="dcterms:W3CDTF">2017-06-20T19:41:10Z</dcterms:created>
  <dcterms:modified xsi:type="dcterms:W3CDTF">2017-06-21T14:54:57Z</dcterms:modified>
</cp:coreProperties>
</file>