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88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<sst xmlns="http://schemas.openxmlformats.org/spreadsheetml/2006/main" count="37">
  <si>
    <t>case 1</t>
  </si>
  <si>
    <t>v = 37 V</t>
  </si>
  <si>
    <t>I = .84 A</t>
  </si>
  <si>
    <t>p =31.08W</t>
  </si>
  <si>
    <t>greater than 10^9</t>
  </si>
  <si>
    <t>S No.</t>
  </si>
  <si>
    <t>T1</t>
  </si>
  <si>
    <t>T2</t>
  </si>
  <si>
    <t>T3</t>
  </si>
  <si>
    <t>T4</t>
  </si>
  <si>
    <t>T5</t>
  </si>
  <si>
    <t>T6</t>
  </si>
  <si>
    <t>T7</t>
  </si>
  <si>
    <t>T8</t>
  </si>
  <si>
    <t>TIME(min)</t>
  </si>
  <si>
    <t>Tav</t>
  </si>
  <si>
    <t>hav  exp</t>
  </si>
  <si>
    <t>grashoff no</t>
  </si>
  <si>
    <t>prandtl no</t>
  </si>
  <si>
    <t>gr.pr</t>
  </si>
  <si>
    <t>h theo</t>
  </si>
  <si>
    <t>error   %</t>
  </si>
  <si>
    <t>case 2</t>
  </si>
  <si>
    <t>v =43 V</t>
  </si>
  <si>
    <t>I = 0.97A</t>
  </si>
  <si>
    <t>p = 41.71W</t>
  </si>
  <si>
    <t>case 3</t>
  </si>
  <si>
    <t>v = 50 V</t>
  </si>
  <si>
    <t>I = 1.11 A</t>
  </si>
  <si>
    <t>p =55.5 W</t>
  </si>
  <si>
    <t>lengths</t>
  </si>
  <si>
    <t>area</t>
  </si>
  <si>
    <t>h1</t>
  </si>
  <si>
    <t>h2</t>
  </si>
  <si>
    <t>h3</t>
  </si>
  <si>
    <t>total area</t>
  </si>
  <si>
    <t>power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</si>
</sst>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1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0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2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"case1 h"</c:f>
              <c:strCache>
                <c:ptCount val="1"/>
                <c:pt idx="0">
                  <c:v>case1 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Sheet1!$E$23:$E$28</c:f>
              <c:numCache>
                <c:formatCode>General</c:formatCode>
                <c:ptCount val="6"/>
                <c:pt idx="0">
                  <c:v>473.352691990058</c:v>
                </c:pt>
                <c:pt idx="1">
                  <c:v>216.95331716211</c:v>
                </c:pt>
                <c:pt idx="2">
                  <c:v>68.5115738406663</c:v>
                </c:pt>
                <c:pt idx="3">
                  <c:v>51.0478393322612</c:v>
                </c:pt>
                <c:pt idx="4">
                  <c:v>43.390663432422</c:v>
                </c:pt>
                <c:pt idx="5">
                  <c:v>48.3012951010263</c:v>
                </c:pt>
              </c:numCache>
            </c:numRef>
          </c:xVal>
          <c:yVal>
            <c:numRef>
              <c:f>Sheet1!$C$23:$C$28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83053"/>
        <c:axId val="39300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"case2 h"</c15:sqref>
                        </c15:formulaRef>
                      </c:ext>
                    </c:extLst>
                    <c:strCache>
                      <c:ptCount val="1"/>
                      <c:pt idx="0">
                        <c:v>case2 h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2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"/>
                      <c:pt idx="0">
                        <c:v>465.849310621962</c:v>
                      </c:pt>
                      <c:pt idx="1">
                        <c:v>205.52175468616</c:v>
                      </c:pt>
                      <c:pt idx="2">
                        <c:v>64.7012931419391</c:v>
                      </c:pt>
                      <c:pt idx="3">
                        <c:v>50.6357946328219</c:v>
                      </c:pt>
                      <c:pt idx="4">
                        <c:v>41.5936884483894</c:v>
                      </c:pt>
                      <c:pt idx="5">
                        <c:v>44.564666194703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49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"case 3 h"</c15:sqref>
                        </c15:formulaRef>
                      </c:ext>
                    </c:extLst>
                    <c:strCache>
                      <c:ptCount val="1"/>
                      <c:pt idx="0">
                        <c:v>case 3 h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3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3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"/>
                      <c:pt idx="0">
                        <c:v>442.761871759408</c:v>
                      </c:pt>
                      <c:pt idx="1">
                        <c:v>202.130419716252</c:v>
                      </c:pt>
                      <c:pt idx="2">
                        <c:v>70.4393886889967</c:v>
                      </c:pt>
                      <c:pt idx="3">
                        <c:v>49.9892435857396</c:v>
                      </c:pt>
                      <c:pt idx="4">
                        <c:v>43.0462930877202</c:v>
                      </c:pt>
                      <c:pt idx="5">
                        <c:v>45.1797828325927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49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365830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00183"/>
        <c:crosses val="autoZero"/>
        <c:crossBetween val="midCat"/>
      </c:valAx>
      <c:valAx>
        <c:axId val="3930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5830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"case2 h"</c:f>
              <c:strCache>
                <c:ptCount val="1"/>
                <c:pt idx="0">
                  <c:v>case2 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{465.849310621962,205.52175468616,64.7012931419391,50.6357946328219,41.5936884483894,44.564666194703}</c:f>
              <c:numCache>
                <c:formatCode>General</c:formatCode>
                <c:ptCount val="6"/>
                <c:pt idx="0">
                  <c:v>465.849310621962</c:v>
                </c:pt>
                <c:pt idx="1">
                  <c:v>205.52175468616</c:v>
                </c:pt>
                <c:pt idx="2">
                  <c:v>64.7012931419391</c:v>
                </c:pt>
                <c:pt idx="3">
                  <c:v>50.6357946328219</c:v>
                </c:pt>
                <c:pt idx="4">
                  <c:v>41.5936884483894</c:v>
                </c:pt>
                <c:pt idx="5">
                  <c:v>44.564666194703</c:v>
                </c:pt>
              </c:numCache>
            </c:numRef>
          </c:xVal>
          <c:yVal>
            <c:numRef>
              <c:f>{5,10,20,30,40,49}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83053"/>
        <c:axId val="393001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"case1 h"</c15:sqref>
                        </c15:formulaRef>
                      </c:ext>
                    </c:extLst>
                    <c:strCache>
                      <c:ptCount val="1"/>
                      <c:pt idx="0">
                        <c:v>case1 h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1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"/>
                      <c:pt idx="0">
                        <c:v>473.352691990058</c:v>
                      </c:pt>
                      <c:pt idx="1">
                        <c:v>216.95331716211</c:v>
                      </c:pt>
                      <c:pt idx="2">
                        <c:v>68.5115738406663</c:v>
                      </c:pt>
                      <c:pt idx="3">
                        <c:v>51.0478393322612</c:v>
                      </c:pt>
                      <c:pt idx="4">
                        <c:v>43.390663432422</c:v>
                      </c:pt>
                      <c:pt idx="5">
                        <c:v>48.3012951010263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49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"case 3 h"</c15:sqref>
                        </c15:formulaRef>
                      </c:ext>
                    </c:extLst>
                    <c:strCache>
                      <c:ptCount val="1"/>
                      <c:pt idx="0">
                        <c:v>case 3 h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3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3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"/>
                      <c:pt idx="0">
                        <c:v>442.761871759408</c:v>
                      </c:pt>
                      <c:pt idx="1">
                        <c:v>202.130419716252</c:v>
                      </c:pt>
                      <c:pt idx="2">
                        <c:v>70.4393886889967</c:v>
                      </c:pt>
                      <c:pt idx="3">
                        <c:v>49.9892435857396</c:v>
                      </c:pt>
                      <c:pt idx="4">
                        <c:v>43.0462930877202</c:v>
                      </c:pt>
                      <c:pt idx="5">
                        <c:v>45.1797828325927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49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365830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00183"/>
        <c:crosses val="autoZero"/>
        <c:crossBetween val="midCat"/>
      </c:valAx>
      <c:valAx>
        <c:axId val="3930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5830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"case 3 h"</c:f>
              <c:strCache>
                <c:ptCount val="1"/>
                <c:pt idx="0">
                  <c:v>case 3 h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{442.761871759408,202.130419716252,70.4393886889967,49.9892435857396,43.0462930877202,45.1797828325927}</c:f>
              <c:numCache>
                <c:formatCode>General</c:formatCode>
                <c:ptCount val="6"/>
                <c:pt idx="0">
                  <c:v>442.761871759408</c:v>
                </c:pt>
                <c:pt idx="1">
                  <c:v>202.130419716252</c:v>
                </c:pt>
                <c:pt idx="2">
                  <c:v>70.4393886889967</c:v>
                </c:pt>
                <c:pt idx="3">
                  <c:v>49.9892435857396</c:v>
                </c:pt>
                <c:pt idx="4">
                  <c:v>43.0462930877202</c:v>
                </c:pt>
                <c:pt idx="5">
                  <c:v>45.1797828325927</c:v>
                </c:pt>
              </c:numCache>
            </c:numRef>
          </c:xVal>
          <c:yVal>
            <c:numRef>
              <c:f>{5,10,20,30,40,49}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83053"/>
        <c:axId val="393001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"case1 h"</c15:sqref>
                        </c15:formulaRef>
                      </c:ext>
                    </c:extLst>
                    <c:strCache>
                      <c:ptCount val="1"/>
                      <c:pt idx="0">
                        <c:v>case1 h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1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"/>
                      <c:pt idx="0">
                        <c:v>473.352691990058</c:v>
                      </c:pt>
                      <c:pt idx="1">
                        <c:v>216.95331716211</c:v>
                      </c:pt>
                      <c:pt idx="2">
                        <c:v>68.5115738406663</c:v>
                      </c:pt>
                      <c:pt idx="3">
                        <c:v>51.0478393322612</c:v>
                      </c:pt>
                      <c:pt idx="4">
                        <c:v>43.390663432422</c:v>
                      </c:pt>
                      <c:pt idx="5">
                        <c:v>48.3012951010263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49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"case2 h"</c15:sqref>
                        </c15:formulaRef>
                      </c:ext>
                    </c:extLst>
                    <c:strCache>
                      <c:ptCount val="1"/>
                      <c:pt idx="0">
                        <c:v>case2 h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2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"/>
                      <c:pt idx="0">
                        <c:v>465.849310621962</c:v>
                      </c:pt>
                      <c:pt idx="1">
                        <c:v>205.52175468616</c:v>
                      </c:pt>
                      <c:pt idx="2">
                        <c:v>64.7012931419391</c:v>
                      </c:pt>
                      <c:pt idx="3">
                        <c:v>50.6357946328219</c:v>
                      </c:pt>
                      <c:pt idx="4">
                        <c:v>41.5936884483894</c:v>
                      </c:pt>
                      <c:pt idx="5">
                        <c:v>44.564666194703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49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365830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00183"/>
        <c:crosses val="autoZero"/>
        <c:crossBetween val="midCat"/>
      </c:valAx>
      <c:valAx>
        <c:axId val="3930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5830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8890</xdr:colOff>
      <xdr:row>27</xdr:row>
      <xdr:rowOff>41275</xdr:rowOff>
    </xdr:from>
    <xdr:to>
      <xdr:col>23</xdr:col>
      <xdr:colOff>144145</xdr:colOff>
      <xdr:row>48</xdr:row>
      <xdr:rowOff>154940</xdr:rowOff>
    </xdr:to>
    <xdr:graphicFrame>
      <xdr:nvGraphicFramePr>
        <xdr:cNvPr id="4" name="Chart 3"/>
        <xdr:cNvGraphicFramePr/>
      </xdr:nvGraphicFramePr>
      <xdr:xfrm>
        <a:off x="6813550" y="4979035"/>
        <a:ext cx="9500235" cy="3954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464820</xdr:colOff>
      <xdr:row>47</xdr:row>
      <xdr:rowOff>144780</xdr:rowOff>
    </xdr:from>
    <xdr:to>
      <xdr:col>13</xdr:col>
      <xdr:colOff>61595</xdr:colOff>
      <xdr:row>48</xdr:row>
      <xdr:rowOff>171450</xdr:rowOff>
    </xdr:to>
    <xdr:sp>
      <xdr:nvSpPr>
        <xdr:cNvPr id="5" name="Text Box 4"/>
        <xdr:cNvSpPr txBox="1"/>
      </xdr:nvSpPr>
      <xdr:spPr>
        <a:xfrm>
          <a:off x="7886700" y="8740140"/>
          <a:ext cx="109791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/>
            <a:t>h (W/m2K)</a:t>
          </a:r>
          <a:endParaRPr lang="en-US" sz="1100"/>
        </a:p>
      </xdr:txBody>
    </xdr:sp>
    <xdr:clientData/>
  </xdr:twoCellAnchor>
  <xdr:twoCellAnchor>
    <xdr:from>
      <xdr:col>6</xdr:col>
      <xdr:colOff>577850</xdr:colOff>
      <xdr:row>25</xdr:row>
      <xdr:rowOff>130175</xdr:rowOff>
    </xdr:from>
    <xdr:to>
      <xdr:col>19</xdr:col>
      <xdr:colOff>446405</xdr:colOff>
      <xdr:row>47</xdr:row>
      <xdr:rowOff>60960</xdr:rowOff>
    </xdr:to>
    <xdr:graphicFrame>
      <xdr:nvGraphicFramePr>
        <xdr:cNvPr id="2" name="Chart 1"/>
        <xdr:cNvGraphicFramePr/>
      </xdr:nvGraphicFramePr>
      <xdr:xfrm>
        <a:off x="4646930" y="4702175"/>
        <a:ext cx="9500235" cy="3954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613410</xdr:colOff>
      <xdr:row>38</xdr:row>
      <xdr:rowOff>127635</xdr:rowOff>
    </xdr:from>
    <xdr:to>
      <xdr:col>19</xdr:col>
      <xdr:colOff>481965</xdr:colOff>
      <xdr:row>60</xdr:row>
      <xdr:rowOff>58420</xdr:rowOff>
    </xdr:to>
    <xdr:graphicFrame>
      <xdr:nvGraphicFramePr>
        <xdr:cNvPr id="3" name="Chart 2"/>
        <xdr:cNvGraphicFramePr/>
      </xdr:nvGraphicFramePr>
      <xdr:xfrm>
        <a:off x="4682490" y="7077075"/>
        <a:ext cx="9500235" cy="3954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8.01006395558487e-18</cdr:x>
      <cdr:y>0.515657620041754</cdr:y>
    </cdr:from>
    <cdr:to>
      <cdr:x>0.0946945677446629</cdr:x>
      <cdr:y>0.579251646057491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 rot="5400000">
          <a:off x="0" y="2038985"/>
          <a:ext cx="853440" cy="2514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/>
            <a:t>length (cm)</a:t>
          </a:r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8.01006395558487e-18</cdr:x>
      <cdr:y>0.515657620041754</cdr:y>
    </cdr:from>
    <cdr:to>
      <cdr:x>0.0946945677446629</cdr:x>
      <cdr:y>0.579251646057491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 rot="5400000">
          <a:off x="0" y="2038985"/>
          <a:ext cx="853440" cy="2514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length (cm)</a:t>
          </a: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8.01006395558487e-18</cdr:x>
      <cdr:y>0.515657620041754</cdr:y>
    </cdr:from>
    <cdr:to>
      <cdr:x>0.0946945677446629</cdr:x>
      <cdr:y>0.579251646057491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 rot="5400000">
          <a:off x="0" y="2038985"/>
          <a:ext cx="853440" cy="2514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length (cm)</a:t>
          </a: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28"/>
  <sheetViews>
    <sheetView tabSelected="1" workbookViewId="0">
      <selection activeCell="M7" sqref="M7"/>
    </sheetView>
  </sheetViews>
  <sheetFormatPr defaultColWidth="9" defaultRowHeight="14.4"/>
  <cols>
    <col min="4" max="4" width="12.8888888888889"/>
    <col min="6" max="6" width="10.4444444444444" customWidth="1"/>
    <col min="9" max="9" width="11.4444444444444" customWidth="1"/>
    <col min="10" max="10" width="10.4444444444444" customWidth="1"/>
    <col min="13" max="13" width="12.8888888888889"/>
    <col min="14" max="14" width="11" customWidth="1"/>
    <col min="15" max="15" width="10.2222222222222" customWidth="1"/>
    <col min="16" max="16" width="10.8888888888889" customWidth="1"/>
    <col min="17" max="17" width="12.8888888888889"/>
    <col min="18" max="18" width="15.6666666666667" customWidth="1"/>
  </cols>
  <sheetData>
    <row r="2" spans="3:17">
      <c r="C2" s="1" t="s">
        <v>0</v>
      </c>
      <c r="D2" t="s">
        <v>1</v>
      </c>
      <c r="E2" t="s">
        <v>2</v>
      </c>
      <c r="F2" t="s">
        <v>3</v>
      </c>
      <c r="Q2" t="s">
        <v>4</v>
      </c>
    </row>
    <row r="3" spans="2:18">
      <c r="B3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5" t="s">
        <v>21</v>
      </c>
    </row>
    <row r="4" spans="2:18">
      <c r="B4" s="2">
        <v>1</v>
      </c>
      <c r="C4" s="2">
        <v>27</v>
      </c>
      <c r="D4" s="2">
        <v>35</v>
      </c>
      <c r="E4" s="2">
        <v>36</v>
      </c>
      <c r="F4" s="2">
        <v>43</v>
      </c>
      <c r="G4" s="2">
        <v>40</v>
      </c>
      <c r="H4" s="2">
        <v>39</v>
      </c>
      <c r="I4" s="2">
        <v>35</v>
      </c>
      <c r="J4" s="2">
        <v>25</v>
      </c>
      <c r="K4" s="4">
        <v>0.128472222222222</v>
      </c>
      <c r="L4" s="2">
        <f>AVERAGE(C4:J4)</f>
        <v>35</v>
      </c>
      <c r="M4" s="2">
        <f>$J$25/($I$23*(L4-J4))</f>
        <v>52.0687961189064</v>
      </c>
      <c r="N4">
        <f>9.81*0.5*0.25*1000000*1000000*(L4-J4)/((273+0.5*L4+0.5*J4)*16*16)</f>
        <v>158087097.772277</v>
      </c>
      <c r="O4">
        <f>1.005*0.018/0.026</f>
        <v>0.695769230769231</v>
      </c>
      <c r="P4">
        <f>N4*O4</f>
        <v>109992138.411558</v>
      </c>
      <c r="Q4">
        <f>0.59*0.0269*2*(P4)^0.25</f>
        <v>3.25068358853251</v>
      </c>
      <c r="R4">
        <f>(M4-Q4)*100/Q4</f>
        <v>1501.77989339197</v>
      </c>
    </row>
    <row r="5" spans="2:18">
      <c r="B5" s="2">
        <v>2</v>
      </c>
      <c r="C5" s="2">
        <v>28</v>
      </c>
      <c r="D5" s="2">
        <v>36</v>
      </c>
      <c r="E5" s="2">
        <v>37</v>
      </c>
      <c r="F5" s="2">
        <v>44</v>
      </c>
      <c r="G5" s="2">
        <v>42</v>
      </c>
      <c r="H5" s="2">
        <v>40</v>
      </c>
      <c r="I5" s="2">
        <v>36</v>
      </c>
      <c r="J5" s="2">
        <v>25</v>
      </c>
      <c r="K5" s="4">
        <v>0.135416666666667</v>
      </c>
      <c r="L5" s="2">
        <f t="shared" ref="L5:L6" si="0">AVERAGE(C5:J5)</f>
        <v>36</v>
      </c>
      <c r="M5" s="2">
        <f>$J$25/($I$23*(L5-J5))</f>
        <v>47.3352691990058</v>
      </c>
      <c r="N5">
        <f>9.81*0.5*0.25*10000000*100000*(L5-J5)/((273+0.5*L5+0.5*J5)*16*16)</f>
        <v>173609323.517298</v>
      </c>
      <c r="O5">
        <f t="shared" ref="O5:O14" si="1">1.005*0.018/0.026</f>
        <v>0.695769230769231</v>
      </c>
      <c r="P5">
        <f t="shared" ref="P5:P21" si="2">N5*O5</f>
        <v>120792025.477997</v>
      </c>
      <c r="Q5">
        <f t="shared" ref="Q5:Q21" si="3">0.59*0.0269*2*(P5)^0.25</f>
        <v>3.32769759805374</v>
      </c>
      <c r="R5">
        <f t="shared" ref="R5:R21" si="4">(M5-Q5)*100/Q5</f>
        <v>1322.46306355153</v>
      </c>
    </row>
    <row r="6" spans="2:18">
      <c r="B6" s="2">
        <v>3</v>
      </c>
      <c r="C6" s="2">
        <v>29</v>
      </c>
      <c r="D6" s="2">
        <v>37</v>
      </c>
      <c r="E6" s="2">
        <v>38</v>
      </c>
      <c r="F6" s="2">
        <v>45</v>
      </c>
      <c r="G6" s="2">
        <v>42</v>
      </c>
      <c r="H6" s="2">
        <v>41</v>
      </c>
      <c r="I6" s="2">
        <v>37</v>
      </c>
      <c r="J6" s="2">
        <v>25</v>
      </c>
      <c r="K6" s="4">
        <v>0.142361111111111</v>
      </c>
      <c r="L6" s="2">
        <f t="shared" si="0"/>
        <v>36.75</v>
      </c>
      <c r="M6" s="2">
        <f>$J$25/($I$23*(L6-J6))</f>
        <v>44.3138690373671</v>
      </c>
      <c r="N6">
        <f>9.81*0.5*0.25*10000000*100000*(L6-J6)/((273+0.5*L6+0.5*J6)*16*16)</f>
        <v>185217470.948169</v>
      </c>
      <c r="O6">
        <f t="shared" si="1"/>
        <v>0.695769230769231</v>
      </c>
      <c r="P6">
        <f t="shared" si="2"/>
        <v>128868617.28663</v>
      </c>
      <c r="Q6">
        <f t="shared" si="3"/>
        <v>3.38198034657311</v>
      </c>
      <c r="R6">
        <f t="shared" si="4"/>
        <v>1210.29351138215</v>
      </c>
    </row>
    <row r="8" spans="2:13">
      <c r="B8" s="2"/>
      <c r="C8" s="3" t="s">
        <v>22</v>
      </c>
      <c r="D8" s="2" t="s">
        <v>23</v>
      </c>
      <c r="E8" s="2" t="s">
        <v>24</v>
      </c>
      <c r="F8" s="2" t="s">
        <v>25</v>
      </c>
      <c r="G8" s="2"/>
      <c r="H8" s="2"/>
      <c r="I8" s="2"/>
      <c r="J8" s="2"/>
      <c r="K8" s="2"/>
      <c r="L8" s="2"/>
      <c r="M8" s="2"/>
    </row>
    <row r="9" spans="2:18">
      <c r="B9" s="2">
        <v>1</v>
      </c>
      <c r="C9" s="2">
        <v>29</v>
      </c>
      <c r="D9" s="2">
        <v>37</v>
      </c>
      <c r="E9" s="2">
        <v>38</v>
      </c>
      <c r="F9" s="2">
        <v>46</v>
      </c>
      <c r="G9" s="2">
        <v>43</v>
      </c>
      <c r="H9" s="2">
        <v>41</v>
      </c>
      <c r="I9" s="2">
        <v>38</v>
      </c>
      <c r="J9" s="2">
        <v>25</v>
      </c>
      <c r="K9" s="4">
        <v>0</v>
      </c>
      <c r="L9" s="2">
        <f t="shared" ref="L9:L14" si="5">AVERAGE(C9:J9)</f>
        <v>37.125</v>
      </c>
      <c r="M9" s="2">
        <f t="shared" ref="M9:M14" si="6">$K$25/($I$23*(L9-J9))</f>
        <v>57.6308425511705</v>
      </c>
      <c r="N9">
        <f t="shared" ref="N9:N14" si="7">9.81*0.5*0.25*10000000*100000*(L9-J9)/((273+0.5*L9+0.5*J9)*16*16)</f>
        <v>191010807.425488</v>
      </c>
      <c r="O9">
        <f t="shared" si="1"/>
        <v>0.695769230769231</v>
      </c>
      <c r="P9">
        <f t="shared" si="2"/>
        <v>132899442.551042</v>
      </c>
      <c r="Q9">
        <f t="shared" si="3"/>
        <v>3.40812156358549</v>
      </c>
      <c r="R9">
        <f t="shared" si="4"/>
        <v>1590.98553194037</v>
      </c>
    </row>
    <row r="10" spans="2:18">
      <c r="B10" s="2">
        <v>2</v>
      </c>
      <c r="C10" s="2">
        <v>29</v>
      </c>
      <c r="D10" s="2">
        <v>39</v>
      </c>
      <c r="E10" s="2">
        <v>40</v>
      </c>
      <c r="F10" s="2">
        <v>49</v>
      </c>
      <c r="G10" s="2">
        <v>45</v>
      </c>
      <c r="H10" s="2">
        <v>43</v>
      </c>
      <c r="I10" s="2">
        <v>39</v>
      </c>
      <c r="J10" s="2">
        <v>26</v>
      </c>
      <c r="K10" s="4">
        <v>0.00694444444444444</v>
      </c>
      <c r="L10" s="2">
        <f t="shared" si="5"/>
        <v>38.75</v>
      </c>
      <c r="M10" s="2">
        <f>$K$25/($I$23*(L10-J10))</f>
        <v>54.8058012496425</v>
      </c>
      <c r="N10">
        <f t="shared" si="7"/>
        <v>199993444.279574</v>
      </c>
      <c r="O10">
        <f t="shared" si="1"/>
        <v>0.695769230769231</v>
      </c>
      <c r="P10">
        <f t="shared" si="2"/>
        <v>139149284.885288</v>
      </c>
      <c r="Q10">
        <f t="shared" si="3"/>
        <v>3.44750204129148</v>
      </c>
      <c r="R10">
        <f t="shared" si="4"/>
        <v>1489.72498328417</v>
      </c>
    </row>
    <row r="11" spans="2:18">
      <c r="B11" s="2">
        <v>3</v>
      </c>
      <c r="C11" s="2">
        <v>30</v>
      </c>
      <c r="D11" s="2">
        <v>40</v>
      </c>
      <c r="E11" s="2">
        <v>41</v>
      </c>
      <c r="F11" s="2">
        <v>51</v>
      </c>
      <c r="G11" s="2">
        <v>47</v>
      </c>
      <c r="H11" s="2">
        <v>45</v>
      </c>
      <c r="I11" s="2">
        <v>42</v>
      </c>
      <c r="J11" s="2">
        <v>26</v>
      </c>
      <c r="K11" s="4">
        <v>0.0138888888888889</v>
      </c>
      <c r="L11" s="2">
        <f t="shared" si="5"/>
        <v>40.25</v>
      </c>
      <c r="M11" s="2">
        <f t="shared" si="6"/>
        <v>49.0367695391539</v>
      </c>
      <c r="N11">
        <f t="shared" si="7"/>
        <v>222974460.238873</v>
      </c>
      <c r="O11">
        <f t="shared" si="1"/>
        <v>0.695769230769231</v>
      </c>
      <c r="P11">
        <f t="shared" si="2"/>
        <v>155138768.681585</v>
      </c>
      <c r="Q11">
        <f t="shared" si="3"/>
        <v>3.5425368158498</v>
      </c>
      <c r="R11">
        <f t="shared" si="4"/>
        <v>1284.22752079122</v>
      </c>
    </row>
    <row r="12" spans="2:18">
      <c r="B12" s="2">
        <v>4</v>
      </c>
      <c r="C12" s="2">
        <v>31</v>
      </c>
      <c r="D12" s="2">
        <v>41</v>
      </c>
      <c r="E12" s="2">
        <v>43</v>
      </c>
      <c r="F12" s="2">
        <v>53</v>
      </c>
      <c r="G12" s="2">
        <v>49</v>
      </c>
      <c r="H12" s="2">
        <v>47</v>
      </c>
      <c r="I12" s="2">
        <v>42</v>
      </c>
      <c r="J12" s="2">
        <v>26</v>
      </c>
      <c r="K12" s="4">
        <v>0.0208333333333333</v>
      </c>
      <c r="L12" s="2">
        <f t="shared" si="5"/>
        <v>41.5</v>
      </c>
      <c r="M12" s="2">
        <f t="shared" si="6"/>
        <v>45.0821913505124</v>
      </c>
      <c r="N12">
        <f t="shared" si="7"/>
        <v>242039463.630807</v>
      </c>
      <c r="O12">
        <f t="shared" si="1"/>
        <v>0.695769230769231</v>
      </c>
      <c r="P12">
        <f t="shared" si="2"/>
        <v>168403611.426204</v>
      </c>
      <c r="Q12">
        <f t="shared" si="3"/>
        <v>3.61594767627958</v>
      </c>
      <c r="R12">
        <f t="shared" si="4"/>
        <v>1146.76005812388</v>
      </c>
    </row>
    <row r="13" spans="2:18">
      <c r="B13" s="2">
        <v>5</v>
      </c>
      <c r="C13" s="2">
        <v>31</v>
      </c>
      <c r="D13" s="2">
        <v>43</v>
      </c>
      <c r="E13" s="2">
        <v>44</v>
      </c>
      <c r="F13" s="2">
        <v>53</v>
      </c>
      <c r="G13" s="2">
        <v>50</v>
      </c>
      <c r="H13" s="2">
        <v>48</v>
      </c>
      <c r="I13" s="2">
        <v>43</v>
      </c>
      <c r="J13" s="2">
        <v>26</v>
      </c>
      <c r="K13" s="4">
        <v>0.0277777777777778</v>
      </c>
      <c r="L13" s="2">
        <f t="shared" si="5"/>
        <v>42.25</v>
      </c>
      <c r="M13" s="2">
        <f t="shared" si="6"/>
        <v>43.0014748266426</v>
      </c>
      <c r="N13">
        <f t="shared" si="7"/>
        <v>253441220.238095</v>
      </c>
      <c r="O13">
        <f t="shared" si="1"/>
        <v>0.695769230769231</v>
      </c>
      <c r="P13">
        <f t="shared" si="2"/>
        <v>176336602.850275</v>
      </c>
      <c r="Q13">
        <f t="shared" si="3"/>
        <v>3.65779957196986</v>
      </c>
      <c r="R13">
        <f t="shared" si="4"/>
        <v>1075.6104723771</v>
      </c>
    </row>
    <row r="14" spans="2:18">
      <c r="B14" s="2">
        <v>6</v>
      </c>
      <c r="C14" s="2">
        <v>32</v>
      </c>
      <c r="D14" s="2">
        <v>43</v>
      </c>
      <c r="E14" s="2">
        <v>45</v>
      </c>
      <c r="F14" s="2">
        <v>54</v>
      </c>
      <c r="G14" s="2">
        <v>51</v>
      </c>
      <c r="H14" s="2">
        <v>48</v>
      </c>
      <c r="I14" s="2">
        <v>44</v>
      </c>
      <c r="J14" s="2">
        <v>26</v>
      </c>
      <c r="K14" s="4">
        <v>0.0347222222222222</v>
      </c>
      <c r="L14" s="2">
        <f t="shared" si="5"/>
        <v>42.875</v>
      </c>
      <c r="M14" s="2">
        <f t="shared" si="6"/>
        <v>41.408827610841</v>
      </c>
      <c r="N14">
        <f t="shared" si="7"/>
        <v>262921436.648709</v>
      </c>
      <c r="O14">
        <f t="shared" si="1"/>
        <v>0.695769230769231</v>
      </c>
      <c r="P14">
        <f t="shared" si="2"/>
        <v>182932645.729813</v>
      </c>
      <c r="Q14">
        <f t="shared" si="3"/>
        <v>3.69153585689471</v>
      </c>
      <c r="R14">
        <f t="shared" si="4"/>
        <v>1021.7235648274</v>
      </c>
    </row>
    <row r="16" spans="2:13">
      <c r="B16" s="2"/>
      <c r="C16" s="3" t="s">
        <v>26</v>
      </c>
      <c r="D16" s="2" t="s">
        <v>27</v>
      </c>
      <c r="E16" s="2" t="s">
        <v>28</v>
      </c>
      <c r="F16" s="2" t="s">
        <v>29</v>
      </c>
      <c r="G16" s="2"/>
      <c r="H16" s="2"/>
      <c r="I16" s="2"/>
      <c r="J16" s="2"/>
      <c r="K16" s="2"/>
      <c r="L16" s="2"/>
      <c r="M16" s="2"/>
    </row>
    <row r="17" spans="2:18">
      <c r="B17" s="2">
        <v>1</v>
      </c>
      <c r="C17" s="2">
        <v>32</v>
      </c>
      <c r="D17" s="2">
        <v>43</v>
      </c>
      <c r="E17" s="2">
        <v>45</v>
      </c>
      <c r="F17" s="2">
        <v>54</v>
      </c>
      <c r="G17" s="2">
        <v>51</v>
      </c>
      <c r="H17" s="2">
        <v>49</v>
      </c>
      <c r="I17" s="2">
        <v>44</v>
      </c>
      <c r="J17" s="2">
        <v>26</v>
      </c>
      <c r="K17" s="4">
        <v>0</v>
      </c>
      <c r="L17" s="2">
        <f>AVERAGE(C17:J17)</f>
        <v>43</v>
      </c>
      <c r="M17" s="2">
        <f>$L$25/($I$23*(L17-J17))</f>
        <v>54.6941135702798</v>
      </c>
      <c r="N17">
        <f>9.81*0.5*0.25*10000000*100000*(L17-J17)/((273+0.5*L17+0.5*J17)*16*16)</f>
        <v>264815167.682927</v>
      </c>
      <c r="O17">
        <f t="shared" ref="O15:O21" si="8">1.005*0.018/0.026</f>
        <v>0.695769230769231</v>
      </c>
      <c r="P17">
        <f t="shared" si="2"/>
        <v>184250245.514775</v>
      </c>
      <c r="Q17">
        <f t="shared" si="3"/>
        <v>3.69816518789012</v>
      </c>
      <c r="R17">
        <f t="shared" si="4"/>
        <v>1378.95269117181</v>
      </c>
    </row>
    <row r="18" spans="2:18">
      <c r="B18" s="2">
        <v>2</v>
      </c>
      <c r="C18" s="2">
        <v>32</v>
      </c>
      <c r="D18" s="2">
        <v>45</v>
      </c>
      <c r="E18" s="2">
        <v>47</v>
      </c>
      <c r="F18" s="2">
        <v>57</v>
      </c>
      <c r="G18" s="2">
        <v>54</v>
      </c>
      <c r="H18" s="2">
        <v>51</v>
      </c>
      <c r="I18" s="2">
        <v>45</v>
      </c>
      <c r="J18" s="2">
        <v>26</v>
      </c>
      <c r="K18" s="4">
        <v>0.00694444444444444</v>
      </c>
      <c r="L18" s="2">
        <f>AVERAGE(C18:J18)</f>
        <v>44.625</v>
      </c>
      <c r="M18" s="2">
        <f>$L$25/($I$23*(L18-J18))</f>
        <v>49.9221439299198</v>
      </c>
      <c r="N18">
        <f>9.81*0.5*0.25*10000000*100000*(L18-J18)/((273+0.5*L18+0.5*J18)*16^2)</f>
        <v>289363803.086357</v>
      </c>
      <c r="O18">
        <f t="shared" si="8"/>
        <v>0.695769230769231</v>
      </c>
      <c r="P18">
        <f t="shared" si="2"/>
        <v>201330430.685854</v>
      </c>
      <c r="Q18">
        <f t="shared" si="3"/>
        <v>3.7810432310494</v>
      </c>
      <c r="R18">
        <f t="shared" si="4"/>
        <v>1220.32724513611</v>
      </c>
    </row>
    <row r="19" spans="2:18">
      <c r="B19" s="2">
        <v>3</v>
      </c>
      <c r="C19" s="2">
        <v>32</v>
      </c>
      <c r="D19" s="2">
        <v>46</v>
      </c>
      <c r="E19" s="2">
        <v>48</v>
      </c>
      <c r="F19" s="2">
        <v>58</v>
      </c>
      <c r="G19" s="2">
        <v>55</v>
      </c>
      <c r="H19" s="2">
        <v>52</v>
      </c>
      <c r="I19" s="2">
        <v>46</v>
      </c>
      <c r="J19" s="2">
        <v>26</v>
      </c>
      <c r="K19" s="4">
        <v>0.0138888888888889</v>
      </c>
      <c r="L19" s="2">
        <f>AVERAGE(C19:J19)</f>
        <v>45.375</v>
      </c>
      <c r="M19" s="2">
        <f>$L$25/($I$23*(L19-J19))</f>
        <v>47.98967384231</v>
      </c>
      <c r="N19">
        <f>9.81*0.5*0.25*10000000*100000*(L19-J19)/((273+0.5*L19+0.5*J19)*16*16)</f>
        <v>300650356.220895</v>
      </c>
      <c r="O19">
        <f t="shared" si="8"/>
        <v>0.695769230769231</v>
      </c>
      <c r="P19">
        <f t="shared" si="2"/>
        <v>209183267.078307</v>
      </c>
      <c r="Q19">
        <f t="shared" si="3"/>
        <v>3.81738552790998</v>
      </c>
      <c r="R19">
        <f t="shared" si="4"/>
        <v>1157.1345883575</v>
      </c>
    </row>
    <row r="20" spans="2:18">
      <c r="B20" s="2">
        <v>4</v>
      </c>
      <c r="C20" s="2">
        <v>32</v>
      </c>
      <c r="D20" s="2">
        <v>47</v>
      </c>
      <c r="E20" s="2">
        <v>49</v>
      </c>
      <c r="F20" s="2">
        <v>59</v>
      </c>
      <c r="G20" s="2">
        <v>57</v>
      </c>
      <c r="H20" s="2">
        <v>53</v>
      </c>
      <c r="I20" s="2">
        <v>47</v>
      </c>
      <c r="J20" s="2">
        <v>26</v>
      </c>
      <c r="K20" s="4">
        <v>0.0208333333333333</v>
      </c>
      <c r="L20" s="2">
        <f>AVERAGE(C20:J20)</f>
        <v>46.25</v>
      </c>
      <c r="M20" s="2">
        <f>$L$25/($I$23*(L20-J20))</f>
        <v>45.9160459602349</v>
      </c>
      <c r="N20">
        <f>9.81*0.5*0.25*10000000*100000*(L20-J20)/((273+0.5*L20+0.5*J20)*16*16)</f>
        <v>313783391.882329</v>
      </c>
      <c r="O20">
        <f t="shared" si="8"/>
        <v>0.695769230769231</v>
      </c>
      <c r="P20">
        <f t="shared" si="2"/>
        <v>218320829.198128</v>
      </c>
      <c r="Q20">
        <f t="shared" si="3"/>
        <v>3.8584073866877</v>
      </c>
      <c r="R20">
        <f t="shared" si="4"/>
        <v>1090.02586711436</v>
      </c>
    </row>
    <row r="21" spans="2:18">
      <c r="B21" s="2">
        <v>5</v>
      </c>
      <c r="C21" s="2">
        <v>32</v>
      </c>
      <c r="D21" s="2">
        <v>48</v>
      </c>
      <c r="E21" s="2">
        <v>50</v>
      </c>
      <c r="F21" s="2">
        <v>58</v>
      </c>
      <c r="G21" s="2">
        <v>58</v>
      </c>
      <c r="H21" s="2">
        <v>54</v>
      </c>
      <c r="I21" s="2">
        <v>48</v>
      </c>
      <c r="J21" s="2">
        <v>26</v>
      </c>
      <c r="K21" s="4">
        <v>0.0277777777777778</v>
      </c>
      <c r="L21" s="2">
        <f>AVERAGE(C21:J21)</f>
        <v>46.75</v>
      </c>
      <c r="M21" s="2">
        <f>$L$25/($I$23*(L21-J21))</f>
        <v>44.8096352142052</v>
      </c>
      <c r="N21">
        <f>9.81*0.5*0.25*10000000*100000*(L21-J21)/((273+0.5*L21+0.5*J21)*16*16)</f>
        <v>321271306.818182</v>
      </c>
      <c r="O21">
        <f t="shared" si="8"/>
        <v>0.695769230769231</v>
      </c>
      <c r="P21">
        <f t="shared" si="2"/>
        <v>223530690.013112</v>
      </c>
      <c r="Q21">
        <f t="shared" si="3"/>
        <v>3.88122282717298</v>
      </c>
      <c r="R21">
        <f t="shared" si="4"/>
        <v>1054.5236439528</v>
      </c>
    </row>
    <row r="22" spans="3:9">
      <c r="C22" t="s">
        <v>30</v>
      </c>
      <c r="D22" t="s">
        <v>31</v>
      </c>
      <c r="E22" t="s">
        <v>32</v>
      </c>
      <c r="F22" t="s">
        <v>33</v>
      </c>
      <c r="G22" t="s">
        <v>34</v>
      </c>
      <c r="I22" t="s">
        <v>35</v>
      </c>
    </row>
    <row r="23" spans="3:9">
      <c r="C23">
        <v>5</v>
      </c>
      <c r="D23">
        <f t="shared" ref="D23:D28" si="9">PI()*0.038*C23/100</f>
        <v>0.00596902604182061</v>
      </c>
      <c r="E23">
        <f>$J$25/(D23*(D5-$J$5))</f>
        <v>473.352691990058</v>
      </c>
      <c r="F23">
        <f>$K$25/(D23*(D12-$J$12))</f>
        <v>465.849310621962</v>
      </c>
      <c r="G23">
        <f>$L$25/(D23*(D20-$J$20))</f>
        <v>442.761871759408</v>
      </c>
      <c r="I23">
        <f>PI()*0.5*0.038</f>
        <v>0.0596902604182061</v>
      </c>
    </row>
    <row r="24" spans="3:7">
      <c r="C24">
        <v>10</v>
      </c>
      <c r="D24">
        <f t="shared" si="9"/>
        <v>0.0119380520836412</v>
      </c>
      <c r="E24">
        <f>$J$25/(D24*(E5-$J$5))</f>
        <v>216.95331716211</v>
      </c>
      <c r="F24">
        <f>$K$25/(D24*(E12-$J$12))</f>
        <v>205.52175468616</v>
      </c>
      <c r="G24">
        <f>$L$25/(D24*(E20-$J$20))</f>
        <v>202.130419716252</v>
      </c>
    </row>
    <row r="25" spans="3:12">
      <c r="C25">
        <v>20</v>
      </c>
      <c r="D25">
        <f t="shared" si="9"/>
        <v>0.0238761041672824</v>
      </c>
      <c r="E25">
        <f>$J$25/(D25*(F5-$J$5))</f>
        <v>68.5115738406663</v>
      </c>
      <c r="F25">
        <f>$K$25/(D25*(F12-$J$12))</f>
        <v>64.7012931419391</v>
      </c>
      <c r="G25">
        <f>$L$25/(D25*(F20-$J$20))</f>
        <v>70.4393886889967</v>
      </c>
      <c r="I25" t="s">
        <v>36</v>
      </c>
      <c r="J25">
        <f>37*0.84</f>
        <v>31.08</v>
      </c>
      <c r="K25">
        <f>43*0.97</f>
        <v>41.71</v>
      </c>
      <c r="L25">
        <f>50*1.11</f>
        <v>55.5</v>
      </c>
    </row>
    <row r="26" spans="3:7">
      <c r="C26">
        <v>30</v>
      </c>
      <c r="D26">
        <f t="shared" si="9"/>
        <v>0.0358141562509236</v>
      </c>
      <c r="E26">
        <f>$J$25/(D26*(G5-$J$5))</f>
        <v>51.0478393322612</v>
      </c>
      <c r="F26">
        <f>$K$25/(D26*(G12-$J$12))</f>
        <v>50.6357946328219</v>
      </c>
      <c r="G26">
        <f>$L$25/(D26*(G20-$J$20))</f>
        <v>49.9892435857396</v>
      </c>
    </row>
    <row r="27" spans="3:7">
      <c r="C27">
        <v>40</v>
      </c>
      <c r="D27">
        <f t="shared" si="9"/>
        <v>0.0477522083345649</v>
      </c>
      <c r="E27">
        <f>$J$25/(D27*(H5-$J$5))</f>
        <v>43.390663432422</v>
      </c>
      <c r="F27">
        <f>$K$25/(D27*(H12-$J$12))</f>
        <v>41.5936884483894</v>
      </c>
      <c r="G27">
        <f>$L$25/(D27*(H20-$J$20))</f>
        <v>43.0462930877202</v>
      </c>
    </row>
    <row r="28" spans="3:7">
      <c r="C28">
        <v>49</v>
      </c>
      <c r="D28">
        <f t="shared" si="9"/>
        <v>0.058496455209842</v>
      </c>
      <c r="E28">
        <f>$J$25/(D28*(I5-$J$5))</f>
        <v>48.3012951010263</v>
      </c>
      <c r="F28">
        <f>$K$25/(D28*(I12-$J$12))</f>
        <v>44.564666194703</v>
      </c>
      <c r="G28">
        <f>$L$25/(D28*(I20-$J$20))</f>
        <v>45.1797828325927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2018-01-16T16:05:00Z</dcterms:created>
  <dcterms:modified xsi:type="dcterms:W3CDTF">2018-01-23T12:25:07Z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