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F:\pg project\"/>
    </mc:Choice>
  </mc:AlternateContent>
  <xr:revisionPtr revIDLastSave="0" documentId="13_ncr:1_{2504610A-C2EC-4714-8955-DF1DCFE373EF}" xr6:coauthVersionLast="45" xr6:coauthVersionMax="45" xr10:uidLastSave="{00000000-0000-0000-0000-000000000000}"/>
  <bookViews>
    <workbookView xWindow="-108" yWindow="-108" windowWidth="23256" windowHeight="13176" firstSheet="16" activeTab="16" xr2:uid="{F4B6DE05-1300-4E3D-A79C-D6DB4EA97E8E}"/>
  </bookViews>
  <sheets>
    <sheet name="Input Sheet" sheetId="1" r:id="rId1"/>
    <sheet name="Valuation Output" sheetId="13" r:id="rId2"/>
    <sheet name="Stories to Numbers" sheetId="21" r:id="rId3"/>
    <sheet name="IHCL P&amp;L" sheetId="17" r:id="rId4"/>
    <sheet name="Last AR" sheetId="2" r:id="rId5"/>
    <sheet name="Operating Leases" sheetId="4" r:id="rId6"/>
    <sheet name="Norm Capital Expenditure" sheetId="3" r:id="rId7"/>
    <sheet name="Estimating Cash Flows" sheetId="8" r:id="rId8"/>
    <sheet name="Cost of capital" sheetId="19" r:id="rId9"/>
    <sheet name="Ratios" sheetId="16" r:id="rId10"/>
    <sheet name="Future Debt" sheetId="18" r:id="rId11"/>
    <sheet name="Change in Non Cash WCTota" sheetId="14" r:id="rId12"/>
    <sheet name="weighted average cost of capita" sheetId="6" r:id="rId13"/>
    <sheet name="IHCL &amp; NIFTY 200" sheetId="5" r:id="rId14"/>
    <sheet name="TOTAL DEBT " sheetId="7" r:id="rId15"/>
    <sheet name="real stories to numbers" sheetId="9" r:id="rId16"/>
    <sheet name="hotel industry avg" sheetId="11" r:id="rId17"/>
    <sheet name="IHCL vs PEERS" sheetId="12" r:id="rId18"/>
  </sheets>
  <externalReferences>
    <externalReference r:id="rId19"/>
    <externalReference r:id="rId20"/>
    <externalReference r:id="rId21"/>
    <externalReference r:id="rId22"/>
    <externalReference r:id="rId23"/>
    <externalReference r:id="rId24"/>
    <externalReference r:id="rId2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1" l="1"/>
  <c r="B7" i="12"/>
  <c r="B24" i="9"/>
  <c r="B15" i="7"/>
  <c r="B13" i="7"/>
  <c r="D11" i="7"/>
  <c r="J14" i="5"/>
  <c r="I14" i="5"/>
  <c r="K9" i="5"/>
  <c r="H17" i="18"/>
  <c r="G17" i="18"/>
  <c r="C17" i="18"/>
  <c r="B17" i="18"/>
  <c r="D1" i="19"/>
  <c r="B1" i="19"/>
  <c r="F9" i="3"/>
  <c r="G9" i="3"/>
  <c r="B8" i="3"/>
  <c r="B9" i="3"/>
  <c r="B7" i="3"/>
  <c r="B6" i="3"/>
  <c r="B5" i="3"/>
  <c r="F5" i="13"/>
  <c r="F4" i="13"/>
  <c r="D25" i="13" l="1"/>
  <c r="B27" i="1"/>
  <c r="E56" i="21"/>
  <c r="E55" i="21"/>
  <c r="E45" i="21" l="1"/>
  <c r="E44" i="21"/>
  <c r="E43" i="21"/>
  <c r="F9" i="21"/>
  <c r="G39" i="21"/>
  <c r="D38" i="21"/>
  <c r="D35" i="21"/>
  <c r="D34" i="21"/>
  <c r="G33" i="21"/>
  <c r="D32" i="21"/>
  <c r="D31" i="21"/>
  <c r="D30" i="21"/>
  <c r="D29" i="21"/>
  <c r="F27" i="21"/>
  <c r="E27" i="21"/>
  <c r="C27" i="21"/>
  <c r="B27" i="21"/>
  <c r="D27" i="21" s="1"/>
  <c r="G26" i="21"/>
  <c r="F26" i="21"/>
  <c r="E26" i="21"/>
  <c r="C26" i="21"/>
  <c r="B26" i="21"/>
  <c r="F25" i="21"/>
  <c r="E25" i="21"/>
  <c r="C25" i="21"/>
  <c r="B25" i="21"/>
  <c r="D25" i="21" s="1"/>
  <c r="G24" i="21"/>
  <c r="F24" i="21"/>
  <c r="E24" i="21"/>
  <c r="C24" i="21"/>
  <c r="D24" i="21" s="1"/>
  <c r="B24" i="21"/>
  <c r="F23" i="21"/>
  <c r="E23" i="21"/>
  <c r="G23" i="21" s="1"/>
  <c r="C23" i="21"/>
  <c r="B23" i="21"/>
  <c r="F22" i="21"/>
  <c r="E22" i="21"/>
  <c r="G22" i="21" s="1"/>
  <c r="C22" i="21"/>
  <c r="D22" i="21" s="1"/>
  <c r="B22" i="21"/>
  <c r="F21" i="21"/>
  <c r="E21" i="21"/>
  <c r="G21" i="21" s="1"/>
  <c r="C21" i="21"/>
  <c r="B21" i="21"/>
  <c r="F20" i="21"/>
  <c r="E20" i="21"/>
  <c r="G20" i="21" s="1"/>
  <c r="C20" i="21"/>
  <c r="B20" i="21"/>
  <c r="F19" i="21"/>
  <c r="E19" i="21"/>
  <c r="C19" i="21"/>
  <c r="B19" i="21"/>
  <c r="D19" i="21" s="1"/>
  <c r="G18" i="21"/>
  <c r="F18" i="21"/>
  <c r="E18" i="21"/>
  <c r="C18" i="21"/>
  <c r="B18" i="21"/>
  <c r="F17" i="21"/>
  <c r="E17" i="21"/>
  <c r="C17" i="21"/>
  <c r="B17" i="21"/>
  <c r="D17" i="21" s="1"/>
  <c r="F14" i="21"/>
  <c r="D14" i="21" s="1"/>
  <c r="C14" i="21"/>
  <c r="F13" i="21"/>
  <c r="F12" i="21"/>
  <c r="A1" i="21"/>
  <c r="D18" i="21" l="1"/>
  <c r="D26" i="21"/>
  <c r="G17" i="21"/>
  <c r="D20" i="21"/>
  <c r="D21" i="21"/>
  <c r="G25" i="21"/>
  <c r="G19" i="21"/>
  <c r="D23" i="21"/>
  <c r="G27" i="21"/>
  <c r="D33" i="21"/>
  <c r="D36" i="21" s="1"/>
  <c r="D6" i="19"/>
  <c r="B2" i="19"/>
  <c r="M11" i="13" l="1"/>
  <c r="B16" i="19"/>
  <c r="B11" i="19"/>
  <c r="B10" i="19"/>
  <c r="B4" i="19" l="1"/>
  <c r="B3" i="19"/>
  <c r="B6" i="6"/>
  <c r="B9" i="19" l="1"/>
  <c r="B12" i="19" s="1"/>
  <c r="B13" i="19" s="1"/>
  <c r="C4" i="3"/>
  <c r="D4" i="3"/>
  <c r="E4" i="3"/>
  <c r="F4" i="3"/>
  <c r="B4" i="3"/>
  <c r="F3" i="7"/>
  <c r="E3" i="7"/>
  <c r="C69" i="16"/>
  <c r="D69" i="16"/>
  <c r="E69" i="16"/>
  <c r="F69" i="16"/>
  <c r="B69" i="16"/>
  <c r="J69" i="16" s="1"/>
  <c r="C67" i="16"/>
  <c r="D67" i="16"/>
  <c r="E67" i="16"/>
  <c r="F67" i="16"/>
  <c r="B25" i="1" l="1"/>
  <c r="C46" i="13"/>
  <c r="D46" i="13" s="1"/>
  <c r="E46" i="13" s="1"/>
  <c r="F46" i="13" s="1"/>
  <c r="G46" i="13" s="1"/>
  <c r="H46" i="13" s="1"/>
  <c r="J67" i="16"/>
  <c r="B23" i="1" s="1"/>
  <c r="C2" i="13" l="1"/>
  <c r="C9" i="21"/>
  <c r="I46" i="13"/>
  <c r="J46" i="13" s="1"/>
  <c r="K46" i="13" s="1"/>
  <c r="L46" i="13" s="1"/>
  <c r="M46" i="13" s="1"/>
  <c r="D12" i="21"/>
  <c r="B60" i="12"/>
  <c r="C60" i="12"/>
  <c r="D60" i="12"/>
  <c r="E60" i="12"/>
  <c r="F60" i="12"/>
  <c r="D2" i="13" l="1"/>
  <c r="E2" i="13" s="1"/>
  <c r="F2" i="13" s="1"/>
  <c r="G2" i="13" s="1"/>
  <c r="H2" i="13" s="1"/>
  <c r="C43" i="21"/>
  <c r="D42" i="8"/>
  <c r="B42" i="8"/>
  <c r="C42" i="8"/>
  <c r="I2" i="13" l="1"/>
  <c r="J2" i="13" s="1"/>
  <c r="K2" i="13" s="1"/>
  <c r="L2" i="13" s="1"/>
  <c r="D9" i="21" s="1"/>
  <c r="B40" i="8"/>
  <c r="B41" i="8"/>
  <c r="B49" i="8"/>
  <c r="D8" i="8"/>
  <c r="C41" i="8"/>
  <c r="D41" i="8"/>
  <c r="C40" i="8"/>
  <c r="D40" i="8"/>
  <c r="D43" i="21" l="1"/>
  <c r="I17" i="18"/>
  <c r="J17" i="18"/>
  <c r="K17" i="18"/>
  <c r="L17" i="18"/>
  <c r="F17" i="18"/>
  <c r="E17" i="18"/>
  <c r="D17" i="18"/>
  <c r="C13" i="18"/>
  <c r="D13" i="18"/>
  <c r="E13" i="18"/>
  <c r="F13" i="18"/>
  <c r="B13" i="18"/>
  <c r="B62" i="16" l="1"/>
  <c r="C62" i="16"/>
  <c r="D62" i="16"/>
  <c r="E62" i="16"/>
  <c r="F62" i="16"/>
  <c r="F23" i="17"/>
  <c r="F17" i="17"/>
  <c r="F44" i="17"/>
  <c r="E23" i="17"/>
  <c r="E17" i="17"/>
  <c r="E44" i="17"/>
  <c r="D23" i="17"/>
  <c r="D17" i="17"/>
  <c r="D44" i="17"/>
  <c r="C23" i="17"/>
  <c r="C7" i="17"/>
  <c r="C14" i="17"/>
  <c r="C15" i="17"/>
  <c r="C17" i="17"/>
  <c r="C44" i="17"/>
  <c r="B23" i="17"/>
  <c r="B17" i="17"/>
  <c r="B44" i="17"/>
  <c r="F29" i="17"/>
  <c r="F35" i="17"/>
  <c r="F36" i="17" s="1"/>
  <c r="E29" i="17"/>
  <c r="E30" i="17" s="1"/>
  <c r="E32" i="17" s="1"/>
  <c r="E35" i="17"/>
  <c r="E36" i="17" s="1"/>
  <c r="D29" i="17"/>
  <c r="D30" i="17" s="1"/>
  <c r="D32" i="17" s="1"/>
  <c r="D35" i="17"/>
  <c r="D36" i="17" s="1"/>
  <c r="C29" i="17"/>
  <c r="C30" i="17" s="1"/>
  <c r="C32" i="17" s="1"/>
  <c r="C35" i="17"/>
  <c r="C36" i="17"/>
  <c r="C40" i="17" s="1"/>
  <c r="B29" i="17"/>
  <c r="A34" i="17" s="1"/>
  <c r="B35" i="17"/>
  <c r="B36" i="17" s="1"/>
  <c r="H33" i="17"/>
  <c r="F30" i="17"/>
  <c r="F32" i="17" s="1"/>
  <c r="F24" i="17"/>
  <c r="F27" i="17"/>
  <c r="E24" i="17"/>
  <c r="E27" i="17"/>
  <c r="D24" i="17"/>
  <c r="D27" i="17"/>
  <c r="C24" i="17"/>
  <c r="C27" i="17"/>
  <c r="B24" i="17"/>
  <c r="B27" i="17"/>
  <c r="L23" i="17"/>
  <c r="K23" i="17"/>
  <c r="J23" i="17"/>
  <c r="I23" i="17"/>
  <c r="H23" i="17"/>
  <c r="F14" i="17"/>
  <c r="E14" i="17"/>
  <c r="D14" i="17"/>
  <c r="B14" i="17"/>
  <c r="F7" i="17"/>
  <c r="E7" i="17"/>
  <c r="D7" i="17"/>
  <c r="B7" i="17"/>
  <c r="F58" i="16"/>
  <c r="F59" i="16" s="1"/>
  <c r="E58" i="16"/>
  <c r="E59" i="16" s="1"/>
  <c r="D58" i="16"/>
  <c r="D59" i="16" s="1"/>
  <c r="C58" i="16"/>
  <c r="C59" i="16" s="1"/>
  <c r="B58" i="16"/>
  <c r="B59" i="16" s="1"/>
  <c r="F56" i="16"/>
  <c r="F57" i="16" s="1"/>
  <c r="E56" i="16"/>
  <c r="E57" i="16" s="1"/>
  <c r="D56" i="16"/>
  <c r="D57" i="16" s="1"/>
  <c r="C56" i="16"/>
  <c r="B56" i="16"/>
  <c r="B57" i="16" s="1"/>
  <c r="F43" i="16"/>
  <c r="F31" i="16"/>
  <c r="E43" i="16"/>
  <c r="E31" i="16"/>
  <c r="D43" i="16"/>
  <c r="D31" i="16"/>
  <c r="C43" i="16"/>
  <c r="C31" i="16"/>
  <c r="B43" i="16"/>
  <c r="B31" i="16"/>
  <c r="F36" i="16"/>
  <c r="E36" i="16"/>
  <c r="D36" i="16"/>
  <c r="C36" i="16"/>
  <c r="B36" i="16"/>
  <c r="F35" i="16"/>
  <c r="E35" i="16"/>
  <c r="D35" i="16"/>
  <c r="C35" i="16"/>
  <c r="B35" i="16"/>
  <c r="F34" i="16"/>
  <c r="E34" i="16"/>
  <c r="D34" i="16"/>
  <c r="C34" i="16"/>
  <c r="B34" i="16"/>
  <c r="F33" i="16"/>
  <c r="E33" i="16"/>
  <c r="D33" i="16"/>
  <c r="C33" i="16"/>
  <c r="B33" i="16"/>
  <c r="F30" i="16"/>
  <c r="E30" i="16"/>
  <c r="D30" i="16"/>
  <c r="C30" i="16"/>
  <c r="B30" i="16"/>
  <c r="F29" i="16"/>
  <c r="E29" i="16"/>
  <c r="D29" i="16"/>
  <c r="C29" i="16"/>
  <c r="B29" i="16"/>
  <c r="F27" i="16"/>
  <c r="F28" i="16" s="1"/>
  <c r="E27" i="16"/>
  <c r="E28" i="16" s="1"/>
  <c r="D27" i="16"/>
  <c r="D28" i="16" s="1"/>
  <c r="C27" i="16"/>
  <c r="B27" i="16"/>
  <c r="B28" i="16" s="1"/>
  <c r="F23" i="16"/>
  <c r="F24" i="16"/>
  <c r="F25" i="16" s="1"/>
  <c r="E23" i="16"/>
  <c r="E24" i="16"/>
  <c r="E25" i="16" s="1"/>
  <c r="D23" i="16"/>
  <c r="D24" i="16"/>
  <c r="D25" i="16" s="1"/>
  <c r="C23" i="16"/>
  <c r="C24" i="16"/>
  <c r="B23" i="16"/>
  <c r="B24" i="16"/>
  <c r="B25" i="16" s="1"/>
  <c r="F19" i="16"/>
  <c r="E19" i="16"/>
  <c r="D19" i="16"/>
  <c r="C19" i="16"/>
  <c r="B19" i="16"/>
  <c r="F17" i="16"/>
  <c r="F18" i="16" s="1"/>
  <c r="E17" i="16"/>
  <c r="E18" i="16" s="1"/>
  <c r="D17" i="16"/>
  <c r="D18" i="16" s="1"/>
  <c r="C17" i="16"/>
  <c r="C18" i="16" s="1"/>
  <c r="B17" i="16"/>
  <c r="B18" i="16" s="1"/>
  <c r="F16" i="16"/>
  <c r="E16" i="16"/>
  <c r="D16" i="16"/>
  <c r="C16" i="16"/>
  <c r="F15" i="16"/>
  <c r="E15" i="16"/>
  <c r="D15" i="16"/>
  <c r="C15" i="16"/>
  <c r="F7" i="16"/>
  <c r="E7" i="16"/>
  <c r="D7" i="16"/>
  <c r="C7" i="16"/>
  <c r="B7" i="16"/>
  <c r="F10" i="16"/>
  <c r="E10" i="16"/>
  <c r="D10" i="16"/>
  <c r="C10" i="16"/>
  <c r="B10" i="16"/>
  <c r="F8" i="16"/>
  <c r="E8" i="16"/>
  <c r="D8" i="16"/>
  <c r="C8" i="16"/>
  <c r="B8" i="16"/>
  <c r="F6" i="16"/>
  <c r="E6" i="16"/>
  <c r="D6" i="16"/>
  <c r="C6" i="16"/>
  <c r="B6" i="16"/>
  <c r="C2" i="14"/>
  <c r="C5" i="14" s="1"/>
  <c r="C3" i="14"/>
  <c r="B2" i="14"/>
  <c r="B5" i="14" s="1"/>
  <c r="B3" i="14"/>
  <c r="B6" i="14" s="1"/>
  <c r="D2" i="14"/>
  <c r="D5" i="14" s="1"/>
  <c r="D3" i="14"/>
  <c r="E2" i="14"/>
  <c r="E5" i="14" s="1"/>
  <c r="E3" i="14"/>
  <c r="E6" i="14" s="1"/>
  <c r="F2" i="14"/>
  <c r="F5" i="14" s="1"/>
  <c r="F3" i="14"/>
  <c r="F6" i="14" s="1"/>
  <c r="B9" i="14"/>
  <c r="C9" i="14"/>
  <c r="D9" i="14"/>
  <c r="E9" i="14"/>
  <c r="F9" i="14"/>
  <c r="B32" i="6"/>
  <c r="B33" i="6" s="1"/>
  <c r="B41" i="6" s="1"/>
  <c r="B6" i="9"/>
  <c r="B3" i="3" s="1"/>
  <c r="C6" i="9"/>
  <c r="C3" i="3" s="1"/>
  <c r="C5" i="3" s="1"/>
  <c r="D6" i="9"/>
  <c r="D3" i="3" s="1"/>
  <c r="D5" i="3" s="1"/>
  <c r="E6" i="9"/>
  <c r="F6" i="9"/>
  <c r="F3" i="3" s="1"/>
  <c r="F5" i="3" s="1"/>
  <c r="D7" i="3"/>
  <c r="E7" i="3"/>
  <c r="B2" i="2"/>
  <c r="B7" i="1" s="1"/>
  <c r="B3" i="13" s="1"/>
  <c r="B16" i="4"/>
  <c r="C28" i="4" s="1"/>
  <c r="C9" i="12"/>
  <c r="B6" i="12"/>
  <c r="C6" i="12"/>
  <c r="D6" i="12"/>
  <c r="E6" i="12"/>
  <c r="F6" i="12"/>
  <c r="C7" i="12"/>
  <c r="D7" i="12"/>
  <c r="E7" i="12"/>
  <c r="F7" i="12"/>
  <c r="B8" i="12"/>
  <c r="C8" i="12"/>
  <c r="D8" i="12"/>
  <c r="E8" i="12"/>
  <c r="F8" i="12"/>
  <c r="B9" i="12"/>
  <c r="D9" i="12"/>
  <c r="E9" i="12"/>
  <c r="F9" i="12"/>
  <c r="C14" i="12"/>
  <c r="D14" i="12"/>
  <c r="E14" i="12"/>
  <c r="F14" i="12"/>
  <c r="C15" i="12"/>
  <c r="D15" i="12"/>
  <c r="E15" i="12"/>
  <c r="F15" i="12"/>
  <c r="B16" i="12"/>
  <c r="B17" i="12" s="1"/>
  <c r="C16" i="12"/>
  <c r="C17" i="12" s="1"/>
  <c r="D16" i="12"/>
  <c r="D17" i="12" s="1"/>
  <c r="E16" i="12"/>
  <c r="E17" i="12" s="1"/>
  <c r="F16" i="12"/>
  <c r="F17" i="12" s="1"/>
  <c r="B18" i="12"/>
  <c r="C18" i="12"/>
  <c r="D18" i="12"/>
  <c r="E18" i="12"/>
  <c r="F18" i="12"/>
  <c r="B22" i="12"/>
  <c r="B23" i="12"/>
  <c r="B24" i="12" s="1"/>
  <c r="C22" i="12"/>
  <c r="C23" i="12"/>
  <c r="C24" i="12" s="1"/>
  <c r="D22" i="12"/>
  <c r="E22" i="12"/>
  <c r="F22" i="12"/>
  <c r="F23" i="12"/>
  <c r="F24" i="12" s="1"/>
  <c r="D23" i="12"/>
  <c r="D24" i="12" s="1"/>
  <c r="E23" i="12"/>
  <c r="E24" i="12" s="1"/>
  <c r="B26" i="12"/>
  <c r="B27" i="12" s="1"/>
  <c r="C26" i="12"/>
  <c r="C27" i="12" s="1"/>
  <c r="D26" i="12"/>
  <c r="D27" i="12" s="1"/>
  <c r="E26" i="12"/>
  <c r="E27" i="12" s="1"/>
  <c r="F26" i="12"/>
  <c r="F27" i="12" s="1"/>
  <c r="B28" i="12"/>
  <c r="C28" i="12"/>
  <c r="D28" i="12"/>
  <c r="E28" i="12"/>
  <c r="F28" i="12"/>
  <c r="B29" i="12"/>
  <c r="C29" i="12"/>
  <c r="D29" i="12"/>
  <c r="E29" i="12"/>
  <c r="F29" i="12"/>
  <c r="B30" i="12"/>
  <c r="C30" i="12"/>
  <c r="D30" i="12"/>
  <c r="E30" i="12"/>
  <c r="F30" i="12"/>
  <c r="B32" i="12"/>
  <c r="C32" i="12"/>
  <c r="D32" i="12"/>
  <c r="E32" i="12"/>
  <c r="F32" i="12"/>
  <c r="B33" i="12"/>
  <c r="C33" i="12"/>
  <c r="D33" i="12"/>
  <c r="E33" i="12"/>
  <c r="F33" i="12"/>
  <c r="B34" i="12"/>
  <c r="C34" i="12"/>
  <c r="D34" i="12"/>
  <c r="E34" i="12"/>
  <c r="F34" i="12"/>
  <c r="B35" i="12"/>
  <c r="C35" i="12"/>
  <c r="D35" i="12"/>
  <c r="E35" i="12"/>
  <c r="F35" i="12"/>
  <c r="B41" i="12"/>
  <c r="C41" i="12"/>
  <c r="F41" i="12"/>
  <c r="D41" i="12"/>
  <c r="E41" i="12"/>
  <c r="B54" i="12"/>
  <c r="B55" i="12" s="1"/>
  <c r="C54" i="12"/>
  <c r="C55" i="12" s="1"/>
  <c r="D54" i="12"/>
  <c r="D55" i="12" s="1"/>
  <c r="E54" i="12"/>
  <c r="E55" i="12" s="1"/>
  <c r="F54" i="12"/>
  <c r="F55" i="12" s="1"/>
  <c r="G54" i="12"/>
  <c r="C7" i="11"/>
  <c r="C56" i="11" s="1"/>
  <c r="E7" i="11"/>
  <c r="E56" i="11" s="1"/>
  <c r="E57" i="11" s="1"/>
  <c r="G7" i="11"/>
  <c r="G56" i="11" s="1"/>
  <c r="G57" i="11" s="1"/>
  <c r="I7" i="11"/>
  <c r="I56" i="11" s="1"/>
  <c r="I57" i="11" s="1"/>
  <c r="K7" i="11"/>
  <c r="K56" i="11" s="1"/>
  <c r="K57" i="11" s="1"/>
  <c r="M7" i="11"/>
  <c r="M56" i="11" s="1"/>
  <c r="M57" i="11" s="1"/>
  <c r="O7" i="11"/>
  <c r="O56" i="11" s="1"/>
  <c r="O57" i="11" s="1"/>
  <c r="G55" i="12"/>
  <c r="B56" i="12"/>
  <c r="C56" i="12"/>
  <c r="C57" i="12" s="1"/>
  <c r="D56" i="12"/>
  <c r="D57" i="12" s="1"/>
  <c r="E56" i="12"/>
  <c r="E57" i="12" s="1"/>
  <c r="F56" i="12"/>
  <c r="F57" i="12" s="1"/>
  <c r="G56" i="12"/>
  <c r="C58" i="11"/>
  <c r="C59" i="11" s="1"/>
  <c r="E58" i="11"/>
  <c r="G58" i="11"/>
  <c r="G59" i="11" s="1"/>
  <c r="I58" i="11"/>
  <c r="I59" i="11" s="1"/>
  <c r="K58" i="11"/>
  <c r="K59" i="11" s="1"/>
  <c r="O58" i="11"/>
  <c r="O59" i="11" s="1"/>
  <c r="B57" i="12"/>
  <c r="G57" i="12"/>
  <c r="B3" i="11"/>
  <c r="B48" i="11" s="1"/>
  <c r="C3" i="11"/>
  <c r="D3" i="11"/>
  <c r="D40" i="11" s="1"/>
  <c r="D7" i="11"/>
  <c r="D18" i="11" s="1"/>
  <c r="E3" i="11"/>
  <c r="E41" i="11" s="1"/>
  <c r="F3" i="11"/>
  <c r="G3" i="11"/>
  <c r="G48" i="11" s="1"/>
  <c r="H3" i="11"/>
  <c r="H40" i="11" s="1"/>
  <c r="I3" i="11"/>
  <c r="J3" i="11"/>
  <c r="J40" i="11" s="1"/>
  <c r="K3" i="11"/>
  <c r="K41" i="11" s="1"/>
  <c r="L3" i="11"/>
  <c r="L40" i="11" s="1"/>
  <c r="M3" i="11"/>
  <c r="M49" i="11" s="1"/>
  <c r="N3" i="11"/>
  <c r="N41" i="11" s="1"/>
  <c r="O3" i="11"/>
  <c r="O40" i="11" s="1"/>
  <c r="B4" i="11"/>
  <c r="B5" i="11" s="1"/>
  <c r="C4" i="11"/>
  <c r="D4" i="11"/>
  <c r="E4" i="11"/>
  <c r="E5" i="11" s="1"/>
  <c r="F4" i="11"/>
  <c r="F5" i="11" s="1"/>
  <c r="F45" i="11" s="1"/>
  <c r="G4" i="11"/>
  <c r="H4" i="11"/>
  <c r="H5" i="11" s="1"/>
  <c r="H7" i="11"/>
  <c r="H24" i="11" s="1"/>
  <c r="I4" i="11"/>
  <c r="I38" i="11" s="1"/>
  <c r="J4" i="11"/>
  <c r="J5" i="11" s="1"/>
  <c r="K4" i="11"/>
  <c r="K5" i="11" s="1"/>
  <c r="L4" i="11"/>
  <c r="L5" i="11" s="1"/>
  <c r="M4" i="11"/>
  <c r="M5" i="11" s="1"/>
  <c r="M46" i="11" s="1"/>
  <c r="N4" i="11"/>
  <c r="N38" i="11" s="1"/>
  <c r="O4" i="11"/>
  <c r="O5" i="11" s="1"/>
  <c r="C5" i="11"/>
  <c r="C46" i="11" s="1"/>
  <c r="B6" i="11"/>
  <c r="C6" i="11"/>
  <c r="D6" i="11"/>
  <c r="E6" i="11"/>
  <c r="F6" i="11"/>
  <c r="G6" i="11"/>
  <c r="H6" i="11"/>
  <c r="I6" i="11"/>
  <c r="J6" i="11"/>
  <c r="K6" i="11"/>
  <c r="L6" i="11"/>
  <c r="M6" i="11"/>
  <c r="N6" i="11"/>
  <c r="O6" i="11"/>
  <c r="B7" i="11"/>
  <c r="B18" i="11" s="1"/>
  <c r="F7" i="11"/>
  <c r="F19" i="11" s="1"/>
  <c r="I14" i="11"/>
  <c r="J7" i="11"/>
  <c r="J31" i="11" s="1"/>
  <c r="L7" i="11"/>
  <c r="L31" i="11" s="1"/>
  <c r="N7" i="11"/>
  <c r="B8" i="11"/>
  <c r="B25" i="11" s="1"/>
  <c r="B26" i="11" s="1"/>
  <c r="C8" i="11"/>
  <c r="C25" i="11" s="1"/>
  <c r="C26" i="11" s="1"/>
  <c r="D8" i="11"/>
  <c r="D25" i="11" s="1"/>
  <c r="D26" i="11" s="1"/>
  <c r="E8" i="11"/>
  <c r="E25" i="11" s="1"/>
  <c r="F8" i="11"/>
  <c r="G8" i="11"/>
  <c r="H8" i="11"/>
  <c r="H25" i="11" s="1"/>
  <c r="H26" i="11" s="1"/>
  <c r="I8" i="11"/>
  <c r="I25" i="11" s="1"/>
  <c r="I26" i="11" s="1"/>
  <c r="J8" i="11"/>
  <c r="J25" i="11" s="1"/>
  <c r="J26" i="11" s="1"/>
  <c r="K8" i="11"/>
  <c r="K25" i="11" s="1"/>
  <c r="K26" i="11" s="1"/>
  <c r="L8" i="11"/>
  <c r="L25" i="11" s="1"/>
  <c r="L26" i="11" s="1"/>
  <c r="M8" i="11"/>
  <c r="M25" i="11" s="1"/>
  <c r="M26" i="11" s="1"/>
  <c r="N8" i="11"/>
  <c r="N25" i="11" s="1"/>
  <c r="N26" i="11" s="1"/>
  <c r="O8" i="11"/>
  <c r="O25" i="11" s="1"/>
  <c r="O26" i="11" s="1"/>
  <c r="C9" i="11"/>
  <c r="D9" i="11"/>
  <c r="E9" i="11"/>
  <c r="F9" i="11"/>
  <c r="G9" i="11"/>
  <c r="H9" i="11"/>
  <c r="I9" i="11"/>
  <c r="J9" i="11"/>
  <c r="K9" i="11"/>
  <c r="L9" i="11"/>
  <c r="M9" i="11"/>
  <c r="N9" i="11"/>
  <c r="O9" i="11"/>
  <c r="B11" i="11"/>
  <c r="C11" i="11"/>
  <c r="D11" i="11"/>
  <c r="E11" i="11"/>
  <c r="F11" i="11"/>
  <c r="G11" i="11"/>
  <c r="H11" i="11"/>
  <c r="I11" i="11"/>
  <c r="J11" i="11"/>
  <c r="K11" i="11"/>
  <c r="L11" i="11"/>
  <c r="M11" i="11"/>
  <c r="N11" i="11"/>
  <c r="O11" i="11"/>
  <c r="P14" i="11"/>
  <c r="B17" i="11"/>
  <c r="C17" i="11"/>
  <c r="D17" i="11"/>
  <c r="E17" i="11"/>
  <c r="F17" i="11"/>
  <c r="G17" i="11"/>
  <c r="H17" i="11"/>
  <c r="I17" i="11"/>
  <c r="J17" i="11"/>
  <c r="K17" i="11"/>
  <c r="L17" i="11"/>
  <c r="M17" i="11"/>
  <c r="N17" i="11"/>
  <c r="O17" i="11"/>
  <c r="L18" i="11"/>
  <c r="L19" i="11"/>
  <c r="F24" i="11"/>
  <c r="F25" i="11"/>
  <c r="F26" i="11" s="1"/>
  <c r="G25" i="11"/>
  <c r="G26" i="11" s="1"/>
  <c r="B28" i="11"/>
  <c r="C28" i="11"/>
  <c r="D28" i="11"/>
  <c r="E28" i="11"/>
  <c r="F28" i="11"/>
  <c r="G28" i="11"/>
  <c r="H28" i="11"/>
  <c r="I28" i="11"/>
  <c r="J28" i="11"/>
  <c r="K28" i="11"/>
  <c r="L28" i="11"/>
  <c r="M28" i="11"/>
  <c r="N28" i="11"/>
  <c r="O28" i="11"/>
  <c r="B29" i="11"/>
  <c r="C29" i="11"/>
  <c r="E29" i="11"/>
  <c r="G29" i="11"/>
  <c r="I29" i="11"/>
  <c r="I30" i="11" s="1"/>
  <c r="K29" i="11"/>
  <c r="M29" i="11"/>
  <c r="O29" i="11"/>
  <c r="D29" i="11"/>
  <c r="F29" i="11"/>
  <c r="H29" i="11"/>
  <c r="J29" i="11"/>
  <c r="L29" i="11"/>
  <c r="N29" i="11"/>
  <c r="F32" i="11"/>
  <c r="G32" i="11"/>
  <c r="B34" i="11"/>
  <c r="C34" i="11"/>
  <c r="D34" i="11"/>
  <c r="E34" i="11"/>
  <c r="F34" i="11"/>
  <c r="G34" i="11"/>
  <c r="H34" i="11"/>
  <c r="I34" i="11"/>
  <c r="J34" i="11"/>
  <c r="K34" i="11"/>
  <c r="L34" i="11"/>
  <c r="M34" i="11"/>
  <c r="N34" i="11"/>
  <c r="O34" i="11"/>
  <c r="B35" i="11"/>
  <c r="C35" i="11"/>
  <c r="D35" i="11"/>
  <c r="E35" i="11"/>
  <c r="F35" i="11"/>
  <c r="G35" i="11"/>
  <c r="H35" i="11"/>
  <c r="I35" i="11"/>
  <c r="J35" i="11"/>
  <c r="K35" i="11"/>
  <c r="L35" i="11"/>
  <c r="M35" i="11"/>
  <c r="N35" i="11"/>
  <c r="O35" i="11"/>
  <c r="B36" i="11"/>
  <c r="C36" i="11"/>
  <c r="D36" i="11"/>
  <c r="E36" i="11"/>
  <c r="F36" i="11"/>
  <c r="G36" i="11"/>
  <c r="H36" i="11"/>
  <c r="I36" i="11"/>
  <c r="J36" i="11"/>
  <c r="K36" i="11"/>
  <c r="L36" i="11"/>
  <c r="M36" i="11"/>
  <c r="N36" i="11"/>
  <c r="O36" i="11"/>
  <c r="B37" i="11"/>
  <c r="C37" i="11"/>
  <c r="E37" i="11"/>
  <c r="G37" i="11"/>
  <c r="I37" i="11"/>
  <c r="K37" i="11"/>
  <c r="M37" i="11"/>
  <c r="O37" i="11"/>
  <c r="D37" i="11"/>
  <c r="F37" i="11"/>
  <c r="H37" i="11"/>
  <c r="J37" i="11"/>
  <c r="L37" i="11"/>
  <c r="N37" i="11"/>
  <c r="G38" i="11"/>
  <c r="O38" i="11"/>
  <c r="K40" i="11"/>
  <c r="B41" i="11"/>
  <c r="B42" i="11"/>
  <c r="C42" i="11"/>
  <c r="D42" i="11"/>
  <c r="D43" i="11"/>
  <c r="E42" i="11"/>
  <c r="F42" i="11"/>
  <c r="G42" i="11"/>
  <c r="H42" i="11"/>
  <c r="H43" i="11"/>
  <c r="I42" i="11"/>
  <c r="J42" i="11"/>
  <c r="K42" i="11"/>
  <c r="L42" i="11"/>
  <c r="M42" i="11"/>
  <c r="N42" i="11"/>
  <c r="O42" i="11"/>
  <c r="O43" i="11"/>
  <c r="B43" i="11"/>
  <c r="C43" i="11"/>
  <c r="E43" i="11"/>
  <c r="F43" i="11"/>
  <c r="G43" i="11"/>
  <c r="I43" i="11"/>
  <c r="J43" i="11"/>
  <c r="K43" i="11"/>
  <c r="L43" i="11"/>
  <c r="M43" i="11"/>
  <c r="N43" i="11"/>
  <c r="P46" i="11"/>
  <c r="O48" i="11"/>
  <c r="B49" i="11"/>
  <c r="I49" i="11"/>
  <c r="P56" i="11"/>
  <c r="P57" i="11"/>
  <c r="M58" i="11"/>
  <c r="M59" i="11" s="1"/>
  <c r="P58" i="11"/>
  <c r="P59" i="11"/>
  <c r="E40" i="11"/>
  <c r="I48" i="11"/>
  <c r="M48" i="11"/>
  <c r="E38" i="11"/>
  <c r="I40" i="11"/>
  <c r="I41" i="11"/>
  <c r="L32" i="11"/>
  <c r="I19" i="11"/>
  <c r="M40" i="11"/>
  <c r="M50" i="11" s="1"/>
  <c r="F23" i="9"/>
  <c r="F22" i="9"/>
  <c r="F21" i="9"/>
  <c r="E21" i="9"/>
  <c r="D21" i="9"/>
  <c r="C21" i="9"/>
  <c r="B21" i="9"/>
  <c r="F20" i="9"/>
  <c r="E20" i="9"/>
  <c r="D20" i="9"/>
  <c r="C20" i="9"/>
  <c r="B20" i="9"/>
  <c r="F19" i="9"/>
  <c r="E19" i="9"/>
  <c r="D19" i="9"/>
  <c r="C19" i="9"/>
  <c r="B19" i="9"/>
  <c r="F18" i="9"/>
  <c r="E18" i="9"/>
  <c r="D18" i="9"/>
  <c r="C18" i="9"/>
  <c r="B18" i="9"/>
  <c r="F17" i="9"/>
  <c r="E17" i="9"/>
  <c r="D17" i="9"/>
  <c r="C17" i="9"/>
  <c r="B17" i="9"/>
  <c r="F16" i="9"/>
  <c r="E16" i="9"/>
  <c r="D16" i="9"/>
  <c r="C16" i="9"/>
  <c r="B16" i="9"/>
  <c r="F15" i="9"/>
  <c r="E15" i="9"/>
  <c r="D15" i="9"/>
  <c r="C15" i="9"/>
  <c r="B15" i="9"/>
  <c r="F14" i="9"/>
  <c r="E14" i="9"/>
  <c r="D14" i="9"/>
  <c r="C14" i="9"/>
  <c r="B14" i="9"/>
  <c r="F13" i="9"/>
  <c r="E13" i="9"/>
  <c r="D13" i="9"/>
  <c r="C13" i="9"/>
  <c r="B13" i="9"/>
  <c r="F12" i="9"/>
  <c r="E12" i="9"/>
  <c r="D12" i="9"/>
  <c r="C12" i="9"/>
  <c r="B12" i="9"/>
  <c r="F11" i="9"/>
  <c r="E11" i="9"/>
  <c r="D11" i="9"/>
  <c r="C11" i="9"/>
  <c r="B11" i="9"/>
  <c r="F10" i="9"/>
  <c r="E10" i="9"/>
  <c r="D10" i="9"/>
  <c r="C10" i="9"/>
  <c r="B10" i="9"/>
  <c r="F9" i="9"/>
  <c r="E9" i="9"/>
  <c r="D9" i="9"/>
  <c r="C9" i="9"/>
  <c r="B9" i="9"/>
  <c r="F8" i="9"/>
  <c r="E8" i="9"/>
  <c r="D8" i="9"/>
  <c r="C8" i="9"/>
  <c r="B8" i="9"/>
  <c r="F7" i="9"/>
  <c r="E7" i="9"/>
  <c r="D7" i="9"/>
  <c r="C7" i="9"/>
  <c r="B7" i="9"/>
  <c r="C25" i="9"/>
  <c r="F5" i="9"/>
  <c r="E5" i="9"/>
  <c r="D5" i="9"/>
  <c r="C5" i="9"/>
  <c r="B5" i="9"/>
  <c r="F4" i="9"/>
  <c r="E4" i="9"/>
  <c r="E24" i="9" s="1"/>
  <c r="F24" i="9" s="1"/>
  <c r="D4" i="9"/>
  <c r="D24" i="9" s="1"/>
  <c r="C4" i="9"/>
  <c r="C24" i="9" s="1"/>
  <c r="B4" i="9"/>
  <c r="B25" i="6"/>
  <c r="A16" i="6"/>
  <c r="B16" i="6"/>
  <c r="C16" i="6"/>
  <c r="D16" i="6"/>
  <c r="E16" i="6"/>
  <c r="F16" i="6"/>
  <c r="A17" i="6"/>
  <c r="A18" i="6"/>
  <c r="B18" i="6"/>
  <c r="C18" i="6"/>
  <c r="D18" i="6"/>
  <c r="E18" i="6"/>
  <c r="A19" i="6"/>
  <c r="B19" i="6"/>
  <c r="C19" i="6"/>
  <c r="D19" i="6"/>
  <c r="E19" i="6"/>
  <c r="F19" i="6"/>
  <c r="A20" i="6"/>
  <c r="B20" i="6"/>
  <c r="C20" i="6"/>
  <c r="D20" i="6"/>
  <c r="E20" i="6"/>
  <c r="F20" i="6"/>
  <c r="A21" i="6"/>
  <c r="A22" i="6"/>
  <c r="A23" i="6"/>
  <c r="B23" i="6"/>
  <c r="C23" i="6"/>
  <c r="D23" i="6"/>
  <c r="E23" i="6"/>
  <c r="F23" i="6"/>
  <c r="A24" i="6"/>
  <c r="B24" i="6"/>
  <c r="C24" i="6"/>
  <c r="D24" i="6"/>
  <c r="E24" i="6"/>
  <c r="F24" i="6"/>
  <c r="F18" i="6"/>
  <c r="E4" i="7"/>
  <c r="F4" i="7"/>
  <c r="F9" i="7"/>
  <c r="E9" i="7"/>
  <c r="E8" i="7"/>
  <c r="F8" i="7"/>
  <c r="F5" i="7"/>
  <c r="E5" i="7"/>
  <c r="B29" i="6"/>
  <c r="C29" i="6" s="1"/>
  <c r="A26" i="6"/>
  <c r="B8" i="6"/>
  <c r="B14" i="6" s="1"/>
  <c r="I15" i="5"/>
  <c r="K8" i="5"/>
  <c r="D45" i="4"/>
  <c r="D5" i="4"/>
  <c r="B25" i="4"/>
  <c r="C25" i="4"/>
  <c r="B23" i="4"/>
  <c r="A28" i="4"/>
  <c r="A27" i="4"/>
  <c r="A26" i="4"/>
  <c r="A25" i="4"/>
  <c r="A24" i="4"/>
  <c r="A23" i="4"/>
  <c r="B9" i="4"/>
  <c r="B24" i="4"/>
  <c r="C24" i="4"/>
  <c r="B10" i="4"/>
  <c r="B11" i="4"/>
  <c r="B26" i="4"/>
  <c r="C26" i="4"/>
  <c r="B12" i="4"/>
  <c r="B27" i="4"/>
  <c r="B13" i="4"/>
  <c r="D19" i="4"/>
  <c r="B8" i="4"/>
  <c r="B26" i="6"/>
  <c r="B27" i="6" s="1"/>
  <c r="B28" i="4"/>
  <c r="B20" i="1"/>
  <c r="M7" i="13" s="1"/>
  <c r="B22" i="2"/>
  <c r="B21" i="2"/>
  <c r="B20" i="2"/>
  <c r="B19" i="2"/>
  <c r="B18" i="2"/>
  <c r="B17" i="2"/>
  <c r="B14" i="2"/>
  <c r="B19" i="1" s="1"/>
  <c r="B13" i="2"/>
  <c r="B18" i="1" s="1"/>
  <c r="B42" i="13" s="1"/>
  <c r="D42" i="13" s="1"/>
  <c r="B12" i="2"/>
  <c r="B17" i="1" s="1"/>
  <c r="B40" i="13" s="1"/>
  <c r="D40" i="13" s="1"/>
  <c r="B11" i="2"/>
  <c r="B16" i="1" s="1"/>
  <c r="B34" i="13" s="1"/>
  <c r="D34" i="13" s="1"/>
  <c r="B9" i="2"/>
  <c r="B14" i="1" s="1"/>
  <c r="B35" i="13" s="1"/>
  <c r="D35" i="13" s="1"/>
  <c r="B10" i="2"/>
  <c r="B15" i="1" s="1"/>
  <c r="B36" i="13" s="1"/>
  <c r="D36" i="13" s="1"/>
  <c r="B7" i="2"/>
  <c r="D34" i="4" s="1"/>
  <c r="B6" i="2"/>
  <c r="B10" i="1" s="1"/>
  <c r="B5" i="2"/>
  <c r="D35" i="4" s="1"/>
  <c r="B3" i="2"/>
  <c r="B11" i="1"/>
  <c r="D48" i="11" l="1"/>
  <c r="K49" i="11"/>
  <c r="F31" i="11"/>
  <c r="M19" i="11"/>
  <c r="G41" i="11"/>
  <c r="B7" i="13"/>
  <c r="C7" i="13" s="1"/>
  <c r="D7" i="13" s="1"/>
  <c r="B11" i="21"/>
  <c r="C11" i="21" s="1"/>
  <c r="Q34" i="11"/>
  <c r="C3" i="13"/>
  <c r="C16" i="13" s="1"/>
  <c r="B9" i="21"/>
  <c r="M38" i="11"/>
  <c r="D13" i="21"/>
  <c r="O45" i="11"/>
  <c r="O46" i="11"/>
  <c r="D49" i="11"/>
  <c r="D50" i="11" s="1"/>
  <c r="K48" i="11"/>
  <c r="O41" i="11"/>
  <c r="G40" i="11"/>
  <c r="H31" i="11"/>
  <c r="H19" i="11"/>
  <c r="G49" i="11"/>
  <c r="H32" i="11"/>
  <c r="H30" i="11"/>
  <c r="C20" i="11"/>
  <c r="D41" i="11"/>
  <c r="H18" i="11"/>
  <c r="B26" i="9"/>
  <c r="I32" i="11"/>
  <c r="I44" i="11" s="1"/>
  <c r="O49" i="11"/>
  <c r="O50" i="11" s="1"/>
  <c r="J41" i="11"/>
  <c r="L38" i="11"/>
  <c r="H21" i="11"/>
  <c r="B30" i="17"/>
  <c r="B32" i="17" s="1"/>
  <c r="B40" i="17"/>
  <c r="I31" i="11"/>
  <c r="M14" i="11"/>
  <c r="J49" i="11"/>
  <c r="N40" i="11"/>
  <c r="K38" i="11"/>
  <c r="F30" i="11"/>
  <c r="L20" i="11"/>
  <c r="F18" i="11"/>
  <c r="N5" i="11"/>
  <c r="N45" i="11" s="1"/>
  <c r="I21" i="11"/>
  <c r="D4" i="14"/>
  <c r="Q35" i="11"/>
  <c r="E32" i="11"/>
  <c r="E44" i="11" s="1"/>
  <c r="I18" i="11"/>
  <c r="G50" i="11"/>
  <c r="J48" i="11"/>
  <c r="H38" i="11"/>
  <c r="L24" i="11"/>
  <c r="L27" i="11" s="1"/>
  <c r="F40" i="17"/>
  <c r="E19" i="11"/>
  <c r="M32" i="11"/>
  <c r="M44" i="11" s="1"/>
  <c r="M18" i="11"/>
  <c r="E21" i="11"/>
  <c r="C45" i="11"/>
  <c r="D6" i="14"/>
  <c r="D7" i="14" s="1"/>
  <c r="M31" i="11"/>
  <c r="M30" i="11"/>
  <c r="E30" i="11"/>
  <c r="P4" i="11"/>
  <c r="F21" i="11"/>
  <c r="Q3" i="11"/>
  <c r="D25" i="9"/>
  <c r="M21" i="11"/>
  <c r="M20" i="11"/>
  <c r="M24" i="11"/>
  <c r="M27" i="11" s="1"/>
  <c r="C27" i="4"/>
  <c r="C23" i="4"/>
  <c r="C29" i="4" s="1"/>
  <c r="B30" i="6"/>
  <c r="B34" i="6" s="1"/>
  <c r="B35" i="6" s="1"/>
  <c r="C40" i="11"/>
  <c r="Q40" i="11" s="1"/>
  <c r="D38" i="11"/>
  <c r="J30" i="11"/>
  <c r="J20" i="11"/>
  <c r="B19" i="11"/>
  <c r="D26" i="9"/>
  <c r="E49" i="11"/>
  <c r="E50" i="11" s="1"/>
  <c r="M41" i="11"/>
  <c r="L44" i="11"/>
  <c r="E48" i="11"/>
  <c r="N49" i="11"/>
  <c r="N50" i="11" s="1"/>
  <c r="N48" i="11"/>
  <c r="F48" i="11"/>
  <c r="F41" i="11"/>
  <c r="B40" i="11"/>
  <c r="B50" i="11" s="1"/>
  <c r="C38" i="11"/>
  <c r="B31" i="11"/>
  <c r="B24" i="11"/>
  <c r="B27" i="11" s="1"/>
  <c r="C10" i="11"/>
  <c r="N21" i="11"/>
  <c r="E3" i="3"/>
  <c r="E5" i="3" s="1"/>
  <c r="C26" i="9"/>
  <c r="I24" i="11"/>
  <c r="I27" i="11" s="1"/>
  <c r="F49" i="11"/>
  <c r="F40" i="11"/>
  <c r="J38" i="11"/>
  <c r="J32" i="11"/>
  <c r="J44" i="11" s="1"/>
  <c r="G18" i="11"/>
  <c r="Q17" i="11"/>
  <c r="B10" i="13"/>
  <c r="C7" i="3"/>
  <c r="F7" i="3"/>
  <c r="O32" i="11"/>
  <c r="G31" i="11"/>
  <c r="O24" i="11"/>
  <c r="O27" i="11" s="1"/>
  <c r="O20" i="11"/>
  <c r="O19" i="11"/>
  <c r="G14" i="11"/>
  <c r="O31" i="11"/>
  <c r="O30" i="11"/>
  <c r="G30" i="11"/>
  <c r="Q28" i="11"/>
  <c r="O21" i="11"/>
  <c r="O18" i="11"/>
  <c r="O44" i="11"/>
  <c r="G24" i="11"/>
  <c r="G27" i="11" s="1"/>
  <c r="G21" i="11"/>
  <c r="G19" i="11"/>
  <c r="E25" i="9"/>
  <c r="F25" i="9" s="1"/>
  <c r="E14" i="11"/>
  <c r="C30" i="11"/>
  <c r="P43" i="11"/>
  <c r="K31" i="11"/>
  <c r="P29" i="11"/>
  <c r="P28" i="11"/>
  <c r="K21" i="11"/>
  <c r="C18" i="11"/>
  <c r="K32" i="11"/>
  <c r="K44" i="11" s="1"/>
  <c r="C31" i="11"/>
  <c r="K30" i="11"/>
  <c r="C24" i="11"/>
  <c r="C27" i="11" s="1"/>
  <c r="K20" i="11"/>
  <c r="C19" i="11"/>
  <c r="K18" i="11"/>
  <c r="C21" i="11"/>
  <c r="B7" i="14"/>
  <c r="B10" i="14" s="1"/>
  <c r="B25" i="9"/>
  <c r="E26" i="9"/>
  <c r="F26" i="9" s="1"/>
  <c r="C32" i="11"/>
  <c r="C44" i="11" s="1"/>
  <c r="K24" i="11"/>
  <c r="K27" i="11" s="1"/>
  <c r="K19" i="11"/>
  <c r="E4" i="14"/>
  <c r="J10" i="11"/>
  <c r="J45" i="11"/>
  <c r="L49" i="11"/>
  <c r="E31" i="11"/>
  <c r="E18" i="11"/>
  <c r="E20" i="11"/>
  <c r="F44" i="11"/>
  <c r="D32" i="11"/>
  <c r="D44" i="11" s="1"/>
  <c r="B20" i="11"/>
  <c r="Q11" i="11"/>
  <c r="P35" i="11"/>
  <c r="H48" i="11"/>
  <c r="H49" i="11"/>
  <c r="H50" i="11" s="1"/>
  <c r="D19" i="11"/>
  <c r="J50" i="11"/>
  <c r="H41" i="11"/>
  <c r="B38" i="11"/>
  <c r="P36" i="11"/>
  <c r="D31" i="11"/>
  <c r="B30" i="11"/>
  <c r="D30" i="11"/>
  <c r="N24" i="11"/>
  <c r="N27" i="11" s="1"/>
  <c r="F4" i="14"/>
  <c r="F17" i="8" s="1"/>
  <c r="J23" i="16"/>
  <c r="H27" i="11"/>
  <c r="L48" i="11"/>
  <c r="E24" i="11"/>
  <c r="D24" i="11"/>
  <c r="D27" i="11" s="1"/>
  <c r="L41" i="11"/>
  <c r="P42" i="11"/>
  <c r="F38" i="11"/>
  <c r="B32" i="11"/>
  <c r="B44" i="11" s="1"/>
  <c r="L21" i="11"/>
  <c r="B21" i="11"/>
  <c r="Q7" i="11"/>
  <c r="Q6" i="11"/>
  <c r="F25" i="12"/>
  <c r="J33" i="16"/>
  <c r="J59" i="16"/>
  <c r="J18" i="16"/>
  <c r="J31" i="16"/>
  <c r="L10" i="11"/>
  <c r="L45" i="11"/>
  <c r="E45" i="11"/>
  <c r="E46" i="11"/>
  <c r="E10" i="11"/>
  <c r="G44" i="11"/>
  <c r="Q37" i="11"/>
  <c r="P34" i="11"/>
  <c r="P17" i="11"/>
  <c r="Q9" i="11"/>
  <c r="D20" i="11"/>
  <c r="P3" i="11"/>
  <c r="P6" i="11"/>
  <c r="C28" i="16"/>
  <c r="J28" i="16" s="1"/>
  <c r="J27" i="16"/>
  <c r="J34" i="16"/>
  <c r="J43" i="16"/>
  <c r="J58" i="16"/>
  <c r="J62" i="16"/>
  <c r="J19" i="16"/>
  <c r="B26" i="16"/>
  <c r="D26" i="16"/>
  <c r="F26" i="16"/>
  <c r="J29" i="16"/>
  <c r="J35" i="16"/>
  <c r="C57" i="16"/>
  <c r="J57" i="16" s="1"/>
  <c r="J56" i="16"/>
  <c r="J15" i="16"/>
  <c r="J16" i="16"/>
  <c r="C25" i="16"/>
  <c r="J25" i="16" s="1"/>
  <c r="J24" i="16"/>
  <c r="J30" i="16"/>
  <c r="J36" i="16"/>
  <c r="B45" i="11"/>
  <c r="B10" i="11"/>
  <c r="K45" i="11"/>
  <c r="K46" i="11"/>
  <c r="K10" i="11"/>
  <c r="D40" i="17"/>
  <c r="D38" i="17"/>
  <c r="E26" i="11"/>
  <c r="Q26" i="11" s="1"/>
  <c r="Q25" i="11"/>
  <c r="B13" i="6"/>
  <c r="Q42" i="11"/>
  <c r="H44" i="11"/>
  <c r="P37" i="11"/>
  <c r="Q36" i="11"/>
  <c r="Q29" i="11"/>
  <c r="P25" i="11"/>
  <c r="N30" i="11"/>
  <c r="C14" i="11"/>
  <c r="D21" i="11"/>
  <c r="B4" i="14"/>
  <c r="B17" i="8" s="1"/>
  <c r="C38" i="17"/>
  <c r="P11" i="11"/>
  <c r="Q8" i="11"/>
  <c r="B9" i="1"/>
  <c r="I50" i="11"/>
  <c r="O10" i="11"/>
  <c r="F10" i="11"/>
  <c r="F20" i="11"/>
  <c r="Q58" i="11"/>
  <c r="H56" i="12" s="1"/>
  <c r="D25" i="12"/>
  <c r="B25" i="12"/>
  <c r="L50" i="11"/>
  <c r="K50" i="11"/>
  <c r="P26" i="11"/>
  <c r="E7" i="13"/>
  <c r="I20" i="11"/>
  <c r="C49" i="11"/>
  <c r="C48" i="11"/>
  <c r="C41" i="11"/>
  <c r="N31" i="11"/>
  <c r="L30" i="11"/>
  <c r="M45" i="11"/>
  <c r="M10" i="11"/>
  <c r="I5" i="11"/>
  <c r="D5" i="11"/>
  <c r="E7" i="14"/>
  <c r="E26" i="16"/>
  <c r="B38" i="17"/>
  <c r="E40" i="17"/>
  <c r="E38" i="17"/>
  <c r="F38" i="17"/>
  <c r="Q43" i="11"/>
  <c r="F27" i="11"/>
  <c r="P9" i="11"/>
  <c r="P8" i="11"/>
  <c r="H10" i="11"/>
  <c r="H45" i="11"/>
  <c r="E59" i="11"/>
  <c r="Q59" i="11" s="1"/>
  <c r="H57" i="12" s="1"/>
  <c r="C25" i="12"/>
  <c r="F7" i="14"/>
  <c r="C6" i="14"/>
  <c r="C7" i="14" s="1"/>
  <c r="C4" i="14"/>
  <c r="O14" i="11"/>
  <c r="N18" i="11"/>
  <c r="N19" i="11"/>
  <c r="N20" i="11"/>
  <c r="N32" i="11"/>
  <c r="K14" i="11"/>
  <c r="P7" i="11"/>
  <c r="J21" i="11"/>
  <c r="J18" i="11"/>
  <c r="J24" i="11"/>
  <c r="J27" i="11" s="1"/>
  <c r="J19" i="11"/>
  <c r="Q4" i="11"/>
  <c r="G5" i="11"/>
  <c r="G20" i="11"/>
  <c r="Q56" i="11"/>
  <c r="H54" i="12" s="1"/>
  <c r="C57" i="11"/>
  <c r="Q57" i="11" s="1"/>
  <c r="H55" i="12" s="1"/>
  <c r="E25" i="12"/>
  <c r="H20" i="11"/>
  <c r="Q21" i="11" l="1"/>
  <c r="Q48" i="11"/>
  <c r="C11" i="14"/>
  <c r="Q49" i="11"/>
  <c r="D3" i="13"/>
  <c r="D16" i="13" s="1"/>
  <c r="Q38" i="11"/>
  <c r="C26" i="16"/>
  <c r="J26" i="16" s="1"/>
  <c r="Q41" i="11"/>
  <c r="F50" i="11"/>
  <c r="P50" i="11" s="1"/>
  <c r="N10" i="11"/>
  <c r="P38" i="11"/>
  <c r="Q32" i="11"/>
  <c r="E27" i="11"/>
  <c r="Q27" i="11" s="1"/>
  <c r="P30" i="11"/>
  <c r="P49" i="11"/>
  <c r="P31" i="11"/>
  <c r="Q18" i="11"/>
  <c r="D46" i="4"/>
  <c r="E40" i="4"/>
  <c r="P21" i="11"/>
  <c r="B12" i="13"/>
  <c r="F11" i="14"/>
  <c r="Q24" i="11"/>
  <c r="P40" i="11"/>
  <c r="Q31" i="11"/>
  <c r="D10" i="14"/>
  <c r="D11" i="14"/>
  <c r="P32" i="11"/>
  <c r="E11" i="14"/>
  <c r="B36" i="6"/>
  <c r="B38" i="6" s="1"/>
  <c r="Q30" i="11"/>
  <c r="C17" i="8"/>
  <c r="Q19" i="11"/>
  <c r="P19" i="11"/>
  <c r="P41" i="11"/>
  <c r="Q44" i="11"/>
  <c r="P48" i="11"/>
  <c r="D17" i="8"/>
  <c r="E17" i="8"/>
  <c r="Q14" i="11"/>
  <c r="P24" i="11"/>
  <c r="Q20" i="11"/>
  <c r="P27" i="11"/>
  <c r="C10" i="14"/>
  <c r="F7" i="13"/>
  <c r="C50" i="11"/>
  <c r="Q50" i="11" s="1"/>
  <c r="P20" i="11"/>
  <c r="F10" i="14"/>
  <c r="E10" i="14"/>
  <c r="D45" i="11"/>
  <c r="P45" i="11" s="1"/>
  <c r="D10" i="11"/>
  <c r="P10" i="11" s="1"/>
  <c r="P5" i="11"/>
  <c r="Q5" i="11"/>
  <c r="G10" i="11"/>
  <c r="G46" i="11"/>
  <c r="G45" i="11"/>
  <c r="P18" i="11"/>
  <c r="I10" i="11"/>
  <c r="I46" i="11"/>
  <c r="I45" i="11"/>
  <c r="N44" i="11"/>
  <c r="P44" i="11" s="1"/>
  <c r="E3" i="13" l="1"/>
  <c r="E16" i="13" s="1"/>
  <c r="B33" i="13"/>
  <c r="D33" i="13" s="1"/>
  <c r="B47" i="13"/>
  <c r="G11" i="14"/>
  <c r="B15" i="19"/>
  <c r="Q46" i="11"/>
  <c r="Q45" i="11"/>
  <c r="Q10" i="11"/>
  <c r="G7" i="13"/>
  <c r="G10" i="14"/>
  <c r="B11" i="13" s="1"/>
  <c r="B56" i="21" s="1"/>
  <c r="F3" i="13" l="1"/>
  <c r="F16" i="13" s="1"/>
  <c r="C11" i="13"/>
  <c r="B18" i="19"/>
  <c r="B6" i="19"/>
  <c r="B17" i="19"/>
  <c r="G3" i="13"/>
  <c r="G16" i="13" s="1"/>
  <c r="H7" i="13"/>
  <c r="B19" i="19" l="1"/>
  <c r="D11" i="13"/>
  <c r="E11" i="13" s="1"/>
  <c r="F11" i="13" s="1"/>
  <c r="B28" i="1"/>
  <c r="H3" i="13"/>
  <c r="H16" i="13" s="1"/>
  <c r="I7" i="13"/>
  <c r="C20" i="13" l="1"/>
  <c r="C21" i="13" s="1"/>
  <c r="B57" i="21"/>
  <c r="G11" i="13"/>
  <c r="H11" i="13" s="1"/>
  <c r="D20" i="13"/>
  <c r="E20" i="13" s="1"/>
  <c r="F20" i="13" s="1"/>
  <c r="G20" i="13" s="1"/>
  <c r="H20" i="13" s="1"/>
  <c r="I3" i="13"/>
  <c r="I16" i="13" s="1"/>
  <c r="J7" i="13"/>
  <c r="C56" i="21" l="1"/>
  <c r="I20" i="13"/>
  <c r="J20" i="13" s="1"/>
  <c r="K20" i="13" s="1"/>
  <c r="C57" i="21"/>
  <c r="I11" i="13"/>
  <c r="J11" i="13" s="1"/>
  <c r="K11" i="13" s="1"/>
  <c r="D45" i="21"/>
  <c r="C45" i="21"/>
  <c r="D21" i="13"/>
  <c r="E21" i="13" s="1"/>
  <c r="F21" i="13" s="1"/>
  <c r="G21" i="13" s="1"/>
  <c r="H21" i="13" s="1"/>
  <c r="J3" i="13"/>
  <c r="J16" i="13" s="1"/>
  <c r="K7" i="13"/>
  <c r="D56" i="21" l="1"/>
  <c r="D57" i="21"/>
  <c r="I21" i="13"/>
  <c r="K3" i="13"/>
  <c r="K16" i="13" s="1"/>
  <c r="L7" i="13"/>
  <c r="D11" i="21" s="1"/>
  <c r="F11" i="21" s="1"/>
  <c r="J21" i="13" l="1"/>
  <c r="L3" i="13"/>
  <c r="M3" i="13" s="1"/>
  <c r="L12" i="13" l="1"/>
  <c r="L16" i="13"/>
  <c r="K21" i="13"/>
  <c r="M12" i="13" l="1"/>
  <c r="M16" i="13"/>
  <c r="L21" i="13"/>
  <c r="C12" i="13"/>
  <c r="D12" i="13" l="1"/>
  <c r="E12" i="13" l="1"/>
  <c r="F12" i="13" l="1"/>
  <c r="G12" i="13" l="1"/>
  <c r="H12" i="13" l="1"/>
  <c r="I12" i="13" l="1"/>
  <c r="K12" i="13" l="1"/>
  <c r="J12" i="13"/>
  <c r="G56" i="16" l="1"/>
  <c r="G57" i="16"/>
  <c r="G58" i="16"/>
  <c r="G59" i="16"/>
  <c r="F4" i="16" l="1"/>
  <c r="F36" i="12"/>
  <c r="B4" i="2"/>
  <c r="F6" i="3"/>
  <c r="F8" i="3" s="1"/>
  <c r="F37" i="16"/>
  <c r="F4" i="12"/>
  <c r="C4" i="16"/>
  <c r="C36" i="12"/>
  <c r="C6" i="3"/>
  <c r="C8" i="3" s="1"/>
  <c r="C9" i="3" s="1"/>
  <c r="C4" i="12"/>
  <c r="C37" i="16"/>
  <c r="B4" i="12"/>
  <c r="B4" i="16"/>
  <c r="B36" i="12"/>
  <c r="B37" i="16"/>
  <c r="D49" i="16"/>
  <c r="D18" i="8"/>
  <c r="D19" i="8" s="1"/>
  <c r="D42" i="16"/>
  <c r="D44" i="16" s="1"/>
  <c r="D39" i="12"/>
  <c r="D39" i="16"/>
  <c r="D50" i="16" s="1"/>
  <c r="D46" i="12"/>
  <c r="D38" i="12"/>
  <c r="D40" i="16"/>
  <c r="D48" i="16"/>
  <c r="D40" i="12"/>
  <c r="D42" i="12" s="1"/>
  <c r="D3" i="16"/>
  <c r="D3" i="12"/>
  <c r="D47" i="12"/>
  <c r="D48" i="12" s="1"/>
  <c r="B39" i="8"/>
  <c r="B43" i="8" s="1"/>
  <c r="D37" i="16"/>
  <c r="D4" i="16"/>
  <c r="D36" i="12"/>
  <c r="D4" i="12"/>
  <c r="D6" i="3"/>
  <c r="D8" i="3" s="1"/>
  <c r="D9" i="3" s="1"/>
  <c r="E4" i="12"/>
  <c r="C39" i="8"/>
  <c r="C43" i="8" s="1"/>
  <c r="E4" i="16"/>
  <c r="E6" i="3"/>
  <c r="E8" i="3" s="1"/>
  <c r="E9" i="3" s="1"/>
  <c r="E37" i="16"/>
  <c r="E36" i="12"/>
  <c r="B9" i="13" l="1"/>
  <c r="B55" i="21" s="1"/>
  <c r="E19" i="12"/>
  <c r="E5" i="12"/>
  <c r="F47" i="12"/>
  <c r="F42" i="16"/>
  <c r="F44" i="16" s="1"/>
  <c r="F39" i="16"/>
  <c r="F39" i="12"/>
  <c r="F46" i="12"/>
  <c r="F49" i="16"/>
  <c r="B48" i="8"/>
  <c r="B51" i="8" s="1"/>
  <c r="F48" i="16"/>
  <c r="F3" i="12"/>
  <c r="F40" i="16"/>
  <c r="F18" i="8"/>
  <c r="F19" i="8" s="1"/>
  <c r="F40" i="12"/>
  <c r="F42" i="12" s="1"/>
  <c r="F38" i="12"/>
  <c r="F48" i="12" s="1"/>
  <c r="F3" i="16"/>
  <c r="D5" i="16"/>
  <c r="D20" i="16"/>
  <c r="D20" i="12"/>
  <c r="D11" i="12"/>
  <c r="J37" i="16"/>
  <c r="C20" i="16"/>
  <c r="C5" i="16"/>
  <c r="D33" i="4"/>
  <c r="B8" i="1"/>
  <c r="D39" i="8" s="1"/>
  <c r="D43" i="8" s="1"/>
  <c r="E43" i="8" s="1"/>
  <c r="C39" i="16"/>
  <c r="C38" i="12"/>
  <c r="C39" i="12"/>
  <c r="C40" i="12"/>
  <c r="C42" i="12" s="1"/>
  <c r="C48" i="16"/>
  <c r="C3" i="16"/>
  <c r="C40" i="16"/>
  <c r="D41" i="16" s="1"/>
  <c r="C3" i="12"/>
  <c r="C42" i="16"/>
  <c r="C47" i="12"/>
  <c r="C46" i="12"/>
  <c r="C49" i="16"/>
  <c r="C18" i="8"/>
  <c r="C19" i="8" s="1"/>
  <c r="B39" i="12"/>
  <c r="B40" i="12"/>
  <c r="B42" i="12" s="1"/>
  <c r="B3" i="12"/>
  <c r="B3" i="16"/>
  <c r="B42" i="16"/>
  <c r="B44" i="16" s="1"/>
  <c r="B49" i="16"/>
  <c r="B38" i="12"/>
  <c r="B46" i="12"/>
  <c r="B40" i="16"/>
  <c r="B18" i="8"/>
  <c r="B19" i="8" s="1"/>
  <c r="B39" i="16"/>
  <c r="B47" i="12"/>
  <c r="B48" i="16"/>
  <c r="E5" i="16"/>
  <c r="E20" i="16"/>
  <c r="D12" i="16"/>
  <c r="D21" i="16"/>
  <c r="B5" i="16"/>
  <c r="B20" i="16"/>
  <c r="C19" i="12"/>
  <c r="C5" i="12"/>
  <c r="F19" i="12"/>
  <c r="F5" i="12"/>
  <c r="E46" i="12"/>
  <c r="E42" i="16"/>
  <c r="E44" i="16" s="1"/>
  <c r="E39" i="12"/>
  <c r="E40" i="16"/>
  <c r="E41" i="16" s="1"/>
  <c r="E3" i="16"/>
  <c r="E49" i="16"/>
  <c r="E3" i="12"/>
  <c r="E38" i="12"/>
  <c r="E47" i="12"/>
  <c r="E18" i="8"/>
  <c r="E19" i="8" s="1"/>
  <c r="E40" i="12"/>
  <c r="E42" i="12" s="1"/>
  <c r="E39" i="16"/>
  <c r="E48" i="16"/>
  <c r="D19" i="12"/>
  <c r="D5" i="12"/>
  <c r="B5" i="12"/>
  <c r="B19" i="12"/>
  <c r="F5" i="16"/>
  <c r="F20" i="16"/>
  <c r="C9" i="13" l="1"/>
  <c r="F50" i="16"/>
  <c r="B50" i="16"/>
  <c r="E50" i="16"/>
  <c r="C21" i="16"/>
  <c r="C12" i="16"/>
  <c r="E63" i="16"/>
  <c r="E64" i="16" s="1"/>
  <c r="E21" i="16"/>
  <c r="E12" i="16"/>
  <c r="J48" i="16"/>
  <c r="J39" i="16"/>
  <c r="C50" i="16"/>
  <c r="J50" i="16" s="1"/>
  <c r="B44" i="12"/>
  <c r="B10" i="12"/>
  <c r="B43" i="12"/>
  <c r="E48" i="12"/>
  <c r="F43" i="12"/>
  <c r="F44" i="12"/>
  <c r="F10" i="12"/>
  <c r="B48" i="12"/>
  <c r="B11" i="12"/>
  <c r="B20" i="12"/>
  <c r="J49" i="16"/>
  <c r="C20" i="12"/>
  <c r="C11" i="12"/>
  <c r="C46" i="16"/>
  <c r="C11" i="16"/>
  <c r="C45" i="16"/>
  <c r="F63" i="16"/>
  <c r="F64" i="16" s="1"/>
  <c r="F12" i="16"/>
  <c r="F21" i="16"/>
  <c r="F41" i="16"/>
  <c r="B20" i="8"/>
  <c r="D44" i="12"/>
  <c r="D43" i="12"/>
  <c r="D10" i="12"/>
  <c r="E11" i="12"/>
  <c r="E20" i="12"/>
  <c r="B46" i="16"/>
  <c r="B11" i="16"/>
  <c r="B45" i="16"/>
  <c r="E46" i="16"/>
  <c r="E45" i="16"/>
  <c r="E11" i="16"/>
  <c r="G19" i="8"/>
  <c r="C41" i="16"/>
  <c r="J40" i="16"/>
  <c r="J20" i="16"/>
  <c r="F20" i="12"/>
  <c r="F11" i="12"/>
  <c r="C48" i="12"/>
  <c r="E44" i="12"/>
  <c r="E43" i="12"/>
  <c r="E10" i="12"/>
  <c r="F45" i="16"/>
  <c r="F11" i="16"/>
  <c r="F46" i="16"/>
  <c r="C10" i="12"/>
  <c r="C43" i="12"/>
  <c r="C44" i="12"/>
  <c r="B12" i="16"/>
  <c r="B21" i="16"/>
  <c r="C44" i="16"/>
  <c r="J44" i="16" s="1"/>
  <c r="J42" i="16"/>
  <c r="D44" i="4"/>
  <c r="D47" i="4" s="1"/>
  <c r="E39" i="4"/>
  <c r="D46" i="16"/>
  <c r="D45" i="16"/>
  <c r="D11" i="16"/>
  <c r="J41" i="16" l="1"/>
  <c r="B54" i="8" s="1"/>
  <c r="D9" i="13"/>
  <c r="E9" i="13" s="1"/>
  <c r="B21" i="8"/>
  <c r="B9" i="8"/>
  <c r="J64" i="16"/>
  <c r="C44" i="8" s="1"/>
  <c r="B56" i="8" s="1"/>
  <c r="F9" i="13"/>
  <c r="J45" i="16"/>
  <c r="J12" i="16"/>
  <c r="B6" i="13"/>
  <c r="E61" i="8"/>
  <c r="E60" i="8"/>
  <c r="J46" i="16"/>
  <c r="J21" i="16"/>
  <c r="B8" i="13" l="1"/>
  <c r="B4" i="13"/>
  <c r="B10" i="21" s="1"/>
  <c r="G9" i="13"/>
  <c r="C55" i="21" s="1"/>
  <c r="C44" i="21" l="1"/>
  <c r="B13" i="13"/>
  <c r="B48" i="13"/>
  <c r="B13" i="21" s="1"/>
  <c r="H9" i="13"/>
  <c r="I9" i="13" l="1"/>
  <c r="J9" i="13" l="1"/>
  <c r="K9" i="13" l="1"/>
  <c r="D44" i="21" s="1"/>
  <c r="D55" i="21" l="1"/>
  <c r="H67" i="16"/>
  <c r="G60" i="12" l="1"/>
  <c r="H60" i="12"/>
  <c r="J60" i="12" l="1"/>
  <c r="H62" i="16" l="1"/>
  <c r="G62" i="16" l="1"/>
  <c r="H58" i="16" l="1"/>
  <c r="H59" i="16"/>
  <c r="H57" i="16" l="1"/>
  <c r="H56" i="16"/>
  <c r="D60" i="8" l="1"/>
  <c r="F60" i="8" s="1"/>
  <c r="D61" i="8"/>
  <c r="F61" i="8" s="1"/>
  <c r="B62" i="8" s="1"/>
  <c r="B64" i="8" l="1"/>
  <c r="B63" i="8"/>
  <c r="C5" i="13"/>
  <c r="C6" i="13" s="1"/>
  <c r="C4" i="13" s="1"/>
  <c r="C10" i="21" s="1"/>
  <c r="D5" i="13"/>
  <c r="E5" i="13" s="1"/>
  <c r="G5" i="13" s="1"/>
  <c r="H5" i="13" s="1"/>
  <c r="I5" i="13" s="1"/>
  <c r="J5" i="13" s="1"/>
  <c r="K5" i="13" s="1"/>
  <c r="L5" i="13" s="1"/>
  <c r="C8" i="13" l="1"/>
  <c r="D6" i="13"/>
  <c r="C10" i="13" l="1"/>
  <c r="C47" i="13" s="1"/>
  <c r="E6" i="13"/>
  <c r="D8" i="13"/>
  <c r="D4" i="13"/>
  <c r="C17" i="13"/>
  <c r="C13" i="13" l="1"/>
  <c r="C22" i="13" s="1"/>
  <c r="C48" i="13"/>
  <c r="D17" i="13"/>
  <c r="D10" i="13"/>
  <c r="D13" i="13" s="1"/>
  <c r="D22" i="13" s="1"/>
  <c r="E4" i="13"/>
  <c r="E8" i="13"/>
  <c r="F6" i="13"/>
  <c r="D47" i="13" l="1"/>
  <c r="G6" i="13"/>
  <c r="F8" i="13"/>
  <c r="E10" i="13"/>
  <c r="E13" i="13" s="1"/>
  <c r="E22" i="13" s="1"/>
  <c r="E17" i="13"/>
  <c r="E47" i="13" l="1"/>
  <c r="D48" i="13"/>
  <c r="F10" i="13"/>
  <c r="F13" i="13" s="1"/>
  <c r="F22" i="13" s="1"/>
  <c r="F17" i="13"/>
  <c r="H6" i="13"/>
  <c r="G4" i="13"/>
  <c r="G8" i="13"/>
  <c r="F47" i="13" l="1"/>
  <c r="E48" i="13"/>
  <c r="H4" i="13"/>
  <c r="H8" i="13"/>
  <c r="I6" i="13"/>
  <c r="G10" i="13"/>
  <c r="G13" i="13" s="1"/>
  <c r="G22" i="13" s="1"/>
  <c r="G17" i="13"/>
  <c r="G47" i="13" l="1"/>
  <c r="F48" i="13"/>
  <c r="I8" i="13"/>
  <c r="I4" i="13"/>
  <c r="J6" i="13"/>
  <c r="H17" i="13"/>
  <c r="H10" i="13"/>
  <c r="H13" i="13" s="1"/>
  <c r="H22" i="13" s="1"/>
  <c r="H47" i="13" l="1"/>
  <c r="G48" i="13"/>
  <c r="J4" i="13"/>
  <c r="J8" i="13"/>
  <c r="K6" i="13"/>
  <c r="I17" i="13"/>
  <c r="I10" i="13"/>
  <c r="I13" i="13" s="1"/>
  <c r="I22" i="13" s="1"/>
  <c r="I47" i="13" l="1"/>
  <c r="H48" i="13"/>
  <c r="K8" i="13"/>
  <c r="K4" i="13"/>
  <c r="L6" i="13"/>
  <c r="J17" i="13"/>
  <c r="J10" i="13"/>
  <c r="J13" i="13" s="1"/>
  <c r="J22" i="13" s="1"/>
  <c r="J47" i="13" l="1"/>
  <c r="I48" i="13"/>
  <c r="L8" i="13"/>
  <c r="L4" i="13"/>
  <c r="D10" i="21" s="1"/>
  <c r="M6" i="13"/>
  <c r="K17" i="13"/>
  <c r="K10" i="13"/>
  <c r="K13" i="13" s="1"/>
  <c r="K22" i="13" s="1"/>
  <c r="K47" i="13" l="1"/>
  <c r="J48" i="13"/>
  <c r="M4" i="13"/>
  <c r="F10" i="21" s="1"/>
  <c r="M8" i="13"/>
  <c r="L17" i="13"/>
  <c r="L10" i="13"/>
  <c r="L13" i="13" s="1"/>
  <c r="L22" i="13" s="1"/>
  <c r="B28" i="13" s="1"/>
  <c r="L47" i="13" l="1"/>
  <c r="L48" i="13" s="1"/>
  <c r="K48" i="13"/>
  <c r="M17" i="13"/>
  <c r="D24" i="13" s="1"/>
  <c r="D26" i="13" s="1"/>
  <c r="M10" i="13"/>
  <c r="M13" i="13" l="1"/>
  <c r="B24" i="13" s="1"/>
  <c r="B26" i="13" s="1"/>
  <c r="B27" i="13" s="1"/>
  <c r="B29" i="13" s="1"/>
  <c r="B32" i="13" s="1"/>
  <c r="B37" i="13" s="1"/>
  <c r="B39" i="13" s="1"/>
  <c r="B41" i="13" s="1"/>
  <c r="B43" i="13" s="1"/>
  <c r="D27" i="13"/>
  <c r="D28" i="13"/>
  <c r="D29" i="13" l="1"/>
  <c r="D32" i="13" s="1"/>
  <c r="D37" i="13" s="1"/>
  <c r="D39" i="13" s="1"/>
  <c r="D41" i="13" s="1"/>
  <c r="D37" i="21"/>
  <c r="D39" i="21" s="1"/>
  <c r="D43"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39" authorId="0" shapeId="0" xr:uid="{4683184E-40DE-4014-ABD4-96EEA2037766}">
      <text>
        <r>
          <rPr>
            <b/>
            <sz val="9"/>
            <color indexed="81"/>
            <rFont val="Geneva"/>
          </rPr>
          <t>Aswath Damodaran:</t>
        </r>
        <r>
          <rPr>
            <sz val="9"/>
            <color indexed="81"/>
            <rFont val="Geneva"/>
          </rPr>
          <t xml:space="preserve">
I have used an approximation here. If you want to see the more complete adjustment, see below.</t>
        </r>
      </text>
    </comment>
  </commentList>
</comments>
</file>

<file path=xl/sharedStrings.xml><?xml version="1.0" encoding="utf-8"?>
<sst xmlns="http://schemas.openxmlformats.org/spreadsheetml/2006/main" count="651" uniqueCount="399">
  <si>
    <t>Date of valuation</t>
  </si>
  <si>
    <t>Company Name</t>
  </si>
  <si>
    <t>Country of incorporation</t>
  </si>
  <si>
    <t>Industry (US)</t>
  </si>
  <si>
    <t>Industry (Global)</t>
  </si>
  <si>
    <t>Revenues</t>
  </si>
  <si>
    <t>Operating income or EBIT</t>
  </si>
  <si>
    <t>Interest expense</t>
  </si>
  <si>
    <t>Book value of equity</t>
  </si>
  <si>
    <t>Book value of debt</t>
  </si>
  <si>
    <t>Do you have R&amp;D expenses to capitalize?</t>
  </si>
  <si>
    <t>Do you have operating lease commitments?</t>
  </si>
  <si>
    <t>Cash and Marketable Securities</t>
  </si>
  <si>
    <t>Cross holdings and other non-operating assets</t>
  </si>
  <si>
    <t>Minority interests</t>
  </si>
  <si>
    <t>Number of shares outstanding =</t>
  </si>
  <si>
    <t>Current stock price =</t>
  </si>
  <si>
    <t>Effective tax rate =</t>
  </si>
  <si>
    <t>Marginal tax rate =</t>
  </si>
  <si>
    <t>Indian Hotels Company Limited.</t>
  </si>
  <si>
    <t>India</t>
  </si>
  <si>
    <t>Hotels</t>
  </si>
  <si>
    <t>No</t>
  </si>
  <si>
    <t>Yes</t>
  </si>
  <si>
    <t>R&amp;D expense</t>
  </si>
  <si>
    <t>Interest expenses</t>
  </si>
  <si>
    <t>Cash and cross holdings</t>
  </si>
  <si>
    <t xml:space="preserve">Non-operating assets </t>
  </si>
  <si>
    <t>Lease commitments</t>
  </si>
  <si>
    <t>Year 1</t>
  </si>
  <si>
    <t>Year 2</t>
  </si>
  <si>
    <t>Year 3</t>
  </si>
  <si>
    <t>Year 4</t>
  </si>
  <si>
    <t>Year 5</t>
  </si>
  <si>
    <t>Beyond year 5</t>
  </si>
  <si>
    <t>Current year's lease expense</t>
  </si>
  <si>
    <t>Note: with contingency claims</t>
  </si>
  <si>
    <t>Last AR 2019-mar-31</t>
  </si>
  <si>
    <t>The value drivers below:</t>
  </si>
  <si>
    <t>Compounded annual revenue growth rate over next 5 years =</t>
  </si>
  <si>
    <t>Target pre-tax operating margin (EBIT as % of sales in year 10) =</t>
  </si>
  <si>
    <t>Sales to capital ratio  (for computing reinvestment) =</t>
  </si>
  <si>
    <t>Projected IHCL</t>
  </si>
  <si>
    <t>Reference</t>
  </si>
  <si>
    <t>Operating lease expense in current year =</t>
  </si>
  <si>
    <t>Operating Lease Commitments (From footnote to financials)</t>
  </si>
  <si>
    <t>Year</t>
  </si>
  <si>
    <t>Commitment</t>
  </si>
  <si>
    <t>6 and beyond</t>
  </si>
  <si>
    <t>Pre-tax Cost of Debt =</t>
  </si>
  <si>
    <t>From the current financial statements, enter the following</t>
  </si>
  <si>
    <t>Reported Operating Income (EBIT) =</t>
  </si>
  <si>
    <t>Reported Debt =</t>
  </si>
  <si>
    <t>Reported Interest Expenses =</t>
  </si>
  <si>
    <t>Output</t>
  </si>
  <si>
    <t>Number of years embedded in yr 6 estimate =</t>
  </si>
  <si>
    <t>Operating Lease Converter</t>
  </si>
  <si>
    <t>The yellow cells are input cells. Please enter them.</t>
  </si>
  <si>
    <t>Inputs</t>
  </si>
  <si>
    <t>Converting Operating Leases into debt</t>
  </si>
  <si>
    <t>Present Value</t>
  </si>
  <si>
    <t>Debt Value of leases =</t>
  </si>
  <si>
    <t>Restated Financials</t>
  </si>
  <si>
    <t>Operating Income with Operating leases reclassified as debt =</t>
  </si>
  <si>
    <t>Debt with Operating leases reclassified as debt =</t>
  </si>
  <si>
    <t>Full Operating lease adjustment</t>
  </si>
  <si>
    <t>Reported Operating income =</t>
  </si>
  <si>
    <t xml:space="preserve"> + Current year's operating lease expense =</t>
  </si>
  <si>
    <t xml:space="preserve"> - Depreciation on leased asset =</t>
  </si>
  <si>
    <t>Adjusted Operating Income</t>
  </si>
  <si>
    <t>Date</t>
  </si>
  <si>
    <t>RATE OF RETURN OF NIFTY 200</t>
  </si>
  <si>
    <t>RATE OF RETURN</t>
  </si>
  <si>
    <t>RETURN OF NIFTY 200</t>
  </si>
  <si>
    <t>rm</t>
  </si>
  <si>
    <t>RETURN OF IHCL</t>
  </si>
  <si>
    <t>ri</t>
  </si>
  <si>
    <t>BETA</t>
  </si>
  <si>
    <t>RISK FREE RATE</t>
  </si>
  <si>
    <t>as on apr 2019</t>
  </si>
  <si>
    <t>10 year govt bond rate india</t>
  </si>
  <si>
    <t>inflation 2019</t>
  </si>
  <si>
    <t>risk free rate</t>
  </si>
  <si>
    <t>UNLEVEARED BETA</t>
  </si>
  <si>
    <t>CRP</t>
  </si>
  <si>
    <t>COUNTRY RISK PREMIMUM</t>
  </si>
  <si>
    <t>MARKET RETURN</t>
  </si>
  <si>
    <t>RETURN ON ASSET</t>
  </si>
  <si>
    <t>UNLIVERED COST OF EQUITY</t>
  </si>
  <si>
    <t>Tax Rate</t>
  </si>
  <si>
    <t>Post Tax-Cost of Debt</t>
  </si>
  <si>
    <t>Price of stock as on 1,April,2019</t>
  </si>
  <si>
    <t>Total No of Shares as on 31,march,2019</t>
  </si>
  <si>
    <t>Total Market Value of stock</t>
  </si>
  <si>
    <t>Current Maturities of long term borrowings</t>
  </si>
  <si>
    <t>Total Long term debt</t>
  </si>
  <si>
    <t>Total Debt</t>
  </si>
  <si>
    <t>TOTAL EQUITY AND DEBT</t>
  </si>
  <si>
    <t>Weight of Equity</t>
  </si>
  <si>
    <t>Weight of Debt</t>
  </si>
  <si>
    <t>Weighted Average Cost Of Capital</t>
  </si>
  <si>
    <t>crore</t>
  </si>
  <si>
    <t>BV of equity</t>
  </si>
  <si>
    <t>BV of Debt</t>
  </si>
  <si>
    <t>Non Covertible Debentures(NCDs)</t>
  </si>
  <si>
    <t>Eff Rate of Interest</t>
  </si>
  <si>
    <t>Maturity</t>
  </si>
  <si>
    <t>Face Value</t>
  </si>
  <si>
    <t xml:space="preserve">Percentage </t>
  </si>
  <si>
    <t>Weighted average rate</t>
  </si>
  <si>
    <t>Secured</t>
  </si>
  <si>
    <t>(a) 7.85% Non Convertible Debentures</t>
  </si>
  <si>
    <t>April 15,2022</t>
  </si>
  <si>
    <t>(b) 10.10% Non Convertible Debentures</t>
  </si>
  <si>
    <t>Nov 18,2021</t>
  </si>
  <si>
    <t>(c) 9.95% Non Convertible Debentures</t>
  </si>
  <si>
    <t>July 27, 2021</t>
  </si>
  <si>
    <t>Unsecured</t>
  </si>
  <si>
    <t>Aprl 20,2020</t>
  </si>
  <si>
    <t>(b) 2% Non Convertible Debentures</t>
  </si>
  <si>
    <t>Dec 9, 2019</t>
  </si>
  <si>
    <t>Weighted Average Eff rate of interest</t>
  </si>
  <si>
    <t>Pre Tax -Cost Of Debt</t>
  </si>
  <si>
    <t>IHCL STATEMENT OF JURY'S CASH FLOW TEMPLATE</t>
  </si>
  <si>
    <t>`</t>
  </si>
  <si>
    <t>difference</t>
  </si>
  <si>
    <t>Operating Cash Margin</t>
  </si>
  <si>
    <t>Invested/Generated from Net working Assets</t>
  </si>
  <si>
    <t>Net Capital Expenditure</t>
  </si>
  <si>
    <t>Taxation</t>
  </si>
  <si>
    <t>CASH AVAILABLE TO SATISFY FINANCE PROVIDERS</t>
  </si>
  <si>
    <t>Net Interest</t>
  </si>
  <si>
    <t>Net Dividence</t>
  </si>
  <si>
    <t>Other Non-Operating Income/(Expenditure)</t>
  </si>
  <si>
    <t>NET CASH GENERATED /(ABSOBED) BEFORE FINANCING</t>
  </si>
  <si>
    <t>Financed by:</t>
  </si>
  <si>
    <t>Increase /(Decrease) In Equity</t>
  </si>
  <si>
    <t>Increase/(Decrease) In Debt</t>
  </si>
  <si>
    <t>Increase/Decrease In Derivatives</t>
  </si>
  <si>
    <t>Increase /Decrease In Cash</t>
  </si>
  <si>
    <t>TOTAL CHANGE IN FINANCING</t>
  </si>
  <si>
    <t>Operating Cash Margin / Sales</t>
  </si>
  <si>
    <t>Capex / Sales</t>
  </si>
  <si>
    <t>Capex / Depresiation</t>
  </si>
  <si>
    <t>a</t>
  </si>
  <si>
    <t>Trade Payable Dates</t>
  </si>
  <si>
    <t>Trade  Payable Turnover</t>
  </si>
  <si>
    <t>Accounts Receivable Dates</t>
  </si>
  <si>
    <t>Accounts Receivable Turnover</t>
  </si>
  <si>
    <t>Self Financing (or) Internal Growth Rate</t>
  </si>
  <si>
    <t>Percentage of net income retained in business</t>
  </si>
  <si>
    <t>Cash Effectivesness</t>
  </si>
  <si>
    <t>Cash Generation and Requirements</t>
  </si>
  <si>
    <t>Return on Invested Capital -Market</t>
  </si>
  <si>
    <t>Return On Invested Capital</t>
  </si>
  <si>
    <t>Return On Equity</t>
  </si>
  <si>
    <t>Financial Leverage</t>
  </si>
  <si>
    <t>Profitability</t>
  </si>
  <si>
    <t>Return on Assets</t>
  </si>
  <si>
    <t>Overall Measure Of Performance</t>
  </si>
  <si>
    <t>Times Interest Earned (Interest Coverage)</t>
  </si>
  <si>
    <t>Debt to Total Capital</t>
  </si>
  <si>
    <t>Debt to Equity</t>
  </si>
  <si>
    <t>Quick Ratio</t>
  </si>
  <si>
    <t>Current Ratio</t>
  </si>
  <si>
    <t>Capital Structure/Liquidity Measures</t>
  </si>
  <si>
    <t>Asset Turnover</t>
  </si>
  <si>
    <t>Capital Asset Intensity (Fixed Asset Turnover)</t>
  </si>
  <si>
    <t>Operating Capital Turnover  and Operating Capital % Sales</t>
  </si>
  <si>
    <t xml:space="preserve">Operating Capital </t>
  </si>
  <si>
    <t>Debt to Asset</t>
  </si>
  <si>
    <t>Operating Cash Cycle</t>
  </si>
  <si>
    <t>Days Sales in Inventory (DSI)</t>
  </si>
  <si>
    <t>Inventory Return</t>
  </si>
  <si>
    <t>Days Sales Outstanding (DSO)</t>
  </si>
  <si>
    <t>Asset Utilization Measures</t>
  </si>
  <si>
    <t>Return on Sales</t>
  </si>
  <si>
    <t>Operating Income(EBIT) % Sales</t>
  </si>
  <si>
    <t>SG&amp;A % Sales</t>
  </si>
  <si>
    <t>Gross Margin % of Sales</t>
  </si>
  <si>
    <t xml:space="preserve">Gross Margin </t>
  </si>
  <si>
    <t>Compound Annual Growth Rate</t>
  </si>
  <si>
    <t>Year-Over -Year Growth</t>
  </si>
  <si>
    <t>Sales Growth</t>
  </si>
  <si>
    <t>OPERATING MEASURES</t>
  </si>
  <si>
    <t>Net Income %</t>
  </si>
  <si>
    <t>Economic Profit</t>
  </si>
  <si>
    <t>Capital Charge</t>
  </si>
  <si>
    <t>COGS</t>
  </si>
  <si>
    <t>Sales</t>
  </si>
  <si>
    <t>EBITDA</t>
  </si>
  <si>
    <t>EBIAT</t>
  </si>
  <si>
    <t>EBIT</t>
  </si>
  <si>
    <t>Net Income</t>
  </si>
  <si>
    <t>Industry Average</t>
  </si>
  <si>
    <t xml:space="preserve">Lemon Tree </t>
  </si>
  <si>
    <t>ITDC</t>
  </si>
  <si>
    <t>EIH</t>
  </si>
  <si>
    <t>Chalet</t>
  </si>
  <si>
    <t>TAJ GVK</t>
  </si>
  <si>
    <t>Mahindra</t>
  </si>
  <si>
    <t>Weat Life Development</t>
  </si>
  <si>
    <t>w</t>
  </si>
  <si>
    <t>S</t>
  </si>
  <si>
    <t>W</t>
  </si>
  <si>
    <t>N</t>
  </si>
  <si>
    <t>Self Financing (or) Inyternal Growth Rate</t>
  </si>
  <si>
    <t>-</t>
  </si>
  <si>
    <t xml:space="preserve">Debt to Asset </t>
  </si>
  <si>
    <t>Net Sales</t>
  </si>
  <si>
    <t>Assessment</t>
  </si>
  <si>
    <t>Revenue growth rate</t>
    <phoneticPr fontId="5" type="noConversion"/>
  </si>
  <si>
    <t>EBIT (Operating) margin</t>
    <phoneticPr fontId="5" type="noConversion"/>
  </si>
  <si>
    <t>EBIT (Operating income)</t>
    <phoneticPr fontId="5" type="noConversion"/>
  </si>
  <si>
    <t>Tax rate</t>
  </si>
  <si>
    <t>EBIT(1-t)</t>
  </si>
  <si>
    <t>FCFF</t>
  </si>
  <si>
    <t>Cost of capital</t>
  </si>
  <si>
    <t>Cumulated discount factor</t>
  </si>
  <si>
    <t>PV(FCFF)</t>
    <phoneticPr fontId="5" type="noConversion"/>
  </si>
  <si>
    <t>Terminal cash flow</t>
    <phoneticPr fontId="5" type="noConversion"/>
  </si>
  <si>
    <t>Terminal cost of capital</t>
  </si>
  <si>
    <t>Terminal value</t>
    <phoneticPr fontId="5" type="noConversion"/>
  </si>
  <si>
    <t>PV(Terminal value)</t>
    <phoneticPr fontId="5" type="noConversion"/>
  </si>
  <si>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</si>
  <si>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</si>
  <si>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</si>
  <si>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</si>
  <si>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</si>
  <si>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</si>
  <si>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</si>
  <si>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</si>
  <si>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</si>
  <si>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</si>
  <si>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</si>
  <si>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</si>
  <si>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Number of shares</t>
    <phoneticPr fontId="5" type="noConversion"/>
  </si>
  <si>
    <t>Estimated value /share</t>
  </si>
  <si>
    <t>Price</t>
  </si>
  <si>
    <t>Price as % of value</t>
  </si>
  <si>
    <t>Implied variables</t>
    <phoneticPr fontId="5" type="noConversion"/>
  </si>
  <si>
    <t>Sales to capital ratio</t>
  </si>
  <si>
    <t>Terminal year</t>
  </si>
  <si>
    <t>Base year(2019)</t>
  </si>
  <si>
    <t>Capex</t>
  </si>
  <si>
    <t>Dep</t>
  </si>
  <si>
    <t>Net Capex</t>
  </si>
  <si>
    <t>tax rate</t>
  </si>
  <si>
    <t>Net Capex % of EBIT(1-t)</t>
  </si>
  <si>
    <t>Total Current Assets</t>
  </si>
  <si>
    <t>Total Current Liabilities</t>
  </si>
  <si>
    <t>Non Cash Current Assets</t>
  </si>
  <si>
    <t>Non Debt Current Liabilities</t>
  </si>
  <si>
    <t>Noncash working capital</t>
  </si>
  <si>
    <t>working capital</t>
  </si>
  <si>
    <t>Revenue</t>
  </si>
  <si>
    <t>Non cash wc % of revenue</t>
  </si>
  <si>
    <t>Change in Non cash working Capital</t>
  </si>
  <si>
    <t>Dividend payout ratio</t>
  </si>
  <si>
    <t xml:space="preserve">IHCL STATEMENT OF PROFIT AND LOSS </t>
  </si>
  <si>
    <t>INCOME</t>
  </si>
  <si>
    <t>Revenue from operations</t>
  </si>
  <si>
    <t>Other income</t>
  </si>
  <si>
    <t>TOTAL INCOME</t>
  </si>
  <si>
    <t>EXPENSES</t>
  </si>
  <si>
    <t>Food and beverages consumed</t>
  </si>
  <si>
    <t>Employee benefit expenses and payment to contractors</t>
  </si>
  <si>
    <t>Finance costs</t>
  </si>
  <si>
    <t>Depreciation and amortisation expenses</t>
  </si>
  <si>
    <t>Other operating and general expenses</t>
  </si>
  <si>
    <t>TOTAL EXPENSES</t>
  </si>
  <si>
    <t>PROFIT BEFORE EXCEPTIONAL ITEMS AND TAX</t>
  </si>
  <si>
    <t>Exceptional items</t>
  </si>
  <si>
    <t>PROFIT BEFORE TAX</t>
  </si>
  <si>
    <t>TAX EXPENSES</t>
  </si>
  <si>
    <t>Current Tax</t>
  </si>
  <si>
    <t>Defferd Tax</t>
  </si>
  <si>
    <t>Minimum Alternate Tax Credit</t>
  </si>
  <si>
    <t>Excess Provision Of Tax Earliet Years</t>
  </si>
  <si>
    <t>TOTAL TAX EXPENSE</t>
  </si>
  <si>
    <t>PROFIT AFTER TAX</t>
  </si>
  <si>
    <t>Share of Profit of Associates and joint ventures(net of tax)</t>
  </si>
  <si>
    <t>Non-Controlling interest in subsidiaries</t>
  </si>
  <si>
    <t>Profit after Tax attributable to owners of the company</t>
  </si>
  <si>
    <t>INTEREST EXPENSE</t>
  </si>
  <si>
    <t>PROFIT BEFORE INTEREST EXPENSE AND TAX</t>
  </si>
  <si>
    <t>INTEREST COVERAGE RATIO</t>
  </si>
  <si>
    <t>Non derivative financial liabilities</t>
  </si>
  <si>
    <t>Borrowings (Including redemption premium)</t>
  </si>
  <si>
    <t>Trade and other payables</t>
  </si>
  <si>
    <t>Interest accured on borrowings</t>
  </si>
  <si>
    <t>Other Financial Liabilities</t>
  </si>
  <si>
    <t>Total</t>
  </si>
  <si>
    <t>Derivative instruments</t>
  </si>
  <si>
    <t>Financial Guarantee contracts</t>
  </si>
  <si>
    <t>Total Financial liabilities</t>
  </si>
  <si>
    <t>3-5</t>
  </si>
  <si>
    <t>&gt;5</t>
  </si>
  <si>
    <t>Base</t>
  </si>
  <si>
    <t>Net Debt including derivatives instruments</t>
  </si>
  <si>
    <t>Average</t>
  </si>
  <si>
    <t>Expected Growth rate</t>
  </si>
  <si>
    <t>Retained Earnings</t>
  </si>
  <si>
    <t>Payout Ratio</t>
  </si>
  <si>
    <t>Retained Ratio</t>
  </si>
  <si>
    <t xml:space="preserve">Equity reinvestment </t>
  </si>
  <si>
    <t>Equity Reinvestment rate</t>
  </si>
  <si>
    <t>Return on equity</t>
  </si>
  <si>
    <t>Expected Growth in net income</t>
  </si>
  <si>
    <t>growth rate in EPS</t>
  </si>
  <si>
    <t>ROC</t>
  </si>
  <si>
    <t>D/B</t>
  </si>
  <si>
    <t>i</t>
  </si>
  <si>
    <t>t</t>
  </si>
  <si>
    <t>ROE</t>
  </si>
  <si>
    <t>Marginal Return On Equity</t>
  </si>
  <si>
    <t>Change in Net Income</t>
  </si>
  <si>
    <t>Change in Book value of equity</t>
  </si>
  <si>
    <t>Addition to expected growth rate</t>
  </si>
  <si>
    <t>Total Expected growth rate</t>
  </si>
  <si>
    <t>Reinvestment rate</t>
  </si>
  <si>
    <t>Growth in Operating Income</t>
  </si>
  <si>
    <t>Return on capital</t>
  </si>
  <si>
    <t>Adjusted Growth rate _EBIT</t>
  </si>
  <si>
    <t>Growth rate _EBIT</t>
  </si>
  <si>
    <t>Sales to Capital Ratio</t>
  </si>
  <si>
    <t>Expected growth rate for next 9 years</t>
  </si>
  <si>
    <t>Change in net sales</t>
  </si>
  <si>
    <t xml:space="preserve">Market numbers </t>
  </si>
  <si>
    <t>Initial cost of capital =</t>
  </si>
  <si>
    <t>Other inputs</t>
  </si>
  <si>
    <t>Do you have employee options outstanding?</t>
  </si>
  <si>
    <t>Number of options outstanding =</t>
  </si>
  <si>
    <t>Average strike price =</t>
  </si>
  <si>
    <t>Average maturity =</t>
  </si>
  <si>
    <t>Standard deviation on stock price =</t>
  </si>
  <si>
    <t>Sale to capital</t>
  </si>
  <si>
    <t>EBIT growth rate</t>
  </si>
  <si>
    <t>-Net Capex</t>
  </si>
  <si>
    <t>-Change in non cash working capital</t>
  </si>
  <si>
    <t>-Reinvestment</t>
  </si>
  <si>
    <t>Risk free rate</t>
  </si>
  <si>
    <t>Mature market equity risk premium</t>
  </si>
  <si>
    <t>Country risk premium</t>
  </si>
  <si>
    <t>Cost of equity</t>
  </si>
  <si>
    <t>Cost of debt</t>
  </si>
  <si>
    <t>Default spread</t>
  </si>
  <si>
    <t>Before tax cost of debt</t>
  </si>
  <si>
    <t>after tax cost of debt</t>
  </si>
  <si>
    <t>Percentage of Debt</t>
  </si>
  <si>
    <t>Percentage of Equity</t>
  </si>
  <si>
    <t>Unleavered Beta</t>
  </si>
  <si>
    <t>Levared beta</t>
  </si>
  <si>
    <t>Value  of Debt</t>
  </si>
  <si>
    <t>Market value of Equity</t>
  </si>
  <si>
    <t>The Story</t>
  </si>
  <si>
    <t>The Assumptions</t>
  </si>
  <si>
    <t>Base year</t>
  </si>
  <si>
    <t>Years 1-5</t>
  </si>
  <si>
    <t>Years 6-10</t>
  </si>
  <si>
    <t>After year 10</t>
  </si>
  <si>
    <t>Link to story</t>
  </si>
  <si>
    <t>Revenues (a)</t>
  </si>
  <si>
    <t>Operating margin (b)</t>
  </si>
  <si>
    <t>Reinvestment (c )</t>
  </si>
  <si>
    <t>Sales to capital ratio =</t>
  </si>
  <si>
    <t>RIR =</t>
  </si>
  <si>
    <t>Marginal ROIC =</t>
  </si>
  <si>
    <t>Cost of capital (d)</t>
  </si>
  <si>
    <t>The Cash Flows</t>
  </si>
  <si>
    <t>Operating Margin</t>
  </si>
  <si>
    <t>EBIT (1-t)</t>
  </si>
  <si>
    <t xml:space="preserve">Reinvestment </t>
  </si>
  <si>
    <t>The Value</t>
  </si>
  <si>
    <t>Terminal value</t>
  </si>
  <si>
    <t>PV(Terminal value)</t>
  </si>
  <si>
    <t>Adjustment for distress</t>
  </si>
  <si>
    <t xml:space="preserve"> - Debt &amp; Mnority Interests</t>
  </si>
  <si>
    <t xml:space="preserve"> + Cash &amp; Other Non-operating assets</t>
  </si>
  <si>
    <t xml:space="preserve"> - Value of equity options</t>
  </si>
  <si>
    <t>Number of shares</t>
  </si>
  <si>
    <t>Value per share</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</si>
  <si>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</si>
  <si>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</si>
  <si>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</si>
  <si>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</si>
  <si>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</si>
  <si>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Invested Capital</t>
  </si>
  <si>
    <t>ROIC</t>
  </si>
  <si>
    <t>1-5 year</t>
  </si>
  <si>
    <t>5-6 year</t>
  </si>
  <si>
    <t>Growth rate</t>
  </si>
  <si>
    <t>Capex rate</t>
  </si>
  <si>
    <t>Non cash working capital rate</t>
  </si>
  <si>
    <t xml:space="preserve">Net Capex </t>
  </si>
  <si>
    <t>Non Cash Working Capital</t>
  </si>
  <si>
    <t>Riskfree rate adjusted for inflation</t>
  </si>
  <si>
    <t>Discount rate</t>
  </si>
  <si>
    <t>Weighted average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</si>
</sst>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 &quot;₹&quot;\ * #,##0.00_ ;_ &quot;₹&quot;\ * \-#,##0.00_ ;_ &quot;₹&quot;\ * &quot;-&quot;??_ ;_ @_ "/>
    <numFmt numFmtId="43" formatCode="_ * #,##0.00_ ;_ * \-#,##0.00_ ;_ * &quot;-&quot;??_ ;_ @_ "/>
    <numFmt numFmtId="164" formatCode="&quot;$&quot;#,##0.00"/>
    <numFmt numFmtId="165" formatCode="_ [$₹-4009]\ * #,##0.00_ ;_ [$₹-4009]\ * \-#,##0.00_ ;_ [$₹-4009]\ * &quot;-&quot;??_ ;_ @_ "/>
    <numFmt numFmtId="166" formatCode="_(&quot;$&quot;* #,##0.00_);_(&quot;$&quot;* \(#,##0.00\);_(&quot;$&quot;* &quot;-&quot;??_);_(@_)"/>
    <numFmt numFmtId="167" formatCode="&quot;$&quot;#,##0.00_);[Red]\(&quot;$&quot;#,##0.00\)"/>
    <numFmt numFmtId="168" formatCode="0.00000E+00"/>
    <numFmt numFmtId="169" formatCode="0.0000"/>
    <numFmt numFmtId="170" formatCode="0.0000%"/>
    <numFmt numFmtId="171" formatCode="0.000%"/>
    <numFmt numFmtId="172" formatCode="0.0%"/>
    <numFmt numFmtId="173" formatCode="0.00000000000000000%"/>
    <numFmt numFmtId="174" formatCode="_(&quot;$&quot;* #,##0_);_(&quot;$&quot;* \(#,##0\);_(&quot;$&quot;* &quot;-&quot;??_);_(@_)"/>
    <numFmt numFmtId="175" formatCode="_([$$-409]* #,##0_);_([$$-409]* \(#,##0\);_([$$-409]* &quot;-&quot;??_);_(@_)"/>
    <numFmt numFmtId="176" formatCode="_(* #,##0.00_);_(* \(#,##0.00\);_(* &quot;-&quot;??_);_(@_)"/>
  </numFmts>
  <fonts count="37">
    <font>
      <sz val="11"/>
      <color theme="1"/>
      <name val="Calibri"/>
      <family val="2"/>
      <scheme val="minor"/>
    </font>
    <font>
      <sz val="11"/>
      <color theme="1"/>
      <name val="Calibri"/>
      <family val="2"/>
      <scheme val="minor"/>
    </font>
    <font>
      <i/>
      <sz val="9"/>
      <name val="Geneva"/>
    </font>
    <font>
      <b/>
      <sz val="10"/>
      <name val="Helv"/>
    </font>
    <font>
      <b/>
      <sz val="11"/>
      <color theme="1"/>
      <name val="Calibri"/>
      <family val="2"/>
      <scheme val="minor"/>
    </font>
    <font>
      <sz val="11"/>
      <color theme="0"/>
      <name val="Calibri"/>
      <family val="2"/>
      <scheme val="minor"/>
    </font>
    <font>
      <sz val="10"/>
      <name val="Times"/>
    </font>
    <font>
      <i/>
      <sz val="10"/>
      <name val="Times"/>
    </font>
    <font>
      <b/>
      <sz val="14"/>
      <name val="Times"/>
      <family val="1"/>
    </font>
    <font>
      <b/>
      <sz val="10"/>
      <name val="Times"/>
      <family val="1"/>
    </font>
    <font>
      <sz val="10"/>
      <name val="Times"/>
      <family val="1"/>
    </font>
    <font>
      <i/>
      <sz val="10"/>
      <name val="Times"/>
      <family val="1"/>
    </font>
    <font>
      <b/>
      <sz val="12"/>
      <name val="Times"/>
    </font>
    <font>
      <b/>
      <sz val="9"/>
      <color indexed="81"/>
      <name val="Geneva"/>
    </font>
    <font>
      <sz val="9"/>
      <color indexed="81"/>
      <name val="Geneva"/>
    </font>
    <font>
      <b/>
      <sz val="11"/>
      <color rgb="FFFFFF00"/>
      <name val="Calibri"/>
      <family val="2"/>
      <scheme val="minor"/>
    </font>
    <font>
      <b/>
      <sz val="26"/>
      <color theme="3" tint="0.79998168889431442"/>
      <name val="Calibri"/>
      <family val="2"/>
      <scheme val="minor"/>
    </font>
    <font>
      <sz val="11"/>
      <color rgb="FFFF0000"/>
      <name val="Calibri"/>
      <family val="2"/>
      <scheme val="minor"/>
    </font>
    <font>
      <b/>
      <sz val="11"/>
      <color rgb="FFFF0000"/>
      <name val="Calibri"/>
      <family val="2"/>
      <scheme val="minor"/>
    </font>
    <font>
      <b/>
      <i/>
      <sz val="11"/>
      <color theme="1"/>
      <name val="Calibri"/>
      <family val="2"/>
      <scheme val="minor"/>
    </font>
    <font>
      <sz val="11"/>
      <color rgb="FFFFFF00"/>
      <name val="Calibri"/>
      <family val="2"/>
      <scheme val="minor"/>
    </font>
    <font>
      <i/>
      <sz val="12"/>
      <name val="Times"/>
    </font>
    <font>
      <sz val="12"/>
      <name val="Times"/>
    </font>
    <font>
      <b/>
      <i/>
      <u/>
      <sz val="12"/>
      <name val="Times"/>
      <family val="1"/>
    </font>
    <font>
      <sz val="11"/>
      <color theme="3" tint="0.79998168889431442"/>
      <name val="Calibri"/>
      <family val="2"/>
      <scheme val="minor"/>
    </font>
    <font>
      <b/>
      <sz val="14"/>
      <color theme="1"/>
      <name val="Calibri"/>
      <family val="2"/>
      <scheme val="minor"/>
    </font>
    <font>
      <sz val="10"/>
      <name val="Helv"/>
    </font>
    <font>
      <b/>
      <i/>
      <sz val="10"/>
      <name val="Helv"/>
    </font>
    <font>
      <b/>
      <sz val="12"/>
      <color theme="1"/>
      <name val="Calibri"/>
      <family val="2"/>
      <scheme val="minor"/>
    </font>
    <font>
      <b/>
      <i/>
      <sz val="12"/>
      <color theme="1"/>
      <name val="Calibri"/>
      <scheme val="minor"/>
    </font>
    <font>
      <sz val="12"/>
      <name val="Calibri"/>
      <scheme val="minor"/>
    </font>
    <font>
      <i/>
      <sz val="12"/>
      <color theme="1"/>
      <name val="Calibri"/>
      <family val="2"/>
      <scheme val="minor"/>
    </font>
    <font>
      <sz val="9"/>
      <name val="Geneva"/>
    </font>
    <font>
      <sz val="12"/>
      <color rgb="FFFF0000"/>
      <name val="Calibri"/>
      <family val="2"/>
      <scheme val="minor"/>
    </font>
    <font>
      <i/>
      <sz val="12"/>
      <color rgb="FFFF0000"/>
      <name val="Calibri (Body)"/>
    </font>
    <font>
      <i/>
      <sz val="12"/>
      <color rgb="FFFF0000"/>
      <name val="Geneva"/>
    </font>
    <font>
      <sz val="12"/>
      <color rgb="FFFF0000"/>
      <name val="Calibri (Body)"/>
    </font>
  </fonts>
  <fills count="19">
    <fill>
      <patternFill patternType="none"/>
    </fill>
    <fill>
      <patternFill patternType="gray125"/>
    </fill>
    <fill>
      <patternFill patternType="solid">
        <fgColor rgb="FFFF0000"/>
        <bgColor indexed="64"/>
      </patternFill>
    </fill>
    <fill>
      <patternFill patternType="solid">
        <fgColor indexed="43"/>
        <bgColor indexed="64"/>
      </patternFill>
    </fill>
    <fill>
      <patternFill patternType="solid">
        <fgColor indexed="42"/>
        <bgColor indexed="64"/>
      </patternFill>
    </fill>
    <fill>
      <patternFill patternType="solid">
        <fgColor rgb="FFFFFF00"/>
        <bgColor indexed="64"/>
      </patternFill>
    </fill>
    <fill>
      <patternFill patternType="solid">
        <fgColor indexed="1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2" tint="-0.89999084444715716"/>
        <bgColor indexed="64"/>
      </patternFill>
    </fill>
    <fill>
      <patternFill patternType="solid">
        <fgColor theme="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theme="0" tint="-0.249977111117893"/>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0" fontId="32" fillId="0" borderId="0"/>
    <xf numFmtId="166" fontId="32" fillId="0" borderId="0" applyFont="0" applyFill="0" applyBorder="0" applyAlignment="0" applyProtection="0"/>
    <xf numFmtId="9" fontId="32" fillId="0" borderId="0" applyFont="0" applyFill="0" applyBorder="0" applyAlignment="0" applyProtection="0"/>
  </cellStyleXfs>
  <cellXfs count="348">
    <xf numFmtId="0" fontId="0" fillId="0" borderId="0" xfId="0"/>
    <xf numFmtId="17" fontId="0" fillId="0" borderId="0" xfId="0" applyNumberFormat="1"/>
    <xf numFmtId="2" fontId="0" fillId="0" borderId="0" xfId="0" applyNumberFormat="1"/>
    <xf numFmtId="0" fontId="0" fillId="0" borderId="1" xfId="0" applyBorder="1" applyAlignment="1">
      <alignment horizontal="center"/>
    </xf>
    <xf numFmtId="164" fontId="0" fillId="0" borderId="1" xfId="0" applyNumberFormat="1" applyBorder="1" applyAlignment="1">
      <alignment horizontal="center"/>
    </xf>
    <xf numFmtId="164" fontId="0" fillId="0" borderId="1" xfId="0" applyNumberFormat="1" applyBorder="1"/>
    <xf numFmtId="10" fontId="0" fillId="0" borderId="1" xfId="1" applyNumberFormat="1" applyFont="1" applyBorder="1" applyAlignment="1">
      <alignment horizontal="center"/>
    </xf>
    <xf numFmtId="0" fontId="0" fillId="0" borderId="1" xfId="0" applyBorder="1"/>
    <xf numFmtId="164" fontId="2" fillId="0" borderId="0" xfId="0" applyNumberFormat="1" applyFont="1" applyAlignment="1">
      <alignment horizontal="center"/>
    </xf>
    <xf numFmtId="164" fontId="2" fillId="0" borderId="0" xfId="0" applyNumberFormat="1" applyFont="1"/>
    <xf numFmtId="0" fontId="2" fillId="0" borderId="0" xfId="0" applyFont="1"/>
    <xf numFmtId="164" fontId="0" fillId="0" borderId="0" xfId="0" applyNumberFormat="1" applyAlignment="1">
      <alignment horizontal="center"/>
    </xf>
    <xf numFmtId="164" fontId="0" fillId="0" borderId="0" xfId="0" applyNumberFormat="1"/>
    <xf numFmtId="0" fontId="0" fillId="0" borderId="0" xfId="0"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0" fillId="0" borderId="1" xfId="0" applyNumberFormat="1" applyBorder="1" applyAlignment="1">
      <alignment horizontal="center"/>
    </xf>
    <xf numFmtId="165" fontId="0" fillId="2" borderId="1" xfId="0" applyNumberFormat="1" applyFill="1" applyBorder="1" applyAlignment="1">
      <alignment horizontal="center"/>
    </xf>
    <xf numFmtId="10" fontId="0" fillId="0" borderId="0" xfId="0" applyNumberFormat="1"/>
    <xf numFmtId="0" fontId="0" fillId="0" borderId="1" xfId="0" applyBorder="1" applyAlignment="1">
      <alignment vertical="top"/>
    </xf>
    <xf numFmtId="0" fontId="3" fillId="0" borderId="0" xfId="0" applyFont="1"/>
    <xf numFmtId="9" fontId="0" fillId="0" borderId="0" xfId="0" applyNumberFormat="1"/>
    <xf numFmtId="0" fontId="6" fillId="0" borderId="0" xfId="0" applyFont="1"/>
    <xf numFmtId="0" fontId="7" fillId="0" borderId="0" xfId="0" applyFont="1"/>
    <xf numFmtId="44" fontId="6" fillId="4" borderId="1" xfId="2" applyFont="1" applyFill="1" applyBorder="1"/>
    <xf numFmtId="44" fontId="6" fillId="3" borderId="1" xfId="2" applyFont="1" applyFill="1" applyBorder="1"/>
    <xf numFmtId="0" fontId="0" fillId="0" borderId="0" xfId="0" applyBorder="1"/>
    <xf numFmtId="0" fontId="6" fillId="0" borderId="0" xfId="0" applyFont="1" applyBorder="1"/>
    <xf numFmtId="0" fontId="7" fillId="0" borderId="0" xfId="0" applyFont="1" applyBorder="1"/>
    <xf numFmtId="0" fontId="6" fillId="0" borderId="0" xfId="0" applyFont="1" applyBorder="1" applyAlignment="1">
      <alignment horizontal="center"/>
    </xf>
    <xf numFmtId="165" fontId="0" fillId="0" borderId="0" xfId="0" applyNumberFormat="1" applyBorder="1" applyAlignment="1">
      <alignment horizontal="center"/>
    </xf>
    <xf numFmtId="0" fontId="0" fillId="0" borderId="0" xfId="0" applyFill="1" applyBorder="1"/>
    <xf numFmtId="10" fontId="6" fillId="0" borderId="0" xfId="0" applyNumberFormat="1" applyFont="1" applyFill="1" applyBorder="1" applyAlignment="1">
      <alignment horizontal="center"/>
    </xf>
    <xf numFmtId="44" fontId="6" fillId="0" borderId="0" xfId="2" applyFont="1" applyFill="1" applyBorder="1"/>
    <xf numFmtId="0" fontId="6" fillId="0" borderId="0" xfId="0" applyFont="1" applyFill="1" applyBorder="1" applyAlignment="1">
      <alignment horizontal="center"/>
    </xf>
    <xf numFmtId="0" fontId="8" fillId="0" borderId="0" xfId="0" applyFont="1" applyAlignment="1">
      <alignment horizontal="centerContinuous"/>
    </xf>
    <xf numFmtId="0" fontId="8" fillId="0" borderId="0" xfId="0" applyFont="1"/>
    <xf numFmtId="0" fontId="9" fillId="0" borderId="0" xfId="0" applyFont="1"/>
    <xf numFmtId="0" fontId="10" fillId="0" borderId="0" xfId="0" applyFont="1"/>
    <xf numFmtId="0" fontId="11" fillId="0" borderId="0" xfId="0" applyFont="1"/>
    <xf numFmtId="0" fontId="10" fillId="0" borderId="1" xfId="0" applyFont="1" applyBorder="1" applyAlignment="1">
      <alignment horizontal="center"/>
    </xf>
    <xf numFmtId="165" fontId="0" fillId="5" borderId="1" xfId="0" applyNumberFormat="1" applyFill="1" applyBorder="1" applyAlignment="1">
      <alignment horizontal="center"/>
    </xf>
    <xf numFmtId="0" fontId="12" fillId="0" borderId="0" xfId="0" applyFont="1"/>
    <xf numFmtId="0" fontId="10" fillId="4" borderId="1" xfId="0" applyFont="1" applyFill="1" applyBorder="1" applyAlignment="1">
      <alignment horizontal="center"/>
    </xf>
    <xf numFmtId="0" fontId="10" fillId="0" borderId="1" xfId="0" applyFont="1" applyBorder="1"/>
    <xf numFmtId="166" fontId="10" fillId="4" borderId="1" xfId="0" applyNumberFormat="1" applyFont="1" applyFill="1" applyBorder="1"/>
    <xf numFmtId="44" fontId="10" fillId="4" borderId="1" xfId="2" applyFont="1" applyFill="1" applyBorder="1"/>
    <xf numFmtId="0" fontId="10" fillId="0" borderId="4" xfId="0" applyFont="1" applyBorder="1"/>
    <xf numFmtId="0" fontId="10" fillId="0" borderId="3" xfId="0" applyFont="1" applyBorder="1"/>
    <xf numFmtId="0" fontId="10" fillId="4" borderId="3" xfId="0" applyFont="1" applyFill="1" applyBorder="1"/>
    <xf numFmtId="166" fontId="10" fillId="4" borderId="3" xfId="0" applyNumberFormat="1" applyFont="1" applyFill="1" applyBorder="1"/>
    <xf numFmtId="44" fontId="10" fillId="6" borderId="1" xfId="2" applyFont="1" applyFill="1" applyBorder="1"/>
    <xf numFmtId="44" fontId="10" fillId="0" borderId="0" xfId="2" applyFont="1" applyFill="1" applyBorder="1"/>
    <xf numFmtId="167" fontId="10" fillId="0" borderId="0" xfId="0" applyNumberFormat="1" applyFont="1" applyFill="1" applyBorder="1"/>
    <xf numFmtId="166" fontId="10" fillId="0" borderId="0" xfId="0" applyNumberFormat="1" applyFont="1" applyFill="1" applyBorder="1"/>
    <xf numFmtId="164" fontId="0" fillId="0" borderId="0" xfId="0" applyNumberFormat="1" applyFill="1" applyBorder="1"/>
    <xf numFmtId="44" fontId="0" fillId="0" borderId="0" xfId="0" applyNumberFormat="1" applyBorder="1"/>
    <xf numFmtId="43" fontId="0" fillId="0" borderId="0" xfId="0" applyNumberFormat="1" applyBorder="1"/>
    <xf numFmtId="0" fontId="0" fillId="0" borderId="5" xfId="0" applyBorder="1"/>
    <xf numFmtId="0" fontId="0" fillId="0" borderId="6" xfId="0" applyBorder="1"/>
    <xf numFmtId="0" fontId="0" fillId="0" borderId="7" xfId="0" applyBorder="1"/>
    <xf numFmtId="15" fontId="0" fillId="0" borderId="0" xfId="0" applyNumberFormat="1"/>
    <xf numFmtId="14" fontId="0" fillId="0" borderId="0" xfId="0" applyNumberFormat="1"/>
    <xf numFmtId="168" fontId="0" fillId="0" borderId="0" xfId="0" applyNumberFormat="1"/>
    <xf numFmtId="1" fontId="0" fillId="0" borderId="0" xfId="0" applyNumberFormat="1"/>
    <xf numFmtId="0" fontId="4" fillId="5" borderId="0" xfId="0" applyFont="1" applyFill="1"/>
    <xf numFmtId="0" fontId="4" fillId="0" borderId="0" xfId="0" applyFont="1"/>
    <xf numFmtId="0" fontId="0" fillId="7" borderId="0" xfId="0" applyFill="1"/>
    <xf numFmtId="0" fontId="5" fillId="8" borderId="10" xfId="0" applyFont="1" applyFill="1" applyBorder="1" applyAlignment="1">
      <alignment vertical="center"/>
    </xf>
    <xf numFmtId="0" fontId="5" fillId="8" borderId="11" xfId="0" applyFont="1" applyFill="1" applyBorder="1" applyAlignment="1">
      <alignment vertical="center"/>
    </xf>
    <xf numFmtId="0" fontId="5" fillId="8" borderId="12" xfId="0" applyFont="1" applyFill="1" applyBorder="1" applyAlignment="1">
      <alignment vertical="center"/>
    </xf>
    <xf numFmtId="10" fontId="5" fillId="8" borderId="13" xfId="0" applyNumberFormat="1" applyFont="1" applyFill="1" applyBorder="1" applyAlignment="1">
      <alignment vertical="center"/>
    </xf>
    <xf numFmtId="0" fontId="4" fillId="9" borderId="3" xfId="0" applyFont="1" applyFill="1" applyBorder="1" applyAlignment="1">
      <alignment vertical="center"/>
    </xf>
    <xf numFmtId="10" fontId="4" fillId="9" borderId="7" xfId="0" applyNumberFormat="1" applyFont="1" applyFill="1" applyBorder="1" applyAlignment="1">
      <alignment vertical="center"/>
    </xf>
    <xf numFmtId="0" fontId="4" fillId="9" borderId="7" xfId="0" applyFont="1" applyFill="1" applyBorder="1" applyAlignment="1">
      <alignment vertical="center"/>
    </xf>
    <xf numFmtId="9" fontId="4" fillId="9" borderId="7" xfId="1" applyFont="1" applyFill="1" applyBorder="1" applyAlignment="1">
      <alignment vertical="center"/>
    </xf>
    <xf numFmtId="169" fontId="0" fillId="0" borderId="0" xfId="0" applyNumberFormat="1"/>
    <xf numFmtId="170" fontId="4" fillId="9" borderId="7" xfId="1" applyNumberFormat="1" applyFont="1" applyFill="1" applyBorder="1" applyAlignment="1">
      <alignment vertical="center"/>
    </xf>
    <xf numFmtId="0" fontId="15" fillId="10" borderId="3" xfId="0" applyFont="1" applyFill="1" applyBorder="1" applyAlignment="1">
      <alignment vertical="center"/>
    </xf>
    <xf numFmtId="10" fontId="15" fillId="10" borderId="3" xfId="0" applyNumberFormat="1" applyFont="1" applyFill="1" applyBorder="1" applyAlignment="1">
      <alignment vertical="center"/>
    </xf>
    <xf numFmtId="171" fontId="15" fillId="10" borderId="3" xfId="1" applyNumberFormat="1" applyFont="1" applyFill="1" applyBorder="1" applyAlignment="1">
      <alignment vertical="center"/>
    </xf>
    <xf numFmtId="0" fontId="4" fillId="0" borderId="3" xfId="0" applyFont="1" applyBorder="1"/>
    <xf numFmtId="0" fontId="0" fillId="0" borderId="3" xfId="0" applyBorder="1"/>
    <xf numFmtId="9" fontId="0" fillId="0" borderId="0" xfId="1" applyFont="1"/>
    <xf numFmtId="170" fontId="4" fillId="0" borderId="0" xfId="0" applyNumberFormat="1" applyFont="1"/>
    <xf numFmtId="0" fontId="0" fillId="11" borderId="0" xfId="0" applyFill="1"/>
    <xf numFmtId="170" fontId="0" fillId="0" borderId="0" xfId="1" applyNumberFormat="1" applyFont="1"/>
    <xf numFmtId="0" fontId="0" fillId="13" borderId="3" xfId="0" applyFill="1" applyBorder="1"/>
    <xf numFmtId="0" fontId="15" fillId="2" borderId="14" xfId="0" applyFont="1" applyFill="1" applyBorder="1" applyAlignment="1">
      <alignment horizontal="center"/>
    </xf>
    <xf numFmtId="0" fontId="0" fillId="14" borderId="14" xfId="0" applyFill="1" applyBorder="1"/>
    <xf numFmtId="0" fontId="15" fillId="0" borderId="0" xfId="0" applyFont="1" applyFill="1" applyBorder="1" applyAlignment="1">
      <alignment horizontal="center"/>
    </xf>
    <xf numFmtId="0" fontId="4" fillId="0" borderId="0" xfId="0" applyFont="1" applyFill="1" applyBorder="1"/>
    <xf numFmtId="2" fontId="0" fillId="0" borderId="16" xfId="0" applyNumberFormat="1" applyBorder="1"/>
    <xf numFmtId="2" fontId="0" fillId="0" borderId="17" xfId="0" applyNumberFormat="1" applyBorder="1"/>
    <xf numFmtId="0" fontId="4" fillId="15" borderId="0" xfId="0" applyFont="1" applyFill="1" applyAlignment="1">
      <alignment wrapText="1"/>
    </xf>
    <xf numFmtId="2" fontId="0" fillId="0" borderId="17" xfId="1" applyNumberFormat="1" applyFont="1" applyBorder="1"/>
    <xf numFmtId="2" fontId="0" fillId="16" borderId="16" xfId="0" applyNumberFormat="1" applyFill="1" applyBorder="1"/>
    <xf numFmtId="2" fontId="0" fillId="16" borderId="17" xfId="0" applyNumberFormat="1" applyFill="1" applyBorder="1"/>
    <xf numFmtId="0" fontId="4" fillId="16" borderId="0" xfId="0" applyFont="1" applyFill="1" applyAlignment="1">
      <alignment wrapText="1"/>
    </xf>
    <xf numFmtId="9" fontId="0" fillId="0" borderId="0" xfId="1" applyFont="1" applyFill="1" applyBorder="1"/>
    <xf numFmtId="9" fontId="0" fillId="0" borderId="17" xfId="1" applyFont="1" applyBorder="1"/>
    <xf numFmtId="9" fontId="4" fillId="15" borderId="0" xfId="1" applyFont="1" applyFill="1" applyAlignment="1">
      <alignment wrapText="1"/>
    </xf>
    <xf numFmtId="0" fontId="4" fillId="5" borderId="0" xfId="0" applyFont="1" applyFill="1" applyAlignment="1">
      <alignment wrapText="1"/>
    </xf>
    <xf numFmtId="171" fontId="0" fillId="0" borderId="17" xfId="1" applyNumberFormat="1" applyFont="1" applyBorder="1"/>
    <xf numFmtId="2" fontId="17" fillId="0" borderId="17" xfId="0" applyNumberFormat="1" applyFont="1" applyBorder="1"/>
    <xf numFmtId="0" fontId="18" fillId="15" borderId="0" xfId="0" applyFont="1" applyFill="1" applyAlignment="1">
      <alignment wrapText="1"/>
    </xf>
    <xf numFmtId="2" fontId="0" fillId="0" borderId="16" xfId="1" applyNumberFormat="1" applyFont="1" applyBorder="1"/>
    <xf numFmtId="9" fontId="0" fillId="0" borderId="16" xfId="1" applyFont="1" applyBorder="1"/>
    <xf numFmtId="9" fontId="0" fillId="0" borderId="17" xfId="1" applyFont="1" applyFill="1" applyBorder="1"/>
    <xf numFmtId="9" fontId="4" fillId="15" borderId="0" xfId="1" applyFont="1" applyFill="1" applyAlignment="1">
      <alignment horizontal="left" wrapText="1"/>
    </xf>
    <xf numFmtId="0" fontId="19" fillId="15" borderId="0" xfId="0" applyFont="1" applyFill="1" applyAlignment="1">
      <alignment horizontal="left" wrapText="1"/>
    </xf>
    <xf numFmtId="0" fontId="20" fillId="0" borderId="0" xfId="0" applyFont="1"/>
    <xf numFmtId="2" fontId="15" fillId="2" borderId="18" xfId="0" applyNumberFormat="1" applyFont="1" applyFill="1" applyBorder="1" applyAlignment="1">
      <alignment horizontal="center"/>
    </xf>
    <xf numFmtId="2" fontId="15" fillId="2" borderId="14" xfId="0" applyNumberFormat="1" applyFont="1" applyFill="1" applyBorder="1" applyAlignment="1">
      <alignment horizontal="center"/>
    </xf>
    <xf numFmtId="0" fontId="4" fillId="17" borderId="0" xfId="0" applyFont="1" applyFill="1" applyAlignment="1">
      <alignment wrapText="1"/>
    </xf>
    <xf numFmtId="0" fontId="0" fillId="0" borderId="16" xfId="0" applyBorder="1"/>
    <xf numFmtId="0" fontId="0" fillId="0" borderId="18" xfId="0" applyBorder="1"/>
    <xf numFmtId="2" fontId="0" fillId="0" borderId="18" xfId="0" applyNumberFormat="1" applyBorder="1"/>
    <xf numFmtId="2" fontId="0" fillId="0" borderId="18" xfId="1" applyNumberFormat="1" applyFont="1" applyBorder="1"/>
    <xf numFmtId="2" fontId="0" fillId="0" borderId="0" xfId="1" applyNumberFormat="1" applyFont="1"/>
    <xf numFmtId="2" fontId="4" fillId="15" borderId="0" xfId="0" applyNumberFormat="1" applyFont="1" applyFill="1" applyAlignment="1">
      <alignment wrapText="1"/>
    </xf>
    <xf numFmtId="171" fontId="0" fillId="0" borderId="16" xfId="1" applyNumberFormat="1" applyFont="1" applyBorder="1"/>
    <xf numFmtId="10" fontId="0" fillId="0" borderId="0" xfId="1" applyNumberFormat="1" applyFont="1"/>
    <xf numFmtId="9" fontId="0" fillId="0" borderId="18" xfId="1" applyFont="1" applyBorder="1"/>
    <xf numFmtId="0" fontId="19" fillId="15" borderId="0" xfId="0" applyFont="1" applyFill="1" applyAlignment="1">
      <alignment wrapText="1"/>
    </xf>
    <xf numFmtId="0" fontId="17" fillId="0" borderId="0" xfId="0" applyFont="1"/>
    <xf numFmtId="0" fontId="0" fillId="0" borderId="0" xfId="1" applyNumberFormat="1" applyFont="1"/>
    <xf numFmtId="172" fontId="0" fillId="0" borderId="0" xfId="1" applyNumberFormat="1" applyFont="1"/>
    <xf numFmtId="0" fontId="4" fillId="15" borderId="0" xfId="0" applyFont="1" applyFill="1" applyAlignment="1">
      <alignment horizontal="left" wrapText="1"/>
    </xf>
    <xf numFmtId="9" fontId="19" fillId="15" borderId="0" xfId="1" applyFont="1" applyFill="1" applyAlignment="1">
      <alignment horizontal="left" wrapText="1"/>
    </xf>
    <xf numFmtId="0" fontId="0" fillId="16" borderId="0" xfId="0" applyFill="1"/>
    <xf numFmtId="0" fontId="0" fillId="16" borderId="16" xfId="0" applyFill="1" applyBorder="1"/>
    <xf numFmtId="0" fontId="0" fillId="16" borderId="18" xfId="0" applyFill="1" applyBorder="1"/>
    <xf numFmtId="0" fontId="4" fillId="17" borderId="0" xfId="0" applyFont="1" applyFill="1"/>
    <xf numFmtId="2" fontId="15" fillId="2" borderId="16" xfId="0" applyNumberFormat="1" applyFont="1" applyFill="1" applyBorder="1" applyAlignment="1">
      <alignment horizontal="center"/>
    </xf>
    <xf numFmtId="0" fontId="0" fillId="0" borderId="19" xfId="0" applyBorder="1"/>
    <xf numFmtId="0" fontId="0" fillId="0" borderId="21" xfId="0" applyBorder="1"/>
    <xf numFmtId="9" fontId="0" fillId="5" borderId="0" xfId="0" applyNumberFormat="1" applyFill="1" applyBorder="1"/>
    <xf numFmtId="0" fontId="21" fillId="0" borderId="22" xfId="0" applyFont="1" applyBorder="1" applyAlignment="1">
      <alignment horizontal="center"/>
    </xf>
    <xf numFmtId="0" fontId="22" fillId="0" borderId="0" xfId="0" applyFont="1"/>
    <xf numFmtId="0" fontId="22" fillId="0" borderId="1" xfId="0" applyFont="1" applyBorder="1"/>
    <xf numFmtId="0" fontId="23" fillId="0" borderId="1" xfId="0" applyFont="1" applyBorder="1"/>
    <xf numFmtId="0" fontId="21" fillId="0" borderId="1" xfId="0" applyFont="1" applyBorder="1" applyAlignment="1">
      <alignment horizontal="center"/>
    </xf>
    <xf numFmtId="0" fontId="22" fillId="0" borderId="1" xfId="0" applyFont="1" applyBorder="1" applyAlignment="1">
      <alignment horizontal="center"/>
    </xf>
    <xf numFmtId="9" fontId="0" fillId="5" borderId="0" xfId="0" applyNumberFormat="1" applyFill="1"/>
    <xf numFmtId="44" fontId="0" fillId="0" borderId="0" xfId="0" applyNumberFormat="1"/>
    <xf numFmtId="0" fontId="0" fillId="17" borderId="0" xfId="0" applyFill="1"/>
    <xf numFmtId="0" fontId="24" fillId="0" borderId="0" xfId="0" applyFont="1"/>
    <xf numFmtId="0" fontId="4" fillId="17" borderId="23" xfId="0" applyFont="1" applyFill="1" applyBorder="1"/>
    <xf numFmtId="0" fontId="0" fillId="13" borderId="12" xfId="0" applyFill="1" applyBorder="1"/>
    <xf numFmtId="0" fontId="0" fillId="0" borderId="10" xfId="0" applyBorder="1" applyAlignment="1">
      <alignment horizontal="center" vertical="center"/>
    </xf>
    <xf numFmtId="0" fontId="0" fillId="0" borderId="10" xfId="0" applyBorder="1" applyAlignment="1">
      <alignment vertical="center"/>
    </xf>
    <xf numFmtId="0" fontId="0" fillId="0" borderId="18" xfId="0" applyBorder="1" applyAlignment="1">
      <alignment horizontal="center" vertical="center"/>
    </xf>
    <xf numFmtId="0" fontId="0" fillId="0" borderId="18" xfId="0" applyBorder="1" applyAlignment="1">
      <alignment vertical="center"/>
    </xf>
    <xf numFmtId="0" fontId="4" fillId="13" borderId="12" xfId="0" applyFont="1" applyFill="1" applyBorder="1"/>
    <xf numFmtId="0" fontId="0" fillId="18" borderId="3" xfId="0" applyFill="1" applyBorder="1" applyAlignment="1">
      <alignment vertical="center"/>
    </xf>
    <xf numFmtId="0" fontId="0" fillId="17" borderId="0" xfId="0" applyFill="1" applyAlignment="1">
      <alignment vertical="center"/>
    </xf>
    <xf numFmtId="0" fontId="0" fillId="0" borderId="24" xfId="0" applyBorder="1" applyAlignment="1">
      <alignment horizontal="center" vertical="center"/>
    </xf>
    <xf numFmtId="0" fontId="0" fillId="0" borderId="24" xfId="0" applyBorder="1" applyAlignment="1">
      <alignment vertical="center"/>
    </xf>
    <xf numFmtId="0" fontId="0" fillId="0" borderId="25" xfId="0" applyBorder="1" applyAlignment="1">
      <alignment vertical="center"/>
    </xf>
    <xf numFmtId="0" fontId="0" fillId="13" borderId="26" xfId="0" applyFill="1" applyBorder="1"/>
    <xf numFmtId="0" fontId="4" fillId="13" borderId="3" xfId="0" applyFont="1" applyFill="1" applyBorder="1"/>
    <xf numFmtId="0" fontId="0" fillId="0" borderId="3" xfId="0" applyBorder="1" applyAlignment="1">
      <alignment vertical="center"/>
    </xf>
    <xf numFmtId="0" fontId="0" fillId="13" borderId="0" xfId="0" applyFill="1"/>
    <xf numFmtId="0" fontId="0" fillId="0" borderId="0" xfId="0" applyAlignment="1">
      <alignment vertical="center"/>
    </xf>
    <xf numFmtId="0" fontId="4" fillId="13" borderId="0" xfId="0" applyFont="1" applyFill="1"/>
    <xf numFmtId="9" fontId="0" fillId="0" borderId="18" xfId="0" applyNumberFormat="1" applyBorder="1"/>
    <xf numFmtId="9" fontId="0" fillId="0" borderId="16" xfId="0" applyNumberFormat="1" applyBorder="1"/>
    <xf numFmtId="0" fontId="0" fillId="0" borderId="0" xfId="0" applyFill="1"/>
    <xf numFmtId="16" fontId="0" fillId="0" borderId="0" xfId="0" quotePrefix="1" applyNumberFormat="1"/>
    <xf numFmtId="0" fontId="0" fillId="0" borderId="0" xfId="0" quotePrefix="1"/>
    <xf numFmtId="0" fontId="16" fillId="0" borderId="0" xfId="0" applyFont="1" applyFill="1" applyBorder="1" applyAlignment="1"/>
    <xf numFmtId="0" fontId="0" fillId="0" borderId="0" xfId="0" applyFill="1" applyBorder="1" applyAlignment="1">
      <alignment vertical="center"/>
    </xf>
    <xf numFmtId="0" fontId="0" fillId="0" borderId="0" xfId="0" applyFont="1" applyFill="1" applyBorder="1"/>
    <xf numFmtId="10" fontId="0" fillId="0" borderId="0" xfId="0" applyNumberFormat="1" applyFill="1" applyBorder="1"/>
    <xf numFmtId="0" fontId="25" fillId="0" borderId="0" xfId="0" applyFont="1" applyFill="1" applyBorder="1"/>
    <xf numFmtId="10" fontId="4" fillId="0" borderId="0" xfId="0" applyNumberFormat="1" applyFont="1" applyFill="1" applyBorder="1"/>
    <xf numFmtId="9" fontId="4" fillId="0" borderId="0" xfId="0" applyNumberFormat="1" applyFont="1" applyFill="1" applyBorder="1"/>
    <xf numFmtId="0" fontId="4" fillId="17" borderId="0" xfId="0" applyFont="1" applyFill="1" applyBorder="1"/>
    <xf numFmtId="10" fontId="4" fillId="17" borderId="0" xfId="0" applyNumberFormat="1" applyFont="1" applyFill="1" applyBorder="1"/>
    <xf numFmtId="0" fontId="25" fillId="17" borderId="0" xfId="0" applyFont="1" applyFill="1" applyBorder="1"/>
    <xf numFmtId="173" fontId="25" fillId="17" borderId="0" xfId="0" applyNumberFormat="1" applyFont="1" applyFill="1" applyBorder="1"/>
    <xf numFmtId="9" fontId="0" fillId="0" borderId="0" xfId="1" applyFont="1" applyFill="1" applyBorder="1" applyAlignment="1"/>
    <xf numFmtId="9" fontId="4" fillId="0" borderId="0" xfId="1" applyFont="1" applyFill="1" applyBorder="1"/>
    <xf numFmtId="2" fontId="0" fillId="0" borderId="0" xfId="0" applyNumberFormat="1" applyFill="1" applyBorder="1"/>
    <xf numFmtId="169" fontId="0" fillId="0" borderId="0" xfId="0" applyNumberFormat="1" applyFill="1" applyBorder="1"/>
    <xf numFmtId="44" fontId="0" fillId="0" borderId="0" xfId="0" applyNumberFormat="1" applyFill="1" applyBorder="1"/>
    <xf numFmtId="9" fontId="0" fillId="0" borderId="0" xfId="0" applyNumberFormat="1" applyFill="1" applyBorder="1"/>
    <xf numFmtId="0" fontId="0" fillId="5" borderId="0" xfId="0" applyFill="1"/>
    <xf numFmtId="2" fontId="0" fillId="5" borderId="18" xfId="0" applyNumberFormat="1" applyFill="1" applyBorder="1"/>
    <xf numFmtId="2" fontId="0" fillId="5" borderId="0" xfId="0" applyNumberFormat="1" applyFill="1"/>
    <xf numFmtId="0" fontId="26" fillId="0" borderId="0" xfId="0" applyFont="1"/>
    <xf numFmtId="10" fontId="26" fillId="0" borderId="0" xfId="0" applyNumberFormat="1" applyFont="1" applyAlignment="1">
      <alignment horizontal="center"/>
    </xf>
    <xf numFmtId="9" fontId="0" fillId="5" borderId="0" xfId="1" applyFont="1" applyFill="1"/>
    <xf numFmtId="172" fontId="0" fillId="5" borderId="0" xfId="1" applyNumberFormat="1" applyFont="1" applyFill="1"/>
    <xf numFmtId="10" fontId="0" fillId="5" borderId="0" xfId="1" applyNumberFormat="1" applyFont="1" applyFill="1"/>
    <xf numFmtId="0" fontId="0" fillId="0" borderId="0" xfId="0" applyAlignment="1">
      <alignment wrapText="1"/>
    </xf>
    <xf numFmtId="172" fontId="0" fillId="0" borderId="0" xfId="0" applyNumberFormat="1"/>
    <xf numFmtId="9" fontId="0" fillId="5" borderId="18" xfId="1" applyFont="1" applyFill="1" applyBorder="1"/>
    <xf numFmtId="9" fontId="0" fillId="5" borderId="16" xfId="1" applyFont="1" applyFill="1" applyBorder="1"/>
    <xf numFmtId="0" fontId="22" fillId="0" borderId="0" xfId="0" quotePrefix="1" applyFont="1"/>
    <xf numFmtId="0" fontId="32" fillId="0" borderId="0" xfId="3"/>
    <xf numFmtId="0" fontId="30" fillId="0" borderId="36" xfId="3" applyFont="1" applyBorder="1"/>
    <xf numFmtId="0" fontId="31" fillId="0" borderId="37" xfId="3" applyFont="1" applyBorder="1" applyAlignment="1">
      <alignment horizontal="center"/>
    </xf>
    <xf numFmtId="16" fontId="31" fillId="0" borderId="37" xfId="3" applyNumberFormat="1" applyFont="1" applyBorder="1" applyAlignment="1">
      <alignment horizontal="center"/>
    </xf>
    <xf numFmtId="0" fontId="31" fillId="0" borderId="11" xfId="3" applyFont="1" applyBorder="1" applyAlignment="1">
      <alignment horizontal="center"/>
    </xf>
    <xf numFmtId="0" fontId="30" fillId="0" borderId="38" xfId="3" applyFont="1" applyBorder="1"/>
    <xf numFmtId="174" fontId="30" fillId="0" borderId="1" xfId="4" applyNumberFormat="1" applyFont="1" applyBorder="1" applyAlignment="1">
      <alignment horizontal="center"/>
    </xf>
    <xf numFmtId="10" fontId="30" fillId="0" borderId="1" xfId="3" applyNumberFormat="1" applyFont="1" applyBorder="1" applyAlignment="1">
      <alignment horizontal="center"/>
    </xf>
    <xf numFmtId="0" fontId="30" fillId="0" borderId="1" xfId="3" applyFont="1" applyBorder="1" applyAlignment="1">
      <alignment horizontal="center"/>
    </xf>
    <xf numFmtId="0" fontId="30" fillId="0" borderId="22" xfId="3" applyFont="1" applyBorder="1" applyAlignment="1">
      <alignment horizontal="left"/>
    </xf>
    <xf numFmtId="10" fontId="30" fillId="0" borderId="34" xfId="3" applyNumberFormat="1" applyFont="1" applyBorder="1" applyAlignment="1">
      <alignment horizontal="center"/>
    </xf>
    <xf numFmtId="10" fontId="30" fillId="0" borderId="35" xfId="3" applyNumberFormat="1" applyFont="1" applyBorder="1" applyAlignment="1">
      <alignment horizontal="center"/>
    </xf>
    <xf numFmtId="0" fontId="30" fillId="0" borderId="22" xfId="3" applyFont="1" applyBorder="1"/>
    <xf numFmtId="2" fontId="30" fillId="0" borderId="34" xfId="3" applyNumberFormat="1" applyFont="1" applyBorder="1"/>
    <xf numFmtId="2" fontId="30" fillId="0" borderId="35" xfId="3" applyNumberFormat="1" applyFont="1" applyBorder="1" applyAlignment="1">
      <alignment horizontal="left"/>
    </xf>
    <xf numFmtId="10" fontId="30" fillId="0" borderId="34" xfId="5" applyNumberFormat="1" applyFont="1" applyBorder="1" applyAlignment="1">
      <alignment horizontal="right"/>
    </xf>
    <xf numFmtId="10" fontId="30" fillId="0" borderId="35" xfId="5" applyNumberFormat="1" applyFont="1" applyBorder="1" applyAlignment="1">
      <alignment horizontal="center"/>
    </xf>
    <xf numFmtId="0" fontId="30" fillId="0" borderId="39" xfId="3" applyFont="1" applyBorder="1"/>
    <xf numFmtId="10" fontId="30" fillId="0" borderId="4" xfId="3" applyNumberFormat="1" applyFont="1" applyBorder="1" applyAlignment="1">
      <alignment horizontal="center"/>
    </xf>
    <xf numFmtId="2" fontId="30" fillId="0" borderId="27" xfId="3" applyNumberFormat="1" applyFont="1" applyBorder="1"/>
    <xf numFmtId="10" fontId="30" fillId="0" borderId="29" xfId="5" applyNumberFormat="1" applyFont="1" applyBorder="1" applyAlignment="1">
      <alignment horizontal="left"/>
    </xf>
    <xf numFmtId="10" fontId="30" fillId="0" borderId="2" xfId="5" applyNumberFormat="1" applyFont="1" applyBorder="1" applyAlignment="1">
      <alignment horizontal="right"/>
    </xf>
    <xf numFmtId="10" fontId="30" fillId="0" borderId="29" xfId="5" applyNumberFormat="1" applyFont="1" applyBorder="1" applyAlignment="1">
      <alignment horizontal="center"/>
    </xf>
    <xf numFmtId="0" fontId="30" fillId="0" borderId="28" xfId="3" applyFont="1" applyBorder="1"/>
    <xf numFmtId="0" fontId="30" fillId="0" borderId="40" xfId="3" applyFont="1" applyBorder="1"/>
    <xf numFmtId="0" fontId="30" fillId="0" borderId="41" xfId="3" applyFont="1" applyBorder="1" applyAlignment="1">
      <alignment horizontal="center"/>
    </xf>
    <xf numFmtId="0" fontId="30" fillId="0" borderId="42" xfId="3" applyFont="1" applyBorder="1" applyAlignment="1">
      <alignment horizontal="center"/>
    </xf>
    <xf numFmtId="10" fontId="30" fillId="0" borderId="43" xfId="3" applyNumberFormat="1" applyFont="1" applyBorder="1" applyAlignment="1">
      <alignment horizontal="center"/>
    </xf>
    <xf numFmtId="0" fontId="30" fillId="0" borderId="44" xfId="3" applyFont="1" applyBorder="1"/>
    <xf numFmtId="0" fontId="31" fillId="0" borderId="46" xfId="3" applyFont="1" applyBorder="1" applyAlignment="1">
      <alignment horizontal="center"/>
    </xf>
    <xf numFmtId="0" fontId="31" fillId="0" borderId="47" xfId="3" applyFont="1" applyBorder="1"/>
    <xf numFmtId="0" fontId="31" fillId="0" borderId="48" xfId="3" applyFont="1" applyBorder="1" applyAlignment="1">
      <alignment horizontal="left"/>
    </xf>
    <xf numFmtId="0" fontId="30" fillId="0" borderId="38" xfId="3" applyFont="1" applyBorder="1" applyAlignment="1">
      <alignment horizontal="center"/>
    </xf>
    <xf numFmtId="175" fontId="30" fillId="0" borderId="1" xfId="4" applyNumberFormat="1" applyFont="1" applyBorder="1"/>
    <xf numFmtId="10" fontId="30" fillId="0" borderId="1" xfId="5" applyNumberFormat="1" applyFont="1" applyBorder="1" applyAlignment="1">
      <alignment horizontal="center"/>
    </xf>
    <xf numFmtId="175" fontId="30" fillId="0" borderId="34" xfId="4" applyNumberFormat="1" applyFont="1" applyBorder="1" applyAlignment="1">
      <alignment horizontal="left"/>
    </xf>
    <xf numFmtId="0" fontId="30" fillId="0" borderId="40" xfId="3" applyFont="1" applyBorder="1" applyAlignment="1">
      <alignment horizontal="center"/>
    </xf>
    <xf numFmtId="175" fontId="30" fillId="0" borderId="43" xfId="4" applyNumberFormat="1" applyFont="1" applyBorder="1"/>
    <xf numFmtId="10" fontId="30" fillId="0" borderId="43" xfId="5" applyNumberFormat="1" applyFont="1" applyBorder="1" applyAlignment="1">
      <alignment horizontal="center"/>
    </xf>
    <xf numFmtId="174" fontId="30" fillId="0" borderId="47" xfId="4" applyNumberFormat="1" applyFont="1" applyFill="1" applyBorder="1"/>
    <xf numFmtId="174" fontId="30" fillId="0" borderId="52" xfId="4" applyNumberFormat="1" applyFont="1" applyFill="1" applyBorder="1"/>
    <xf numFmtId="0" fontId="30" fillId="0" borderId="52" xfId="3" applyFont="1" applyBorder="1"/>
    <xf numFmtId="0" fontId="30" fillId="0" borderId="19" xfId="3" applyFont="1" applyBorder="1"/>
    <xf numFmtId="0" fontId="30" fillId="0" borderId="22" xfId="3" applyFont="1" applyBorder="1" applyAlignment="1">
      <alignment horizontal="left"/>
    </xf>
    <xf numFmtId="174" fontId="30" fillId="0" borderId="1" xfId="4" applyNumberFormat="1" applyFont="1" applyFill="1" applyBorder="1"/>
    <xf numFmtId="174" fontId="30" fillId="0" borderId="0" xfId="4" applyNumberFormat="1" applyFont="1" applyFill="1" applyBorder="1"/>
    <xf numFmtId="0" fontId="30" fillId="0" borderId="0" xfId="3" applyFont="1"/>
    <xf numFmtId="0" fontId="30" fillId="0" borderId="16" xfId="3" applyFont="1" applyBorder="1"/>
    <xf numFmtId="174" fontId="30" fillId="0" borderId="34" xfId="4" applyNumberFormat="1" applyFont="1" applyFill="1" applyBorder="1"/>
    <xf numFmtId="10" fontId="30" fillId="0" borderId="35" xfId="3" applyNumberFormat="1" applyFont="1" applyBorder="1" applyAlignment="1">
      <alignment horizontal="left"/>
    </xf>
    <xf numFmtId="176" fontId="30" fillId="0" borderId="1" xfId="3" applyNumberFormat="1" applyFont="1" applyBorder="1"/>
    <xf numFmtId="0" fontId="30" fillId="0" borderId="0" xfId="3" applyFont="1" applyAlignment="1">
      <alignment horizontal="left"/>
    </xf>
    <xf numFmtId="166" fontId="33" fillId="0" borderId="41" xfId="4" applyFont="1" applyBorder="1"/>
    <xf numFmtId="164" fontId="30" fillId="0" borderId="7" xfId="3" applyNumberFormat="1" applyFont="1" applyBorder="1" applyAlignment="1">
      <alignment horizontal="left"/>
    </xf>
    <xf numFmtId="10" fontId="30" fillId="0" borderId="0" xfId="3" applyNumberFormat="1" applyFont="1"/>
    <xf numFmtId="9" fontId="30" fillId="0" borderId="0" xfId="3" applyNumberFormat="1" applyFont="1"/>
    <xf numFmtId="0" fontId="30" fillId="0" borderId="0" xfId="3" applyFont="1" applyAlignment="1">
      <alignment wrapText="1"/>
    </xf>
    <xf numFmtId="0" fontId="4" fillId="17" borderId="46" xfId="0" applyFont="1" applyFill="1" applyBorder="1"/>
    <xf numFmtId="0" fontId="4" fillId="17" borderId="47" xfId="0" applyFont="1" applyFill="1" applyBorder="1"/>
    <xf numFmtId="0" fontId="0" fillId="0" borderId="54" xfId="0" applyBorder="1"/>
    <xf numFmtId="0" fontId="0" fillId="0" borderId="40" xfId="0" applyBorder="1"/>
    <xf numFmtId="0" fontId="0" fillId="0" borderId="43" xfId="0" applyBorder="1"/>
    <xf numFmtId="2" fontId="0" fillId="5" borderId="55" xfId="1" applyNumberFormat="1" applyFont="1" applyFill="1" applyBorder="1"/>
    <xf numFmtId="0" fontId="29" fillId="0" borderId="22" xfId="3" applyFont="1" applyBorder="1" applyAlignment="1"/>
    <xf numFmtId="0" fontId="29" fillId="0" borderId="35" xfId="3" applyFont="1" applyBorder="1" applyAlignment="1"/>
    <xf numFmtId="10" fontId="30" fillId="0" borderId="56" xfId="3" applyNumberFormat="1" applyFont="1" applyBorder="1" applyAlignment="1">
      <alignment horizontal="center"/>
    </xf>
    <xf numFmtId="10" fontId="30" fillId="0" borderId="56" xfId="5" applyNumberFormat="1" applyFont="1" applyBorder="1" applyAlignment="1">
      <alignment horizontal="center"/>
    </xf>
    <xf numFmtId="10" fontId="30" fillId="0" borderId="43" xfId="3" applyNumberFormat="1" applyFont="1" applyBorder="1"/>
    <xf numFmtId="9" fontId="30" fillId="0" borderId="55" xfId="3" applyNumberFormat="1" applyFont="1" applyBorder="1"/>
    <xf numFmtId="0" fontId="31" fillId="0" borderId="57" xfId="3" applyFont="1" applyBorder="1" applyAlignment="1">
      <alignment horizontal="center"/>
    </xf>
    <xf numFmtId="2" fontId="30" fillId="0" borderId="1" xfId="3" applyNumberFormat="1" applyFont="1" applyBorder="1" applyAlignment="1">
      <alignment horizontal="center"/>
    </xf>
    <xf numFmtId="9" fontId="30" fillId="0" borderId="1" xfId="3" applyNumberFormat="1" applyFont="1" applyBorder="1" applyAlignment="1">
      <alignment horizontal="center"/>
    </xf>
    <xf numFmtId="0" fontId="27" fillId="0" borderId="0" xfId="0" applyFont="1"/>
    <xf numFmtId="0" fontId="33" fillId="0" borderId="27" xfId="3" applyFont="1" applyBorder="1" applyAlignment="1">
      <alignment horizontal="left" vertical="center" wrapText="1"/>
    </xf>
    <xf numFmtId="0" fontId="33" fillId="0" borderId="28" xfId="3" applyFont="1" applyBorder="1" applyAlignment="1">
      <alignment horizontal="left" vertical="center" wrapText="1"/>
    </xf>
    <xf numFmtId="0" fontId="33" fillId="0" borderId="29" xfId="3" applyFont="1" applyBorder="1" applyAlignment="1">
      <alignment horizontal="left" vertical="center" wrapText="1"/>
    </xf>
    <xf numFmtId="0" fontId="33" fillId="0" borderId="2" xfId="3" applyFont="1" applyBorder="1" applyAlignment="1">
      <alignment horizontal="left" vertical="center" wrapText="1"/>
    </xf>
    <xf numFmtId="0" fontId="33" fillId="0" borderId="0" xfId="3" applyFont="1" applyAlignment="1">
      <alignment horizontal="left" vertical="center" wrapText="1"/>
    </xf>
    <xf numFmtId="0" fontId="33" fillId="0" borderId="30" xfId="3" applyFont="1" applyBorder="1" applyAlignment="1">
      <alignment horizontal="left" vertical="center" wrapText="1"/>
    </xf>
    <xf numFmtId="0" fontId="33" fillId="0" borderId="31" xfId="3" applyFont="1" applyBorder="1" applyAlignment="1">
      <alignment horizontal="left" vertical="center" wrapText="1"/>
    </xf>
    <xf numFmtId="0" fontId="33" fillId="0" borderId="32" xfId="3" applyFont="1" applyBorder="1" applyAlignment="1">
      <alignment horizontal="left" vertical="center" wrapText="1"/>
    </xf>
    <xf numFmtId="0" fontId="33" fillId="0" borderId="33" xfId="3" applyFont="1" applyBorder="1" applyAlignment="1">
      <alignment horizontal="left" vertical="center" wrapText="1"/>
    </xf>
    <xf numFmtId="0" fontId="29" fillId="0" borderId="8" xfId="3" applyFont="1" applyBorder="1" applyAlignment="1">
      <alignment horizontal="center"/>
    </xf>
    <xf numFmtId="0" fontId="29" fillId="0" borderId="58" xfId="3" applyFont="1" applyBorder="1" applyAlignment="1">
      <alignment horizontal="center"/>
    </xf>
    <xf numFmtId="0" fontId="29" fillId="0" borderId="9" xfId="3" applyFont="1" applyBorder="1" applyAlignment="1">
      <alignment horizontal="center"/>
    </xf>
    <xf numFmtId="0" fontId="28" fillId="0" borderId="0" xfId="3" applyFont="1" applyAlignment="1">
      <alignment horizontal="center"/>
    </xf>
    <xf numFmtId="0" fontId="29" fillId="0" borderId="1" xfId="3" applyFont="1" applyBorder="1" applyAlignment="1">
      <alignment horizontal="center"/>
    </xf>
    <xf numFmtId="0" fontId="29" fillId="0" borderId="27" xfId="3" applyFont="1" applyBorder="1" applyAlignment="1">
      <alignment horizontal="center"/>
    </xf>
    <xf numFmtId="0" fontId="29" fillId="0" borderId="28" xfId="3" applyFont="1" applyBorder="1" applyAlignment="1">
      <alignment horizontal="center"/>
    </xf>
    <xf numFmtId="0" fontId="29" fillId="0" borderId="29" xfId="3" applyFont="1" applyBorder="1" applyAlignment="1">
      <alignment horizontal="center"/>
    </xf>
    <xf numFmtId="0" fontId="29" fillId="0" borderId="2" xfId="3" applyFont="1" applyBorder="1" applyAlignment="1">
      <alignment horizontal="center"/>
    </xf>
    <xf numFmtId="0" fontId="29" fillId="0" borderId="0" xfId="3" applyFont="1" applyAlignment="1">
      <alignment horizontal="center"/>
    </xf>
    <xf numFmtId="0" fontId="29" fillId="0" borderId="30" xfId="3" applyFont="1" applyBorder="1" applyAlignment="1">
      <alignment horizontal="center"/>
    </xf>
    <xf numFmtId="0" fontId="29" fillId="0" borderId="31" xfId="3" applyFont="1" applyBorder="1" applyAlignment="1">
      <alignment horizontal="center"/>
    </xf>
    <xf numFmtId="0" fontId="29" fillId="0" borderId="32" xfId="3" applyFont="1" applyBorder="1" applyAlignment="1">
      <alignment horizontal="center"/>
    </xf>
    <xf numFmtId="0" fontId="29" fillId="0" borderId="33" xfId="3" applyFont="1" applyBorder="1" applyAlignment="1">
      <alignment horizontal="center"/>
    </xf>
    <xf numFmtId="0" fontId="34" fillId="0" borderId="27" xfId="3" applyFont="1" applyBorder="1" applyAlignment="1">
      <alignment horizontal="left" wrapText="1"/>
    </xf>
    <xf numFmtId="0" fontId="35" fillId="0" borderId="28" xfId="3" applyFont="1" applyBorder="1" applyAlignment="1">
      <alignment horizontal="left" wrapText="1"/>
    </xf>
    <xf numFmtId="0" fontId="35" fillId="0" borderId="29" xfId="3" applyFont="1" applyBorder="1" applyAlignment="1">
      <alignment horizontal="left" wrapText="1"/>
    </xf>
    <xf numFmtId="0" fontId="35" fillId="0" borderId="2" xfId="3" applyFont="1" applyBorder="1" applyAlignment="1">
      <alignment horizontal="left" wrapText="1"/>
    </xf>
    <xf numFmtId="0" fontId="35" fillId="0" borderId="0" xfId="3" applyFont="1" applyAlignment="1">
      <alignment horizontal="left" wrapText="1"/>
    </xf>
    <xf numFmtId="0" fontId="35" fillId="0" borderId="30" xfId="3" applyFont="1" applyBorder="1" applyAlignment="1">
      <alignment horizontal="left" wrapText="1"/>
    </xf>
    <xf numFmtId="0" fontId="35" fillId="0" borderId="31" xfId="3" applyFont="1" applyBorder="1" applyAlignment="1">
      <alignment horizontal="left" wrapText="1"/>
    </xf>
    <xf numFmtId="0" fontId="35" fillId="0" borderId="32" xfId="3" applyFont="1" applyBorder="1" applyAlignment="1">
      <alignment horizontal="left" wrapText="1"/>
    </xf>
    <xf numFmtId="0" fontId="35" fillId="0" borderId="33" xfId="3" applyFont="1" applyBorder="1" applyAlignment="1">
      <alignment horizontal="left" wrapText="1"/>
    </xf>
    <xf numFmtId="0" fontId="29" fillId="0" borderId="34" xfId="3" applyFont="1" applyBorder="1" applyAlignment="1">
      <alignment horizontal="center"/>
    </xf>
    <xf numFmtId="0" fontId="29" fillId="0" borderId="22" xfId="3" applyFont="1" applyBorder="1" applyAlignment="1">
      <alignment horizontal="center"/>
    </xf>
    <xf numFmtId="0" fontId="29" fillId="0" borderId="35" xfId="3" applyFont="1" applyBorder="1" applyAlignment="1">
      <alignment horizontal="center"/>
    </xf>
    <xf numFmtId="0" fontId="29" fillId="0" borderId="45" xfId="3" applyFont="1" applyBorder="1" applyAlignment="1">
      <alignment horizontal="center"/>
    </xf>
    <xf numFmtId="0" fontId="36" fillId="0" borderId="27" xfId="3" applyFont="1" applyBorder="1" applyAlignment="1">
      <alignment horizontal="left" vertical="center" wrapText="1"/>
    </xf>
    <xf numFmtId="0" fontId="30" fillId="0" borderId="28" xfId="3" applyFont="1" applyBorder="1" applyAlignment="1">
      <alignment horizontal="left" vertical="center" wrapText="1"/>
    </xf>
    <xf numFmtId="0" fontId="30" fillId="0" borderId="29" xfId="3" applyFont="1" applyBorder="1" applyAlignment="1">
      <alignment horizontal="left" vertical="center" wrapText="1"/>
    </xf>
    <xf numFmtId="0" fontId="30" fillId="0" borderId="2" xfId="3" applyFont="1" applyBorder="1" applyAlignment="1">
      <alignment horizontal="left" vertical="center" wrapText="1"/>
    </xf>
    <xf numFmtId="0" fontId="30" fillId="0" borderId="0" xfId="3" applyFont="1" applyAlignment="1">
      <alignment horizontal="left" vertical="center" wrapText="1"/>
    </xf>
    <xf numFmtId="0" fontId="30" fillId="0" borderId="30" xfId="3" applyFont="1" applyBorder="1" applyAlignment="1">
      <alignment horizontal="left" vertical="center" wrapText="1"/>
    </xf>
    <xf numFmtId="0" fontId="30" fillId="0" borderId="31" xfId="3" applyFont="1" applyBorder="1" applyAlignment="1">
      <alignment horizontal="left" vertical="center" wrapText="1"/>
    </xf>
    <xf numFmtId="0" fontId="30" fillId="0" borderId="32" xfId="3" applyFont="1" applyBorder="1" applyAlignment="1">
      <alignment horizontal="left" vertical="center" wrapText="1"/>
    </xf>
    <xf numFmtId="0" fontId="30" fillId="0" borderId="33" xfId="3" applyFont="1" applyBorder="1" applyAlignment="1">
      <alignment horizontal="left" vertical="center" wrapText="1"/>
    </xf>
    <xf numFmtId="0" fontId="30" fillId="0" borderId="49" xfId="3" applyFont="1" applyBorder="1" applyAlignment="1">
      <alignment horizontal="left"/>
    </xf>
    <xf numFmtId="0" fontId="30" fillId="0" borderId="50" xfId="3" applyFont="1" applyBorder="1" applyAlignment="1">
      <alignment horizontal="left"/>
    </xf>
    <xf numFmtId="0" fontId="30" fillId="0" borderId="51" xfId="3" applyFont="1" applyBorder="1" applyAlignment="1">
      <alignment horizontal="left"/>
    </xf>
    <xf numFmtId="0" fontId="33" fillId="0" borderId="17" xfId="3" applyFont="1" applyBorder="1" applyAlignment="1">
      <alignment horizontal="left" vertical="center" wrapText="1"/>
    </xf>
    <xf numFmtId="0" fontId="30" fillId="0" borderId="53" xfId="3" applyFont="1" applyBorder="1" applyAlignment="1">
      <alignment horizontal="left"/>
    </xf>
    <xf numFmtId="0" fontId="30" fillId="0" borderId="22" xfId="3" applyFont="1" applyBorder="1" applyAlignment="1">
      <alignment horizontal="left"/>
    </xf>
    <xf numFmtId="0" fontId="30" fillId="0" borderId="35" xfId="3" applyFont="1" applyBorder="1" applyAlignment="1">
      <alignment horizontal="left"/>
    </xf>
    <xf numFmtId="174" fontId="30" fillId="0" borderId="34" xfId="4" applyNumberFormat="1" applyFont="1" applyFill="1" applyBorder="1" applyAlignment="1">
      <alignment horizontal="right"/>
    </xf>
    <xf numFmtId="174" fontId="30" fillId="0" borderId="22" xfId="4" applyNumberFormat="1" applyFont="1" applyFill="1" applyBorder="1" applyAlignment="1">
      <alignment horizontal="right"/>
    </xf>
    <xf numFmtId="0" fontId="30" fillId="0" borderId="5" xfId="3" applyFont="1" applyBorder="1" applyAlignment="1">
      <alignment horizontal="right"/>
    </xf>
    <xf numFmtId="0" fontId="30" fillId="0" borderId="6" xfId="3" applyFont="1" applyBorder="1" applyAlignment="1">
      <alignment horizontal="right"/>
    </xf>
    <xf numFmtId="0" fontId="30" fillId="0" borderId="38" xfId="3" applyFont="1" applyBorder="1" applyAlignment="1">
      <alignment horizontal="left"/>
    </xf>
    <xf numFmtId="0" fontId="30" fillId="0" borderId="1" xfId="3" applyFont="1" applyBorder="1" applyAlignment="1">
      <alignment horizontal="left"/>
    </xf>
    <xf numFmtId="0" fontId="30" fillId="0" borderId="40" xfId="3" applyFont="1" applyBorder="1" applyAlignment="1">
      <alignment horizontal="left"/>
    </xf>
    <xf numFmtId="0" fontId="30" fillId="0" borderId="43" xfId="3" applyFont="1" applyBorder="1" applyAlignment="1">
      <alignment horizontal="left"/>
    </xf>
    <xf numFmtId="0" fontId="16" fillId="12" borderId="0" xfId="0" applyFont="1" applyFill="1" applyAlignment="1">
      <alignment horizontal="center"/>
    </xf>
    <xf numFmtId="0" fontId="16" fillId="12" borderId="15" xfId="0" applyFont="1" applyFill="1" applyBorder="1" applyAlignment="1">
      <alignment horizontal="center"/>
    </xf>
    <xf numFmtId="164" fontId="0" fillId="0" borderId="2" xfId="0" applyNumberFormat="1" applyBorder="1" applyAlignment="1">
      <alignment horizontal="center" vertical="center" wrapText="1"/>
    </xf>
    <xf numFmtId="9" fontId="0" fillId="2" borderId="5" xfId="1" applyFont="1" applyFill="1" applyBorder="1" applyAlignment="1">
      <alignment horizontal="center"/>
    </xf>
    <xf numFmtId="9" fontId="0" fillId="2" borderId="6" xfId="1" applyFont="1" applyFill="1" applyBorder="1" applyAlignment="1">
      <alignment horizontal="center"/>
    </xf>
    <xf numFmtId="9" fontId="0" fillId="2" borderId="7" xfId="1" applyFont="1" applyFill="1" applyBorder="1" applyAlignment="1">
      <alignment horizontal="center"/>
    </xf>
    <xf numFmtId="170" fontId="4" fillId="0" borderId="6" xfId="1" applyNumberFormat="1" applyFont="1" applyBorder="1" applyAlignment="1">
      <alignment horizontal="center"/>
    </xf>
    <xf numFmtId="170" fontId="4" fillId="0" borderId="7" xfId="1" applyNumberFormat="1" applyFont="1" applyBorder="1" applyAlignment="1">
      <alignment horizont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0" fillId="0" borderId="0" xfId="0" applyAlignment="1">
      <alignment horizontal="center"/>
    </xf>
    <xf numFmtId="2" fontId="0" fillId="0" borderId="20" xfId="0" applyNumberFormat="1" applyBorder="1" applyAlignment="1">
      <alignment horizontal="center" vertical="center"/>
    </xf>
    <xf numFmtId="2" fontId="0" fillId="0" borderId="19" xfId="0" applyNumberFormat="1" applyBorder="1" applyAlignment="1">
      <alignment horizontal="center" vertical="center"/>
    </xf>
    <xf numFmtId="0" fontId="20" fillId="0" borderId="0" xfId="0" applyFont="1" applyAlignment="1">
      <alignment horizontal="center"/>
    </xf>
  </cellXfs>
  <cellStyles count="6">
    <cellStyle name="Currency" xfId="2" builtinId="4"/>
    <cellStyle name="Currency 2" xfId="4" xr:uid="{671BAA50-C82F-44DF-98C0-5A1834489CBC}"/>
    <cellStyle name="Normal" xfId="0" builtinId="0"/>
    <cellStyle name="Normal 2" xfId="3" xr:uid="{D7A8FA75-7D6D-4881-972D-2A6E5B1D5513}"/>
    <cellStyle name="Percent" xfId="1" builtinId="5"/>
    <cellStyle name="Percent 2" xfId="5" xr:uid="{CA1E8FAB-A161-4BA7-971D-76B580127663}"/>
  </cellStyles>
  <dxfs count="18">
    <dxf>
      <fill>
        <patternFill>
          <bgColor theme="9" tint="0.39994506668294322"/>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006100"/>
      </font>
      <fill>
        <patternFill>
          <bgColor rgb="FFC6EFCE"/>
        </patternFill>
      </fill>
    </dxf>
    <dxf>
      <fill>
        <patternFill>
          <bgColor rgb="FFFFC000"/>
        </patternFill>
      </fill>
    </dxf>
    <dxf>
      <fill>
        <patternFill>
          <bgColor theme="9" tint="0.39994506668294322"/>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838200</xdr:colOff>
      <xdr:row>9</xdr:row>
      <xdr:rowOff>83820</xdr:rowOff>
    </xdr:from>
    <xdr:to>
      <xdr:col>3</xdr:col>
      <xdr:colOff>304800</xdr:colOff>
      <xdr:row>9</xdr:row>
      <xdr:rowOff>83820</xdr:rowOff>
    </xdr:to>
    <xdr:cxnSp macro="">
      <xdr:nvCxnSpPr>
        <xdr:cNvPr id="2" name="Straight Arrow Connector 4">
          <a:extLst>
            <a:ext uri="{FF2B5EF4-FFF2-40B4-BE49-F238E27FC236}">
              <a16:creationId xmlns:a16="http://schemas.microsoft.com/office/drawing/2014/main" id="{D22D0202-184F-499D-8BA8-2007FDB46679}"/>
            </a:ext>
          </a:extLst>
        </xdr:cNvPr>
        <xdr:cNvCxnSpPr>
          <a:cxnSpLocks noChangeShapeType="1"/>
        </xdr:cNvCxnSpPr>
      </xdr:nvCxnSpPr>
      <xdr:spPr bwMode="auto">
        <a:xfrm>
          <a:off x="2865120" y="1775460"/>
          <a:ext cx="54102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853440</xdr:colOff>
      <xdr:row>10</xdr:row>
      <xdr:rowOff>99060</xdr:rowOff>
    </xdr:from>
    <xdr:to>
      <xdr:col>3</xdr:col>
      <xdr:colOff>304800</xdr:colOff>
      <xdr:row>10</xdr:row>
      <xdr:rowOff>99060</xdr:rowOff>
    </xdr:to>
    <xdr:cxnSp macro="">
      <xdr:nvCxnSpPr>
        <xdr:cNvPr id="3" name="Straight Arrow Connector 6">
          <a:extLst>
            <a:ext uri="{FF2B5EF4-FFF2-40B4-BE49-F238E27FC236}">
              <a16:creationId xmlns:a16="http://schemas.microsoft.com/office/drawing/2014/main" id="{49F09BCE-CF96-429C-BF8D-755BAC46E097}"/>
            </a:ext>
          </a:extLst>
        </xdr:cNvPr>
        <xdr:cNvCxnSpPr>
          <a:cxnSpLocks noChangeShapeType="1"/>
        </xdr:cNvCxnSpPr>
      </xdr:nvCxnSpPr>
      <xdr:spPr bwMode="auto">
        <a:xfrm>
          <a:off x="2880360" y="1988820"/>
          <a:ext cx="52578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853440</xdr:colOff>
      <xdr:row>13</xdr:row>
      <xdr:rowOff>68580</xdr:rowOff>
    </xdr:from>
    <xdr:to>
      <xdr:col>3</xdr:col>
      <xdr:colOff>304800</xdr:colOff>
      <xdr:row>13</xdr:row>
      <xdr:rowOff>68580</xdr:rowOff>
    </xdr:to>
    <xdr:cxnSp macro="">
      <xdr:nvCxnSpPr>
        <xdr:cNvPr id="4" name="Straight Arrow Connector 10">
          <a:extLst>
            <a:ext uri="{FF2B5EF4-FFF2-40B4-BE49-F238E27FC236}">
              <a16:creationId xmlns:a16="http://schemas.microsoft.com/office/drawing/2014/main" id="{8708F683-4E6A-4532-B2F7-B3F63A8DE0F2}"/>
            </a:ext>
          </a:extLst>
        </xdr:cNvPr>
        <xdr:cNvCxnSpPr>
          <a:cxnSpLocks noChangeShapeType="1"/>
        </xdr:cNvCxnSpPr>
      </xdr:nvCxnSpPr>
      <xdr:spPr bwMode="auto">
        <a:xfrm>
          <a:off x="2880360" y="2552700"/>
          <a:ext cx="52578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792480</xdr:colOff>
      <xdr:row>8</xdr:row>
      <xdr:rowOff>99060</xdr:rowOff>
    </xdr:from>
    <xdr:to>
      <xdr:col>3</xdr:col>
      <xdr:colOff>251460</xdr:colOff>
      <xdr:row>8</xdr:row>
      <xdr:rowOff>99060</xdr:rowOff>
    </xdr:to>
    <xdr:cxnSp macro="">
      <xdr:nvCxnSpPr>
        <xdr:cNvPr id="5" name="Straight Arrow Connector 4">
          <a:extLst>
            <a:ext uri="{FF2B5EF4-FFF2-40B4-BE49-F238E27FC236}">
              <a16:creationId xmlns:a16="http://schemas.microsoft.com/office/drawing/2014/main" id="{BFF01CA3-3E28-4FEA-A70A-86E7D94026DE}"/>
            </a:ext>
          </a:extLst>
        </xdr:cNvPr>
        <xdr:cNvCxnSpPr>
          <a:cxnSpLocks noChangeShapeType="1"/>
        </xdr:cNvCxnSpPr>
      </xdr:nvCxnSpPr>
      <xdr:spPr bwMode="auto">
        <a:xfrm>
          <a:off x="2819400" y="1592580"/>
          <a:ext cx="533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1160318</xdr:colOff>
      <xdr:row>55</xdr:row>
      <xdr:rowOff>86592</xdr:rowOff>
    </xdr:from>
    <xdr:to>
      <xdr:col>3</xdr:col>
      <xdr:colOff>190500</xdr:colOff>
      <xdr:row>55</xdr:row>
      <xdr:rowOff>95250</xdr:rowOff>
    </xdr:to>
    <xdr:cxnSp macro="">
      <xdr:nvCxnSpPr>
        <xdr:cNvPr id="8" name="Straight Arrow Connector 10">
          <a:extLst>
            <a:ext uri="{FF2B5EF4-FFF2-40B4-BE49-F238E27FC236}">
              <a16:creationId xmlns:a16="http://schemas.microsoft.com/office/drawing/2014/main" id="{256A3681-A3F2-46E0-A263-0F91F8253861}"/>
            </a:ext>
          </a:extLst>
        </xdr:cNvPr>
        <xdr:cNvCxnSpPr>
          <a:cxnSpLocks noChangeShapeType="1"/>
        </xdr:cNvCxnSpPr>
      </xdr:nvCxnSpPr>
      <xdr:spPr bwMode="auto">
        <a:xfrm>
          <a:off x="3359727" y="11603183"/>
          <a:ext cx="536864" cy="865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1174172</xdr:colOff>
      <xdr:row>52</xdr:row>
      <xdr:rowOff>91787</xdr:rowOff>
    </xdr:from>
    <xdr:to>
      <xdr:col>3</xdr:col>
      <xdr:colOff>204354</xdr:colOff>
      <xdr:row>52</xdr:row>
      <xdr:rowOff>100445</xdr:rowOff>
    </xdr:to>
    <xdr:cxnSp macro="">
      <xdr:nvCxnSpPr>
        <xdr:cNvPr id="16" name="Straight Arrow Connector 10">
          <a:extLst>
            <a:ext uri="{FF2B5EF4-FFF2-40B4-BE49-F238E27FC236}">
              <a16:creationId xmlns:a16="http://schemas.microsoft.com/office/drawing/2014/main" id="{E56BE8DC-8B89-4CE0-B1E3-71D133280C88}"/>
            </a:ext>
          </a:extLst>
        </xdr:cNvPr>
        <xdr:cNvCxnSpPr>
          <a:cxnSpLocks noChangeShapeType="1"/>
        </xdr:cNvCxnSpPr>
      </xdr:nvCxnSpPr>
      <xdr:spPr bwMode="auto">
        <a:xfrm>
          <a:off x="3373581" y="11010901"/>
          <a:ext cx="536864" cy="865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1153391</xdr:colOff>
      <xdr:row>51</xdr:row>
      <xdr:rowOff>88324</xdr:rowOff>
    </xdr:from>
    <xdr:to>
      <xdr:col>3</xdr:col>
      <xdr:colOff>183573</xdr:colOff>
      <xdr:row>51</xdr:row>
      <xdr:rowOff>96982</xdr:rowOff>
    </xdr:to>
    <xdr:cxnSp macro="">
      <xdr:nvCxnSpPr>
        <xdr:cNvPr id="17" name="Straight Arrow Connector 10">
          <a:extLst>
            <a:ext uri="{FF2B5EF4-FFF2-40B4-BE49-F238E27FC236}">
              <a16:creationId xmlns:a16="http://schemas.microsoft.com/office/drawing/2014/main" id="{E319BB5C-5525-400A-8751-D2D68D7D1DF4}"/>
            </a:ext>
          </a:extLst>
        </xdr:cNvPr>
        <xdr:cNvCxnSpPr>
          <a:cxnSpLocks noChangeShapeType="1"/>
        </xdr:cNvCxnSpPr>
      </xdr:nvCxnSpPr>
      <xdr:spPr bwMode="auto">
        <a:xfrm>
          <a:off x="3352800" y="10808279"/>
          <a:ext cx="536864" cy="865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twoCellAnchor>
    <xdr:from>
      <xdr:col>2</xdr:col>
      <xdr:colOff>1167245</xdr:colOff>
      <xdr:row>50</xdr:row>
      <xdr:rowOff>102178</xdr:rowOff>
    </xdr:from>
    <xdr:to>
      <xdr:col>3</xdr:col>
      <xdr:colOff>197427</xdr:colOff>
      <xdr:row>50</xdr:row>
      <xdr:rowOff>110836</xdr:rowOff>
    </xdr:to>
    <xdr:cxnSp macro="">
      <xdr:nvCxnSpPr>
        <xdr:cNvPr id="18" name="Straight Arrow Connector 10">
          <a:extLst>
            <a:ext uri="{FF2B5EF4-FFF2-40B4-BE49-F238E27FC236}">
              <a16:creationId xmlns:a16="http://schemas.microsoft.com/office/drawing/2014/main" id="{04EB6EF4-459C-4B80-8068-4D3B18B854DA}"/>
            </a:ext>
          </a:extLst>
        </xdr:cNvPr>
        <xdr:cNvCxnSpPr>
          <a:cxnSpLocks noChangeShapeType="1"/>
        </xdr:cNvCxnSpPr>
      </xdr:nvCxnSpPr>
      <xdr:spPr bwMode="auto">
        <a:xfrm>
          <a:off x="3366654" y="10622973"/>
          <a:ext cx="536864" cy="865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541020</xdr:colOff>
      <xdr:row>1</xdr:row>
      <xdr:rowOff>68580</xdr:rowOff>
    </xdr:from>
    <xdr:to>
      <xdr:col>4</xdr:col>
      <xdr:colOff>343346</xdr:colOff>
      <xdr:row>6</xdr:row>
      <xdr:rowOff>30557</xdr:rowOff>
    </xdr:to>
    <xdr:pic>
      <xdr:nvPicPr>
        <xdr:cNvPr id="2" name="Picture 1">
          <a:extLst>
            <a:ext uri="{FF2B5EF4-FFF2-40B4-BE49-F238E27FC236}">
              <a16:creationId xmlns:a16="http://schemas.microsoft.com/office/drawing/2014/main" id="{316B3666-130E-4B63-8D0C-2BF0D886A7EF}"/>
            </a:ext>
          </a:extLst>
        </xdr:cNvPr>
        <xdr:cNvPicPr>
          <a:picLocks noChangeAspect="1"/>
        </xdr:cNvPicPr>
      </xdr:nvPicPr>
      <xdr:blipFill>
        <a:blip xmlns:r="http://schemas.openxmlformats.org/officeDocument/2006/relationships" r:embed="rId1"/>
        <a:stretch>
          <a:fillRect/>
        </a:stretch>
      </xdr:blipFill>
      <xdr:spPr>
        <a:xfrm>
          <a:off x="541020" y="251460"/>
          <a:ext cx="5143946" cy="883997"/>
        </a:xfrm>
        <a:prstGeom prst="rect">
          <a:avLst/>
        </a:prstGeom>
      </xdr:spPr>
    </xdr:pic>
    <xdr:clientData/>
  </xdr:twoCellAnchor>
  <xdr:twoCellAnchor editAs="oneCell">
    <xdr:from>
      <xdr:col>0</xdr:col>
      <xdr:colOff>731520</xdr:colOff>
      <xdr:row>9</xdr:row>
      <xdr:rowOff>129540</xdr:rowOff>
    </xdr:from>
    <xdr:to>
      <xdr:col>4</xdr:col>
      <xdr:colOff>510984</xdr:colOff>
      <xdr:row>14</xdr:row>
      <xdr:rowOff>175343</xdr:rowOff>
    </xdr:to>
    <xdr:pic>
      <xdr:nvPicPr>
        <xdr:cNvPr id="4" name="Picture 3">
          <a:extLst>
            <a:ext uri="{FF2B5EF4-FFF2-40B4-BE49-F238E27FC236}">
              <a16:creationId xmlns:a16="http://schemas.microsoft.com/office/drawing/2014/main" id="{8612436E-3CE4-4DE5-BC5E-76167F104029}"/>
            </a:ext>
          </a:extLst>
        </xdr:cNvPr>
        <xdr:cNvPicPr>
          <a:picLocks noChangeAspect="1"/>
        </xdr:cNvPicPr>
      </xdr:nvPicPr>
      <xdr:blipFill>
        <a:blip xmlns:r="http://schemas.openxmlformats.org/officeDocument/2006/relationships" r:embed="rId2"/>
        <a:stretch>
          <a:fillRect/>
        </a:stretch>
      </xdr:blipFill>
      <xdr:spPr>
        <a:xfrm>
          <a:off x="731520" y="1828800"/>
          <a:ext cx="5121084" cy="960203"/>
        </a:xfrm>
        <a:prstGeom prst="rect">
          <a:avLst/>
        </a:prstGeom>
      </xdr:spPr>
    </xdr:pic>
    <xdr:clientData/>
  </xdr:twoCellAnchor>
  <xdr:twoCellAnchor editAs="oneCell">
    <xdr:from>
      <xdr:col>1</xdr:col>
      <xdr:colOff>0</xdr:colOff>
      <xdr:row>22</xdr:row>
      <xdr:rowOff>0</xdr:rowOff>
    </xdr:from>
    <xdr:to>
      <xdr:col>3</xdr:col>
      <xdr:colOff>548907</xdr:colOff>
      <xdr:row>26</xdr:row>
      <xdr:rowOff>106753</xdr:rowOff>
    </xdr:to>
    <xdr:pic>
      <xdr:nvPicPr>
        <xdr:cNvPr id="5" name="Picture 4">
          <a:extLst>
            <a:ext uri="{FF2B5EF4-FFF2-40B4-BE49-F238E27FC236}">
              <a16:creationId xmlns:a16="http://schemas.microsoft.com/office/drawing/2014/main" id="{794239E0-A4D0-4A82-8471-771439D9B221}"/>
            </a:ext>
          </a:extLst>
        </xdr:cNvPr>
        <xdr:cNvPicPr>
          <a:picLocks noChangeAspect="1"/>
        </xdr:cNvPicPr>
      </xdr:nvPicPr>
      <xdr:blipFill>
        <a:blip xmlns:r="http://schemas.openxmlformats.org/officeDocument/2006/relationships" r:embed="rId3"/>
        <a:stretch>
          <a:fillRect/>
        </a:stretch>
      </xdr:blipFill>
      <xdr:spPr>
        <a:xfrm>
          <a:off x="1897380" y="4076700"/>
          <a:ext cx="3078747" cy="838273"/>
        </a:xfrm>
        <a:prstGeom prst="rect">
          <a:avLst/>
        </a:prstGeom>
      </xdr:spPr>
    </xdr:pic>
    <xdr:clientData/>
  </xdr:twoCellAnchor>
  <xdr:twoCellAnchor editAs="oneCell">
    <xdr:from>
      <xdr:col>0</xdr:col>
      <xdr:colOff>541020</xdr:colOff>
      <xdr:row>23</xdr:row>
      <xdr:rowOff>106680</xdr:rowOff>
    </xdr:from>
    <xdr:to>
      <xdr:col>4</xdr:col>
      <xdr:colOff>213795</xdr:colOff>
      <xdr:row>35</xdr:row>
      <xdr:rowOff>167835</xdr:rowOff>
    </xdr:to>
    <xdr:pic>
      <xdr:nvPicPr>
        <xdr:cNvPr id="6" name="Picture 5">
          <a:extLst>
            <a:ext uri="{FF2B5EF4-FFF2-40B4-BE49-F238E27FC236}">
              <a16:creationId xmlns:a16="http://schemas.microsoft.com/office/drawing/2014/main" id="{77D12ACF-7ED7-47D5-B016-5ED78C73F385}"/>
            </a:ext>
          </a:extLst>
        </xdr:cNvPr>
        <xdr:cNvPicPr>
          <a:picLocks noChangeAspect="1"/>
        </xdr:cNvPicPr>
      </xdr:nvPicPr>
      <xdr:blipFill>
        <a:blip xmlns:r="http://schemas.openxmlformats.org/officeDocument/2006/relationships" r:embed="rId4"/>
        <a:stretch>
          <a:fillRect/>
        </a:stretch>
      </xdr:blipFill>
      <xdr:spPr>
        <a:xfrm>
          <a:off x="541020" y="4366260"/>
          <a:ext cx="5014395" cy="22557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laji\Desktop\fcffsimpleginzu2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mp;L%20STATMENTS%20IHC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shwath%20damodaran/Damodaran%20SIr%20Data%20Emerging%20markets/Risk%20Premium%20ctryprem1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shwath%20damodaran/Damodaran%20SIr%20Data%20Emerging%20markets/Capital%20Structure/Rating%20spread%20and%20Intereset%20Coverage%20Rati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HCL%20DATA/FP&amp;A%20and%20PM.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HCL%20DATA/IHCL%20DAILY.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EERS/PEERS%20RAT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Valuation output"/>
      <sheetName val="Stories to Numbers"/>
      <sheetName val="Option value"/>
      <sheetName val="Diagnostics"/>
      <sheetName val="R&amp; D converter"/>
      <sheetName val="Operating lease converter"/>
      <sheetName val="Cost of capital worksheet"/>
      <sheetName val="Synthetic rating"/>
      <sheetName val="Industry Averages(US)"/>
      <sheetName val="Global industry averages"/>
      <sheetName val="Country equity risk premiums"/>
      <sheetName val="Trailing 12 month"/>
      <sheetName val="Answer keys"/>
    </sheetNames>
    <sheetDataSet>
      <sheetData sheetId="0">
        <row r="2">
          <cell r="B2" t="str">
            <v>Apple</v>
          </cell>
        </row>
        <row r="19">
          <cell r="B19">
            <v>128</v>
          </cell>
        </row>
      </sheetData>
      <sheetData sheetId="1">
        <row r="2">
          <cell r="M2">
            <v>0.01</v>
          </cell>
        </row>
        <row r="3">
          <cell r="C3">
            <v>221389.77</v>
          </cell>
          <cell r="D3">
            <v>224710.61654999998</v>
          </cell>
          <cell r="E3">
            <v>228081.27579824996</v>
          </cell>
          <cell r="F3">
            <v>231502.49493522369</v>
          </cell>
          <cell r="G3">
            <v>234975.03235925201</v>
          </cell>
          <cell r="H3">
            <v>238264.68281228154</v>
          </cell>
          <cell r="I3">
            <v>241362.12368884118</v>
          </cell>
          <cell r="J3">
            <v>244258.46917310727</v>
          </cell>
          <cell r="K3">
            <v>246945.31233401143</v>
          </cell>
          <cell r="L3">
            <v>249414.76545735155</v>
          </cell>
          <cell r="M3">
            <v>251908.91311192507</v>
          </cell>
        </row>
        <row r="4">
          <cell r="C4">
            <v>0.31145071543482516</v>
          </cell>
          <cell r="D4">
            <v>0.30462285816428902</v>
          </cell>
          <cell r="E4">
            <v>0.29779500089375294</v>
          </cell>
          <cell r="F4">
            <v>0.2909671436232168</v>
          </cell>
          <cell r="G4">
            <v>0.28413928635268065</v>
          </cell>
          <cell r="H4">
            <v>0.27731142908214451</v>
          </cell>
          <cell r="I4">
            <v>0.27048357181160837</v>
          </cell>
          <cell r="J4">
            <v>0.26365571454107228</v>
          </cell>
          <cell r="K4">
            <v>0.25682785727053614</v>
          </cell>
          <cell r="L4">
            <v>0.25</v>
          </cell>
          <cell r="M4">
            <v>0.25</v>
          </cell>
        </row>
        <row r="7">
          <cell r="C7">
            <v>51018.208121181633</v>
          </cell>
          <cell r="D7">
            <v>50648.244746897377</v>
          </cell>
          <cell r="E7">
            <v>50255.703374557335</v>
          </cell>
          <cell r="F7">
            <v>49839.989905979033</v>
          </cell>
          <cell r="G7">
            <v>49400.4975000841</v>
          </cell>
          <cell r="H7">
            <v>47700.271894992402</v>
          </cell>
          <cell r="I7">
            <v>45956.716560505796</v>
          </cell>
          <cell r="J7">
            <v>44176.153118356066</v>
          </cell>
          <cell r="K7">
            <v>42365.032778089124</v>
          </cell>
          <cell r="L7">
            <v>40529.899386819634</v>
          </cell>
          <cell r="M7">
            <v>40935.198380687827</v>
          </cell>
        </row>
        <row r="8">
          <cell r="C8">
            <v>2044.8562499999935</v>
          </cell>
          <cell r="D8">
            <v>2075.5290937499922</v>
          </cell>
          <cell r="E8">
            <v>2106.6620301562398</v>
          </cell>
          <cell r="F8">
            <v>2138.2619606085791</v>
          </cell>
          <cell r="G8">
            <v>2170.3358900177045</v>
          </cell>
          <cell r="H8">
            <v>2056.0315331434504</v>
          </cell>
          <cell r="I8">
            <v>1935.9005478497784</v>
          </cell>
          <cell r="J8">
            <v>1810.2159276663042</v>
          </cell>
          <cell r="K8">
            <v>1679.2769755650988</v>
          </cell>
          <cell r="L8">
            <v>1543.4082020875758</v>
          </cell>
          <cell r="M8">
            <v>5873.0557217629603</v>
          </cell>
        </row>
        <row r="12">
          <cell r="C12">
            <v>8.4418454445523594E-2</v>
          </cell>
          <cell r="M12">
            <v>6.9699999999999998E-2</v>
          </cell>
        </row>
        <row r="18">
          <cell r="B18">
            <v>587305.57217629591</v>
          </cell>
        </row>
        <row r="19">
          <cell r="B19">
            <v>272061.69177812478</v>
          </cell>
        </row>
        <row r="20">
          <cell r="B20">
            <v>304260.99117297214</v>
          </cell>
        </row>
        <row r="21">
          <cell r="B21">
            <v>576322.68295109691</v>
          </cell>
        </row>
        <row r="22">
          <cell r="B22">
            <v>0</v>
          </cell>
        </row>
        <row r="24">
          <cell r="B24">
            <v>576322.68295109691</v>
          </cell>
        </row>
        <row r="25">
          <cell r="B25">
            <v>87815.333283897271</v>
          </cell>
        </row>
        <row r="26">
          <cell r="B26">
            <v>0</v>
          </cell>
        </row>
        <row r="27">
          <cell r="B27">
            <v>245090</v>
          </cell>
        </row>
        <row r="28">
          <cell r="B28">
            <v>0</v>
          </cell>
        </row>
        <row r="30">
          <cell r="B30">
            <v>125.25640103930094</v>
          </cell>
        </row>
        <row r="32">
          <cell r="B32">
            <v>5336.1660000000002</v>
          </cell>
        </row>
        <row r="40">
          <cell r="M40">
            <v>6.9699999999999998E-2</v>
          </cell>
        </row>
      </sheetData>
      <sheetData sheetId="2"/>
      <sheetData sheetId="3"/>
      <sheetData sheetId="4">
        <row r="6">
          <cell r="B6">
            <v>-0.36137124095549455</v>
          </cell>
        </row>
      </sheetData>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HCL P&amp;L"/>
      <sheetName val="Sheet1"/>
      <sheetName val="IHCL BALANCE SHEET (2)"/>
      <sheetName val="Operating Leases 2016"/>
      <sheetName val="Operating Leases 2017"/>
      <sheetName val="Operating Leases 2018"/>
      <sheetName val="weighted average cost of capita"/>
      <sheetName val="Sheet2 (2)"/>
      <sheetName val="Employee Benefit Future"/>
      <sheetName val="Peers Ratio"/>
      <sheetName val="Fixed Assets "/>
      <sheetName val="Intangible Assets"/>
      <sheetName val="Finance Cost"/>
      <sheetName val="cashflow templated"/>
      <sheetName val="Free cashflow to equity"/>
      <sheetName val="Sheet2"/>
      <sheetName val="cash flow 2015"/>
      <sheetName val="cash flow 2016"/>
      <sheetName val="cash flow 2017"/>
      <sheetName val="cash flow 2018"/>
      <sheetName val="Free Cash Flow forecasting "/>
      <sheetName val="cash flow 2019"/>
      <sheetName val="Free Cash Flow Projection"/>
      <sheetName val="IHCL BALANCE SHEET"/>
      <sheetName val="Free Cash Flows Jury template"/>
      <sheetName val="quaterly"/>
      <sheetName val="IHCL &amp; NIFTY 200"/>
      <sheetName val="Company wise List OF Hotel,Unit"/>
      <sheetName val="Info Given In Annual Report"/>
      <sheetName val="Future Revenue Income"/>
      <sheetName val="FTA"/>
      <sheetName val="TOTAL DEBT "/>
      <sheetName val="Sheet4"/>
      <sheetName val="Sheet3"/>
    </sheetNames>
    <sheetDataSet>
      <sheetData sheetId="0">
        <row r="5">
          <cell r="B5">
            <v>4188.6400000000003</v>
          </cell>
          <cell r="C5">
            <v>4590.92</v>
          </cell>
          <cell r="D5">
            <v>4010.26</v>
          </cell>
          <cell r="E5">
            <v>4103.55</v>
          </cell>
          <cell r="F5">
            <v>4512</v>
          </cell>
        </row>
        <row r="9">
          <cell r="B9">
            <v>443.09</v>
          </cell>
          <cell r="C9">
            <v>504.48</v>
          </cell>
          <cell r="D9">
            <v>363.95</v>
          </cell>
          <cell r="E9">
            <v>376.44</v>
          </cell>
          <cell r="F9">
            <v>404.05</v>
          </cell>
        </row>
        <row r="12">
          <cell r="B12">
            <v>291.29000000000002</v>
          </cell>
          <cell r="C12">
            <v>316.67</v>
          </cell>
          <cell r="D12">
            <v>299.37</v>
          </cell>
          <cell r="E12">
            <v>301.2</v>
          </cell>
          <cell r="F12">
            <v>327.85</v>
          </cell>
        </row>
        <row r="17">
          <cell r="F17">
            <v>401.71</v>
          </cell>
        </row>
        <row r="23">
          <cell r="F23">
            <v>157.12</v>
          </cell>
        </row>
        <row r="44">
          <cell r="D44">
            <v>3.7194244604316551</v>
          </cell>
          <cell r="E44">
            <v>0.65689945195072985</v>
          </cell>
          <cell r="F44">
            <v>0.39112792810734115</v>
          </cell>
        </row>
      </sheetData>
      <sheetData sheetId="1">
        <row r="3">
          <cell r="B3">
            <v>2015</v>
          </cell>
          <cell r="C3">
            <v>2016</v>
          </cell>
          <cell r="D3">
            <v>2017</v>
          </cell>
          <cell r="E3">
            <v>2018</v>
          </cell>
          <cell r="F3">
            <v>2019</v>
          </cell>
        </row>
        <row r="4">
          <cell r="B4">
            <v>4188.6400000000003</v>
          </cell>
          <cell r="C4">
            <v>4590.92</v>
          </cell>
          <cell r="D4">
            <v>4010.26</v>
          </cell>
          <cell r="E4">
            <v>4103.55</v>
          </cell>
          <cell r="F4">
            <v>4512</v>
          </cell>
        </row>
        <row r="5">
          <cell r="B5">
            <v>443.09</v>
          </cell>
          <cell r="C5">
            <v>504.48</v>
          </cell>
          <cell r="D5">
            <v>363.95</v>
          </cell>
          <cell r="E5">
            <v>376.44</v>
          </cell>
          <cell r="F5">
            <v>404.05</v>
          </cell>
        </row>
        <row r="6">
          <cell r="B6">
            <v>1462.46</v>
          </cell>
          <cell r="C6">
            <v>1609.71</v>
          </cell>
          <cell r="D6">
            <v>1364.65</v>
          </cell>
          <cell r="E6">
            <v>1346.62</v>
          </cell>
          <cell r="F6">
            <v>1470.79</v>
          </cell>
        </row>
        <row r="13">
          <cell r="B13">
            <v>648.91000000000042</v>
          </cell>
          <cell r="C13">
            <v>348.10000000000025</v>
          </cell>
          <cell r="D13">
            <v>354.40999999999997</v>
          </cell>
          <cell r="E13">
            <v>453.32999999999993</v>
          </cell>
          <cell r="F13">
            <v>591.84000000000015</v>
          </cell>
        </row>
        <row r="14">
          <cell r="B14">
            <v>175.57</v>
          </cell>
          <cell r="C14">
            <v>245.96</v>
          </cell>
          <cell r="D14">
            <v>323.83</v>
          </cell>
          <cell r="E14">
            <v>269.04000000000002</v>
          </cell>
          <cell r="F14">
            <v>190.13</v>
          </cell>
        </row>
        <row r="16">
          <cell r="B16">
            <v>114.60000000000001</v>
          </cell>
          <cell r="C16">
            <v>140.07</v>
          </cell>
          <cell r="D16">
            <v>113.74000000000001</v>
          </cell>
          <cell r="E16">
            <v>121.06</v>
          </cell>
          <cell r="F16">
            <v>157.12</v>
          </cell>
        </row>
        <row r="17">
          <cell r="B17">
            <v>358.74000000000041</v>
          </cell>
          <cell r="C17">
            <v>-37.929999999999751</v>
          </cell>
          <cell r="D17">
            <v>-83.160000000000025</v>
          </cell>
          <cell r="E17">
            <v>63.229999999999905</v>
          </cell>
          <cell r="F17">
            <v>244.59000000000015</v>
          </cell>
        </row>
        <row r="18">
          <cell r="B18">
            <v>3745.55</v>
          </cell>
          <cell r="C18">
            <v>4086.44</v>
          </cell>
          <cell r="D18">
            <v>3646.3100000000004</v>
          </cell>
          <cell r="E18">
            <v>3727.11</v>
          </cell>
          <cell r="F18">
            <v>4107.95</v>
          </cell>
        </row>
      </sheetData>
      <sheetData sheetId="2">
        <row r="6">
          <cell r="B6">
            <v>5766.89</v>
          </cell>
          <cell r="C6">
            <v>6620.43</v>
          </cell>
          <cell r="D6">
            <v>4618.4799999999996</v>
          </cell>
          <cell r="E6">
            <v>4977.96</v>
          </cell>
          <cell r="F6">
            <v>5233.18</v>
          </cell>
        </row>
        <row r="14">
          <cell r="F14">
            <v>436.26</v>
          </cell>
        </row>
        <row r="15">
          <cell r="F15">
            <v>15.73</v>
          </cell>
        </row>
        <row r="23">
          <cell r="B23">
            <v>102.96</v>
          </cell>
          <cell r="C23">
            <v>98.08</v>
          </cell>
          <cell r="D23">
            <v>80.44</v>
          </cell>
          <cell r="E23">
            <v>85.72</v>
          </cell>
          <cell r="F23">
            <v>80.400000000000006</v>
          </cell>
        </row>
        <row r="25">
          <cell r="B25">
            <v>546.30999999999995</v>
          </cell>
          <cell r="C25">
            <v>184.79</v>
          </cell>
          <cell r="D25">
            <v>90.8</v>
          </cell>
          <cell r="E25">
            <v>330.53</v>
          </cell>
          <cell r="F25">
            <v>211.21</v>
          </cell>
        </row>
        <row r="26">
          <cell r="B26">
            <v>299.82</v>
          </cell>
          <cell r="C26">
            <v>331.69</v>
          </cell>
          <cell r="D26">
            <v>272.06</v>
          </cell>
          <cell r="E26">
            <v>328.56</v>
          </cell>
          <cell r="F26">
            <v>321.38</v>
          </cell>
          <cell r="G26">
            <v>-7.1800000000000068</v>
          </cell>
        </row>
        <row r="27">
          <cell r="B27">
            <v>503.57</v>
          </cell>
          <cell r="C27">
            <v>210.22</v>
          </cell>
          <cell r="D27">
            <v>141.31</v>
          </cell>
          <cell r="E27">
            <v>207.84</v>
          </cell>
          <cell r="F27">
            <v>189.29</v>
          </cell>
        </row>
        <row r="28">
          <cell r="B28">
            <v>0</v>
          </cell>
          <cell r="C28">
            <v>0</v>
          </cell>
          <cell r="D28">
            <v>105.75</v>
          </cell>
          <cell r="E28">
            <v>62.48</v>
          </cell>
          <cell r="F28">
            <v>51.65</v>
          </cell>
        </row>
        <row r="29">
          <cell r="B29">
            <v>195.33</v>
          </cell>
          <cell r="C29">
            <v>216.41</v>
          </cell>
          <cell r="D29">
            <v>49.02</v>
          </cell>
          <cell r="E29">
            <v>9.14</v>
          </cell>
          <cell r="F29">
            <v>3.44</v>
          </cell>
        </row>
        <row r="30">
          <cell r="B30">
            <v>0</v>
          </cell>
          <cell r="C30">
            <v>0</v>
          </cell>
          <cell r="D30">
            <v>108.65</v>
          </cell>
          <cell r="E30">
            <v>114.98</v>
          </cell>
          <cell r="F30">
            <v>160.13999999999999</v>
          </cell>
        </row>
        <row r="32">
          <cell r="B32">
            <v>1722.4899999999998</v>
          </cell>
          <cell r="C32">
            <v>1121.6500000000001</v>
          </cell>
          <cell r="D32">
            <v>926.33999999999992</v>
          </cell>
          <cell r="E32">
            <v>1219.53</v>
          </cell>
          <cell r="F32">
            <v>1150.3499999999999</v>
          </cell>
        </row>
        <row r="34">
          <cell r="B34">
            <v>9886.9800000000014</v>
          </cell>
          <cell r="C34">
            <v>10944.57</v>
          </cell>
          <cell r="D34">
            <v>8634.2799999999988</v>
          </cell>
          <cell r="E34">
            <v>9374.5400000000009</v>
          </cell>
          <cell r="F34">
            <v>9583.76</v>
          </cell>
        </row>
        <row r="39">
          <cell r="B39">
            <v>2227.2199999999998</v>
          </cell>
          <cell r="C39">
            <v>3181.97</v>
          </cell>
          <cell r="D39">
            <v>2517.69</v>
          </cell>
          <cell r="E39">
            <v>4181.1000000000004</v>
          </cell>
          <cell r="F39">
            <v>4348</v>
          </cell>
        </row>
        <row r="40">
          <cell r="F40">
            <v>799.86</v>
          </cell>
        </row>
        <row r="41">
          <cell r="B41">
            <v>2965.06</v>
          </cell>
          <cell r="C41">
            <v>4017.31</v>
          </cell>
          <cell r="D41">
            <v>3255.51</v>
          </cell>
          <cell r="E41">
            <v>4958.4900000000007</v>
          </cell>
          <cell r="F41">
            <v>5147.8599999999997</v>
          </cell>
        </row>
        <row r="50">
          <cell r="B50">
            <v>33.39</v>
          </cell>
          <cell r="C50">
            <v>110.23</v>
          </cell>
          <cell r="D50">
            <v>18.16</v>
          </cell>
          <cell r="E50">
            <v>5</v>
          </cell>
          <cell r="F50">
            <v>35.68</v>
          </cell>
        </row>
        <row r="51">
          <cell r="B51">
            <v>331.15</v>
          </cell>
          <cell r="C51">
            <v>381.34000000000003</v>
          </cell>
          <cell r="D51">
            <v>293.06</v>
          </cell>
          <cell r="E51">
            <v>351.3</v>
          </cell>
          <cell r="F51">
            <v>325.25</v>
          </cell>
        </row>
        <row r="55">
          <cell r="B55">
            <v>0</v>
          </cell>
          <cell r="C55">
            <v>0</v>
          </cell>
          <cell r="D55">
            <v>1065.46</v>
          </cell>
          <cell r="E55">
            <v>605.27</v>
          </cell>
          <cell r="F55">
            <v>1246.56</v>
          </cell>
        </row>
        <row r="56">
          <cell r="B56">
            <v>1432.26</v>
          </cell>
          <cell r="C56">
            <v>2303.21</v>
          </cell>
          <cell r="D56">
            <v>1839.27</v>
          </cell>
          <cell r="E56">
            <v>1393.44</v>
          </cell>
          <cell r="F56">
            <v>2089.46</v>
          </cell>
        </row>
        <row r="59">
          <cell r="B59">
            <v>443.42</v>
          </cell>
          <cell r="C59">
            <v>986.38</v>
          </cell>
          <cell r="D59">
            <v>574.96</v>
          </cell>
          <cell r="E59">
            <v>93.22</v>
          </cell>
          <cell r="F59">
            <v>602.78</v>
          </cell>
        </row>
        <row r="60">
          <cell r="B60">
            <v>5074.4800000000005</v>
          </cell>
          <cell r="C60">
            <v>4781.41</v>
          </cell>
          <cell r="D60">
            <v>3382.98</v>
          </cell>
          <cell r="E60">
            <v>2427.4299999999998</v>
          </cell>
          <cell r="F60">
            <v>2325.98</v>
          </cell>
        </row>
      </sheetData>
      <sheetData sheetId="3"/>
      <sheetData sheetId="4"/>
      <sheetData sheetId="5">
        <row r="47">
          <cell r="D47">
            <v>580.67394753740223</v>
          </cell>
        </row>
      </sheetData>
      <sheetData sheetId="6">
        <row r="28">
          <cell r="B28">
            <v>154.33000000000001</v>
          </cell>
        </row>
        <row r="29">
          <cell r="C29">
            <v>1189258445</v>
          </cell>
        </row>
        <row r="40">
          <cell r="B40">
            <v>5147.8599999999997</v>
          </cell>
        </row>
      </sheetData>
      <sheetData sheetId="7"/>
      <sheetData sheetId="8"/>
      <sheetData sheetId="9">
        <row r="56">
          <cell r="P56">
            <v>0</v>
          </cell>
          <cell r="Q56">
            <v>28.792280684645196</v>
          </cell>
        </row>
        <row r="57">
          <cell r="P57">
            <v>0</v>
          </cell>
          <cell r="Q57">
            <v>52.063957387902477</v>
          </cell>
        </row>
        <row r="58">
          <cell r="P58">
            <v>0</v>
          </cell>
          <cell r="Q58">
            <v>0.964274504910276</v>
          </cell>
        </row>
        <row r="59">
          <cell r="P59">
            <v>0</v>
          </cell>
          <cell r="Q59">
            <v>351.96019429225078</v>
          </cell>
        </row>
        <row r="64">
          <cell r="P64">
            <v>1.8944360261539558E-2</v>
          </cell>
          <cell r="Q64">
            <v>1.3914459347037582E-2</v>
          </cell>
        </row>
        <row r="67">
          <cell r="P67">
            <v>0.85826236259103028</v>
          </cell>
          <cell r="Q67">
            <v>0.95654083037029636</v>
          </cell>
        </row>
        <row r="68">
          <cell r="Q68">
            <v>0.11976155832115988</v>
          </cell>
        </row>
      </sheetData>
      <sheetData sheetId="10"/>
      <sheetData sheetId="11"/>
      <sheetData sheetId="12"/>
      <sheetData sheetId="13">
        <row r="9">
          <cell r="B9">
            <v>183.64000000000001</v>
          </cell>
          <cell r="C9">
            <v>260.45000000000005</v>
          </cell>
          <cell r="D9">
            <v>140.54999999999984</v>
          </cell>
          <cell r="E9">
            <v>-12.890000000000043</v>
          </cell>
          <cell r="F9">
            <v>251.04000000000008</v>
          </cell>
        </row>
        <row r="11">
          <cell r="B11">
            <v>7.7399999999999984</v>
          </cell>
          <cell r="C11">
            <v>12.04</v>
          </cell>
          <cell r="D11">
            <v>-29.42</v>
          </cell>
          <cell r="E11">
            <v>-28.65</v>
          </cell>
          <cell r="F11">
            <v>-46.37</v>
          </cell>
        </row>
      </sheetData>
      <sheetData sheetId="14"/>
      <sheetData sheetId="15">
        <row r="68">
          <cell r="B68"/>
          <cell r="D68"/>
          <cell r="F68"/>
          <cell r="H68"/>
          <cell r="J68"/>
        </row>
        <row r="69">
          <cell r="B69"/>
          <cell r="D69"/>
          <cell r="F69"/>
          <cell r="H69"/>
          <cell r="J69"/>
        </row>
        <row r="71">
          <cell r="B71"/>
          <cell r="D71"/>
          <cell r="F71"/>
          <cell r="H71"/>
          <cell r="J71"/>
        </row>
        <row r="72">
          <cell r="B72"/>
          <cell r="D72"/>
          <cell r="F72"/>
          <cell r="H72"/>
          <cell r="J72"/>
        </row>
        <row r="73">
          <cell r="B73"/>
          <cell r="D73"/>
          <cell r="F73"/>
          <cell r="H73"/>
          <cell r="J73"/>
        </row>
      </sheetData>
      <sheetData sheetId="16">
        <row r="4">
          <cell r="E4">
            <v>535.1</v>
          </cell>
        </row>
        <row r="5">
          <cell r="E5">
            <v>-20.599999999999998</v>
          </cell>
        </row>
        <row r="6">
          <cell r="E6">
            <v>-311.13</v>
          </cell>
        </row>
        <row r="7">
          <cell r="E7">
            <v>-19.73</v>
          </cell>
        </row>
        <row r="9">
          <cell r="E9">
            <v>183.64000000000001</v>
          </cell>
        </row>
        <row r="10">
          <cell r="E10">
            <v>-129.96</v>
          </cell>
        </row>
        <row r="11">
          <cell r="E11">
            <v>7.7399999999999984</v>
          </cell>
        </row>
        <row r="12">
          <cell r="E12">
            <v>-487.90000000000015</v>
          </cell>
        </row>
        <row r="14">
          <cell r="E14">
            <v>-426.48000000000013</v>
          </cell>
        </row>
        <row r="17">
          <cell r="E17">
            <v>0</v>
          </cell>
        </row>
        <row r="18">
          <cell r="E18">
            <v>686.51000000000022</v>
          </cell>
        </row>
        <row r="19">
          <cell r="E19">
            <v>0</v>
          </cell>
        </row>
        <row r="20">
          <cell r="E20">
            <v>-260.02999999999997</v>
          </cell>
        </row>
        <row r="21">
          <cell r="E21">
            <v>426.48000000000025</v>
          </cell>
        </row>
        <row r="71">
          <cell r="B71">
            <v>-18.03</v>
          </cell>
        </row>
      </sheetData>
      <sheetData sheetId="17">
        <row r="4">
          <cell r="E4">
            <v>709.5200000000001</v>
          </cell>
        </row>
        <row r="5">
          <cell r="E5">
            <v>46.929999999999993</v>
          </cell>
        </row>
        <row r="6">
          <cell r="E6">
            <v>-398.62</v>
          </cell>
        </row>
        <row r="7">
          <cell r="E7">
            <v>-97.38</v>
          </cell>
        </row>
        <row r="9">
          <cell r="E9">
            <v>260.45000000000005</v>
          </cell>
        </row>
        <row r="10">
          <cell r="E10">
            <v>-126.9</v>
          </cell>
        </row>
        <row r="11">
          <cell r="E11">
            <v>12.04</v>
          </cell>
        </row>
        <row r="12">
          <cell r="E12">
            <v>587.82000000000005</v>
          </cell>
        </row>
        <row r="14">
          <cell r="E14">
            <v>733.41000000000008</v>
          </cell>
        </row>
        <row r="17">
          <cell r="E17">
            <v>0</v>
          </cell>
        </row>
        <row r="18">
          <cell r="E18">
            <v>-970.55000000000018</v>
          </cell>
        </row>
        <row r="19">
          <cell r="E19">
            <v>0</v>
          </cell>
        </row>
        <row r="20">
          <cell r="E20">
            <v>237.1400000000001</v>
          </cell>
        </row>
        <row r="21">
          <cell r="E21">
            <v>-733.41000000000008</v>
          </cell>
        </row>
        <row r="71">
          <cell r="B71">
            <v>-28.83</v>
          </cell>
        </row>
      </sheetData>
      <sheetData sheetId="18">
        <row r="4">
          <cell r="E4">
            <v>681.15999999999985</v>
          </cell>
        </row>
        <row r="5">
          <cell r="E5">
            <v>-59.86</v>
          </cell>
        </row>
        <row r="6">
          <cell r="E6">
            <v>-393.96</v>
          </cell>
        </row>
        <row r="7">
          <cell r="E7">
            <v>-86.79</v>
          </cell>
        </row>
        <row r="9">
          <cell r="E9">
            <v>140.54999999999984</v>
          </cell>
        </row>
        <row r="10">
          <cell r="E10">
            <v>-137.54</v>
          </cell>
        </row>
        <row r="11">
          <cell r="E11">
            <v>-29.42</v>
          </cell>
        </row>
        <row r="12">
          <cell r="E12">
            <v>1206.45</v>
          </cell>
        </row>
        <row r="14">
          <cell r="E14">
            <v>1180.04</v>
          </cell>
        </row>
        <row r="17">
          <cell r="E17">
            <v>0</v>
          </cell>
        </row>
        <row r="18">
          <cell r="E18">
            <v>-1144.94</v>
          </cell>
        </row>
        <row r="19">
          <cell r="E19">
            <v>-26.97</v>
          </cell>
        </row>
        <row r="20">
          <cell r="E20">
            <v>-8.1299999999996544</v>
          </cell>
        </row>
        <row r="21">
          <cell r="E21">
            <v>-1180.0399999999997</v>
          </cell>
        </row>
        <row r="71">
          <cell r="B71">
            <v>-45.78</v>
          </cell>
        </row>
      </sheetData>
      <sheetData sheetId="19">
        <row r="4">
          <cell r="E4">
            <v>737.85</v>
          </cell>
        </row>
        <row r="5">
          <cell r="E5">
            <v>-103.31</v>
          </cell>
        </row>
        <row r="6">
          <cell r="E6">
            <v>-504.94</v>
          </cell>
        </row>
        <row r="7">
          <cell r="E7">
            <v>-142.49</v>
          </cell>
        </row>
        <row r="9">
          <cell r="E9">
            <v>-12.890000000000043</v>
          </cell>
        </row>
        <row r="10">
          <cell r="E10">
            <v>-383.06</v>
          </cell>
        </row>
        <row r="11">
          <cell r="E11">
            <v>-28.65</v>
          </cell>
        </row>
        <row r="12">
          <cell r="E12">
            <v>-65.699999999999918</v>
          </cell>
        </row>
        <row r="14">
          <cell r="E14">
            <v>-490.29999999999995</v>
          </cell>
        </row>
        <row r="17">
          <cell r="E17">
            <v>1499.88</v>
          </cell>
        </row>
        <row r="18">
          <cell r="E18">
            <v>-962.2</v>
          </cell>
        </row>
        <row r="19">
          <cell r="E19">
            <v>11.66</v>
          </cell>
        </row>
        <row r="20">
          <cell r="E20">
            <v>-59.040000000000276</v>
          </cell>
        </row>
        <row r="21">
          <cell r="E21">
            <v>490.29999999999973</v>
          </cell>
        </row>
        <row r="71">
          <cell r="B71">
            <v>-44.69</v>
          </cell>
        </row>
      </sheetData>
      <sheetData sheetId="20"/>
      <sheetData sheetId="21">
        <row r="4">
          <cell r="E4">
            <v>936.92000000000007</v>
          </cell>
        </row>
        <row r="5">
          <cell r="E5">
            <v>-28.229999999999997</v>
          </cell>
        </row>
        <row r="6">
          <cell r="E6">
            <v>-460.39</v>
          </cell>
        </row>
        <row r="7">
          <cell r="E7">
            <v>-197.26</v>
          </cell>
        </row>
        <row r="9">
          <cell r="E9">
            <v>251.04000000000008</v>
          </cell>
        </row>
        <row r="10">
          <cell r="E10">
            <v>-132.92000000000002</v>
          </cell>
        </row>
        <row r="11">
          <cell r="E11">
            <v>-46.37</v>
          </cell>
        </row>
        <row r="12">
          <cell r="E12">
            <v>32.21000000000015</v>
          </cell>
        </row>
        <row r="14">
          <cell r="E14">
            <v>103.96000000000021</v>
          </cell>
        </row>
        <row r="17">
          <cell r="E17">
            <v>22.42</v>
          </cell>
        </row>
        <row r="18">
          <cell r="E18">
            <v>-151.05999999999997</v>
          </cell>
        </row>
        <row r="19">
          <cell r="E19">
            <v>4.7</v>
          </cell>
        </row>
        <row r="20">
          <cell r="E20">
            <v>19.979999999999677</v>
          </cell>
        </row>
        <row r="21">
          <cell r="E21">
            <v>-103.96000000000031</v>
          </cell>
        </row>
        <row r="71">
          <cell r="B71">
            <v>-68.52</v>
          </cell>
        </row>
      </sheetData>
      <sheetData sheetId="22"/>
      <sheetData sheetId="23">
        <row r="70">
          <cell r="J70">
            <v>9583.7599999999984</v>
          </cell>
        </row>
      </sheetData>
      <sheetData sheetId="24"/>
      <sheetData sheetId="25"/>
      <sheetData sheetId="26">
        <row r="14">
          <cell r="J14">
            <v>0.84550861618676321</v>
          </cell>
        </row>
      </sheetData>
      <sheetData sheetId="27"/>
      <sheetData sheetId="28"/>
      <sheetData sheetId="29"/>
      <sheetData sheetId="30"/>
      <sheetData sheetId="31">
        <row r="11">
          <cell r="D11">
            <v>1495</v>
          </cell>
        </row>
        <row r="15">
          <cell r="A15" t="str">
            <v>Pre Tax -Cost Of Debt</v>
          </cell>
        </row>
      </sheetData>
      <sheetData sheetId="32"/>
      <sheetData sheetId="3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ion and FAQ"/>
      <sheetName val="Country Lookup"/>
      <sheetName val="ERPs by country"/>
      <sheetName val="Relative Equity Volatility"/>
      <sheetName val="Regional Simple Averages"/>
      <sheetName val="Regional Weighted Averages"/>
      <sheetName val="Regional breakdown"/>
      <sheetName val="Sovereign Ratings (Moody's,S&amp;P)"/>
      <sheetName val="Regional lookup table"/>
      <sheetName val="Default Spreads for Ratings"/>
      <sheetName val="10-year CDS Spreads"/>
      <sheetName val="Equity vs Govt Bond vol"/>
      <sheetName val="Country GDP"/>
      <sheetName val="Ratings worksheet"/>
      <sheetName val="Country Tax Rates"/>
      <sheetName val="PRS Worksheet"/>
    </sheetNames>
    <sheetDataSet>
      <sheetData sheetId="0"/>
      <sheetData sheetId="1">
        <row r="10">
          <cell r="B10">
            <v>2.6420491474766512E-2</v>
          </cell>
        </row>
        <row r="11">
          <cell r="B11">
            <v>8.6020491474766508E-2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ault Spreads by Year Chart"/>
      <sheetName val="Spread Chart"/>
      <sheetName val="Sheet1"/>
    </sheetNames>
    <sheetDataSet>
      <sheetData sheetId="0" refreshError="1"/>
      <sheetData sheetId="1" refreshError="1"/>
      <sheetData sheetId="2">
        <row r="3">
          <cell r="B3">
            <v>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NCIAL ANALYSIS RECAP"/>
      <sheetName val="Profit and Loss"/>
      <sheetName val="Balance sheet"/>
      <sheetName val="Depreciation Calculation"/>
    </sheetNames>
    <sheetDataSet>
      <sheetData sheetId="0"/>
      <sheetData sheetId="1"/>
      <sheetData sheetId="2"/>
      <sheetData sheetId="3">
        <row r="8">
          <cell r="B8">
            <v>488.58000000000038</v>
          </cell>
          <cell r="C8">
            <v>616.57999999999993</v>
          </cell>
          <cell r="D8">
            <v>609.61999999999989</v>
          </cell>
          <cell r="E8">
            <v>670.35000000000036</v>
          </cell>
          <cell r="F8">
            <v>829.73</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HCL DAILY"/>
    </sheetNames>
    <sheetDataSet>
      <sheetData sheetId="0" refreshError="1">
        <row r="2287">
          <cell r="F2287">
            <v>154.332977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 and L"/>
      <sheetName val="Balance Sheet"/>
      <sheetName val="Capex"/>
      <sheetName val="Cash Flow Statemenyts"/>
      <sheetName val="Stock Price"/>
    </sheetNames>
    <sheetDataSet>
      <sheetData sheetId="0">
        <row r="4">
          <cell r="B4">
            <v>1134.874</v>
          </cell>
          <cell r="C4">
            <v>1401.606</v>
          </cell>
          <cell r="D4">
            <v>2316.92</v>
          </cell>
          <cell r="E4">
            <v>2238.9935999999998</v>
          </cell>
          <cell r="F4">
            <v>288.25040000000001</v>
          </cell>
          <cell r="G4">
            <v>316.87459999999999</v>
          </cell>
          <cell r="H4">
            <v>795.54700000000003</v>
          </cell>
          <cell r="I4">
            <v>987.173</v>
          </cell>
          <cell r="J4">
            <v>1598.8409999999999</v>
          </cell>
          <cell r="K4">
            <v>1810.82</v>
          </cell>
          <cell r="L4">
            <v>345.76839999999999</v>
          </cell>
          <cell r="M4">
            <v>355.94869999999997</v>
          </cell>
          <cell r="N4">
            <v>484.26150000000001</v>
          </cell>
          <cell r="O4">
            <v>549.50620000000004</v>
          </cell>
        </row>
        <row r="5">
          <cell r="B5">
            <v>424.971</v>
          </cell>
          <cell r="C5">
            <v>505.52100000000002</v>
          </cell>
          <cell r="D5">
            <v>250.25450000000001</v>
          </cell>
          <cell r="E5">
            <v>308.50189999999998</v>
          </cell>
          <cell r="F5">
            <v>31.604900000000001</v>
          </cell>
          <cell r="G5">
            <v>34.840200000000003</v>
          </cell>
          <cell r="H5">
            <v>98.38000000000001</v>
          </cell>
          <cell r="I5">
            <v>156.32800000000003</v>
          </cell>
          <cell r="J5">
            <v>225.827</v>
          </cell>
          <cell r="K5">
            <v>244.48400000000001</v>
          </cell>
          <cell r="L5">
            <v>67.069299999999998</v>
          </cell>
          <cell r="M5">
            <v>69.631700000000009</v>
          </cell>
          <cell r="N5">
            <v>43.5852</v>
          </cell>
          <cell r="O5">
            <v>49.823099999999997</v>
          </cell>
        </row>
        <row r="6">
          <cell r="B6">
            <v>171.554</v>
          </cell>
          <cell r="C6">
            <v>197.11099999999999</v>
          </cell>
          <cell r="D6">
            <v>543.51419999999996</v>
          </cell>
          <cell r="E6">
            <v>574.30470000000003</v>
          </cell>
          <cell r="F6">
            <v>62.482199999999999</v>
          </cell>
          <cell r="G6">
            <v>65.261399999999995</v>
          </cell>
          <cell r="H6">
            <v>128.11000000000001</v>
          </cell>
          <cell r="I6">
            <v>144.80799999999999</v>
          </cell>
          <cell r="J6">
            <v>461.05599999999998</v>
          </cell>
          <cell r="K6">
            <v>480.69299999999998</v>
          </cell>
          <cell r="L6">
            <v>143.70760000000001</v>
          </cell>
          <cell r="M6">
            <v>115.0407</v>
          </cell>
          <cell r="N6">
            <v>109.5749</v>
          </cell>
          <cell r="O6">
            <v>120.5305</v>
          </cell>
        </row>
        <row r="9">
          <cell r="B9">
            <v>95.130000000000109</v>
          </cell>
          <cell r="C9">
            <v>136.70899999999983</v>
          </cell>
          <cell r="D9">
            <v>380.2809000000002</v>
          </cell>
          <cell r="E9">
            <v>222.97802799999954</v>
          </cell>
          <cell r="F9">
            <v>74.251500000000021</v>
          </cell>
          <cell r="G9">
            <v>76.412700000000001</v>
          </cell>
          <cell r="H9">
            <v>300.47700000000009</v>
          </cell>
          <cell r="I9">
            <v>366.83399999999995</v>
          </cell>
          <cell r="J9">
            <v>421.75299999999993</v>
          </cell>
          <cell r="K9">
            <v>487.00099999999998</v>
          </cell>
          <cell r="L9">
            <v>15.018699999999967</v>
          </cell>
          <cell r="M9">
            <v>46.267099999999971</v>
          </cell>
          <cell r="N9">
            <v>149.31830000000002</v>
          </cell>
          <cell r="O9">
            <v>184.07850000000002</v>
          </cell>
        </row>
        <row r="10">
          <cell r="B10">
            <v>67.262</v>
          </cell>
          <cell r="C10">
            <v>79.715000000000003</v>
          </cell>
          <cell r="D10">
            <v>99.983900000000006</v>
          </cell>
          <cell r="E10">
            <v>101.343</v>
          </cell>
          <cell r="F10">
            <v>17.2684</v>
          </cell>
          <cell r="G10">
            <v>16.700099999999999</v>
          </cell>
          <cell r="H10">
            <v>111.633</v>
          </cell>
          <cell r="I10">
            <v>115.417</v>
          </cell>
          <cell r="J10">
            <v>117.333</v>
          </cell>
          <cell r="K10">
            <v>132.55699999999999</v>
          </cell>
          <cell r="L10">
            <v>7.2135999999999996</v>
          </cell>
          <cell r="M10">
            <v>7.3589000000000002</v>
          </cell>
          <cell r="N10">
            <v>52.617400000000004</v>
          </cell>
          <cell r="O10">
            <v>54.114800000000002</v>
          </cell>
        </row>
        <row r="13">
          <cell r="B13">
            <v>27.868000000000109</v>
          </cell>
          <cell r="C13">
            <v>56.993999999999829</v>
          </cell>
          <cell r="D13">
            <v>280.2970000000002</v>
          </cell>
          <cell r="E13">
            <v>121.63502799999954</v>
          </cell>
          <cell r="F13">
            <v>56.983100000000022</v>
          </cell>
          <cell r="G13">
            <v>59.712600000000002</v>
          </cell>
          <cell r="H13">
            <v>67.092000000000112</v>
          </cell>
          <cell r="I13">
            <v>247.32099999999994</v>
          </cell>
          <cell r="J13">
            <v>304.41999999999996</v>
          </cell>
          <cell r="K13">
            <v>281.37799999999993</v>
          </cell>
          <cell r="L13">
            <v>38.662099999999967</v>
          </cell>
          <cell r="M13">
            <v>60.961099999999973</v>
          </cell>
          <cell r="N13">
            <v>96.700900000000019</v>
          </cell>
          <cell r="O13">
            <v>129.96370000000002</v>
          </cell>
        </row>
        <row r="14">
          <cell r="B14">
            <v>15.010999999999999</v>
          </cell>
          <cell r="C14">
            <v>17.731999999999999</v>
          </cell>
          <cell r="D14">
            <v>63.72</v>
          </cell>
          <cell r="E14">
            <v>23.588000000000001</v>
          </cell>
          <cell r="F14">
            <v>24.9695</v>
          </cell>
          <cell r="G14">
            <v>21.584199999999999</v>
          </cell>
          <cell r="H14">
            <v>211.92099999999999</v>
          </cell>
          <cell r="I14">
            <v>265.66899999999998</v>
          </cell>
          <cell r="J14">
            <v>23.111999999999998</v>
          </cell>
          <cell r="K14">
            <v>50.441000000000003</v>
          </cell>
          <cell r="L14">
            <v>0.55669999999999997</v>
          </cell>
          <cell r="M14">
            <v>0.65669999999999995</v>
          </cell>
          <cell r="N14">
            <v>78.369</v>
          </cell>
          <cell r="O14">
            <v>84.696299999999994</v>
          </cell>
        </row>
        <row r="16">
          <cell r="B16">
            <v>0</v>
          </cell>
          <cell r="C16">
            <v>-1.04</v>
          </cell>
          <cell r="D16">
            <v>83.802099999999996</v>
          </cell>
          <cell r="E16">
            <v>38.475099999999998</v>
          </cell>
          <cell r="F16">
            <v>11.006600000000001</v>
          </cell>
          <cell r="G16">
            <v>13.815200000000001</v>
          </cell>
          <cell r="H16">
            <v>-51.954000000000001</v>
          </cell>
          <cell r="I16">
            <v>-10.721</v>
          </cell>
          <cell r="J16">
            <v>85.53</v>
          </cell>
          <cell r="K16">
            <v>81.97999999999999</v>
          </cell>
          <cell r="L16">
            <v>8.9148999999999994</v>
          </cell>
          <cell r="M16">
            <v>17.904399999999999</v>
          </cell>
          <cell r="N16">
            <v>3.7783000000000002</v>
          </cell>
          <cell r="O16">
            <v>-11.1114</v>
          </cell>
        </row>
        <row r="17">
          <cell r="B17">
            <v>12.857000000000109</v>
          </cell>
          <cell r="C17">
            <v>40.301999999999829</v>
          </cell>
          <cell r="D17">
            <v>132.7749000000002</v>
          </cell>
          <cell r="E17">
            <v>59.571927999999531</v>
          </cell>
          <cell r="F17">
            <v>21.007000000000026</v>
          </cell>
          <cell r="G17">
            <v>24.313199999999998</v>
          </cell>
          <cell r="H17">
            <v>-92.874999999999886</v>
          </cell>
          <cell r="I17">
            <v>-7.6270000000000415</v>
          </cell>
          <cell r="J17">
            <v>195.77799999999993</v>
          </cell>
          <cell r="K17">
            <v>148.95699999999994</v>
          </cell>
          <cell r="L17">
            <v>29.190499999999968</v>
          </cell>
          <cell r="M17">
            <v>42.399999999999977</v>
          </cell>
          <cell r="N17">
            <v>14.553600000000019</v>
          </cell>
          <cell r="O17">
            <v>56.378800000000027</v>
          </cell>
        </row>
        <row r="18">
          <cell r="B18">
            <v>709.90300000000002</v>
          </cell>
          <cell r="C18">
            <v>896.08500000000004</v>
          </cell>
          <cell r="D18">
            <v>2066.6655000000001</v>
          </cell>
          <cell r="E18">
            <v>1930.4916999999998</v>
          </cell>
          <cell r="F18">
            <v>256.64550000000003</v>
          </cell>
          <cell r="G18">
            <v>282.03440000000001</v>
          </cell>
          <cell r="H18">
            <v>697.16700000000003</v>
          </cell>
          <cell r="I18">
            <v>830.84500000000003</v>
          </cell>
          <cell r="J18">
            <v>1373.0139999999999</v>
          </cell>
          <cell r="K18">
            <v>1566.336</v>
          </cell>
          <cell r="L18">
            <v>278.69909999999999</v>
          </cell>
          <cell r="M18">
            <v>286.31699999999995</v>
          </cell>
          <cell r="N18">
            <v>440.67630000000003</v>
          </cell>
          <cell r="O18">
            <v>499.68310000000002</v>
          </cell>
        </row>
      </sheetData>
      <sheetData sheetId="1">
        <row r="4">
          <cell r="B4">
            <v>463.85300000000001</v>
          </cell>
          <cell r="C4">
            <v>502.59699999999998</v>
          </cell>
          <cell r="D4">
            <v>1324.6648</v>
          </cell>
          <cell r="E4">
            <v>2314.2388000000001</v>
          </cell>
          <cell r="F4">
            <v>424.42270000000002</v>
          </cell>
          <cell r="G4">
            <v>414.07920000000001</v>
          </cell>
          <cell r="H4">
            <v>2121.0770000000002</v>
          </cell>
          <cell r="I4">
            <v>2049.2150000000001</v>
          </cell>
          <cell r="J4">
            <v>2230.645</v>
          </cell>
          <cell r="K4">
            <v>2170.0839999999998</v>
          </cell>
          <cell r="L4">
            <v>57.263599999999997</v>
          </cell>
          <cell r="M4">
            <v>54.632599999999996</v>
          </cell>
          <cell r="N4">
            <v>1448.8923</v>
          </cell>
          <cell r="O4">
            <v>1589.4255000000001</v>
          </cell>
        </row>
        <row r="20">
          <cell r="B20">
            <v>0</v>
          </cell>
          <cell r="C20">
            <v>0</v>
          </cell>
          <cell r="D20">
            <v>475.1438</v>
          </cell>
          <cell r="E20">
            <v>570.91780000000006</v>
          </cell>
          <cell r="F20"/>
          <cell r="G20"/>
          <cell r="H20"/>
          <cell r="I20"/>
          <cell r="J20"/>
          <cell r="K20"/>
          <cell r="L20"/>
          <cell r="M20"/>
          <cell r="N20"/>
          <cell r="O20"/>
        </row>
        <row r="23">
          <cell r="B23">
            <v>33.682000000000002</v>
          </cell>
          <cell r="C23">
            <v>40.994</v>
          </cell>
          <cell r="D23">
            <v>520.1354</v>
          </cell>
          <cell r="E23">
            <v>569.52350000000001</v>
          </cell>
          <cell r="F23">
            <v>8.5993999999999993</v>
          </cell>
          <cell r="G23">
            <v>7.5118</v>
          </cell>
          <cell r="H23">
            <v>311.58</v>
          </cell>
          <cell r="I23">
            <v>395.464</v>
          </cell>
          <cell r="J23">
            <v>51.064999999999998</v>
          </cell>
          <cell r="K23">
            <v>59.784999999999997</v>
          </cell>
          <cell r="L23">
            <v>10.754899999999999</v>
          </cell>
          <cell r="M23">
            <v>10.113099999999999</v>
          </cell>
          <cell r="N23">
            <v>5.3883000000000001</v>
          </cell>
          <cell r="O23">
            <v>5.9836999999999998</v>
          </cell>
        </row>
        <row r="26">
          <cell r="B26">
            <v>6.431</v>
          </cell>
          <cell r="C26">
            <v>9.7590000000000003</v>
          </cell>
          <cell r="D26">
            <v>1075.1474000000001</v>
          </cell>
          <cell r="E26">
            <v>1112.0951</v>
          </cell>
          <cell r="F26">
            <v>19.34</v>
          </cell>
          <cell r="G26">
            <v>18.660499999999999</v>
          </cell>
          <cell r="H26">
            <v>55.17</v>
          </cell>
          <cell r="I26">
            <v>47.680999999999997</v>
          </cell>
          <cell r="J26">
            <v>223.78800000000001</v>
          </cell>
          <cell r="K26">
            <v>248.05799999999999</v>
          </cell>
          <cell r="L26">
            <v>102.5067</v>
          </cell>
          <cell r="M26">
            <v>96.798500000000004</v>
          </cell>
          <cell r="N26">
            <v>52.523699999999998</v>
          </cell>
          <cell r="O26">
            <v>84.419200000000004</v>
          </cell>
        </row>
        <row r="33">
          <cell r="B33">
            <v>123.753</v>
          </cell>
          <cell r="C33">
            <v>187.90600000000001</v>
          </cell>
          <cell r="D33">
            <v>2200.9290999999998</v>
          </cell>
          <cell r="E33">
            <v>2458.7968000000001</v>
          </cell>
          <cell r="F33">
            <v>59.122199999999999</v>
          </cell>
          <cell r="G33">
            <v>42.6218</v>
          </cell>
          <cell r="H33">
            <v>705.73699999999997</v>
          </cell>
          <cell r="I33">
            <v>599.40899999999999</v>
          </cell>
          <cell r="J33">
            <v>582.70800000000008</v>
          </cell>
          <cell r="K33">
            <v>667.90899999999988</v>
          </cell>
          <cell r="L33">
            <v>552.4588</v>
          </cell>
          <cell r="M33">
            <v>557.75930000000005</v>
          </cell>
          <cell r="N33">
            <v>138.1525</v>
          </cell>
          <cell r="O33">
            <v>196.5635</v>
          </cell>
        </row>
        <row r="35">
          <cell r="B35">
            <v>929.12099999999998</v>
          </cell>
          <cell r="C35">
            <v>1024.2719999999997</v>
          </cell>
          <cell r="D35">
            <v>4504.9476999999988</v>
          </cell>
          <cell r="E35">
            <v>7282.6008000000002</v>
          </cell>
          <cell r="F35">
            <v>736.47600000000011</v>
          </cell>
          <cell r="G35">
            <v>710.74400000000003</v>
          </cell>
          <cell r="H35">
            <v>3715.9970000000003</v>
          </cell>
          <cell r="I35">
            <v>3559.8789999999999</v>
          </cell>
          <cell r="J35">
            <v>4074.1840000000002</v>
          </cell>
          <cell r="K35">
            <v>4251.8069999999998</v>
          </cell>
          <cell r="L35">
            <v>666.7473</v>
          </cell>
          <cell r="M35">
            <v>662.51610000000016</v>
          </cell>
          <cell r="N35">
            <v>2458.1730000000002</v>
          </cell>
          <cell r="O35">
            <v>2771.84</v>
          </cell>
        </row>
        <row r="40">
          <cell r="B40">
            <v>542.24300000000005</v>
          </cell>
          <cell r="C40">
            <v>583.01</v>
          </cell>
          <cell r="D40">
            <v>711.44989999999996</v>
          </cell>
          <cell r="E40">
            <v>281.57240000000002</v>
          </cell>
          <cell r="F40">
            <v>369.16669999999999</v>
          </cell>
          <cell r="G40">
            <v>391.86380000000003</v>
          </cell>
          <cell r="H40">
            <v>495.50599999999997</v>
          </cell>
          <cell r="I40">
            <v>1422.672</v>
          </cell>
          <cell r="J40">
            <v>2882.7919999999999</v>
          </cell>
          <cell r="K40">
            <v>2993.3939999999998</v>
          </cell>
          <cell r="L40">
            <v>307.3168</v>
          </cell>
          <cell r="M40">
            <v>331.42660000000001</v>
          </cell>
          <cell r="N40">
            <v>814.84129999999993</v>
          </cell>
          <cell r="O40">
            <v>875.02389999999991</v>
          </cell>
        </row>
        <row r="42">
          <cell r="B42">
            <v>542.24800000000005</v>
          </cell>
          <cell r="C42">
            <v>583.01</v>
          </cell>
          <cell r="D42">
            <v>738.80579999999998</v>
          </cell>
          <cell r="E42">
            <v>310.94800000000004</v>
          </cell>
          <cell r="F42">
            <v>369.16669999999999</v>
          </cell>
          <cell r="G42">
            <v>391.86380000000003</v>
          </cell>
          <cell r="H42">
            <v>495.50599999999997</v>
          </cell>
          <cell r="I42">
            <v>1425.451</v>
          </cell>
          <cell r="J42">
            <v>2952.9389999999999</v>
          </cell>
          <cell r="K42">
            <v>3082.011</v>
          </cell>
          <cell r="L42">
            <v>304.11110000000002</v>
          </cell>
          <cell r="M42">
            <v>326.4667</v>
          </cell>
          <cell r="N42">
            <v>1243.4848</v>
          </cell>
          <cell r="O42">
            <v>1307.2082</v>
          </cell>
        </row>
        <row r="53">
          <cell r="B53">
            <v>108.363</v>
          </cell>
          <cell r="C53">
            <v>117.82600000000001</v>
          </cell>
          <cell r="D53">
            <v>261.57280000000003</v>
          </cell>
          <cell r="E53">
            <v>284.89800000000002</v>
          </cell>
          <cell r="F53">
            <v>62.435400000000001</v>
          </cell>
          <cell r="G53">
            <v>43.201599999999999</v>
          </cell>
          <cell r="H53">
            <v>85.88</v>
          </cell>
          <cell r="I53">
            <v>121.7</v>
          </cell>
          <cell r="J53">
            <v>192.63499999999999</v>
          </cell>
          <cell r="K53">
            <v>229.91300000000001</v>
          </cell>
          <cell r="L53">
            <v>0</v>
          </cell>
          <cell r="M53">
            <v>0</v>
          </cell>
          <cell r="N53">
            <v>81.126499999999993</v>
          </cell>
          <cell r="O53">
            <v>95.7714</v>
          </cell>
        </row>
        <row r="59">
          <cell r="B59">
            <v>385.03100000000001</v>
          </cell>
          <cell r="C59">
            <v>438.142</v>
          </cell>
          <cell r="D59">
            <v>953.56880000000001</v>
          </cell>
          <cell r="E59">
            <v>1318.1925000000001</v>
          </cell>
          <cell r="F59">
            <v>105.9973</v>
          </cell>
          <cell r="G59">
            <v>93.200999999999993</v>
          </cell>
          <cell r="H59">
            <v>919.94100000000003</v>
          </cell>
          <cell r="I59">
            <v>725.05900000000008</v>
          </cell>
          <cell r="J59">
            <v>577.06799999999998</v>
          </cell>
          <cell r="K59">
            <v>651.3900000000001</v>
          </cell>
          <cell r="L59">
            <v>278.50330000000002</v>
          </cell>
          <cell r="M59">
            <v>275.80930000000001</v>
          </cell>
          <cell r="N59">
            <v>248.93540000000002</v>
          </cell>
          <cell r="O59">
            <v>291.94105999999999</v>
          </cell>
        </row>
        <row r="64">
          <cell r="B64">
            <v>183.51900000000001</v>
          </cell>
          <cell r="C64">
            <v>233.92400000000001</v>
          </cell>
          <cell r="D64">
            <v>809.90030000000002</v>
          </cell>
          <cell r="E64">
            <v>830.40728999999999</v>
          </cell>
          <cell r="F64">
            <v>227.41130000000001</v>
          </cell>
          <cell r="G64">
            <v>196.86359999999999</v>
          </cell>
          <cell r="H64">
            <v>2725.3090000000002</v>
          </cell>
          <cell r="I64">
            <v>1546.0319999999999</v>
          </cell>
          <cell r="J64">
            <v>499.06399999999996</v>
          </cell>
          <cell r="K64">
            <v>547.29499999999996</v>
          </cell>
          <cell r="L64">
            <v>1.0447</v>
          </cell>
          <cell r="M64">
            <v>1.1494</v>
          </cell>
          <cell r="N64">
            <v>1011.0470000000001</v>
          </cell>
          <cell r="O64">
            <v>1195.5658600000002</v>
          </cell>
        </row>
      </sheetData>
      <sheetData sheetId="2"/>
      <sheetData sheetId="3">
        <row r="8">
          <cell r="B8">
            <v>31.184000000000015</v>
          </cell>
          <cell r="C8">
            <v>-27.802</v>
          </cell>
          <cell r="D8">
            <v>327.80340000000001</v>
          </cell>
          <cell r="E8">
            <v>-152.60180000000003</v>
          </cell>
          <cell r="F8">
            <v>66.342000000000013</v>
          </cell>
          <cell r="G8">
            <v>42.407699999999991</v>
          </cell>
          <cell r="H8">
            <v>187.90299999999999</v>
          </cell>
          <cell r="I8">
            <v>329.98599999999999</v>
          </cell>
          <cell r="J8">
            <v>-36.747999999999891</v>
          </cell>
          <cell r="K8">
            <v>133.37200000000007</v>
          </cell>
          <cell r="L8">
            <v>-0.77440000000000175</v>
          </cell>
          <cell r="M8">
            <v>-23.963999999999999</v>
          </cell>
          <cell r="N8">
            <v>-128.43409999999997</v>
          </cell>
          <cell r="O8">
            <v>-93.333400000000012</v>
          </cell>
        </row>
        <row r="10">
          <cell r="B10">
            <v>0</v>
          </cell>
          <cell r="C10">
            <v>0</v>
          </cell>
          <cell r="D10">
            <v>-51.682199999999995</v>
          </cell>
          <cell r="E10">
            <v>-64.053600000000003</v>
          </cell>
          <cell r="F10">
            <v>-2.9421000000000004</v>
          </cell>
          <cell r="G10">
            <v>-4.4194000000000004</v>
          </cell>
          <cell r="H10">
            <v>0</v>
          </cell>
          <cell r="I10">
            <v>0</v>
          </cell>
          <cell r="J10">
            <v>-50.679000000000002</v>
          </cell>
          <cell r="K10">
            <v>-52.817999999999998</v>
          </cell>
          <cell r="L10">
            <v>-9.4041999999999994</v>
          </cell>
          <cell r="M10">
            <v>-19.253900000000002</v>
          </cell>
          <cell r="N10">
            <v>0</v>
          </cell>
          <cell r="O10">
            <v>0</v>
          </cell>
        </row>
      </sheetData>
      <sheetData sheetId="4">
        <row r="2">
          <cell r="C2">
            <v>282.05</v>
          </cell>
          <cell r="E2">
            <v>239.8</v>
          </cell>
          <cell r="G2">
            <v>231.1</v>
          </cell>
          <cell r="I2">
            <v>342.75</v>
          </cell>
          <cell r="K2">
            <v>202.89</v>
          </cell>
          <cell r="M2">
            <v>278.66000000000003</v>
          </cell>
          <cell r="O2">
            <v>80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3ED8-87CC-4526-B14C-DC1E23D7DB23}">
  <dimension ref="A1:C59"/>
  <sheetViews>
    <sheetView topLeftCell="A4" workbookViewId="0">
      <selection activeCell="B20" sqref="B20"/>
    </sheetView>
  </sheetViews>
  <sheetFormatPr defaultRowHeight="14.4"/>
  <cols>
    <col min="1" max="1" width="53.6640625" bestFit="1" customWidth="1"/>
    <col min="2" max="2" width="11" bestFit="1" customWidth="1"/>
    <col min="6" max="6" width="31.88671875" bestFit="1" customWidth="1"/>
    <col min="7" max="7" width="36.6640625" bestFit="1" customWidth="1"/>
  </cols>
  <sheetData>
    <row r="1" spans="1:2">
      <c r="A1" t="s">
        <v>0</v>
      </c>
      <c r="B1" s="1">
        <v>43525</v>
      </c>
    </row>
    <row r="2" spans="1:2">
      <c r="A2" t="s">
        <v>1</v>
      </c>
      <c r="B2" t="s">
        <v>19</v>
      </c>
    </row>
    <row r="4" spans="1:2">
      <c r="A4" t="s">
        <v>2</v>
      </c>
      <c r="B4" t="s">
        <v>20</v>
      </c>
    </row>
    <row r="5" spans="1:2">
      <c r="A5" t="s">
        <v>3</v>
      </c>
      <c r="B5" t="s">
        <v>21</v>
      </c>
    </row>
    <row r="6" spans="1:2">
      <c r="A6" t="s">
        <v>4</v>
      </c>
      <c r="B6" t="s">
        <v>21</v>
      </c>
    </row>
    <row r="7" spans="1:2">
      <c r="A7" t="s">
        <v>5</v>
      </c>
      <c r="B7">
        <f>'Last AR'!B2</f>
        <v>4512</v>
      </c>
    </row>
    <row r="8" spans="1:2">
      <c r="A8" t="s">
        <v>6</v>
      </c>
      <c r="B8">
        <f>'Last AR'!B4</f>
        <v>591.84000000000015</v>
      </c>
    </row>
    <row r="9" spans="1:2">
      <c r="A9" t="s">
        <v>7</v>
      </c>
      <c r="B9">
        <f>'Last AR'!B5</f>
        <v>190.13</v>
      </c>
    </row>
    <row r="10" spans="1:2">
      <c r="A10" t="s">
        <v>8</v>
      </c>
      <c r="B10">
        <f>'Last AR'!B6</f>
        <v>5147.8599999999997</v>
      </c>
    </row>
    <row r="11" spans="1:2">
      <c r="A11" t="s">
        <v>9</v>
      </c>
      <c r="B11" s="2">
        <f>'Last AR'!B7</f>
        <v>2325.98</v>
      </c>
    </row>
    <row r="12" spans="1:2">
      <c r="A12" t="s">
        <v>10</v>
      </c>
      <c r="B12" t="s">
        <v>22</v>
      </c>
    </row>
    <row r="13" spans="1:2">
      <c r="A13" t="s">
        <v>11</v>
      </c>
      <c r="B13" t="s">
        <v>23</v>
      </c>
    </row>
    <row r="14" spans="1:2">
      <c r="A14" t="s">
        <v>12</v>
      </c>
      <c r="B14" s="14">
        <f>'Last AR'!B9</f>
        <v>452.15</v>
      </c>
    </row>
    <row r="15" spans="1:2">
      <c r="A15" t="s">
        <v>13</v>
      </c>
      <c r="B15">
        <f>'Last AR'!B10</f>
        <v>455.43</v>
      </c>
    </row>
    <row r="16" spans="1:2">
      <c r="A16" t="s">
        <v>14</v>
      </c>
      <c r="B16">
        <f>'Last AR'!B11</f>
        <v>799.86</v>
      </c>
    </row>
    <row r="17" spans="1:3">
      <c r="A17" t="s">
        <v>15</v>
      </c>
      <c r="B17">
        <f>'Last AR'!B12</f>
        <v>1189258445</v>
      </c>
    </row>
    <row r="18" spans="1:3">
      <c r="A18" t="s">
        <v>16</v>
      </c>
      <c r="B18">
        <f>'Last AR'!B13</f>
        <v>154.33000000000001</v>
      </c>
    </row>
    <row r="19" spans="1:3">
      <c r="A19" t="s">
        <v>17</v>
      </c>
      <c r="B19" s="18">
        <f>'Last AR'!B14</f>
        <v>0.39112792810734115</v>
      </c>
    </row>
    <row r="20" spans="1:3">
      <c r="A20" t="s">
        <v>18</v>
      </c>
      <c r="B20" s="18">
        <f>'Last AR'!B15</f>
        <v>0.34939999999999999</v>
      </c>
    </row>
    <row r="22" spans="1:3">
      <c r="A22" s="20" t="s">
        <v>38</v>
      </c>
      <c r="C22" t="s">
        <v>43</v>
      </c>
    </row>
    <row r="23" spans="1:3">
      <c r="A23" t="s">
        <v>39</v>
      </c>
      <c r="B23" s="197">
        <f>Ratios!J67</f>
        <v>2.3089805704412686E-2</v>
      </c>
      <c r="C23" t="s">
        <v>42</v>
      </c>
    </row>
    <row r="24" spans="1:3">
      <c r="A24" t="s">
        <v>40</v>
      </c>
      <c r="B24" s="21"/>
    </row>
    <row r="25" spans="1:3">
      <c r="A25" t="s">
        <v>41</v>
      </c>
      <c r="B25" s="190">
        <f>Ratios!J69</f>
        <v>0.64829751626112375</v>
      </c>
    </row>
    <row r="26" spans="1:3">
      <c r="A26" s="20" t="s">
        <v>328</v>
      </c>
      <c r="B26" s="190"/>
    </row>
    <row r="27" spans="1:3">
      <c r="A27" t="s">
        <v>396</v>
      </c>
      <c r="B27" s="194">
        <f>'weighted average cost of capita'!B6</f>
        <v>2.8300000000000006E-2</v>
      </c>
    </row>
    <row r="28" spans="1:3">
      <c r="A28" t="s">
        <v>329</v>
      </c>
      <c r="B28" s="195">
        <f>'Cost of capital'!B19</f>
        <v>0.14125029650766394</v>
      </c>
    </row>
    <row r="29" spans="1:3">
      <c r="A29" s="20" t="s">
        <v>330</v>
      </c>
      <c r="B29" s="190"/>
    </row>
    <row r="30" spans="1:3">
      <c r="A30" t="s">
        <v>331</v>
      </c>
      <c r="B30" s="190" t="s">
        <v>22</v>
      </c>
    </row>
    <row r="31" spans="1:3">
      <c r="A31" t="s">
        <v>332</v>
      </c>
      <c r="B31" s="190"/>
    </row>
    <row r="32" spans="1:3">
      <c r="A32" t="s">
        <v>333</v>
      </c>
      <c r="B32" s="190"/>
    </row>
    <row r="33" spans="1:2">
      <c r="A33" t="s">
        <v>334</v>
      </c>
      <c r="B33" s="190"/>
    </row>
    <row r="34" spans="1:2">
      <c r="A34" t="s">
        <v>335</v>
      </c>
      <c r="B34" s="192"/>
    </row>
    <row r="35" spans="1:2">
      <c r="A35" s="191"/>
    </row>
    <row r="36" spans="1:2">
      <c r="A36" s="273"/>
      <c r="B36" s="273"/>
    </row>
    <row r="37" spans="1:2">
      <c r="A37" s="196"/>
    </row>
    <row r="38" spans="1:2">
      <c r="A38" s="196"/>
    </row>
    <row r="39" spans="1:2">
      <c r="A39" s="196"/>
    </row>
    <row r="40" spans="1:2">
      <c r="A40" s="196"/>
    </row>
    <row r="41" spans="1:2">
      <c r="A41" s="196"/>
    </row>
    <row r="42" spans="1:2">
      <c r="A42" s="196"/>
    </row>
    <row r="43" spans="1:2">
      <c r="A43" s="196"/>
    </row>
    <row r="44" spans="1:2">
      <c r="A44" s="196"/>
    </row>
    <row r="45" spans="1:2">
      <c r="A45" s="196"/>
      <c r="B45" s="18"/>
    </row>
    <row r="46" spans="1:2">
      <c r="A46" s="196"/>
    </row>
    <row r="47" spans="1:2">
      <c r="A47" s="196"/>
    </row>
    <row r="48" spans="1:2">
      <c r="A48" s="196"/>
    </row>
    <row r="49" spans="1:2">
      <c r="A49" s="196"/>
    </row>
    <row r="50" spans="1:2">
      <c r="A50" s="196"/>
    </row>
    <row r="51" spans="1:2">
      <c r="A51" s="196"/>
    </row>
    <row r="52" spans="1:2">
      <c r="A52" s="196"/>
    </row>
    <row r="53" spans="1:2">
      <c r="A53" s="196"/>
    </row>
    <row r="54" spans="1:2">
      <c r="A54" s="196"/>
    </row>
    <row r="55" spans="1:2">
      <c r="A55" s="196"/>
      <c r="B55" s="18"/>
    </row>
    <row r="56" spans="1:2">
      <c r="A56" s="196"/>
    </row>
    <row r="57" spans="1:2">
      <c r="A57" s="196"/>
    </row>
    <row r="58" spans="1:2">
      <c r="A58" s="196"/>
    </row>
    <row r="59" spans="1:2">
      <c r="A59" s="196"/>
    </row>
  </sheetData>
  <mergeCells count="1">
    <mergeCell ref="A36:B3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CCCD-C130-46D8-8A62-6D2D999A2083}">
  <dimension ref="A1:J77"/>
  <sheetViews>
    <sheetView zoomScaleNormal="100" workbookViewId="0">
      <pane xSplit="1" ySplit="2" topLeftCell="B3" activePane="bottomRight" state="frozen"/>
      <selection pane="topRight" activeCell="B1" sqref="B1"/>
      <selection pane="bottomLeft" activeCell="A3" sqref="A3"/>
      <selection pane="bottomRight" activeCell="F7" sqref="F7"/>
    </sheetView>
  </sheetViews>
  <sheetFormatPr defaultColWidth="11" defaultRowHeight="14.4"/>
  <cols>
    <col min="1" max="1" width="11" style="94" customWidth="1"/>
    <col min="2" max="6" width="8.109375" customWidth="1"/>
    <col min="7" max="7" width="11" style="116"/>
    <col min="8" max="8" width="11" style="115"/>
  </cols>
  <sheetData>
    <row r="1" spans="1:10">
      <c r="G1" s="136" t="s">
        <v>194</v>
      </c>
      <c r="H1" s="135"/>
      <c r="J1" t="s">
        <v>300</v>
      </c>
    </row>
    <row r="2" spans="1:10" s="133" customFormat="1">
      <c r="A2" s="114"/>
      <c r="B2" s="133">
        <v>2015</v>
      </c>
      <c r="C2" s="133">
        <v>2016</v>
      </c>
      <c r="D2" s="133">
        <v>2017</v>
      </c>
      <c r="E2" s="133">
        <v>2018</v>
      </c>
      <c r="F2" s="133">
        <v>2019</v>
      </c>
      <c r="G2" s="112">
        <v>2018</v>
      </c>
      <c r="H2" s="134">
        <v>2019</v>
      </c>
      <c r="I2" s="133" t="s">
        <v>210</v>
      </c>
    </row>
    <row r="3" spans="1:10">
      <c r="A3" s="94" t="s">
        <v>193</v>
      </c>
      <c r="B3">
        <f>[2]Sheet1!B$17</f>
        <v>358.74000000000041</v>
      </c>
      <c r="C3">
        <f>[2]Sheet1!C$17</f>
        <v>-37.929999999999751</v>
      </c>
      <c r="D3">
        <f>[2]Sheet1!D$17</f>
        <v>-83.160000000000025</v>
      </c>
      <c r="E3">
        <f>[2]Sheet1!E$17</f>
        <v>63.229999999999905</v>
      </c>
      <c r="F3">
        <f>[2]Sheet1!F$17</f>
        <v>244.59000000000015</v>
      </c>
      <c r="G3" s="117">
        <v>39.16075000000005</v>
      </c>
      <c r="H3" s="92">
        <v>45.536990999999908</v>
      </c>
      <c r="I3" t="s">
        <v>203</v>
      </c>
    </row>
    <row r="4" spans="1:10">
      <c r="A4" s="94" t="s">
        <v>192</v>
      </c>
      <c r="B4">
        <f>[2]Sheet1!B$13</f>
        <v>648.91000000000042</v>
      </c>
      <c r="C4">
        <f>[2]Sheet1!C$13</f>
        <v>348.10000000000025</v>
      </c>
      <c r="D4">
        <f>[2]Sheet1!D$13</f>
        <v>354.40999999999997</v>
      </c>
      <c r="E4">
        <f>[2]Sheet1!E$13</f>
        <v>453.32999999999993</v>
      </c>
      <c r="F4">
        <f>[2]Sheet1!F$13</f>
        <v>591.84000000000015</v>
      </c>
      <c r="G4" s="117">
        <v>109.00288750000006</v>
      </c>
      <c r="H4" s="92">
        <v>119.74567849999991</v>
      </c>
      <c r="I4" t="s">
        <v>203</v>
      </c>
    </row>
    <row r="5" spans="1:10">
      <c r="A5" s="94" t="s">
        <v>191</v>
      </c>
      <c r="B5">
        <f>B$4-[2]Sheet1!B$16</f>
        <v>534.3100000000004</v>
      </c>
      <c r="C5">
        <f>C$4-[2]Sheet1!C$16</f>
        <v>208.03000000000026</v>
      </c>
      <c r="D5">
        <f>D$4-[2]Sheet1!D$16</f>
        <v>240.66999999999996</v>
      </c>
      <c r="E5">
        <f>E$4-[2]Sheet1!E$16</f>
        <v>332.26999999999992</v>
      </c>
      <c r="F5">
        <f>F$4-[2]Sheet1!F$16</f>
        <v>434.72000000000014</v>
      </c>
      <c r="G5" s="117">
        <v>126.63762500000004</v>
      </c>
      <c r="H5" s="92">
        <v>135.90846599999992</v>
      </c>
      <c r="I5" t="s">
        <v>203</v>
      </c>
    </row>
    <row r="6" spans="1:10">
      <c r="A6" s="94" t="s">
        <v>190</v>
      </c>
      <c r="B6">
        <f>'[5]Profit and Loss'!B$8</f>
        <v>488.58000000000038</v>
      </c>
      <c r="C6">
        <f>'[5]Profit and Loss'!C$8</f>
        <v>616.57999999999993</v>
      </c>
      <c r="D6">
        <f>'[5]Profit and Loss'!D$8</f>
        <v>609.61999999999989</v>
      </c>
      <c r="E6">
        <f>'[5]Profit and Loss'!E$8</f>
        <v>670.35000000000036</v>
      </c>
      <c r="F6">
        <f>'[5]Profit and Loss'!F$8</f>
        <v>829.73</v>
      </c>
      <c r="G6" s="117">
        <v>179.52867500000002</v>
      </c>
      <c r="H6" s="92">
        <v>190.03504099999992</v>
      </c>
      <c r="I6" t="s">
        <v>203</v>
      </c>
    </row>
    <row r="7" spans="1:10">
      <c r="A7" s="94" t="s">
        <v>209</v>
      </c>
      <c r="B7">
        <f>'[2]IHCL P&amp;L'!B$5</f>
        <v>4188.6400000000003</v>
      </c>
      <c r="C7">
        <f>'[2]IHCL P&amp;L'!C$5</f>
        <v>4590.92</v>
      </c>
      <c r="D7">
        <f>'[2]IHCL P&amp;L'!D$5</f>
        <v>4010.26</v>
      </c>
      <c r="E7">
        <f>'[2]IHCL P&amp;L'!E$5</f>
        <v>4103.55</v>
      </c>
      <c r="F7">
        <f>'[2]IHCL P&amp;L'!F$5</f>
        <v>4512</v>
      </c>
      <c r="G7" s="117">
        <v>870.5577874999999</v>
      </c>
      <c r="H7" s="92">
        <v>957.61526249999986</v>
      </c>
    </row>
    <row r="8" spans="1:10">
      <c r="A8" s="94" t="s">
        <v>188</v>
      </c>
      <c r="B8">
        <f>'[2]IHCL P&amp;L'!B$9</f>
        <v>443.09</v>
      </c>
      <c r="C8">
        <f>'[2]IHCL P&amp;L'!C$9</f>
        <v>504.48</v>
      </c>
      <c r="D8">
        <f>'[2]IHCL P&amp;L'!D$9</f>
        <v>363.95</v>
      </c>
      <c r="E8">
        <f>'[2]IHCL P&amp;L'!E$9</f>
        <v>376.44</v>
      </c>
      <c r="F8">
        <f>'[2]IHCL P&amp;L'!F$9</f>
        <v>404.05</v>
      </c>
      <c r="G8" s="117">
        <v>142.71148750000003</v>
      </c>
      <c r="H8" s="92">
        <v>171.14123749999999</v>
      </c>
    </row>
    <row r="9" spans="1:10" ht="28.8">
      <c r="A9" s="94" t="s">
        <v>302</v>
      </c>
      <c r="G9" s="117"/>
      <c r="H9" s="92"/>
    </row>
    <row r="10" spans="1:10" s="130" customFormat="1" ht="28.8">
      <c r="A10" s="98" t="s">
        <v>187</v>
      </c>
      <c r="B10" s="130">
        <f>'[2]IHCL P&amp;L'!B$12</f>
        <v>291.29000000000002</v>
      </c>
      <c r="C10" s="130">
        <f>'[2]IHCL P&amp;L'!C$12</f>
        <v>316.67</v>
      </c>
      <c r="D10" s="130">
        <f>'[2]IHCL P&amp;L'!D$12</f>
        <v>299.37</v>
      </c>
      <c r="E10" s="130">
        <f>'[2]IHCL P&amp;L'!E$12</f>
        <v>301.2</v>
      </c>
      <c r="F10" s="130">
        <f>'[2]IHCL P&amp;L'!F$12</f>
        <v>327.85</v>
      </c>
      <c r="G10" s="132">
        <v>59.163912499999995</v>
      </c>
      <c r="H10" s="131">
        <v>63.400724999999994</v>
      </c>
      <c r="I10" s="130" t="s">
        <v>203</v>
      </c>
    </row>
    <row r="11" spans="1:10" s="130" customFormat="1" ht="28.8">
      <c r="A11" s="98" t="s">
        <v>186</v>
      </c>
      <c r="B11" s="130">
        <f>B5-B10</f>
        <v>243.02000000000038</v>
      </c>
      <c r="C11" s="130">
        <f>C5-C10</f>
        <v>-108.63999999999976</v>
      </c>
      <c r="D11" s="130">
        <f>D5-D10</f>
        <v>-58.700000000000045</v>
      </c>
      <c r="E11" s="130">
        <f>E5-E10</f>
        <v>31.069999999999936</v>
      </c>
      <c r="F11" s="130">
        <f>F5-F10</f>
        <v>106.87000000000012</v>
      </c>
      <c r="G11" s="132">
        <v>185.80153750000005</v>
      </c>
      <c r="H11" s="131">
        <v>199.30919099999991</v>
      </c>
      <c r="I11" s="130" t="s">
        <v>204</v>
      </c>
    </row>
    <row r="12" spans="1:10" s="83" customFormat="1" ht="28.8">
      <c r="A12" s="129" t="s">
        <v>185</v>
      </c>
      <c r="B12" s="83">
        <f>B3/B7</f>
        <v>8.5645937583559428E-2</v>
      </c>
      <c r="C12" s="83">
        <f t="shared" ref="C12:F12" si="0">C3/C7</f>
        <v>-8.2619605656382052E-3</v>
      </c>
      <c r="D12" s="83">
        <f t="shared" si="0"/>
        <v>-2.0736810082139318E-2</v>
      </c>
      <c r="E12" s="83">
        <f t="shared" si="0"/>
        <v>1.540860961850103E-2</v>
      </c>
      <c r="F12" s="83">
        <f t="shared" si="0"/>
        <v>5.4208776595744711E-2</v>
      </c>
      <c r="G12" s="99">
        <v>3.2711866990955588E-2</v>
      </c>
      <c r="H12" s="99">
        <v>5.3542436911015033E-2</v>
      </c>
      <c r="J12" s="122">
        <f>AVERAGE(C12:F12)</f>
        <v>1.0154653891617054E-2</v>
      </c>
    </row>
    <row r="13" spans="1:10" ht="28.8">
      <c r="A13" s="102" t="s">
        <v>184</v>
      </c>
      <c r="G13" s="117"/>
      <c r="H13" s="92"/>
      <c r="J13" s="18"/>
    </row>
    <row r="14" spans="1:10" ht="28.8">
      <c r="A14" s="110" t="s">
        <v>183</v>
      </c>
      <c r="G14" s="117"/>
      <c r="H14" s="92"/>
      <c r="J14" s="18"/>
    </row>
    <row r="15" spans="1:10" ht="43.2">
      <c r="A15" s="128" t="s">
        <v>182</v>
      </c>
      <c r="B15" s="83"/>
      <c r="C15" s="83">
        <f>([2]Sheet1!C$4/[2]Sheet1!B$4)-1</f>
        <v>9.6040719660796858E-2</v>
      </c>
      <c r="D15" s="83">
        <f>([2]Sheet1!D$4/[2]Sheet1!C$4)-1</f>
        <v>-0.12648009549284234</v>
      </c>
      <c r="E15" s="83">
        <f>([2]Sheet1!E$4/[2]Sheet1!D$4)-1</f>
        <v>2.3262830838898241E-2</v>
      </c>
      <c r="F15" s="127">
        <f>([2]Sheet1!F$4/[2]Sheet1!E$4)-1</f>
        <v>9.9535767810797982E-2</v>
      </c>
      <c r="G15" s="117">
        <v>0</v>
      </c>
      <c r="H15" s="107">
        <v>0.1047913635310149</v>
      </c>
      <c r="I15" t="s">
        <v>205</v>
      </c>
      <c r="J15" s="122">
        <f>AVERAGE(C15:F15)</f>
        <v>2.3089805704412686E-2</v>
      </c>
    </row>
    <row r="16" spans="1:10" ht="57.6">
      <c r="A16" s="94" t="s">
        <v>181</v>
      </c>
      <c r="B16" s="83"/>
      <c r="C16" s="83">
        <f>(([2]Sheet1!C$4/[2]Sheet1!$B$4)^(1/([2]Sheet1!C$3-[2]Sheet1!$B$3)))-1</f>
        <v>9.6040719660796858E-2</v>
      </c>
      <c r="D16" s="83">
        <f>(([2]Sheet1!D$4/[2]Sheet1!$B$4)^(1/([2]Sheet1!D$3-[2]Sheet1!$B$3)))-1</f>
        <v>-2.1524969774876945E-2</v>
      </c>
      <c r="E16" s="83">
        <f>(([2]Sheet1!E$4/[2]Sheet1!$B$4)^(1/([2]Sheet1!E$3-[2]Sheet1!$B$3)))-1</f>
        <v>-6.8178675499093178E-3</v>
      </c>
      <c r="F16" s="83">
        <f>(([2]Sheet1!F$4/[2]Sheet1!$B$4)^(1/([2]Sheet1!F$3-[2]Sheet1!$B$3)))-1</f>
        <v>1.8764994326799123E-2</v>
      </c>
      <c r="G16" s="117"/>
      <c r="H16" s="92"/>
      <c r="J16" s="122">
        <f>AVERAGE(C16:F16)</f>
        <v>2.1615719165702429E-2</v>
      </c>
    </row>
    <row r="17" spans="1:10" ht="28.8">
      <c r="A17" s="94" t="s">
        <v>180</v>
      </c>
      <c r="B17" s="126">
        <f>[2]Sheet1!B$18</f>
        <v>3745.55</v>
      </c>
      <c r="C17" s="126">
        <f>[2]Sheet1!C$18</f>
        <v>4086.44</v>
      </c>
      <c r="D17" s="126">
        <f>[2]Sheet1!D$18</f>
        <v>3646.3100000000004</v>
      </c>
      <c r="E17" s="126">
        <f>[2]Sheet1!E$18</f>
        <v>3727.11</v>
      </c>
      <c r="F17" s="126">
        <f>[2]Sheet1!F$18</f>
        <v>4107.95</v>
      </c>
      <c r="G17" s="117">
        <v>727.84630000000004</v>
      </c>
      <c r="H17" s="92">
        <v>786.47402499999998</v>
      </c>
      <c r="I17" t="s">
        <v>203</v>
      </c>
      <c r="J17" s="18"/>
    </row>
    <row r="18" spans="1:10" ht="43.2">
      <c r="A18" s="94" t="s">
        <v>179</v>
      </c>
      <c r="B18" s="83">
        <f>B$17/[2]Sheet1!B$4</f>
        <v>0.89421626112532948</v>
      </c>
      <c r="C18" s="83">
        <f>C$17/[2]Sheet1!C$4</f>
        <v>0.89011352844310077</v>
      </c>
      <c r="D18" s="83">
        <f>D$17/[2]Sheet1!D$4</f>
        <v>0.90924528584181574</v>
      </c>
      <c r="E18" s="83">
        <f>E$17/[2]Sheet1!E$4</f>
        <v>0.90826479511642355</v>
      </c>
      <c r="F18" s="83">
        <f>F$17/[2]Sheet1!F$4</f>
        <v>0.91044991134751774</v>
      </c>
      <c r="G18" s="123">
        <v>0.73237453836149369</v>
      </c>
      <c r="H18" s="107">
        <v>0.726491000781323</v>
      </c>
      <c r="I18" t="s">
        <v>203</v>
      </c>
      <c r="J18" s="122">
        <f>AVERAGE(C18:F18)</f>
        <v>0.90451838018721442</v>
      </c>
    </row>
    <row r="19" spans="1:10" ht="28.8">
      <c r="A19" s="94" t="s">
        <v>178</v>
      </c>
      <c r="B19" s="83">
        <f>[2]Sheet1!B$6/[2]Sheet1!B$4</f>
        <v>0.34914912716299323</v>
      </c>
      <c r="C19" s="83">
        <f>[2]Sheet1!C$6/[2]Sheet1!C$4</f>
        <v>0.35062906781211611</v>
      </c>
      <c r="D19" s="83">
        <f>[2]Sheet1!D$6/[2]Sheet1!D$4</f>
        <v>0.34028965702971875</v>
      </c>
      <c r="E19" s="83">
        <f>[2]Sheet1!E$6/[2]Sheet1!E$4</f>
        <v>0.32815976410668807</v>
      </c>
      <c r="F19" s="83">
        <f>[2]Sheet1!F$6/[2]Sheet1!F$4</f>
        <v>0.32597296099290779</v>
      </c>
      <c r="G19" s="123">
        <v>0.21172588603704837</v>
      </c>
      <c r="H19" s="107">
        <v>0.19472129755267037</v>
      </c>
      <c r="I19" t="s">
        <v>205</v>
      </c>
      <c r="J19" s="122">
        <f t="shared" ref="J19:J50" si="1">AVERAGE(C19:F19)</f>
        <v>0.33626286248535769</v>
      </c>
    </row>
    <row r="20" spans="1:10" s="188" customFormat="1" ht="43.2">
      <c r="A20" s="102" t="s">
        <v>177</v>
      </c>
      <c r="B20" s="193">
        <f>B$4/[2]Sheet1!B$4</f>
        <v>0.15492140647083549</v>
      </c>
      <c r="C20" s="193">
        <f>C$4/[2]Sheet1!C$4</f>
        <v>7.5823582201388878E-2</v>
      </c>
      <c r="D20" s="193">
        <f>D$4/[2]Sheet1!D$4</f>
        <v>8.8375816031878218E-2</v>
      </c>
      <c r="E20" s="193">
        <f>E$4/[2]Sheet1!E$4</f>
        <v>0.11047263954380961</v>
      </c>
      <c r="F20" s="193">
        <f>F$4/[2]Sheet1!F$4</f>
        <v>0.13117021276595747</v>
      </c>
      <c r="G20" s="198">
        <v>0.11618220571556701</v>
      </c>
      <c r="H20" s="199">
        <v>0.13714085676723639</v>
      </c>
      <c r="I20" s="188" t="s">
        <v>204</v>
      </c>
      <c r="J20" s="195">
        <f t="shared" si="1"/>
        <v>0.10146056263575855</v>
      </c>
    </row>
    <row r="21" spans="1:10" ht="28.8">
      <c r="A21" s="94" t="s">
        <v>176</v>
      </c>
      <c r="B21" s="83">
        <f>B$3/[2]Sheet1!B$4</f>
        <v>8.5645937583559428E-2</v>
      </c>
      <c r="C21" s="83">
        <f>C$3/[2]Sheet1!C$4</f>
        <v>-8.2619605656382052E-3</v>
      </c>
      <c r="D21" s="83">
        <f>D$3/[2]Sheet1!D$4</f>
        <v>-2.0736810082139318E-2</v>
      </c>
      <c r="E21" s="83">
        <f>E$3/[2]Sheet1!E$4</f>
        <v>1.540860961850103E-2</v>
      </c>
      <c r="F21" s="83">
        <f>F$3/[2]Sheet1!F$4</f>
        <v>5.4208776595744711E-2</v>
      </c>
      <c r="G21" s="123">
        <v>3.2711866990955588E-2</v>
      </c>
      <c r="H21" s="107">
        <v>5.3542436911015033E-2</v>
      </c>
      <c r="I21" t="s">
        <v>205</v>
      </c>
      <c r="J21" s="122">
        <f t="shared" si="1"/>
        <v>1.0154653891617054E-2</v>
      </c>
    </row>
    <row r="22" spans="1:10" ht="43.2">
      <c r="A22" s="102" t="s">
        <v>175</v>
      </c>
      <c r="G22" s="117"/>
      <c r="H22" s="92"/>
      <c r="J22" s="18"/>
    </row>
    <row r="23" spans="1:10" ht="43.2">
      <c r="A23" s="94" t="s">
        <v>174</v>
      </c>
      <c r="B23" s="64">
        <f>('[2]IHCL BALANCE SHEET (2)'!B$26*365)/[2]Sheet1!B$4</f>
        <v>26.126451545131594</v>
      </c>
      <c r="C23" s="64">
        <f>('[2]IHCL BALANCE SHEET (2)'!C$26*365)/[2]Sheet1!C$4</f>
        <v>26.370934366096556</v>
      </c>
      <c r="D23" s="64">
        <f>('[2]IHCL BALANCE SHEET (2)'!D$26*365)/[2]Sheet1!D$4</f>
        <v>24.761960571135035</v>
      </c>
      <c r="E23" s="64">
        <f>('[2]IHCL BALANCE SHEET (2)'!E$26*365)/[2]Sheet1!E$4</f>
        <v>29.224549475454179</v>
      </c>
      <c r="F23" s="64">
        <f>('[2]IHCL BALANCE SHEET (2)'!F$26*365)/[2]Sheet1!F$4</f>
        <v>25.998160460992906</v>
      </c>
      <c r="G23" s="117">
        <v>9.3565750543825423</v>
      </c>
      <c r="H23" s="92">
        <v>11.633853989131548</v>
      </c>
      <c r="I23" t="s">
        <v>204</v>
      </c>
      <c r="J23" s="122">
        <f t="shared" si="1"/>
        <v>26.588901218419668</v>
      </c>
    </row>
    <row r="24" spans="1:10" ht="28.8">
      <c r="A24" s="94" t="s">
        <v>173</v>
      </c>
      <c r="B24" s="64">
        <f>[2]Sheet1!B$5/'[2]IHCL BALANCE SHEET (2)'!B$23</f>
        <v>4.3035159285159281</v>
      </c>
      <c r="C24" s="64">
        <f>[2]Sheet1!C$5/'[2]IHCL BALANCE SHEET (2)'!C$23</f>
        <v>5.1435562805872763</v>
      </c>
      <c r="D24" s="64">
        <f>[2]Sheet1!D$5/'[2]IHCL BALANCE SHEET (2)'!D$23</f>
        <v>4.5244903033316755</v>
      </c>
      <c r="E24" s="64">
        <f>[2]Sheet1!E$5/'[2]IHCL BALANCE SHEET (2)'!E$23</f>
        <v>4.3915072328511435</v>
      </c>
      <c r="F24" s="64">
        <f>[2]Sheet1!F$5/'[2]IHCL BALANCE SHEET (2)'!F$23</f>
        <v>5.025497512437811</v>
      </c>
      <c r="G24" s="117">
        <v>4.4795804580593703</v>
      </c>
      <c r="H24" s="92">
        <v>4.6509736698210711</v>
      </c>
      <c r="I24" t="s">
        <v>205</v>
      </c>
      <c r="J24" s="122">
        <f t="shared" si="1"/>
        <v>4.7712628323019768</v>
      </c>
    </row>
    <row r="25" spans="1:10" ht="57.6">
      <c r="A25" s="94" t="s">
        <v>172</v>
      </c>
      <c r="B25" s="64">
        <f>365/B$24</f>
        <v>84.81437179805458</v>
      </c>
      <c r="C25" s="64">
        <f>365/C$24</f>
        <v>70.962575325087215</v>
      </c>
      <c r="D25" s="64">
        <f>365/D$24</f>
        <v>80.672070339332336</v>
      </c>
      <c r="E25" s="64">
        <f>365/E$24</f>
        <v>83.114971841462108</v>
      </c>
      <c r="F25" s="64">
        <f>365/F$24</f>
        <v>72.629625046405152</v>
      </c>
      <c r="G25" s="117">
        <v>278.63128538889373</v>
      </c>
      <c r="H25" s="92">
        <v>236.44571949261677</v>
      </c>
      <c r="I25" t="s">
        <v>203</v>
      </c>
      <c r="J25" s="122">
        <f t="shared" si="1"/>
        <v>76.844810638071706</v>
      </c>
    </row>
    <row r="26" spans="1:10" ht="28.8">
      <c r="A26" s="94" t="s">
        <v>171</v>
      </c>
      <c r="B26" s="64">
        <f>B$23+B$25</f>
        <v>110.94082334318617</v>
      </c>
      <c r="C26" s="64">
        <f>C$23+C$25</f>
        <v>97.333509691183764</v>
      </c>
      <c r="D26" s="64">
        <f>D$23+D$25</f>
        <v>105.43403091046737</v>
      </c>
      <c r="E26" s="64">
        <f>E$23+E$25</f>
        <v>112.33952131691629</v>
      </c>
      <c r="F26" s="64">
        <f>F$23+F$25</f>
        <v>98.627785507398059</v>
      </c>
      <c r="G26" s="117">
        <v>287.9878604432763</v>
      </c>
      <c r="H26" s="92">
        <v>248.07957348174833</v>
      </c>
      <c r="I26" t="s">
        <v>203</v>
      </c>
      <c r="J26" s="122">
        <f t="shared" si="1"/>
        <v>103.43371185649137</v>
      </c>
    </row>
    <row r="27" spans="1:10" s="125" customFormat="1" ht="28.8">
      <c r="A27" s="105" t="s">
        <v>169</v>
      </c>
      <c r="B27" s="125">
        <f>'[2]IHCL BALANCE SHEET (2)'!B$32-'[2]IHCL BALANCE SHEET (2)'!B$56</f>
        <v>290.22999999999979</v>
      </c>
      <c r="C27" s="125">
        <f>'[2]IHCL BALANCE SHEET (2)'!C$32-'[2]IHCL BALANCE SHEET (2)'!C$56</f>
        <v>-1181.56</v>
      </c>
      <c r="D27" s="125">
        <f>'[2]IHCL BALANCE SHEET (2)'!D$32-'[2]IHCL BALANCE SHEET (2)'!D$56</f>
        <v>-912.93000000000006</v>
      </c>
      <c r="E27" s="125">
        <f>'[2]IHCL BALANCE SHEET (2)'!E$32-'[2]IHCL BALANCE SHEET (2)'!E$56</f>
        <v>-173.91000000000008</v>
      </c>
      <c r="F27" s="125">
        <f>'[2]IHCL BALANCE SHEET (2)'!F$32-'[2]IHCL BALANCE SHEET (2)'!F$56</f>
        <v>-939.11000000000013</v>
      </c>
      <c r="G27" s="117">
        <v>111.72697499999997</v>
      </c>
      <c r="H27" s="92">
        <v>114.65381749999996</v>
      </c>
      <c r="I27" s="125" t="s">
        <v>204</v>
      </c>
      <c r="J27" s="122">
        <f t="shared" si="1"/>
        <v>-801.87749999999994</v>
      </c>
    </row>
    <row r="28" spans="1:10" ht="100.8">
      <c r="A28" s="94" t="s">
        <v>168</v>
      </c>
      <c r="B28" s="83">
        <f>B27/[2]Sheet1!B$4</f>
        <v>6.9289793345811479E-2</v>
      </c>
      <c r="C28" s="83">
        <f>C27/[2]Sheet1!C$4</f>
        <v>-0.2573688933808474</v>
      </c>
      <c r="D28" s="83">
        <f>D27/[2]Sheet1!D$4</f>
        <v>-0.22764858138873789</v>
      </c>
      <c r="E28" s="83">
        <f>E27/[2]Sheet1!E$4</f>
        <v>-4.2380377965420206E-2</v>
      </c>
      <c r="F28" s="83">
        <f>F27/[2]Sheet1!F$4</f>
        <v>-0.20813608156028371</v>
      </c>
      <c r="G28" s="123">
        <v>5.5417574687387949E-2</v>
      </c>
      <c r="H28" s="107">
        <v>8.395646645699234E-2</v>
      </c>
      <c r="I28" t="s">
        <v>204</v>
      </c>
      <c r="J28" s="122">
        <f t="shared" si="1"/>
        <v>-0.18388348357382231</v>
      </c>
    </row>
    <row r="29" spans="1:10" ht="28.8">
      <c r="A29" s="94" t="s">
        <v>208</v>
      </c>
      <c r="B29" s="83">
        <f>'[2]IHCL BALANCE SHEET (2)'!B$60/'[2]IHCL BALANCE SHEET (2)'!B$34</f>
        <v>0.51324873722815256</v>
      </c>
      <c r="C29" s="83">
        <f>'[2]IHCL BALANCE SHEET (2)'!C$60/'[2]IHCL BALANCE SHEET (2)'!C$34</f>
        <v>0.43687508965633187</v>
      </c>
      <c r="D29" s="83">
        <f>'[2]IHCL BALANCE SHEET (2)'!D$60/'[2]IHCL BALANCE SHEET (2)'!D$34</f>
        <v>0.39180800252018705</v>
      </c>
      <c r="E29" s="83">
        <f>'[2]IHCL BALANCE SHEET (2)'!E$60/'[2]IHCL BALANCE SHEET (2)'!E$34</f>
        <v>0.25893857191926212</v>
      </c>
      <c r="F29" s="83">
        <f>'[2]IHCL BALANCE SHEET (2)'!F$60/'[2]IHCL BALANCE SHEET (2)'!F$34</f>
        <v>0.24270015108892543</v>
      </c>
      <c r="G29" s="2">
        <v>0.24435532107204766</v>
      </c>
      <c r="H29" s="2">
        <v>0.20193299527257416</v>
      </c>
      <c r="I29" t="s">
        <v>205</v>
      </c>
      <c r="J29" s="122">
        <f t="shared" si="1"/>
        <v>0.33258045379617662</v>
      </c>
    </row>
    <row r="30" spans="1:10" ht="72">
      <c r="A30" s="102" t="s">
        <v>167</v>
      </c>
      <c r="B30" s="83">
        <f>[2]Sheet1!B$4/'[2]IHCL BALANCE SHEET (2)'!B$6</f>
        <v>0.72632562785140697</v>
      </c>
      <c r="C30" s="83">
        <f>[2]Sheet1!C$4/'[2]IHCL BALANCE SHEET (2)'!C$6</f>
        <v>0.69344740447372755</v>
      </c>
      <c r="D30" s="83">
        <f>[2]Sheet1!D$4/'[2]IHCL BALANCE SHEET (2)'!D$6</f>
        <v>0.86830732188945292</v>
      </c>
      <c r="E30" s="83">
        <f>[2]Sheet1!E$4/'[2]IHCL BALANCE SHEET (2)'!E$6</f>
        <v>0.82434370706072368</v>
      </c>
      <c r="F30" s="83">
        <f>[2]Sheet1!F$4/'[2]IHCL BALANCE SHEET (2)'!F$6</f>
        <v>0.86219086673877066</v>
      </c>
      <c r="G30" s="123">
        <v>1.5423863349109812</v>
      </c>
      <c r="H30" s="107">
        <v>1.5873358650110361</v>
      </c>
      <c r="I30" t="s">
        <v>204</v>
      </c>
      <c r="J30" s="122">
        <f t="shared" si="1"/>
        <v>0.81207232504066862</v>
      </c>
    </row>
    <row r="31" spans="1:10" ht="28.8">
      <c r="A31" s="94" t="s">
        <v>166</v>
      </c>
      <c r="B31" s="83">
        <f>[2]Sheet1!B$4/'[2]IHCL BALANCE SHEET (2)'!B$34</f>
        <v>0.42365211621749005</v>
      </c>
      <c r="C31" s="83">
        <f>[2]Sheet1!C$4/'[2]IHCL BALANCE SHEET (2)'!C$34</f>
        <v>0.41947011166267839</v>
      </c>
      <c r="D31" s="83">
        <f>[2]Sheet1!D$4/'[2]IHCL BALANCE SHEET (2)'!D$34</f>
        <v>0.46445795132888912</v>
      </c>
      <c r="E31" s="83">
        <f>[2]Sheet1!E$4/'[2]IHCL BALANCE SHEET (2)'!E$34</f>
        <v>0.43773347812265989</v>
      </c>
      <c r="F31" s="83">
        <f>[2]Sheet1!F$4/'[2]IHCL BALANCE SHEET (2)'!F$34</f>
        <v>0.47079643062847981</v>
      </c>
      <c r="G31" s="123">
        <v>0.43115698941691638</v>
      </c>
      <c r="H31" s="107">
        <v>0.44504813846517066</v>
      </c>
      <c r="I31" t="s">
        <v>205</v>
      </c>
      <c r="J31" s="122">
        <f t="shared" si="1"/>
        <v>0.44811449293567679</v>
      </c>
    </row>
    <row r="32" spans="1:10" ht="57.6">
      <c r="A32" s="102" t="s">
        <v>165</v>
      </c>
      <c r="G32" s="117"/>
      <c r="H32" s="92"/>
      <c r="J32" s="18"/>
    </row>
    <row r="33" spans="1:10" ht="28.8">
      <c r="A33" s="94" t="s">
        <v>164</v>
      </c>
      <c r="B33" s="2">
        <f>'[2]IHCL BALANCE SHEET (2)'!B$32/'[2]IHCL BALANCE SHEET (2)'!B$56</f>
        <v>1.2026377892282125</v>
      </c>
      <c r="C33" s="2">
        <f>'[2]IHCL BALANCE SHEET (2)'!C$32/'[2]IHCL BALANCE SHEET (2)'!C$56</f>
        <v>0.48699423847586631</v>
      </c>
      <c r="D33" s="2">
        <f>'[2]IHCL BALANCE SHEET (2)'!D$32/'[2]IHCL BALANCE SHEET (2)'!D$56</f>
        <v>0.50364546803895016</v>
      </c>
      <c r="E33" s="2">
        <f>'[2]IHCL BALANCE SHEET (2)'!E$32/'[2]IHCL BALANCE SHEET (2)'!E$56</f>
        <v>0.87519376507061653</v>
      </c>
      <c r="F33" s="2">
        <f>'[2]IHCL BALANCE SHEET (2)'!F$32/'[2]IHCL BALANCE SHEET (2)'!F$56</f>
        <v>0.5505489456606012</v>
      </c>
      <c r="G33" s="117">
        <v>0.93785626821853163</v>
      </c>
      <c r="H33" s="92">
        <v>0.91238573639149789</v>
      </c>
      <c r="I33" t="s">
        <v>204</v>
      </c>
      <c r="J33" s="122">
        <f t="shared" si="1"/>
        <v>0.60409560431150855</v>
      </c>
    </row>
    <row r="34" spans="1:10">
      <c r="A34" s="94" t="s">
        <v>163</v>
      </c>
      <c r="B34" s="2">
        <f>('[2]IHCL BALANCE SHEET (2)'!B$32-'[2]IHCL BALANCE SHEET (2)'!B$23)/'[2]IHCL BALANCE SHEET (2)'!B$56</f>
        <v>1.1307513998854954</v>
      </c>
      <c r="C34" s="2">
        <f>('[2]IHCL BALANCE SHEET (2)'!C$32-'[2]IHCL BALANCE SHEET (2)'!C$23)/'[2]IHCL BALANCE SHEET (2)'!C$56</f>
        <v>0.44441019273101456</v>
      </c>
      <c r="D34" s="2">
        <f>('[2]IHCL BALANCE SHEET (2)'!D$32-'[2]IHCL BALANCE SHEET (2)'!D$23)/'[2]IHCL BALANCE SHEET (2)'!D$56</f>
        <v>0.45991072545085815</v>
      </c>
      <c r="E34" s="2">
        <f>('[2]IHCL BALANCE SHEET (2)'!E$32-'[2]IHCL BALANCE SHEET (2)'!E$23)/'[2]IHCL BALANCE SHEET (2)'!E$56</f>
        <v>0.81367694339189334</v>
      </c>
      <c r="F34" s="2">
        <f>('[2]IHCL BALANCE SHEET (2)'!F$32-'[2]IHCL BALANCE SHEET (2)'!F$23)/'[2]IHCL BALANCE SHEET (2)'!F$56</f>
        <v>0.51207010423745836</v>
      </c>
      <c r="G34" s="117">
        <v>0.78766661519698211</v>
      </c>
      <c r="H34" s="92">
        <v>0.74981360557472143</v>
      </c>
      <c r="I34" t="s">
        <v>204</v>
      </c>
      <c r="J34" s="122">
        <f t="shared" si="1"/>
        <v>0.55751699145280609</v>
      </c>
    </row>
    <row r="35" spans="1:10" ht="28.8">
      <c r="A35" s="94" t="s">
        <v>162</v>
      </c>
      <c r="B35">
        <f>'[2]IHCL BALANCE SHEET (2)'!B$60/'[2]IHCL BALANCE SHEET (2)'!B$41</f>
        <v>1.7114257384336238</v>
      </c>
      <c r="C35">
        <f>'[2]IHCL BALANCE SHEET (2)'!C$60/'[2]IHCL BALANCE SHEET (2)'!C$41</f>
        <v>1.1902019012722442</v>
      </c>
      <c r="D35">
        <f>'[2]IHCL BALANCE SHEET (2)'!D$60/'[2]IHCL BALANCE SHEET (2)'!D$41</f>
        <v>1.0391551554134375</v>
      </c>
      <c r="E35">
        <f>'[2]IHCL BALANCE SHEET (2)'!E$60/'[2]IHCL BALANCE SHEET (2)'!E$41</f>
        <v>0.48955024614348308</v>
      </c>
      <c r="F35">
        <f>'[2]IHCL BALANCE SHEET (2)'!F$60/'[2]IHCL BALANCE SHEET (2)'!F$41</f>
        <v>0.45183435446962428</v>
      </c>
      <c r="G35" s="117">
        <v>1.0670314486577301</v>
      </c>
      <c r="H35" s="92">
        <v>0.71930790969318248</v>
      </c>
      <c r="I35" t="s">
        <v>204</v>
      </c>
      <c r="J35" s="122">
        <f t="shared" si="1"/>
        <v>0.7926854143246973</v>
      </c>
    </row>
    <row r="36" spans="1:10" ht="43.2">
      <c r="A36" s="94" t="s">
        <v>161</v>
      </c>
      <c r="B36" s="83">
        <f>('[2]IHCL BALANCE SHEET (2)'!B$60)/('[2]IHCL BALANCE SHEET (2)'!B$60+'[2]IHCL BALANCE SHEET (2)'!B$41)</f>
        <v>0.63119034173597</v>
      </c>
      <c r="C36" s="83">
        <f>('[2]IHCL BALANCE SHEET (2)'!C$60)/('[2]IHCL BALANCE SHEET (2)'!C$60+'[2]IHCL BALANCE SHEET (2)'!C$41)</f>
        <v>0.54342108852196691</v>
      </c>
      <c r="D36" s="83">
        <f>('[2]IHCL BALANCE SHEET (2)'!D$60)/('[2]IHCL BALANCE SHEET (2)'!D$60+'[2]IHCL BALANCE SHEET (2)'!D$41)</f>
        <v>0.50960082789911565</v>
      </c>
      <c r="E36" s="83">
        <f>('[2]IHCL BALANCE SHEET (2)'!E$60)/('[2]IHCL BALANCE SHEET (2)'!E$60+'[2]IHCL BALANCE SHEET (2)'!E$41)</f>
        <v>0.32865641653307914</v>
      </c>
      <c r="F36" s="83">
        <f>('[2]IHCL BALANCE SHEET (2)'!F$60)/('[2]IHCL BALANCE SHEET (2)'!F$60+'[2]IHCL BALANCE SHEET (2)'!F$41)</f>
        <v>0.31121618873296725</v>
      </c>
      <c r="G36" s="123">
        <v>0.32495122270129301</v>
      </c>
      <c r="H36" s="107">
        <v>0.31257347966756277</v>
      </c>
      <c r="I36" t="s">
        <v>205</v>
      </c>
      <c r="J36" s="122">
        <f t="shared" si="1"/>
        <v>0.42322363042178224</v>
      </c>
    </row>
    <row r="37" spans="1:10" ht="72">
      <c r="A37" s="94" t="s">
        <v>160</v>
      </c>
      <c r="B37">
        <f>[2]Sheet1!B$13/[2]Sheet1!B$14</f>
        <v>3.6960186820071792</v>
      </c>
      <c r="C37">
        <f>[2]Sheet1!C$13/[2]Sheet1!C$14</f>
        <v>1.4152707757358929</v>
      </c>
      <c r="D37">
        <f>[2]Sheet1!D$13/[2]Sheet1!D$14</f>
        <v>1.0944322638421393</v>
      </c>
      <c r="E37">
        <f>[2]Sheet1!E$13/[2]Sheet1!E$14</f>
        <v>1.6849910793933984</v>
      </c>
      <c r="F37">
        <f>[2]Sheet1!F$13/[2]Sheet1!F$14</f>
        <v>3.1128175458896554</v>
      </c>
      <c r="G37" s="117">
        <v>11.588529356522507</v>
      </c>
      <c r="H37" s="92">
        <v>14.001318321825213</v>
      </c>
      <c r="I37" t="s">
        <v>204</v>
      </c>
      <c r="J37" s="122">
        <f t="shared" si="1"/>
        <v>1.8268779162152717</v>
      </c>
    </row>
    <row r="38" spans="1:10" ht="57.6">
      <c r="A38" s="102" t="s">
        <v>159</v>
      </c>
      <c r="G38" s="117"/>
      <c r="H38" s="92"/>
      <c r="J38" s="18"/>
    </row>
    <row r="39" spans="1:10" ht="28.8">
      <c r="A39" s="94" t="s">
        <v>158</v>
      </c>
      <c r="B39" s="83">
        <f>[2]Sheet1!B$17/'[2]IHCL BALANCE SHEET (2)'!B$34</f>
        <v>3.6284082702706021E-2</v>
      </c>
      <c r="C39" s="83">
        <f>[2]Sheet1!C$17/'[2]IHCL BALANCE SHEET (2)'!C$34</f>
        <v>-3.4656455210209038E-3</v>
      </c>
      <c r="D39" s="83">
        <f>[2]Sheet1!D$17/'[2]IHCL BALANCE SHEET (2)'!D$34</f>
        <v>-9.6313763278466809E-3</v>
      </c>
      <c r="E39" s="83">
        <f>[2]Sheet1!E$17/'[2]IHCL BALANCE SHEET (2)'!E$34</f>
        <v>6.7448642813407273E-3</v>
      </c>
      <c r="F39" s="83">
        <f>[2]Sheet1!F$17/'[2]IHCL BALANCE SHEET (2)'!F$34</f>
        <v>2.5521298530013288E-2</v>
      </c>
      <c r="G39" s="123">
        <v>1.8074446322312636E-2</v>
      </c>
      <c r="H39" s="107">
        <v>2.4870589440216209E-2</v>
      </c>
      <c r="I39" t="s">
        <v>205</v>
      </c>
      <c r="J39" s="122">
        <f t="shared" si="1"/>
        <v>4.792285240621608E-3</v>
      </c>
    </row>
    <row r="40" spans="1:10" ht="28.8">
      <c r="A40" s="94" t="s">
        <v>155</v>
      </c>
      <c r="B40" s="83">
        <f>[2]Sheet1!B$17/'[2]IHCL BALANCE SHEET (2)'!B$41</f>
        <v>0.12098911995035527</v>
      </c>
      <c r="C40" s="83">
        <f>[2]Sheet1!C$17/'[2]IHCL BALANCE SHEET (2)'!C$41</f>
        <v>-9.4416412972859326E-3</v>
      </c>
      <c r="D40" s="83">
        <f>[2]Sheet1!D$17/'[2]IHCL BALANCE SHEET (2)'!D$41</f>
        <v>-2.5544384750776382E-2</v>
      </c>
      <c r="E40" s="83">
        <f>[2]Sheet1!E$17/'[2]IHCL BALANCE SHEET (2)'!E$41</f>
        <v>1.275186599146109E-2</v>
      </c>
      <c r="F40" s="83">
        <f>[2]Sheet1!F$17/'[2]IHCL BALANCE SHEET (2)'!F$41</f>
        <v>4.7512947127544294E-2</v>
      </c>
      <c r="G40" s="123">
        <v>3.0860605218602167E-2</v>
      </c>
      <c r="H40" s="107">
        <v>6.7342404056132468E-2</v>
      </c>
      <c r="I40" t="s">
        <v>204</v>
      </c>
      <c r="J40" s="122">
        <f t="shared" si="1"/>
        <v>6.319696767735767E-3</v>
      </c>
    </row>
    <row r="41" spans="1:10">
      <c r="B41" s="83"/>
      <c r="C41" s="83">
        <f>(C40/B40)-1</f>
        <v>-1.0780371102885951</v>
      </c>
      <c r="D41" s="83">
        <f t="shared" ref="D41:E41" si="2">(D40/C40)-1</f>
        <v>1.7055025653346201</v>
      </c>
      <c r="E41" s="83">
        <f t="shared" si="2"/>
        <v>-1.4992042719319563</v>
      </c>
      <c r="F41" s="83">
        <f>(F40/E40)-1</f>
        <v>2.7259603543010833</v>
      </c>
      <c r="G41" s="123"/>
      <c r="H41" s="107"/>
      <c r="J41" s="122">
        <f>AVERAGE(C41:F41)</f>
        <v>0.46355538435378801</v>
      </c>
    </row>
    <row r="42" spans="1:10">
      <c r="A42" s="94" t="s">
        <v>157</v>
      </c>
      <c r="B42">
        <f>([2]Sheet1!B$17/[2]Sheet1!B$4)</f>
        <v>8.5645937583559428E-2</v>
      </c>
      <c r="C42">
        <f>([2]Sheet1!C$17/[2]Sheet1!C$4)</f>
        <v>-8.2619605656382052E-3</v>
      </c>
      <c r="D42">
        <f>([2]Sheet1!D$17/[2]Sheet1!D$4)</f>
        <v>-2.0736810082139318E-2</v>
      </c>
      <c r="E42">
        <f>([2]Sheet1!E$17/[2]Sheet1!E$4)</f>
        <v>1.540860961850103E-2</v>
      </c>
      <c r="F42">
        <f>([2]Sheet1!F$17/[2]Sheet1!F$4)</f>
        <v>5.4208776595744711E-2</v>
      </c>
      <c r="G42" s="117">
        <v>3.2711866990955588E-2</v>
      </c>
      <c r="H42" s="92">
        <v>5.3542436911015033E-2</v>
      </c>
      <c r="I42" t="s">
        <v>205</v>
      </c>
      <c r="J42" s="122">
        <f t="shared" si="1"/>
        <v>1.0154653891617054E-2</v>
      </c>
    </row>
    <row r="43" spans="1:10" ht="28.8">
      <c r="A43" s="94" t="s">
        <v>156</v>
      </c>
      <c r="B43">
        <f>'[2]IHCL BALANCE SHEET (2)'!B$34/'[2]IHCL BALANCE SHEET (2)'!B$41</f>
        <v>3.3344957606254177</v>
      </c>
      <c r="C43">
        <f>'[2]IHCL BALANCE SHEET (2)'!C$34/'[2]IHCL BALANCE SHEET (2)'!C$41</f>
        <v>2.7243528629854303</v>
      </c>
      <c r="D43">
        <f>'[2]IHCL BALANCE SHEET (2)'!D$34/'[2]IHCL BALANCE SHEET (2)'!D$41</f>
        <v>2.65220503085538</v>
      </c>
      <c r="E43">
        <f>'[2]IHCL BALANCE SHEET (2)'!E$34/'[2]IHCL BALANCE SHEET (2)'!E$41</f>
        <v>1.8906037926868864</v>
      </c>
      <c r="F43">
        <f>'[2]IHCL BALANCE SHEET (2)'!F$34/'[2]IHCL BALANCE SHEET (2)'!F$41</f>
        <v>1.8616978705714609</v>
      </c>
      <c r="G43" s="117">
        <v>3.0174393284958096</v>
      </c>
      <c r="H43" s="92">
        <v>4.8155029490610595</v>
      </c>
      <c r="I43" t="s">
        <v>204</v>
      </c>
      <c r="J43" s="122">
        <f t="shared" si="1"/>
        <v>2.2822148892747895</v>
      </c>
    </row>
    <row r="44" spans="1:10" ht="28.8">
      <c r="A44" s="124" t="s">
        <v>155</v>
      </c>
      <c r="B44" s="83">
        <f>B42*B43*B31</f>
        <v>0.12098911995035526</v>
      </c>
      <c r="C44" s="83">
        <f>C42*C43*C31</f>
        <v>-9.4416412972859309E-3</v>
      </c>
      <c r="D44" s="83">
        <f>D42*D43*D31</f>
        <v>-2.5544384750776378E-2</v>
      </c>
      <c r="E44" s="83">
        <f>E42*E43*E31</f>
        <v>1.275186599146109E-2</v>
      </c>
      <c r="F44" s="83">
        <f>F42*F43*F31</f>
        <v>4.7512947127544287E-2</v>
      </c>
      <c r="G44" s="123">
        <v>3.2570508386917607E-2</v>
      </c>
      <c r="H44" s="107">
        <v>7.2438135246000804E-2</v>
      </c>
      <c r="I44" t="s">
        <v>204</v>
      </c>
      <c r="J44" s="122">
        <f t="shared" si="1"/>
        <v>6.319696767735767E-3</v>
      </c>
    </row>
    <row r="45" spans="1:10" ht="43.2">
      <c r="A45" s="94" t="s">
        <v>154</v>
      </c>
      <c r="B45" s="83">
        <f>B$5/('[2]IHCL BALANCE SHEET (2)'!B$41+'[2]IHCL BALANCE SHEET (2)'!B$60)</f>
        <v>6.6460270114956865E-2</v>
      </c>
      <c r="C45" s="83">
        <f>C$5/('[2]IHCL BALANCE SHEET (2)'!C$41+'[2]IHCL BALANCE SHEET (2)'!C$60)</f>
        <v>2.364321173988947E-2</v>
      </c>
      <c r="D45" s="83">
        <f>D$5/('[2]IHCL BALANCE SHEET (2)'!D$41+'[2]IHCL BALANCE SHEET (2)'!D$60)</f>
        <v>3.6253726374521913E-2</v>
      </c>
      <c r="E45" s="83">
        <f>E$5/('[2]IHCL BALANCE SHEET (2)'!E$41+'[2]IHCL BALANCE SHEET (2)'!E$60)</f>
        <v>4.498694813916207E-2</v>
      </c>
      <c r="F45" s="83">
        <f>F$5/('[2]IHCL BALANCE SHEET (2)'!F$41+'[2]IHCL BALANCE SHEET (2)'!F$60)</f>
        <v>5.8165548098434022E-2</v>
      </c>
      <c r="G45" s="123">
        <v>8.8200585525899489E-2</v>
      </c>
      <c r="H45" s="107">
        <v>0.10020263077451322</v>
      </c>
      <c r="I45" t="s">
        <v>204</v>
      </c>
      <c r="J45" s="122">
        <f t="shared" si="1"/>
        <v>4.0762358588001868E-2</v>
      </c>
    </row>
    <row r="46" spans="1:10" ht="57.6">
      <c r="A46" s="94" t="s">
        <v>153</v>
      </c>
      <c r="B46" s="122">
        <f>B5/('[2]IHCL BALANCE SHEET (2)'!B$60+('[2]IHCL BALANCE SHEET (2)'!B$41*'[6]IHCL DAILY'!$F$2287))</f>
        <v>1.1548128853747176E-3</v>
      </c>
      <c r="C46" s="122">
        <f>C5/('[2]IHCL BALANCE SHEET (2)'!C$60+('[2]IHCL BALANCE SHEET (2)'!C$41*'[6]IHCL DAILY'!$F$2287))</f>
        <v>3.3296263406344602E-4</v>
      </c>
      <c r="D46" s="122">
        <f>D5/('[2]IHCL BALANCE SHEET (2)'!D$60+('[2]IHCL BALANCE SHEET (2)'!D$41*'[6]IHCL DAILY'!$F$2287))</f>
        <v>4.7580587338280097E-4</v>
      </c>
      <c r="E46" s="122">
        <f>E5/('[2]IHCL BALANCE SHEET (2)'!E$60+('[2]IHCL BALANCE SHEET (2)'!E$41*'[6]IHCL DAILY'!$F$2287))</f>
        <v>4.3282021593276981E-4</v>
      </c>
      <c r="F46" s="122">
        <f>F5/('[2]IHCL BALANCE SHEET (2)'!F$60+('[2]IHCL BALANCE SHEET (2)'!F$41*'[6]IHCL DAILY'!$F$2287))</f>
        <v>5.4557511319681127E-4</v>
      </c>
      <c r="G46" s="117" t="s">
        <v>207</v>
      </c>
      <c r="H46" s="121">
        <v>7.909287216456859E-4</v>
      </c>
      <c r="I46" t="s">
        <v>204</v>
      </c>
      <c r="J46" s="122">
        <f t="shared" si="1"/>
        <v>4.4679095914395704E-4</v>
      </c>
    </row>
    <row r="47" spans="1:10" ht="72">
      <c r="A47" s="102" t="s">
        <v>152</v>
      </c>
      <c r="G47" s="117"/>
      <c r="H47" s="92"/>
      <c r="J47" s="18"/>
    </row>
    <row r="48" spans="1:10" s="2" customFormat="1" ht="43.2">
      <c r="A48" s="120" t="s">
        <v>151</v>
      </c>
      <c r="B48" s="119">
        <f>'[2]cashflow templated'!B$9/[2]Sheet1!B$17</f>
        <v>0.51190277080894186</v>
      </c>
      <c r="C48" s="119">
        <f>'[2]cashflow templated'!C$9/[2]Sheet1!C$17</f>
        <v>-6.8665963617190027</v>
      </c>
      <c r="D48" s="119">
        <f>'[2]cashflow templated'!D$9/[2]Sheet1!D$17</f>
        <v>-1.6901154401154377</v>
      </c>
      <c r="E48" s="119">
        <f>'[2]cashflow templated'!E$9/[2]Sheet1!E$17</f>
        <v>-0.20385892772418254</v>
      </c>
      <c r="F48" s="119">
        <f>'[2]cashflow templated'!F$9/[2]Sheet1!F$17</f>
        <v>1.026370661106341</v>
      </c>
      <c r="G48" s="118">
        <v>-0.37623883039171246</v>
      </c>
      <c r="H48" s="106">
        <v>-5.7622557346483285</v>
      </c>
      <c r="I48" s="2" t="s">
        <v>203</v>
      </c>
      <c r="J48" s="122">
        <f t="shared" si="1"/>
        <v>-1.9335500171130704</v>
      </c>
    </row>
    <row r="49" spans="1:10" ht="72">
      <c r="A49" s="94" t="s">
        <v>150</v>
      </c>
      <c r="B49">
        <f>(1-(-1*'[2]cashflow templated'!B$11/[2]Sheet1!B$17))</f>
        <v>1.0215755143000502</v>
      </c>
      <c r="C49">
        <f>(1-(-1*'[2]cashflow templated'!C$11/[2]Sheet1!C$17))</f>
        <v>0.68257316108620936</v>
      </c>
      <c r="D49">
        <f>(1-(-1*'[2]cashflow templated'!D$11/[2]Sheet1!D$17))</f>
        <v>1.3537758537758537</v>
      </c>
      <c r="E49">
        <f>(1-(-1*'[2]cashflow templated'!E$11/[2]Sheet1!E$17))</f>
        <v>0.54689229795982852</v>
      </c>
      <c r="F49">
        <f>(1-(-1*'[2]cashflow templated'!F$11/[2]Sheet1!F$17))</f>
        <v>0.81041743325565241</v>
      </c>
      <c r="G49" s="117">
        <v>0.73620924235691865</v>
      </c>
      <c r="H49" s="92">
        <v>0.61678902328503904</v>
      </c>
      <c r="I49" t="s">
        <v>203</v>
      </c>
      <c r="J49" s="122">
        <f t="shared" si="1"/>
        <v>0.84841468651938601</v>
      </c>
    </row>
    <row r="50" spans="1:10" s="83" customFormat="1" ht="86.4">
      <c r="A50" s="101" t="s">
        <v>206</v>
      </c>
      <c r="B50" s="83">
        <f>(B39*B49)/(1-B39*B49)</f>
        <v>3.8493776587364151E-2</v>
      </c>
      <c r="C50" s="83">
        <f>(C39*C49)/(1-C39*C49)</f>
        <v>-2.3599739664517034E-3</v>
      </c>
      <c r="D50" s="83">
        <f>(D39*D49)/(1-D39*D49)</f>
        <v>-1.2870904530311455E-2</v>
      </c>
      <c r="E50" s="83">
        <f>(E39*E49)/(1-E39*E49)</f>
        <v>3.7023713163653704E-3</v>
      </c>
      <c r="F50" s="83">
        <f>(F39*F49)/(1-F39*F49)</f>
        <v>2.1119722466688133E-2</v>
      </c>
      <c r="G50" s="123">
        <v>1.3324149972307091E-2</v>
      </c>
      <c r="H50" s="107">
        <v>1.8387467992365947E-2</v>
      </c>
      <c r="I50" s="83" t="s">
        <v>205</v>
      </c>
      <c r="J50" s="122">
        <f t="shared" si="1"/>
        <v>2.3978038215725864E-3</v>
      </c>
    </row>
    <row r="51" spans="1:10">
      <c r="G51" s="117"/>
      <c r="H51" s="92"/>
      <c r="J51" s="18"/>
    </row>
    <row r="52" spans="1:10">
      <c r="G52" s="117"/>
      <c r="H52" s="92"/>
      <c r="J52" s="18"/>
    </row>
    <row r="53" spans="1:10">
      <c r="G53" s="117"/>
      <c r="H53" s="92"/>
      <c r="J53" s="18"/>
    </row>
    <row r="54" spans="1:10">
      <c r="G54" s="117"/>
      <c r="H54" s="92"/>
      <c r="J54" s="18"/>
    </row>
    <row r="55" spans="1:10">
      <c r="G55" s="117"/>
      <c r="H55" s="92"/>
      <c r="J55" s="18"/>
    </row>
    <row r="56" spans="1:10" ht="43.2">
      <c r="A56" s="94" t="s">
        <v>148</v>
      </c>
      <c r="B56">
        <f>[2]Sheet1!B$4/(('[2]IHCL BALANCE SHEET (2)'!C$26+'[2]IHCL BALANCE SHEET (2)'!B$26)/2)</f>
        <v>13.265474814333899</v>
      </c>
      <c r="C56">
        <f>[2]Sheet1!C$4/(('[2]IHCL BALANCE SHEET (2)'!D$26+'[2]IHCL BALANCE SHEET (2)'!C$26)/2)</f>
        <v>15.208016563146998</v>
      </c>
      <c r="D56">
        <f>[2]Sheet1!D$4/(('[2]IHCL BALANCE SHEET (2)'!E$26+'[2]IHCL BALANCE SHEET (2)'!D$26)/2)</f>
        <v>13.353734474376479</v>
      </c>
      <c r="E56">
        <f>[2]Sheet1!E$4/(('[2]IHCL BALANCE SHEET (2)'!F$26+'[2]IHCL BALANCE SHEET (2)'!E$26)/2)</f>
        <v>12.627473305228174</v>
      </c>
      <c r="F56">
        <f>[2]Sheet1!F$4/(('[2]IHCL BALANCE SHEET (2)'!G$26+'[2]IHCL BALANCE SHEET (2)'!F$26)/2)</f>
        <v>28.72056015276894</v>
      </c>
      <c r="G56" s="117">
        <f>'[2]Peers Ratio'!P56</f>
        <v>0</v>
      </c>
      <c r="H56" s="106">
        <f>'[2]Peers Ratio'!Q56</f>
        <v>28.792280684645196</v>
      </c>
      <c r="I56" t="s">
        <v>205</v>
      </c>
      <c r="J56" s="18">
        <f>AVERAGE(C56:F56)</f>
        <v>17.477446123880149</v>
      </c>
    </row>
    <row r="57" spans="1:10" ht="43.2">
      <c r="A57" s="94" t="s">
        <v>147</v>
      </c>
      <c r="B57">
        <f>365/B$56</f>
        <v>27.515034712937847</v>
      </c>
      <c r="C57">
        <f>365/C$56</f>
        <v>24.000499899802218</v>
      </c>
      <c r="D57">
        <f>365/D$56</f>
        <v>27.333177898689858</v>
      </c>
      <c r="E57">
        <f>365/E$56</f>
        <v>28.905228399800176</v>
      </c>
      <c r="F57">
        <f>365/F$56</f>
        <v>12.708665780141843</v>
      </c>
      <c r="G57" s="117">
        <f>'[2]Peers Ratio'!P57</f>
        <v>0</v>
      </c>
      <c r="H57" s="106">
        <f>'[2]Peers Ratio'!Q57</f>
        <v>52.063957387902477</v>
      </c>
      <c r="I57" t="s">
        <v>204</v>
      </c>
      <c r="J57" s="18">
        <f t="shared" ref="J57:J59" si="3">AVERAGE(C57:F57)</f>
        <v>23.236892994608525</v>
      </c>
    </row>
    <row r="58" spans="1:10" ht="43.2">
      <c r="A58" s="94" t="s">
        <v>146</v>
      </c>
      <c r="B58">
        <f>'[2]IHCL BALANCE SHEET (2)'!B$23/'[2]IHCL BALANCE SHEET (2)'!B$51</f>
        <v>0.31091650309527402</v>
      </c>
      <c r="C58">
        <f>'[2]IHCL BALANCE SHEET (2)'!C$23/'[2]IHCL BALANCE SHEET (2)'!C$51</f>
        <v>0.25719830072900823</v>
      </c>
      <c r="D58">
        <f>'[2]IHCL BALANCE SHEET (2)'!D$23/'[2]IHCL BALANCE SHEET (2)'!D$51</f>
        <v>0.2744830410154917</v>
      </c>
      <c r="E58">
        <f>'[2]IHCL BALANCE SHEET (2)'!E$23/'[2]IHCL BALANCE SHEET (2)'!E$51</f>
        <v>0.24400797039567321</v>
      </c>
      <c r="F58">
        <f>'[2]IHCL BALANCE SHEET (2)'!F$23/'[2]IHCL BALANCE SHEET (2)'!F$51</f>
        <v>0.24719446579554191</v>
      </c>
      <c r="G58" s="117">
        <f>'[2]Peers Ratio'!P58</f>
        <v>0</v>
      </c>
      <c r="H58" s="106">
        <f>'[2]Peers Ratio'!Q58</f>
        <v>0.964274504910276</v>
      </c>
      <c r="I58" t="s">
        <v>203</v>
      </c>
      <c r="J58" s="18">
        <f t="shared" si="3"/>
        <v>0.25572094448392874</v>
      </c>
    </row>
    <row r="59" spans="1:10" ht="43.2">
      <c r="A59" s="94" t="s">
        <v>145</v>
      </c>
      <c r="B59">
        <f>365/B58</f>
        <v>1173.948620823621</v>
      </c>
      <c r="C59">
        <f>365/C58</f>
        <v>1419.1384584013051</v>
      </c>
      <c r="D59">
        <f>365/D58</f>
        <v>1329.7725012431627</v>
      </c>
      <c r="E59">
        <f>365/E58</f>
        <v>1495.8527764815678</v>
      </c>
      <c r="F59">
        <f>365/F58</f>
        <v>1476.5702736318406</v>
      </c>
      <c r="G59" s="117">
        <f>'[2]Peers Ratio'!P59</f>
        <v>0</v>
      </c>
      <c r="H59" s="106">
        <f>'[2]Peers Ratio'!Q59</f>
        <v>351.96019429225078</v>
      </c>
      <c r="I59" t="s">
        <v>202</v>
      </c>
      <c r="J59" s="18">
        <f t="shared" si="3"/>
        <v>1430.3335024394692</v>
      </c>
    </row>
    <row r="60" spans="1:10">
      <c r="J60" s="18"/>
    </row>
    <row r="61" spans="1:10">
      <c r="J61" s="18"/>
    </row>
    <row r="62" spans="1:10" ht="43.2">
      <c r="A62" s="94" t="s">
        <v>258</v>
      </c>
      <c r="B62" s="127">
        <f>'[2]cash flow 2015'!$B$71*-1/'IHCL P&amp;L'!B5</f>
        <v>4.3044997899079418E-3</v>
      </c>
      <c r="C62" s="127">
        <f>'[2]cash flow 2016'!$B$71*-1/'IHCL P&amp;L'!C5</f>
        <v>6.279787057931743E-3</v>
      </c>
      <c r="D62" s="127">
        <f>'[2]cash flow 2017'!$B$71*-1/'IHCL P&amp;L'!D5</f>
        <v>1.1415718681581742E-2</v>
      </c>
      <c r="E62" s="127">
        <f>'[2]cash flow 2018'!$B$71*-1/'IHCL P&amp;L'!E5</f>
        <v>1.0890570359810408E-2</v>
      </c>
      <c r="F62" s="127">
        <f>'[2]cash flow 2019'!$B$71*-1/'IHCL P&amp;L'!F5</f>
        <v>1.5186170212765956E-2</v>
      </c>
      <c r="G62" s="166">
        <f>'[2]Peers Ratio'!$P$64</f>
        <v>1.8944360261539558E-2</v>
      </c>
      <c r="H62" s="167">
        <f>'[2]Peers Ratio'!$Q$64</f>
        <v>1.3914459347037582E-2</v>
      </c>
      <c r="I62" t="s">
        <v>203</v>
      </c>
      <c r="J62" s="18">
        <f>AVERAGE(C62:F62)</f>
        <v>1.0943061578022462E-2</v>
      </c>
    </row>
    <row r="63" spans="1:10" ht="28.8">
      <c r="A63" s="94" t="s">
        <v>303</v>
      </c>
      <c r="E63" s="83">
        <f>'[2]cashflow templated'!E$29/E3</f>
        <v>0</v>
      </c>
      <c r="F63" s="83">
        <f>'[2]cashflow templated'!F$29/F3</f>
        <v>0</v>
      </c>
      <c r="J63" s="18"/>
    </row>
    <row r="64" spans="1:10" ht="28.8">
      <c r="A64" s="94" t="s">
        <v>304</v>
      </c>
      <c r="E64" s="83">
        <f>1-E63</f>
        <v>1</v>
      </c>
      <c r="F64" s="83">
        <f>1-F63</f>
        <v>1</v>
      </c>
      <c r="J64" s="18">
        <f>AVERAGE(E64:F64)</f>
        <v>1</v>
      </c>
    </row>
    <row r="65" spans="1:10">
      <c r="J65" s="18"/>
    </row>
    <row r="66" spans="1:10">
      <c r="J66" s="18"/>
    </row>
    <row r="67" spans="1:10" ht="29.4" thickBot="1">
      <c r="A67" s="94" t="s">
        <v>327</v>
      </c>
      <c r="C67" s="83">
        <f>([2]Sheet1!C$4/[2]Sheet1!B$4)-1</f>
        <v>9.6040719660796858E-2</v>
      </c>
      <c r="D67" s="83">
        <f>([2]Sheet1!D$4/[2]Sheet1!C$4)-1</f>
        <v>-0.12648009549284234</v>
      </c>
      <c r="E67" s="83">
        <f>([2]Sheet1!E$4/[2]Sheet1!D$4)-1</f>
        <v>2.3262830838898241E-2</v>
      </c>
      <c r="F67" s="83">
        <f>([2]Sheet1!F$4/[2]Sheet1!E$4)-1</f>
        <v>9.9535767810797982E-2</v>
      </c>
      <c r="H67" s="167">
        <f>'[2]Peers Ratio'!$Q$68</f>
        <v>0.11976155832115988</v>
      </c>
      <c r="J67" s="18">
        <f>AVERAGE(C67:F67)</f>
        <v>2.3089805704412686E-2</v>
      </c>
    </row>
    <row r="68" spans="1:10">
      <c r="B68" s="258">
        <v>2015</v>
      </c>
      <c r="C68" s="259">
        <v>2016</v>
      </c>
      <c r="D68" s="259">
        <v>2017</v>
      </c>
      <c r="E68" s="259">
        <v>2018</v>
      </c>
      <c r="F68" s="259">
        <v>2019</v>
      </c>
      <c r="G68" s="260" t="s">
        <v>300</v>
      </c>
      <c r="H68" s="167"/>
      <c r="J68" s="18"/>
    </row>
    <row r="69" spans="1:10" ht="29.4" thickBot="1">
      <c r="A69" s="94" t="s">
        <v>336</v>
      </c>
      <c r="B69" s="261">
        <f>[2]Sheet1!B$4/('[2]IHCL BALANCE SHEET (2)'!B$39-'[2]IHCL BALANCE SHEET (2)'!B$27+'[2]IHCL BALANCE SHEET (2)'!B$60)</f>
        <v>0.61614591071368163</v>
      </c>
      <c r="C69" s="262">
        <f>[2]Sheet1!C$4/('[2]IHCL BALANCE SHEET (2)'!C$39-'[2]IHCL BALANCE SHEET (2)'!C$27+'[2]IHCL BALANCE SHEET (2)'!C$60)</f>
        <v>0.59213533578566679</v>
      </c>
      <c r="D69" s="262">
        <f>[2]Sheet1!D$4/('[2]IHCL BALANCE SHEET (2)'!D$39-'[2]IHCL BALANCE SHEET (2)'!D$27+'[2]IHCL BALANCE SHEET (2)'!D$60)</f>
        <v>0.6963030614512723</v>
      </c>
      <c r="E69" s="262">
        <f>[2]Sheet1!E$4/('[2]IHCL BALANCE SHEET (2)'!E$39-'[2]IHCL BALANCE SHEET (2)'!E$27+'[2]IHCL BALANCE SHEET (2)'!E$60)</f>
        <v>0.64111056776691255</v>
      </c>
      <c r="F69" s="262">
        <f>[2]Sheet1!F$4/('[2]IHCL BALANCE SHEET (2)'!F$39-'[2]IHCL BALANCE SHEET (2)'!F$27+'[2]IHCL BALANCE SHEET (2)'!F$60)</f>
        <v>0.69579270558808515</v>
      </c>
      <c r="G69" s="263">
        <v>0.64829751626112375</v>
      </c>
      <c r="J69" s="119">
        <f>AVERAGE(B69:F69)</f>
        <v>0.64829751626112375</v>
      </c>
    </row>
    <row r="70" spans="1:10">
      <c r="J70" s="18"/>
    </row>
    <row r="71" spans="1:10">
      <c r="J71" s="18"/>
    </row>
    <row r="72" spans="1:10">
      <c r="J72" s="18"/>
    </row>
    <row r="73" spans="1:10">
      <c r="J73" s="18"/>
    </row>
    <row r="74" spans="1:10">
      <c r="J74" s="18"/>
    </row>
    <row r="75" spans="1:10">
      <c r="J75" s="18"/>
    </row>
    <row r="76" spans="1:10">
      <c r="J76" s="18"/>
    </row>
    <row r="77" spans="1:10">
      <c r="J77" s="18"/>
    </row>
  </sheetData>
  <dataConsolidate/>
  <conditionalFormatting sqref="F3:F6">
    <cfRule type="cellIs" dxfId="17" priority="6" operator="lessThan">
      <formula>$H3</formula>
    </cfRule>
    <cfRule type="cellIs" dxfId="16" priority="9" operator="greaterThan">
      <formula>$H3</formula>
    </cfRule>
  </conditionalFormatting>
  <conditionalFormatting sqref="F10:F11">
    <cfRule type="cellIs" dxfId="15" priority="5" operator="greaterThan">
      <formula>217.36</formula>
    </cfRule>
    <cfRule type="cellIs" dxfId="14" priority="7" operator="lessThan">
      <formula>217.36</formula>
    </cfRule>
    <cfRule type="cellIs" dxfId="13" priority="8" operator="greaterThan">
      <formula>$H10</formula>
    </cfRule>
  </conditionalFormatting>
  <conditionalFormatting sqref="F15">
    <cfRule type="cellIs" dxfId="12" priority="3" operator="greaterThan">
      <formula>$H$15</formula>
    </cfRule>
    <cfRule type="cellIs" dxfId="11" priority="4" operator="greaterThan">
      <formula>$H$15</formula>
    </cfRule>
  </conditionalFormatting>
  <conditionalFormatting sqref="F44 F42 F37:F39 F47:F59 F3:F11 F13:F28 F30:F34">
    <cfRule type="cellIs" dxfId="10" priority="1" operator="lessThan">
      <formula>$H3</formula>
    </cfRule>
    <cfRule type="cellIs" dxfId="9" priority="2" operator="greaterThan">
      <formula>$H3</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2CBB-3E9B-48CE-9E90-1461DCD07B9A}">
  <dimension ref="A1:L17"/>
  <sheetViews>
    <sheetView workbookViewId="0">
      <selection activeCell="L17" sqref="L17"/>
    </sheetView>
  </sheetViews>
  <sheetFormatPr defaultRowHeight="14.4"/>
  <cols>
    <col min="1" max="1" width="37.21875" bestFit="1" customWidth="1"/>
  </cols>
  <sheetData>
    <row r="1" spans="1:12">
      <c r="B1">
        <v>2019</v>
      </c>
      <c r="C1">
        <v>1</v>
      </c>
      <c r="D1">
        <v>2</v>
      </c>
      <c r="E1" s="169" t="s">
        <v>296</v>
      </c>
      <c r="F1" s="170" t="s">
        <v>297</v>
      </c>
    </row>
    <row r="2" spans="1:12">
      <c r="A2" s="66" t="s">
        <v>287</v>
      </c>
    </row>
    <row r="3" spans="1:12">
      <c r="A3" s="146" t="s">
        <v>288</v>
      </c>
      <c r="B3">
        <v>2325.98</v>
      </c>
      <c r="C3">
        <v>670.94</v>
      </c>
      <c r="D3">
        <v>237.98</v>
      </c>
      <c r="E3">
        <v>1442.83</v>
      </c>
      <c r="F3">
        <v>13.29</v>
      </c>
    </row>
    <row r="4" spans="1:12">
      <c r="A4" t="s">
        <v>289</v>
      </c>
      <c r="B4">
        <v>325.25</v>
      </c>
      <c r="C4">
        <v>325.25</v>
      </c>
      <c r="D4">
        <v>0</v>
      </c>
      <c r="E4">
        <v>0</v>
      </c>
      <c r="F4">
        <v>0</v>
      </c>
    </row>
    <row r="5" spans="1:12">
      <c r="A5" s="168" t="s">
        <v>290</v>
      </c>
      <c r="B5">
        <v>54.05</v>
      </c>
      <c r="C5">
        <v>113.17</v>
      </c>
      <c r="D5">
        <v>94.89</v>
      </c>
      <c r="E5">
        <v>67.760000000000005</v>
      </c>
      <c r="F5">
        <v>0</v>
      </c>
    </row>
    <row r="6" spans="1:12">
      <c r="A6" t="s">
        <v>291</v>
      </c>
      <c r="B6">
        <v>490.13</v>
      </c>
      <c r="C6">
        <v>490.13</v>
      </c>
      <c r="D6">
        <v>0</v>
      </c>
      <c r="E6">
        <v>0</v>
      </c>
      <c r="F6">
        <v>0</v>
      </c>
    </row>
    <row r="8" spans="1:12">
      <c r="A8" t="s">
        <v>292</v>
      </c>
    </row>
    <row r="10" spans="1:12">
      <c r="A10" s="146" t="s">
        <v>293</v>
      </c>
      <c r="B10">
        <v>279.42</v>
      </c>
      <c r="C10">
        <v>131.54</v>
      </c>
      <c r="D10">
        <v>0</v>
      </c>
      <c r="E10">
        <v>147.88</v>
      </c>
      <c r="F10">
        <v>0</v>
      </c>
    </row>
    <row r="11" spans="1:12">
      <c r="A11" t="s">
        <v>294</v>
      </c>
      <c r="C11">
        <v>17.3</v>
      </c>
      <c r="E11">
        <v>131.44</v>
      </c>
    </row>
    <row r="13" spans="1:12">
      <c r="A13" t="s">
        <v>295</v>
      </c>
      <c r="B13">
        <f>SUM(B3:B12)</f>
        <v>3474.8300000000004</v>
      </c>
      <c r="C13">
        <f t="shared" ref="C13:F13" si="0">SUM(C3:C12)</f>
        <v>1748.3300000000002</v>
      </c>
      <c r="D13">
        <f t="shared" si="0"/>
        <v>332.87</v>
      </c>
      <c r="E13">
        <f t="shared" si="0"/>
        <v>1789.9099999999999</v>
      </c>
      <c r="F13">
        <f t="shared" si="0"/>
        <v>13.29</v>
      </c>
    </row>
    <row r="16" spans="1:12">
      <c r="B16" t="s">
        <v>298</v>
      </c>
      <c r="C16">
        <v>1</v>
      </c>
      <c r="D16">
        <v>2</v>
      </c>
      <c r="E16">
        <v>3</v>
      </c>
      <c r="F16">
        <v>4</v>
      </c>
      <c r="G16">
        <v>5</v>
      </c>
      <c r="H16">
        <v>6</v>
      </c>
      <c r="I16">
        <v>7</v>
      </c>
      <c r="J16">
        <v>8</v>
      </c>
      <c r="K16">
        <v>9</v>
      </c>
      <c r="L16">
        <v>10</v>
      </c>
    </row>
    <row r="17" spans="1:12">
      <c r="A17" t="s">
        <v>299</v>
      </c>
      <c r="B17">
        <f>B3+B10</f>
        <v>2605.4</v>
      </c>
      <c r="C17">
        <f>C3+C10</f>
        <v>802.48</v>
      </c>
      <c r="D17">
        <f>D3+D10</f>
        <v>237.98</v>
      </c>
      <c r="E17">
        <f>($E$10+$E$3)/3</f>
        <v>530.23666666666668</v>
      </c>
      <c r="F17">
        <f t="shared" ref="F17:G17" si="1">($E$10+$E$3)/3</f>
        <v>530.23666666666668</v>
      </c>
      <c r="G17">
        <f>($E$10+$E$3)/3</f>
        <v>530.23666666666668</v>
      </c>
      <c r="H17">
        <f>($F$10+$F$3)/5</f>
        <v>2.6579999999999999</v>
      </c>
      <c r="I17">
        <f t="shared" ref="I17:L17" si="2">($F$10+$F$3)/5</f>
        <v>2.6579999999999999</v>
      </c>
      <c r="J17">
        <f t="shared" si="2"/>
        <v>2.6579999999999999</v>
      </c>
      <c r="K17">
        <f t="shared" si="2"/>
        <v>2.6579999999999999</v>
      </c>
      <c r="L17">
        <f t="shared" si="2"/>
        <v>2.6579999999999999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6C26-CAEC-4E63-84DD-8CA69F6A5E95}">
  <dimension ref="A1:G11"/>
  <sheetViews>
    <sheetView workbookViewId="0">
      <selection activeCell="F11" sqref="F11"/>
    </sheetView>
  </sheetViews>
  <sheetFormatPr defaultRowHeight="14.4"/>
  <cols>
    <col min="1" max="1" width="20" bestFit="1" customWidth="1"/>
  </cols>
  <sheetData>
    <row r="1" spans="1:7" ht="15" thickBot="1">
      <c r="B1" s="88">
        <v>2015</v>
      </c>
      <c r="C1" s="88">
        <v>2016</v>
      </c>
      <c r="D1" s="88">
        <v>2017</v>
      </c>
      <c r="E1" s="88">
        <v>2018</v>
      </c>
      <c r="F1" s="88">
        <v>2019</v>
      </c>
    </row>
    <row r="2" spans="1:7">
      <c r="A2" t="s">
        <v>249</v>
      </c>
      <c r="B2">
        <f>'[2]IHCL BALANCE SHEET (2)'!B$32</f>
        <v>1722.4899999999998</v>
      </c>
      <c r="C2">
        <f>'[2]IHCL BALANCE SHEET (2)'!C$32</f>
        <v>1121.6500000000001</v>
      </c>
      <c r="D2">
        <f>'[2]IHCL BALANCE SHEET (2)'!D$32</f>
        <v>926.33999999999992</v>
      </c>
      <c r="E2">
        <f>'[2]IHCL BALANCE SHEET (2)'!E$32</f>
        <v>1219.53</v>
      </c>
      <c r="F2">
        <f>'[2]IHCL BALANCE SHEET (2)'!F$32</f>
        <v>1150.3499999999999</v>
      </c>
    </row>
    <row r="3" spans="1:7">
      <c r="A3" t="s">
        <v>250</v>
      </c>
      <c r="B3">
        <f>'[2]IHCL BALANCE SHEET (2)'!B$56</f>
        <v>1432.26</v>
      </c>
      <c r="C3">
        <f>'[2]IHCL BALANCE SHEET (2)'!C$56</f>
        <v>2303.21</v>
      </c>
      <c r="D3">
        <f>'[2]IHCL BALANCE SHEET (2)'!D$56</f>
        <v>1839.27</v>
      </c>
      <c r="E3">
        <f>'[2]IHCL BALANCE SHEET (2)'!E$56</f>
        <v>1393.44</v>
      </c>
      <c r="F3">
        <f>'[2]IHCL BALANCE SHEET (2)'!F$56</f>
        <v>2089.46</v>
      </c>
    </row>
    <row r="4" spans="1:7">
      <c r="A4" t="s">
        <v>254</v>
      </c>
      <c r="B4">
        <f>B2-B3</f>
        <v>290.22999999999979</v>
      </c>
      <c r="C4">
        <f t="shared" ref="C4:F4" si="0">C2-C3</f>
        <v>-1181.56</v>
      </c>
      <c r="D4">
        <f t="shared" si="0"/>
        <v>-912.93000000000006</v>
      </c>
      <c r="E4">
        <f t="shared" si="0"/>
        <v>-173.91000000000008</v>
      </c>
      <c r="F4">
        <f t="shared" si="0"/>
        <v>-939.11000000000013</v>
      </c>
    </row>
    <row r="5" spans="1:7">
      <c r="A5" t="s">
        <v>251</v>
      </c>
      <c r="B5">
        <f>B2-'[2]IHCL BALANCE SHEET (2)'!B$27-'[2]IHCL BALANCE SHEET (2)'!B$28-'[2]IHCL BALANCE SHEET (2)'!B$25-'[2]IHCL BALANCE SHEET (2)'!B$30-'[2]IHCL BALANCE SHEET (2)'!B$29</f>
        <v>477.27999999999986</v>
      </c>
      <c r="C5">
        <f>C2-'[2]IHCL BALANCE SHEET (2)'!C$27-'[2]IHCL BALANCE SHEET (2)'!C$28-'[2]IHCL BALANCE SHEET (2)'!C$25-'[2]IHCL BALANCE SHEET (2)'!C$30-'[2]IHCL BALANCE SHEET (2)'!C$29</f>
        <v>510.23000000000013</v>
      </c>
      <c r="D5">
        <f>D2-'[2]IHCL BALANCE SHEET (2)'!D$27-'[2]IHCL BALANCE SHEET (2)'!D$28-'[2]IHCL BALANCE SHEET (2)'!D$25-'[2]IHCL BALANCE SHEET (2)'!D$30-'[2]IHCL BALANCE SHEET (2)'!D$29</f>
        <v>430.81000000000006</v>
      </c>
      <c r="E5">
        <f>E2-'[2]IHCL BALANCE SHEET (2)'!E$27-'[2]IHCL BALANCE SHEET (2)'!E$28-'[2]IHCL BALANCE SHEET (2)'!E$25-'[2]IHCL BALANCE SHEET (2)'!E$30-'[2]IHCL BALANCE SHEET (2)'!E$29</f>
        <v>494.55999999999995</v>
      </c>
      <c r="F5">
        <f>F2-'[2]IHCL BALANCE SHEET (2)'!F$27-'[2]IHCL BALANCE SHEET (2)'!F$28-'[2]IHCL BALANCE SHEET (2)'!F$25-'[2]IHCL BALANCE SHEET (2)'!F$30-'[2]IHCL BALANCE SHEET (2)'!F$29</f>
        <v>534.61999999999989</v>
      </c>
    </row>
    <row r="6" spans="1:7">
      <c r="A6" t="s">
        <v>252</v>
      </c>
      <c r="B6">
        <f>B3-'[2]IHCL BALANCE SHEET (2)'!B$50+'[2]IHCL BALANCE SHEET (2)'!B$59-'[2]IHCL BALANCE SHEET (2)'!B$55</f>
        <v>1842.29</v>
      </c>
      <c r="C6">
        <f>C3-'[2]IHCL BALANCE SHEET (2)'!C$50+'[2]IHCL BALANCE SHEET (2)'!C$59-'[2]IHCL BALANCE SHEET (2)'!C$55</f>
        <v>3179.36</v>
      </c>
      <c r="D6">
        <f>D3-'[2]IHCL BALANCE SHEET (2)'!D$50+'[2]IHCL BALANCE SHEET (2)'!D$59-'[2]IHCL BALANCE SHEET (2)'!D$55</f>
        <v>1330.6099999999997</v>
      </c>
      <c r="E6">
        <f>E3-'[2]IHCL BALANCE SHEET (2)'!E$50+'[2]IHCL BALANCE SHEET (2)'!E$59-'[2]IHCL BALANCE SHEET (2)'!E$55</f>
        <v>876.3900000000001</v>
      </c>
      <c r="F6">
        <f>F3-'[2]IHCL BALANCE SHEET (2)'!F$50+'[2]IHCL BALANCE SHEET (2)'!F$59-'[2]IHCL BALANCE SHEET (2)'!F$55</f>
        <v>1410.0000000000005</v>
      </c>
    </row>
    <row r="7" spans="1:7">
      <c r="A7" t="s">
        <v>253</v>
      </c>
      <c r="B7">
        <f>B5-B6</f>
        <v>-1365.0100000000002</v>
      </c>
      <c r="C7">
        <f t="shared" ref="C7:F7" si="1">C5-C6</f>
        <v>-2669.13</v>
      </c>
      <c r="D7">
        <f t="shared" si="1"/>
        <v>-899.79999999999961</v>
      </c>
      <c r="E7">
        <f t="shared" si="1"/>
        <v>-381.83000000000015</v>
      </c>
      <c r="F7">
        <f t="shared" si="1"/>
        <v>-875.38000000000056</v>
      </c>
    </row>
    <row r="9" spans="1:7">
      <c r="A9" t="s">
        <v>255</v>
      </c>
      <c r="B9">
        <f>[2]Sheet1!B$4</f>
        <v>4188.6400000000003</v>
      </c>
      <c r="C9">
        <f>[2]Sheet1!C$4</f>
        <v>4590.92</v>
      </c>
      <c r="D9">
        <f>[2]Sheet1!D$4</f>
        <v>4010.26</v>
      </c>
      <c r="E9">
        <f>[2]Sheet1!E$4</f>
        <v>4103.55</v>
      </c>
      <c r="F9">
        <f>[2]Sheet1!F$4</f>
        <v>4512</v>
      </c>
    </row>
    <row r="10" spans="1:7">
      <c r="A10" t="s">
        <v>256</v>
      </c>
      <c r="B10" s="83">
        <f>B7/B9</f>
        <v>-0.32588381909163838</v>
      </c>
      <c r="C10" s="83">
        <f t="shared" ref="C10:F10" si="2">C7/C9</f>
        <v>-0.58139327193677959</v>
      </c>
      <c r="D10" s="83">
        <f t="shared" si="2"/>
        <v>-0.22437447946018452</v>
      </c>
      <c r="E10" s="83">
        <f t="shared" si="2"/>
        <v>-9.3048701733864619E-2</v>
      </c>
      <c r="F10" s="83">
        <f t="shared" si="2"/>
        <v>-0.19401152482269515</v>
      </c>
      <c r="G10" s="144">
        <f>AVERAGE(B10:F10)</f>
        <v>-0.28374235940903247</v>
      </c>
    </row>
    <row r="11" spans="1:7" ht="28.8">
      <c r="A11" s="196" t="s">
        <v>257</v>
      </c>
      <c r="C11" s="83">
        <f>(C7/B7)-1</f>
        <v>0.9553922681885112</v>
      </c>
      <c r="D11" s="83">
        <f t="shared" ref="D11:F11" si="3">(D7/C7)-1</f>
        <v>-0.66288640867998194</v>
      </c>
      <c r="E11" s="83">
        <f t="shared" si="3"/>
        <v>-0.57565014447655005</v>
      </c>
      <c r="F11" s="83">
        <f t="shared" si="3"/>
        <v>1.2925909436136505</v>
      </c>
      <c r="G11" s="21">
        <f>AVERAGE(C11:F11)</f>
        <v>0.25236166466140741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AD6B1-6812-4304-8283-CEFC26FD7CC6}">
  <dimension ref="A1:F41"/>
  <sheetViews>
    <sheetView topLeftCell="A19" zoomScale="93" zoomScaleNormal="93" workbookViewId="0">
      <selection activeCell="B26" sqref="B26:F26"/>
    </sheetView>
  </sheetViews>
  <sheetFormatPr defaultColWidth="31.33203125" defaultRowHeight="22.2" customHeight="1"/>
  <cols>
    <col min="1" max="1" width="38" bestFit="1" customWidth="1"/>
    <col min="2" max="2" width="27" bestFit="1" customWidth="1"/>
    <col min="3" max="3" width="11.5546875" bestFit="1" customWidth="1"/>
    <col min="4" max="4" width="9.77734375" bestFit="1" customWidth="1"/>
    <col min="5" max="5" width="12" bestFit="1" customWidth="1"/>
    <col min="6" max="6" width="19.6640625" bestFit="1" customWidth="1"/>
  </cols>
  <sheetData>
    <row r="1" spans="1:6" ht="22.2" customHeight="1" thickBot="1"/>
    <row r="2" spans="1:6" ht="22.2" customHeight="1" thickBot="1">
      <c r="A2" s="342" t="s">
        <v>78</v>
      </c>
      <c r="B2" s="343"/>
    </row>
    <row r="3" spans="1:6" ht="22.2" customHeight="1">
      <c r="A3" s="68" t="s">
        <v>79</v>
      </c>
      <c r="B3" s="69"/>
    </row>
    <row r="4" spans="1:6" ht="22.2" customHeight="1">
      <c r="A4" s="70" t="s">
        <v>80</v>
      </c>
      <c r="B4" s="71">
        <v>6.2700000000000006E-2</v>
      </c>
    </row>
    <row r="5" spans="1:6" ht="22.2" customHeight="1" thickBot="1">
      <c r="A5" s="70" t="s">
        <v>81</v>
      </c>
      <c r="B5" s="71">
        <v>3.44E-2</v>
      </c>
    </row>
    <row r="6" spans="1:6" ht="22.2" customHeight="1" thickBot="1">
      <c r="A6" s="72" t="s">
        <v>82</v>
      </c>
      <c r="B6" s="73">
        <f>(B4-B5)</f>
        <v>2.8300000000000006E-2</v>
      </c>
    </row>
    <row r="7" spans="1:6" ht="22.2" customHeight="1" thickBot="1">
      <c r="A7" s="342" t="s">
        <v>77</v>
      </c>
      <c r="B7" s="343"/>
    </row>
    <row r="8" spans="1:6" ht="22.2" customHeight="1" thickBot="1">
      <c r="A8" s="72" t="s">
        <v>83</v>
      </c>
      <c r="B8" s="74">
        <f>'[2]IHCL &amp; NIFTY 200'!J14</f>
        <v>0.84550861618676321</v>
      </c>
    </row>
    <row r="9" spans="1:6" ht="22.2" customHeight="1" thickBot="1">
      <c r="A9" s="342" t="s">
        <v>84</v>
      </c>
      <c r="B9" s="343"/>
    </row>
    <row r="10" spans="1:6" ht="22.2" customHeight="1" thickBot="1">
      <c r="A10" s="72" t="s">
        <v>85</v>
      </c>
      <c r="B10" s="75">
        <v>2.64E-2</v>
      </c>
    </row>
    <row r="11" spans="1:6" ht="22.2" customHeight="1" thickBot="1">
      <c r="A11" s="342" t="s">
        <v>86</v>
      </c>
      <c r="B11" s="343"/>
      <c r="D11" s="76"/>
    </row>
    <row r="12" spans="1:6" ht="22.2" customHeight="1" thickBot="1">
      <c r="A12" s="72" t="s">
        <v>74</v>
      </c>
      <c r="B12" s="77">
        <v>3.529668666371148E-4</v>
      </c>
    </row>
    <row r="13" spans="1:6" ht="22.2" customHeight="1" thickBot="1">
      <c r="A13" s="78" t="s">
        <v>87</v>
      </c>
      <c r="B13" s="79">
        <f>B6+B8*(B12-B6)</f>
        <v>4.6705426888847268E-3</v>
      </c>
    </row>
    <row r="14" spans="1:6" ht="22.2" customHeight="1" thickBot="1">
      <c r="A14" s="78" t="s">
        <v>88</v>
      </c>
      <c r="B14" s="80">
        <f>B6+B8*(B12-B6)+B10</f>
        <v>3.1070542688884727E-2</v>
      </c>
    </row>
    <row r="16" spans="1:6" ht="22.2" customHeight="1">
      <c r="A16" t="str">
        <f>'TOTAL DEBT '!A1</f>
        <v>Non Covertible Debentures(NCDs)</v>
      </c>
      <c r="B16" t="str">
        <f>'TOTAL DEBT '!B1</f>
        <v>Eff Rate of Interest</v>
      </c>
      <c r="C16" t="str">
        <f>'TOTAL DEBT '!C1</f>
        <v>Maturity</v>
      </c>
      <c r="D16" t="str">
        <f>'TOTAL DEBT '!D1</f>
        <v>Face Value</v>
      </c>
      <c r="E16" t="str">
        <f>'TOTAL DEBT '!E1</f>
        <v xml:space="preserve">Percentage </v>
      </c>
      <c r="F16" t="str">
        <f>'TOTAL DEBT '!F1</f>
        <v>Weighted average rate</v>
      </c>
    </row>
    <row r="17" spans="1:6" ht="22.2" customHeight="1">
      <c r="A17" t="str">
        <f>'TOTAL DEBT '!A2</f>
        <v>Secured</v>
      </c>
    </row>
    <row r="18" spans="1:6" ht="22.2" customHeight="1">
      <c r="A18" t="str">
        <f>'TOTAL DEBT '!A3</f>
        <v>(a) 7.85% Non Convertible Debentures</v>
      </c>
      <c r="B18" s="18">
        <f>'TOTAL DEBT '!B3</f>
        <v>7.85E-2</v>
      </c>
      <c r="C18" t="str">
        <f>'TOTAL DEBT '!C3</f>
        <v>April 15,2022</v>
      </c>
      <c r="D18">
        <f>'TOTAL DEBT '!D3</f>
        <v>495</v>
      </c>
      <c r="E18">
        <f>'TOTAL DEBT '!E3</f>
        <v>0.33110367892976589</v>
      </c>
      <c r="F18">
        <f>'TOTAL DEBT '!F3</f>
        <v>2.5991638795986621E-2</v>
      </c>
    </row>
    <row r="19" spans="1:6" ht="22.2" customHeight="1">
      <c r="A19" t="str">
        <f>'TOTAL DEBT '!A4</f>
        <v>(b) 10.10% Non Convertible Debentures</v>
      </c>
      <c r="B19" s="18">
        <f>'TOTAL DEBT '!B4</f>
        <v>0.10100000000000001</v>
      </c>
      <c r="C19" t="str">
        <f>'TOTAL DEBT '!C4</f>
        <v>Nov 18,2021</v>
      </c>
      <c r="D19">
        <f>'TOTAL DEBT '!D4</f>
        <v>300</v>
      </c>
      <c r="E19">
        <f>'TOTAL DEBT '!E4</f>
        <v>0.20066889632107024</v>
      </c>
      <c r="F19">
        <f>'TOTAL DEBT '!F4</f>
        <v>2.0267558528428094E-2</v>
      </c>
    </row>
    <row r="20" spans="1:6" ht="22.2" customHeight="1">
      <c r="A20" t="str">
        <f>'TOTAL DEBT '!A5</f>
        <v>(c) 9.95% Non Convertible Debentures</v>
      </c>
      <c r="B20" s="18">
        <f>'TOTAL DEBT '!B5</f>
        <v>9.9500000000000005E-2</v>
      </c>
      <c r="C20" t="str">
        <f>'TOTAL DEBT '!C5</f>
        <v>July 27, 2021</v>
      </c>
      <c r="D20">
        <f>'TOTAL DEBT '!D5</f>
        <v>250</v>
      </c>
      <c r="E20">
        <f>'TOTAL DEBT '!E5</f>
        <v>0.16722408026755853</v>
      </c>
      <c r="F20">
        <f>'TOTAL DEBT '!F5</f>
        <v>1.6638795986622074E-2</v>
      </c>
    </row>
    <row r="21" spans="1:6" ht="22.2" customHeight="1">
      <c r="A21">
        <f>'TOTAL DEBT '!A6</f>
        <v>0</v>
      </c>
    </row>
    <row r="22" spans="1:6" ht="22.2" customHeight="1">
      <c r="A22" t="str">
        <f>'TOTAL DEBT '!A7</f>
        <v>Unsecured</v>
      </c>
    </row>
    <row r="23" spans="1:6" ht="22.2" customHeight="1">
      <c r="A23" t="str">
        <f>'TOTAL DEBT '!A8</f>
        <v>(a) 7.85% Non Convertible Debentures</v>
      </c>
      <c r="B23" s="18">
        <f>'TOTAL DEBT '!B8</f>
        <v>7.85E-2</v>
      </c>
      <c r="C23" t="str">
        <f>'TOTAL DEBT '!C8</f>
        <v>Aprl 20,2020</v>
      </c>
      <c r="D23">
        <f>'TOTAL DEBT '!D8</f>
        <v>200</v>
      </c>
      <c r="E23">
        <f>'TOTAL DEBT '!E8</f>
        <v>0.13377926421404682</v>
      </c>
      <c r="F23">
        <f>'TOTAL DEBT '!F8</f>
        <v>1.0501672240802675E-2</v>
      </c>
    </row>
    <row r="24" spans="1:6" ht="22.2" customHeight="1" thickBot="1">
      <c r="A24" t="str">
        <f>'TOTAL DEBT '!A9</f>
        <v>(b) 2% Non Convertible Debentures</v>
      </c>
      <c r="B24" s="18">
        <f>'TOTAL DEBT '!B9</f>
        <v>9.8599999999999993E-2</v>
      </c>
      <c r="C24" t="str">
        <f>'TOTAL DEBT '!C9</f>
        <v>Dec 9, 2019</v>
      </c>
      <c r="D24">
        <f>'TOTAL DEBT '!D9</f>
        <v>250</v>
      </c>
      <c r="E24">
        <f>'TOTAL DEBT '!E9</f>
        <v>0.16722408026755853</v>
      </c>
      <c r="F24">
        <f>'TOTAL DEBT '!F9</f>
        <v>1.6488294314381268E-2</v>
      </c>
    </row>
    <row r="25" spans="1:6" ht="22.2" customHeight="1" thickBot="1">
      <c r="A25" s="82" t="s">
        <v>89</v>
      </c>
      <c r="B25" s="337">
        <f>'Last AR'!B15</f>
        <v>0.34939999999999999</v>
      </c>
      <c r="C25" s="338"/>
      <c r="D25" s="338"/>
      <c r="E25" s="338"/>
      <c r="F25" s="339"/>
    </row>
    <row r="26" spans="1:6" ht="22.2" customHeight="1" thickBot="1">
      <c r="A26" s="81" t="str">
        <f>'[2]TOTAL DEBT '!A15</f>
        <v>Pre Tax -Cost Of Debt</v>
      </c>
      <c r="B26" s="340">
        <f>'TOTAL DEBT '!$B$15</f>
        <v>1.7977591973244146E-2</v>
      </c>
      <c r="C26" s="340"/>
      <c r="D26" s="340"/>
      <c r="E26" s="340"/>
      <c r="F26" s="341"/>
    </row>
    <row r="27" spans="1:6" ht="22.2" customHeight="1" thickBot="1">
      <c r="A27" s="81" t="s">
        <v>90</v>
      </c>
      <c r="B27" s="340">
        <f>B26*(1-B25)</f>
        <v>1.1696221337792643E-2</v>
      </c>
      <c r="C27" s="340"/>
      <c r="D27" s="340"/>
      <c r="E27" s="340"/>
      <c r="F27" s="341"/>
    </row>
    <row r="28" spans="1:6" ht="22.2" customHeight="1">
      <c r="A28" t="s">
        <v>91</v>
      </c>
      <c r="B28">
        <v>154.33000000000001</v>
      </c>
    </row>
    <row r="29" spans="1:6" ht="22.2" customHeight="1">
      <c r="A29" t="s">
        <v>92</v>
      </c>
      <c r="B29">
        <f>1189258445/10000000</f>
        <v>118.9258445</v>
      </c>
      <c r="C29">
        <f>B29*10^7</f>
        <v>1189258445</v>
      </c>
    </row>
    <row r="30" spans="1:6" ht="22.2" customHeight="1">
      <c r="A30" t="s">
        <v>93</v>
      </c>
      <c r="B30" s="2">
        <f>B29*B28</f>
        <v>18353.825581685</v>
      </c>
    </row>
    <row r="31" spans="1:6" ht="22.2" customHeight="1">
      <c r="A31" t="s">
        <v>94</v>
      </c>
      <c r="B31" s="2">
        <v>529.45000000000005</v>
      </c>
    </row>
    <row r="32" spans="1:6" ht="22.2" customHeight="1">
      <c r="A32" t="s">
        <v>95</v>
      </c>
      <c r="B32" s="2">
        <f>'[2]TOTAL DEBT '!$D$11</f>
        <v>1495</v>
      </c>
    </row>
    <row r="33" spans="1:4" ht="22.2" customHeight="1">
      <c r="A33" t="s">
        <v>96</v>
      </c>
      <c r="B33" s="2">
        <f>B32+B31</f>
        <v>2024.45</v>
      </c>
    </row>
    <row r="34" spans="1:4" ht="22.2" customHeight="1">
      <c r="A34" t="s">
        <v>97</v>
      </c>
      <c r="B34" s="2">
        <f>B33+B30</f>
        <v>20378.275581685</v>
      </c>
    </row>
    <row r="35" spans="1:4" ht="22.2" customHeight="1">
      <c r="A35" t="s">
        <v>98</v>
      </c>
      <c r="B35" s="83">
        <f>B30/B34</f>
        <v>0.90065646173616976</v>
      </c>
    </row>
    <row r="36" spans="1:4" ht="22.2" customHeight="1">
      <c r="A36" t="s">
        <v>99</v>
      </c>
      <c r="B36" s="83">
        <f>B33/B34</f>
        <v>9.9343538263830175E-2</v>
      </c>
    </row>
    <row r="37" spans="1:4" ht="22.2" customHeight="1">
      <c r="B37" s="2"/>
    </row>
    <row r="38" spans="1:4" ht="22.2" customHeight="1">
      <c r="A38" s="66" t="s">
        <v>100</v>
      </c>
      <c r="B38" s="84">
        <f>B35*(B14)+B36*(B27)</f>
        <v>2.9145829054406765E-2</v>
      </c>
    </row>
    <row r="39" spans="1:4" ht="22.2" customHeight="1">
      <c r="B39" t="s">
        <v>101</v>
      </c>
      <c r="D39" s="85"/>
    </row>
    <row r="40" spans="1:4" ht="22.2" customHeight="1">
      <c r="A40" t="s">
        <v>102</v>
      </c>
      <c r="B40">
        <v>5147.8599999999997</v>
      </c>
    </row>
    <row r="41" spans="1:4" ht="22.2" customHeight="1">
      <c r="A41" t="s">
        <v>103</v>
      </c>
      <c r="B41" s="2">
        <f>B33</f>
        <v>2024.45</v>
      </c>
    </row>
  </sheetData>
  <mergeCells count="7">
    <mergeCell ref="B25:F25"/>
    <mergeCell ref="B26:F26"/>
    <mergeCell ref="B27:F27"/>
    <mergeCell ref="A2:B2"/>
    <mergeCell ref="A7:B7"/>
    <mergeCell ref="A9:B9"/>
    <mergeCell ref="A11:B1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CE62C-0166-45D8-8B7A-554EDDC6BC5A}">
  <dimension ref="A1:L2502"/>
  <sheetViews>
    <sheetView zoomScale="90" zoomScaleNormal="90" workbookViewId="0">
      <selection activeCell="J15" sqref="J15"/>
    </sheetView>
  </sheetViews>
  <sheetFormatPr defaultRowHeight="14.4"/>
  <cols>
    <col min="1" max="1" width="9.88671875" bestFit="1" customWidth="1"/>
    <col min="3" max="3" width="27" bestFit="1" customWidth="1"/>
    <col min="6" max="6" width="10" bestFit="1" customWidth="1"/>
    <col min="7" max="7" width="10" customWidth="1"/>
    <col min="9" max="9" width="29.77734375" customWidth="1"/>
    <col min="11" max="11" width="12.6640625" customWidth="1"/>
    <col min="12" max="12" width="18.77734375" customWidth="1"/>
  </cols>
  <sheetData>
    <row r="1" spans="1:12" ht="15" thickBot="1">
      <c r="A1" s="58" t="s">
        <v>70</v>
      </c>
      <c r="B1" s="59"/>
      <c r="C1" s="59" t="s">
        <v>71</v>
      </c>
      <c r="D1" s="59"/>
      <c r="E1" s="59" t="s">
        <v>70</v>
      </c>
      <c r="F1" s="59"/>
      <c r="G1" s="60" t="s">
        <v>72</v>
      </c>
    </row>
    <row r="2" spans="1:12">
      <c r="A2" s="61">
        <v>40182</v>
      </c>
      <c r="C2">
        <v>0</v>
      </c>
      <c r="E2" s="62">
        <v>40182</v>
      </c>
      <c r="G2">
        <v>0</v>
      </c>
    </row>
    <row r="3" spans="1:12">
      <c r="A3" s="61">
        <v>40183</v>
      </c>
      <c r="C3">
        <v>1.1455874733751543E-2</v>
      </c>
      <c r="E3" s="62">
        <v>40183</v>
      </c>
      <c r="G3">
        <v>-1.8292193784452463E-2</v>
      </c>
      <c r="I3" s="63"/>
    </row>
    <row r="4" spans="1:12">
      <c r="A4" s="61">
        <v>40184</v>
      </c>
      <c r="C4">
        <v>1.3197211155378617E-3</v>
      </c>
      <c r="E4" s="62">
        <v>40184</v>
      </c>
      <c r="G4">
        <v>-1.7200217013675096E-2</v>
      </c>
    </row>
    <row r="5" spans="1:12">
      <c r="A5" s="61">
        <v>40185</v>
      </c>
      <c r="C5">
        <v>-3.4139635014972677E-3</v>
      </c>
      <c r="E5" s="62">
        <v>40185</v>
      </c>
      <c r="G5">
        <v>-8.7506266589912306E-3</v>
      </c>
    </row>
    <row r="6" spans="1:12">
      <c r="A6" s="61">
        <v>40186</v>
      </c>
      <c r="C6">
        <v>-1.5042954407729135E-3</v>
      </c>
      <c r="E6" s="62">
        <v>40186</v>
      </c>
      <c r="G6">
        <v>-4.4136345950458221E-3</v>
      </c>
    </row>
    <row r="7" spans="1:12">
      <c r="A7" s="61">
        <v>40189</v>
      </c>
      <c r="C7">
        <v>5.3336570180073598E-3</v>
      </c>
      <c r="E7" s="62">
        <v>40189</v>
      </c>
      <c r="G7">
        <v>2.3645353663728042E-2</v>
      </c>
    </row>
    <row r="8" spans="1:12">
      <c r="A8" s="61">
        <v>40190</v>
      </c>
      <c r="C8">
        <v>-9.3536267498100668E-3</v>
      </c>
      <c r="E8" s="62">
        <v>40190</v>
      </c>
      <c r="G8">
        <v>-2.3580439006816018E-2</v>
      </c>
      <c r="I8" t="s">
        <v>73</v>
      </c>
      <c r="J8" s="66" t="s">
        <v>74</v>
      </c>
      <c r="K8" s="67">
        <f>AVERAGE(C2:C2278)</f>
        <v>3.529668666371148E-4</v>
      </c>
    </row>
    <row r="9" spans="1:12">
      <c r="A9" s="61">
        <v>40191</v>
      </c>
      <c r="C9">
        <v>5.2299905365490477E-3</v>
      </c>
      <c r="E9" s="62">
        <v>40191</v>
      </c>
      <c r="G9">
        <v>1.4292560583259039E-2</v>
      </c>
      <c r="I9" t="s">
        <v>75</v>
      </c>
      <c r="J9" s="66" t="s">
        <v>76</v>
      </c>
      <c r="K9" s="67">
        <f>AVERAGE(G2:G2278)</f>
        <v>4.1653839937431535E-4</v>
      </c>
    </row>
    <row r="10" spans="1:12">
      <c r="A10" s="61">
        <v>40192</v>
      </c>
      <c r="C10">
        <v>7.3816002025481921E-3</v>
      </c>
      <c r="E10" s="62">
        <v>40192</v>
      </c>
      <c r="G10">
        <v>2.4781516304346825E-2</v>
      </c>
    </row>
    <row r="11" spans="1:12">
      <c r="A11" s="61">
        <v>40193</v>
      </c>
      <c r="C11">
        <v>3.3982661762781072E-3</v>
      </c>
      <c r="E11" s="62">
        <v>40193</v>
      </c>
      <c r="G11">
        <v>1.7548236804487992E-2</v>
      </c>
    </row>
    <row r="12" spans="1:12">
      <c r="A12" s="61">
        <v>40196</v>
      </c>
      <c r="C12">
        <v>6.6535665021501223E-3</v>
      </c>
      <c r="E12" s="62">
        <v>40196</v>
      </c>
      <c r="G12">
        <v>4.5804424983186034E-4</v>
      </c>
    </row>
    <row r="13" spans="1:12">
      <c r="A13" s="61">
        <v>40197</v>
      </c>
      <c r="C13">
        <v>-7.2053633696989054E-3</v>
      </c>
      <c r="E13" s="62">
        <v>40197</v>
      </c>
      <c r="G13">
        <v>-3.0271100213131688E-2</v>
      </c>
    </row>
    <row r="14" spans="1:12">
      <c r="A14" s="61">
        <v>40198</v>
      </c>
      <c r="C14">
        <v>-3.7311983959728858E-3</v>
      </c>
      <c r="E14" s="62">
        <v>40198</v>
      </c>
      <c r="G14">
        <v>-7.2053391782352025E-3</v>
      </c>
      <c r="I14">
        <f>_xlfn.COVARIANCE.P(C2:C2278,G2:G2278)</f>
        <v>5.9716141090817187E-5</v>
      </c>
      <c r="J14" s="67">
        <f>I14/I15</f>
        <v>0.84550861618676321</v>
      </c>
      <c r="K14" s="65" t="s">
        <v>77</v>
      </c>
    </row>
    <row r="15" spans="1:12">
      <c r="A15" s="61">
        <v>40199</v>
      </c>
      <c r="C15">
        <v>-2.4940651241895023E-2</v>
      </c>
      <c r="E15" s="62">
        <v>40199</v>
      </c>
      <c r="G15">
        <v>-1.5965328868246059E-2</v>
      </c>
      <c r="I15">
        <f>_xlfn.VAR.P(C2:C2278)</f>
        <v>7.0627477884420011E-5</v>
      </c>
    </row>
    <row r="16" spans="1:12">
      <c r="A16" s="61">
        <v>40200</v>
      </c>
      <c r="C16">
        <v>-7.3548916934055922E-3</v>
      </c>
      <c r="E16" s="62">
        <v>40200</v>
      </c>
      <c r="G16">
        <v>-2.212381767938915E-2</v>
      </c>
      <c r="L16" s="64"/>
    </row>
    <row r="17" spans="1:7">
      <c r="A17" s="61">
        <v>40203</v>
      </c>
      <c r="C17">
        <v>-7.1238473168428237E-3</v>
      </c>
      <c r="E17" s="62">
        <v>40203</v>
      </c>
      <c r="G17">
        <v>-2.6143843262296924E-2</v>
      </c>
    </row>
    <row r="18" spans="1:7">
      <c r="A18" s="61">
        <v>40205</v>
      </c>
      <c r="C18">
        <v>-3.485718288775573E-2</v>
      </c>
      <c r="E18" s="62">
        <v>40205</v>
      </c>
      <c r="G18">
        <v>-6.1434689399571189E-2</v>
      </c>
    </row>
    <row r="19" spans="1:7">
      <c r="A19" s="61">
        <v>40206</v>
      </c>
      <c r="C19">
        <v>3.2089606405697017E-3</v>
      </c>
      <c r="E19" s="62">
        <v>40206</v>
      </c>
      <c r="G19">
        <v>1.7051698833117541E-2</v>
      </c>
    </row>
    <row r="20" spans="1:7">
      <c r="A20" s="61">
        <v>40207</v>
      </c>
      <c r="C20">
        <v>3.556645481651171E-3</v>
      </c>
      <c r="E20" s="62">
        <v>40207</v>
      </c>
      <c r="G20">
        <v>7.5716679851325925E-3</v>
      </c>
    </row>
    <row r="21" spans="1:7">
      <c r="A21" s="61">
        <v>40210</v>
      </c>
      <c r="C21">
        <v>9.0574142163839209E-3</v>
      </c>
      <c r="E21" s="62">
        <v>40210</v>
      </c>
      <c r="G21">
        <v>2.1472718161277306E-3</v>
      </c>
    </row>
    <row r="22" spans="1:7">
      <c r="A22" s="61">
        <v>40211</v>
      </c>
      <c r="C22">
        <v>-1.4041394663217166E-2</v>
      </c>
      <c r="E22" s="62">
        <v>40211</v>
      </c>
      <c r="G22">
        <v>-2.6781072723719681E-2</v>
      </c>
    </row>
    <row r="23" spans="1:7">
      <c r="A23" s="61">
        <v>40212</v>
      </c>
      <c r="C23">
        <v>1.8551149149103288E-2</v>
      </c>
      <c r="E23" s="62">
        <v>40212</v>
      </c>
      <c r="G23">
        <v>2.2564275813191884E-2</v>
      </c>
    </row>
    <row r="24" spans="1:7">
      <c r="A24" s="61">
        <v>40213</v>
      </c>
      <c r="C24">
        <v>-1.7213489204592185E-2</v>
      </c>
      <c r="E24" s="62">
        <v>40213</v>
      </c>
      <c r="G24">
        <v>-1.9376003370462622E-2</v>
      </c>
    </row>
    <row r="25" spans="1:7">
      <c r="A25" s="61">
        <v>40214</v>
      </c>
      <c r="C25">
        <v>-2.7672682798587259E-2</v>
      </c>
      <c r="E25" s="62">
        <v>40214</v>
      </c>
      <c r="G25">
        <v>-4.2810003071497946E-2</v>
      </c>
    </row>
    <row r="26" spans="1:7">
      <c r="A26" s="61">
        <v>40217</v>
      </c>
      <c r="C26">
        <v>3.0259298915328279E-4</v>
      </c>
      <c r="E26" s="62">
        <v>40217</v>
      </c>
      <c r="G26">
        <v>1.7775219675842925E-2</v>
      </c>
    </row>
    <row r="27" spans="1:7">
      <c r="A27" s="61">
        <v>40218</v>
      </c>
      <c r="C27">
        <v>9.5132829164243544E-3</v>
      </c>
      <c r="E27" s="62">
        <v>40218</v>
      </c>
      <c r="G27">
        <v>3.267672020986314E-2</v>
      </c>
    </row>
    <row r="28" spans="1:7">
      <c r="A28" s="61">
        <v>40219</v>
      </c>
      <c r="C28">
        <v>-6.6230508292260308E-3</v>
      </c>
      <c r="E28" s="62">
        <v>40219</v>
      </c>
      <c r="G28">
        <v>-2.1277063916182493E-2</v>
      </c>
    </row>
    <row r="29" spans="1:7">
      <c r="A29" s="61">
        <v>40220</v>
      </c>
      <c r="C29">
        <v>1.099857296996278E-2</v>
      </c>
      <c r="E29" s="62">
        <v>40220</v>
      </c>
      <c r="G29">
        <v>6.132399536218457E-3</v>
      </c>
    </row>
    <row r="30" spans="1:7">
      <c r="A30" s="61">
        <v>40224</v>
      </c>
      <c r="C30">
        <v>-6.7285586960596985E-3</v>
      </c>
      <c r="E30" s="62">
        <v>40224</v>
      </c>
      <c r="G30">
        <v>4.4313573817379021E-3</v>
      </c>
    </row>
    <row r="31" spans="1:7">
      <c r="A31" s="61">
        <v>40225</v>
      </c>
      <c r="C31">
        <v>9.7626163041468622E-3</v>
      </c>
      <c r="E31" s="62">
        <v>40225</v>
      </c>
      <c r="G31">
        <v>1.6550612495018647E-3</v>
      </c>
    </row>
    <row r="32" spans="1:7">
      <c r="A32" s="61">
        <v>40226</v>
      </c>
      <c r="C32">
        <v>8.9054496775351419E-3</v>
      </c>
      <c r="E32" s="62">
        <v>40226</v>
      </c>
      <c r="G32">
        <v>2.7536420186631554E-3</v>
      </c>
    </row>
    <row r="33" spans="1:7">
      <c r="A33" s="61">
        <v>40227</v>
      </c>
      <c r="C33">
        <v>-6.3092078901011038E-3</v>
      </c>
      <c r="E33" s="62">
        <v>40227</v>
      </c>
      <c r="G33">
        <v>-1.4278565461989513E-2</v>
      </c>
    </row>
    <row r="34" spans="1:7">
      <c r="A34" s="61">
        <v>40228</v>
      </c>
      <c r="C34">
        <v>-1.0008939950164513E-2</v>
      </c>
      <c r="E34" s="62">
        <v>40228</v>
      </c>
      <c r="G34">
        <v>-2.2283483608837723E-2</v>
      </c>
    </row>
    <row r="35" spans="1:7">
      <c r="A35" s="61">
        <v>40231</v>
      </c>
      <c r="C35">
        <v>-1.7023140711822018E-3</v>
      </c>
      <c r="E35" s="62">
        <v>40231</v>
      </c>
      <c r="G35">
        <v>-1.7094570215907337E-3</v>
      </c>
    </row>
    <row r="36" spans="1:7">
      <c r="A36" s="61">
        <v>40232</v>
      </c>
      <c r="C36">
        <v>-4.54211269828376E-4</v>
      </c>
      <c r="E36" s="62">
        <v>40232</v>
      </c>
      <c r="G36">
        <v>-5.1377414212247386E-3</v>
      </c>
    </row>
    <row r="37" spans="1:7">
      <c r="A37" s="61">
        <v>40233</v>
      </c>
      <c r="C37">
        <v>-1.9755615716690257E-3</v>
      </c>
      <c r="E37" s="62">
        <v>40233</v>
      </c>
      <c r="G37">
        <v>-1.3195021216065157E-2</v>
      </c>
    </row>
    <row r="38" spans="1:7">
      <c r="A38" s="61">
        <v>40234</v>
      </c>
      <c r="C38">
        <v>-1.956320419817761E-3</v>
      </c>
      <c r="E38" s="62">
        <v>40234</v>
      </c>
      <c r="G38">
        <v>1.9186031390801259E-2</v>
      </c>
    </row>
    <row r="39" spans="1:7">
      <c r="A39" s="61">
        <v>40235</v>
      </c>
      <c r="C39">
        <v>1.359736790216994E-2</v>
      </c>
      <c r="E39" s="62">
        <v>40235</v>
      </c>
      <c r="G39">
        <v>2.2246770444019383E-2</v>
      </c>
    </row>
    <row r="40" spans="1:7">
      <c r="A40" s="61">
        <v>40239</v>
      </c>
      <c r="C40">
        <v>1.5047488270969323E-2</v>
      </c>
      <c r="E40" s="62">
        <v>40239</v>
      </c>
      <c r="G40">
        <v>5.1898374306204142E-2</v>
      </c>
    </row>
    <row r="41" spans="1:7">
      <c r="A41" s="61">
        <v>40240</v>
      </c>
      <c r="C41">
        <v>1.3866185671608173E-2</v>
      </c>
      <c r="E41" s="62">
        <v>40240</v>
      </c>
      <c r="G41">
        <v>-1.0079638228455296E-2</v>
      </c>
    </row>
    <row r="42" spans="1:7">
      <c r="A42" s="61">
        <v>40241</v>
      </c>
      <c r="C42">
        <v>2.4017345860899604E-3</v>
      </c>
      <c r="E42" s="62">
        <v>40241</v>
      </c>
      <c r="G42">
        <v>-5.361359235422535E-4</v>
      </c>
    </row>
    <row r="43" spans="1:7">
      <c r="A43" s="61">
        <v>40242</v>
      </c>
      <c r="C43">
        <v>1.3458900437413792E-3</v>
      </c>
      <c r="E43" s="62">
        <v>40242</v>
      </c>
      <c r="G43">
        <v>5.8978939610814891E-3</v>
      </c>
    </row>
    <row r="44" spans="1:7">
      <c r="A44" s="61">
        <v>40245</v>
      </c>
      <c r="C44">
        <v>3.5300590435607608E-3</v>
      </c>
      <c r="E44" s="62">
        <v>40245</v>
      </c>
      <c r="G44">
        <v>6.3963223183646127E-3</v>
      </c>
    </row>
    <row r="45" spans="1:7">
      <c r="A45" s="61">
        <v>40246</v>
      </c>
      <c r="C45">
        <v>-8.1317864541363225E-3</v>
      </c>
      <c r="E45" s="62">
        <v>40246</v>
      </c>
      <c r="G45">
        <v>-2.9130820061883805E-2</v>
      </c>
    </row>
    <row r="46" spans="1:7">
      <c r="A46" s="61">
        <v>40247</v>
      </c>
      <c r="C46">
        <v>3.8951933314280041E-4</v>
      </c>
      <c r="E46" s="62">
        <v>40247</v>
      </c>
      <c r="G46">
        <v>2.2912815773740935E-2</v>
      </c>
    </row>
    <row r="47" spans="1:7">
      <c r="A47" s="61">
        <v>40248</v>
      </c>
      <c r="C47">
        <v>4.4499161932578432E-5</v>
      </c>
      <c r="E47" s="62">
        <v>40248</v>
      </c>
      <c r="G47">
        <v>5.3340023635895673E-3</v>
      </c>
    </row>
    <row r="48" spans="1:7">
      <c r="A48" s="61">
        <v>40249</v>
      </c>
      <c r="C48">
        <v>2.6698309107082464E-4</v>
      </c>
      <c r="E48" s="62">
        <v>40249</v>
      </c>
      <c r="G48">
        <v>-6.8975326177617745E-3</v>
      </c>
    </row>
    <row r="49" spans="1:7">
      <c r="A49" s="61">
        <v>40252</v>
      </c>
      <c r="C49">
        <v>-4.1111836056823099E-3</v>
      </c>
      <c r="E49" s="62">
        <v>40252</v>
      </c>
      <c r="G49">
        <v>1.2286779232369547E-2</v>
      </c>
    </row>
    <row r="50" spans="1:7">
      <c r="A50" s="61">
        <v>40253</v>
      </c>
      <c r="C50">
        <v>9.2874186187618044E-3</v>
      </c>
      <c r="E50" s="62">
        <v>40253</v>
      </c>
      <c r="G50">
        <v>4.0105158673363575E-2</v>
      </c>
    </row>
    <row r="51" spans="1:7">
      <c r="A51" s="61">
        <v>40254</v>
      </c>
      <c r="C51">
        <v>7.0001253973991165E-3</v>
      </c>
      <c r="E51" s="62">
        <v>40254</v>
      </c>
      <c r="G51">
        <v>-1.0147199562788533E-3</v>
      </c>
    </row>
    <row r="52" spans="1:7">
      <c r="A52" s="61">
        <v>40255</v>
      </c>
      <c r="C52">
        <v>6.2995355923753642E-4</v>
      </c>
      <c r="E52" s="62">
        <v>40255</v>
      </c>
      <c r="G52">
        <v>5.7390523254571564E-2</v>
      </c>
    </row>
    <row r="53" spans="1:7">
      <c r="A53" s="61">
        <v>40256</v>
      </c>
      <c r="C53">
        <v>3.9457116921906392E-3</v>
      </c>
      <c r="E53" s="62">
        <v>40256</v>
      </c>
      <c r="G53">
        <v>-9.1258970694607072E-3</v>
      </c>
    </row>
    <row r="54" spans="1:7">
      <c r="A54" s="61">
        <v>40259</v>
      </c>
      <c r="C54">
        <v>-1.0594780630436822E-2</v>
      </c>
      <c r="E54" s="62">
        <v>40259</v>
      </c>
      <c r="G54">
        <v>-2.035940466770909E-2</v>
      </c>
    </row>
    <row r="55" spans="1:7">
      <c r="A55" s="61">
        <v>40260</v>
      </c>
      <c r="C55">
        <v>1.8608593116661975E-3</v>
      </c>
      <c r="E55" s="62">
        <v>40260</v>
      </c>
      <c r="G55">
        <v>1.5338931058199506E-2</v>
      </c>
    </row>
    <row r="56" spans="1:7">
      <c r="A56" s="61">
        <v>40262</v>
      </c>
      <c r="C56">
        <v>1.6220093054049724E-3</v>
      </c>
      <c r="E56" s="62">
        <v>40262</v>
      </c>
      <c r="G56">
        <v>-1.4132202592435222E-2</v>
      </c>
    </row>
    <row r="57" spans="1:7">
      <c r="A57" s="61">
        <v>40263</v>
      </c>
      <c r="C57">
        <v>4.604775159184199E-3</v>
      </c>
      <c r="E57" s="62">
        <v>40263</v>
      </c>
      <c r="G57">
        <v>-1.9776132404929728E-3</v>
      </c>
    </row>
    <row r="58" spans="1:7">
      <c r="A58" s="61">
        <v>40266</v>
      </c>
      <c r="C58">
        <v>2.0213465896628939E-3</v>
      </c>
      <c r="E58" s="62">
        <v>40266</v>
      </c>
      <c r="G58">
        <v>1.3869066431217084E-2</v>
      </c>
    </row>
    <row r="59" spans="1:7">
      <c r="A59" s="61">
        <v>40267</v>
      </c>
      <c r="C59">
        <v>-2.6848281673494717E-3</v>
      </c>
      <c r="E59" s="62">
        <v>40267</v>
      </c>
      <c r="G59">
        <v>7.3275073284812713E-3</v>
      </c>
    </row>
    <row r="60" spans="1:7">
      <c r="A60" s="61">
        <v>40268</v>
      </c>
      <c r="C60">
        <v>-1.4630738449933109E-4</v>
      </c>
      <c r="E60" s="62">
        <v>40268</v>
      </c>
      <c r="G60">
        <v>-8.2443100272937674E-3</v>
      </c>
    </row>
    <row r="61" spans="1:7">
      <c r="A61" s="61">
        <v>40269</v>
      </c>
      <c r="C61">
        <v>6.7311245001955809E-3</v>
      </c>
      <c r="E61" s="62">
        <v>40269</v>
      </c>
      <c r="G61">
        <v>2.9333073946618137E-3</v>
      </c>
    </row>
    <row r="62" spans="1:7">
      <c r="A62" s="61">
        <v>40273</v>
      </c>
      <c r="C62">
        <v>1.352849049953307E-2</v>
      </c>
      <c r="E62" s="62">
        <v>40273</v>
      </c>
      <c r="G62">
        <v>5.851579490362661E-3</v>
      </c>
    </row>
    <row r="63" spans="1:7">
      <c r="A63" s="61">
        <v>40274</v>
      </c>
      <c r="C63">
        <v>1.4197619389072268E-3</v>
      </c>
      <c r="E63" s="62">
        <v>40274</v>
      </c>
      <c r="G63">
        <v>2.2782178999702422E-2</v>
      </c>
    </row>
    <row r="64" spans="1:7">
      <c r="A64" s="61">
        <v>40275</v>
      </c>
      <c r="C64">
        <v>3.2973406464363074E-3</v>
      </c>
      <c r="E64" s="62">
        <v>40275</v>
      </c>
      <c r="G64">
        <v>-4.738875337548187E-4</v>
      </c>
    </row>
    <row r="65" spans="1:7">
      <c r="A65" s="61">
        <v>40276</v>
      </c>
      <c r="C65">
        <v>-1.0426888669233471E-2</v>
      </c>
      <c r="E65" s="62">
        <v>40276</v>
      </c>
      <c r="G65">
        <v>-9.4833525405354953E-3</v>
      </c>
    </row>
    <row r="66" spans="1:7">
      <c r="A66" s="61">
        <v>40277</v>
      </c>
      <c r="C66">
        <v>6.2383931630094758E-3</v>
      </c>
      <c r="E66" s="62">
        <v>40277</v>
      </c>
      <c r="G66">
        <v>2.536714353909704E-2</v>
      </c>
    </row>
    <row r="67" spans="1:7">
      <c r="A67" s="61">
        <v>40280</v>
      </c>
      <c r="C67">
        <v>-4.1821211632531025E-3</v>
      </c>
      <c r="E67" s="62">
        <v>40280</v>
      </c>
      <c r="G67">
        <v>-1.1668008919584956E-2</v>
      </c>
    </row>
    <row r="68" spans="1:7">
      <c r="A68" s="61">
        <v>40281</v>
      </c>
      <c r="C68">
        <v>-2.5046963055729622E-3</v>
      </c>
      <c r="E68" s="62">
        <v>40281</v>
      </c>
      <c r="G68">
        <v>8.0302878554785011E-3</v>
      </c>
    </row>
    <row r="69" spans="1:7">
      <c r="A69" s="61">
        <v>40283</v>
      </c>
      <c r="C69">
        <v>-5.88422047607707E-3</v>
      </c>
      <c r="E69" s="62">
        <v>40283</v>
      </c>
      <c r="G69">
        <v>6.088711299074707E-3</v>
      </c>
    </row>
    <row r="70" spans="1:7">
      <c r="A70" s="61">
        <v>40284</v>
      </c>
      <c r="C70">
        <v>-3.9920014806696397E-3</v>
      </c>
      <c r="E70" s="62">
        <v>40284</v>
      </c>
      <c r="G70">
        <v>6.0617045641193383E-3</v>
      </c>
    </row>
    <row r="71" spans="1:7">
      <c r="A71" s="61">
        <v>40287</v>
      </c>
      <c r="C71">
        <v>-1.147381499794143E-2</v>
      </c>
      <c r="E71" s="62">
        <v>40287</v>
      </c>
      <c r="G71">
        <v>-1.3428619944589444E-2</v>
      </c>
    </row>
    <row r="72" spans="1:7">
      <c r="A72" s="61">
        <v>40288</v>
      </c>
      <c r="C72">
        <v>6.2623939373835195E-3</v>
      </c>
      <c r="E72" s="62">
        <v>40288</v>
      </c>
      <c r="G72">
        <v>4.6960885945110213E-3</v>
      </c>
    </row>
    <row r="73" spans="1:7">
      <c r="A73" s="61">
        <v>40289</v>
      </c>
      <c r="C73">
        <v>5.2380760510033755E-3</v>
      </c>
      <c r="E73" s="62">
        <v>40289</v>
      </c>
      <c r="G73">
        <v>3.1760954924969033E-2</v>
      </c>
    </row>
    <row r="74" spans="1:7">
      <c r="A74" s="61">
        <v>40290</v>
      </c>
      <c r="C74">
        <v>3.1738396901224851E-3</v>
      </c>
      <c r="E74" s="62">
        <v>40290</v>
      </c>
      <c r="G74">
        <v>-5.8913708792388822E-3</v>
      </c>
    </row>
    <row r="75" spans="1:7">
      <c r="A75" s="61">
        <v>40291</v>
      </c>
      <c r="C75">
        <v>2.6697953520133924E-3</v>
      </c>
      <c r="E75" s="62">
        <v>40291</v>
      </c>
      <c r="G75">
        <v>1.3721372946269442E-3</v>
      </c>
    </row>
    <row r="76" spans="1:7">
      <c r="A76" s="61">
        <v>40294</v>
      </c>
      <c r="C76">
        <v>3.4959081572398234E-3</v>
      </c>
      <c r="E76" s="62">
        <v>40294</v>
      </c>
      <c r="G76">
        <v>-4.1011523936840292E-3</v>
      </c>
    </row>
    <row r="77" spans="1:7">
      <c r="A77" s="61">
        <v>40295</v>
      </c>
      <c r="C77">
        <v>-1.2887993588494536E-3</v>
      </c>
      <c r="E77" s="62">
        <v>40295</v>
      </c>
      <c r="G77">
        <v>4.5866120111531648E-4</v>
      </c>
    </row>
    <row r="78" spans="1:7">
      <c r="A78" s="61">
        <v>40296</v>
      </c>
      <c r="C78">
        <v>-1.4314374017242282E-2</v>
      </c>
      <c r="E78" s="62">
        <v>40296</v>
      </c>
      <c r="G78">
        <v>-3.9248947116627429E-2</v>
      </c>
    </row>
    <row r="79" spans="1:7">
      <c r="A79" s="61">
        <v>40297</v>
      </c>
      <c r="C79">
        <v>4.8810899022681655E-3</v>
      </c>
      <c r="E79" s="62">
        <v>40297</v>
      </c>
      <c r="G79">
        <v>6.6505883737870948E-3</v>
      </c>
    </row>
    <row r="80" spans="1:7">
      <c r="A80" s="61">
        <v>40298</v>
      </c>
      <c r="C80">
        <v>6.8791603410021185E-3</v>
      </c>
      <c r="E80" s="62">
        <v>40298</v>
      </c>
      <c r="G80">
        <v>2.1712198552959878E-2</v>
      </c>
    </row>
    <row r="81" spans="1:7">
      <c r="A81" s="61">
        <v>40301</v>
      </c>
      <c r="C81">
        <v>-6.3211079336428838E-3</v>
      </c>
      <c r="E81" s="62">
        <v>40301</v>
      </c>
      <c r="G81">
        <v>-1.8554867218586776E-3</v>
      </c>
    </row>
    <row r="82" spans="1:7">
      <c r="A82" s="61">
        <v>40302</v>
      </c>
      <c r="C82">
        <v>-1.4484401273722733E-2</v>
      </c>
      <c r="E82" s="62">
        <v>40302</v>
      </c>
      <c r="G82">
        <v>-1.9894240454515644E-2</v>
      </c>
    </row>
    <row r="83" spans="1:7">
      <c r="A83" s="61">
        <v>40303</v>
      </c>
      <c r="C83">
        <v>-1.4619558378303364E-3</v>
      </c>
      <c r="E83" s="62">
        <v>40303</v>
      </c>
      <c r="G83">
        <v>6.6099435114221495E-3</v>
      </c>
    </row>
    <row r="84" spans="1:7">
      <c r="A84" s="61">
        <v>40304</v>
      </c>
      <c r="C84">
        <v>-3.8696620717518578E-3</v>
      </c>
      <c r="E84" s="62">
        <v>40304</v>
      </c>
      <c r="G84">
        <v>-1.5009327340167916E-2</v>
      </c>
    </row>
    <row r="85" spans="1:7">
      <c r="A85" s="61">
        <v>40305</v>
      </c>
      <c r="C85">
        <v>-1.6841118226435928E-2</v>
      </c>
      <c r="E85" s="62">
        <v>40305</v>
      </c>
      <c r="G85">
        <v>2.4291058859654435E-2</v>
      </c>
    </row>
    <row r="86" spans="1:7">
      <c r="A86" s="61">
        <v>40308</v>
      </c>
      <c r="C86">
        <v>3.178021429030993E-2</v>
      </c>
      <c r="E86" s="62">
        <v>40308</v>
      </c>
      <c r="G86">
        <v>3.5328887089557025E-2</v>
      </c>
    </row>
    <row r="87" spans="1:7">
      <c r="A87" s="61">
        <v>40309</v>
      </c>
      <c r="C87">
        <v>-1.1301528145610322E-2</v>
      </c>
      <c r="E87" s="62">
        <v>40309</v>
      </c>
      <c r="G87">
        <v>2.0650653172260003E-2</v>
      </c>
    </row>
    <row r="88" spans="1:7">
      <c r="A88" s="61">
        <v>40310</v>
      </c>
      <c r="C88">
        <v>4.3927178828881176E-3</v>
      </c>
      <c r="E88" s="62">
        <v>40310</v>
      </c>
      <c r="G88">
        <v>9.683890167478176E-3</v>
      </c>
    </row>
    <row r="89" spans="1:7">
      <c r="A89" s="61">
        <v>40311</v>
      </c>
      <c r="C89">
        <v>6.5861163337901114E-3</v>
      </c>
      <c r="E89" s="62">
        <v>40311</v>
      </c>
      <c r="G89">
        <v>2.4396535734443989E-2</v>
      </c>
    </row>
    <row r="90" spans="1:7">
      <c r="A90" s="61">
        <v>40312</v>
      </c>
      <c r="C90">
        <v>-1.4546575463112421E-2</v>
      </c>
      <c r="E90" s="62">
        <v>40312</v>
      </c>
      <c r="G90">
        <v>-1.2762226698962934E-2</v>
      </c>
    </row>
    <row r="91" spans="1:7">
      <c r="A91" s="61">
        <v>40315</v>
      </c>
      <c r="C91">
        <v>-4.7702390705295092E-3</v>
      </c>
      <c r="E91" s="62">
        <v>40315</v>
      </c>
      <c r="G91">
        <v>-6.887145094436338E-3</v>
      </c>
    </row>
    <row r="92" spans="1:7">
      <c r="A92" s="61">
        <v>40316</v>
      </c>
      <c r="C92">
        <v>9.9528921383371734E-4</v>
      </c>
      <c r="E92" s="62">
        <v>40316</v>
      </c>
      <c r="G92">
        <v>-5.6462434866781661E-3</v>
      </c>
    </row>
    <row r="93" spans="1:7">
      <c r="A93" s="61">
        <v>40317</v>
      </c>
      <c r="C93">
        <v>-2.8752453041771823E-2</v>
      </c>
      <c r="E93" s="62">
        <v>40317</v>
      </c>
      <c r="G93">
        <v>-3.6643031535877849E-2</v>
      </c>
    </row>
    <row r="94" spans="1:7">
      <c r="A94" s="61">
        <v>40318</v>
      </c>
      <c r="C94">
        <v>4.0872406507256164E-3</v>
      </c>
      <c r="E94" s="62">
        <v>40318</v>
      </c>
      <c r="G94">
        <v>-2.6267479912769752E-2</v>
      </c>
    </row>
    <row r="95" spans="1:7">
      <c r="A95" s="61">
        <v>40319</v>
      </c>
      <c r="C95">
        <v>-6.6655167787806873E-3</v>
      </c>
      <c r="E95" s="62">
        <v>40319</v>
      </c>
      <c r="G95">
        <v>-5.1189974104804562E-3</v>
      </c>
    </row>
    <row r="96" spans="1:7">
      <c r="A96" s="61">
        <v>40322</v>
      </c>
      <c r="C96">
        <v>1.4045594159501893E-3</v>
      </c>
      <c r="E96" s="62">
        <v>40322</v>
      </c>
      <c r="G96">
        <v>-1.0753153586954183E-2</v>
      </c>
    </row>
    <row r="97" spans="1:7">
      <c r="A97" s="61">
        <v>40323</v>
      </c>
      <c r="C97">
        <v>-2.8313810110974114E-2</v>
      </c>
      <c r="E97" s="62">
        <v>40323</v>
      </c>
      <c r="G97">
        <v>-3.8752458946866901E-2</v>
      </c>
    </row>
    <row r="98" spans="1:7">
      <c r="A98" s="61">
        <v>40324</v>
      </c>
      <c r="C98">
        <v>1.8998937233317068E-2</v>
      </c>
      <c r="E98" s="62">
        <v>40324</v>
      </c>
      <c r="G98">
        <v>-2.9989849144393736E-2</v>
      </c>
    </row>
    <row r="99" spans="1:7">
      <c r="A99" s="61">
        <v>40325</v>
      </c>
      <c r="C99">
        <v>1.498659340060622E-2</v>
      </c>
      <c r="E99" s="62">
        <v>40325</v>
      </c>
      <c r="G99">
        <v>-2.280772786263028E-2</v>
      </c>
    </row>
    <row r="100" spans="1:7">
      <c r="A100" s="61">
        <v>40326</v>
      </c>
      <c r="C100">
        <v>1.4719301877966801E-2</v>
      </c>
      <c r="E100" s="62">
        <v>40326</v>
      </c>
      <c r="G100">
        <v>7.0021100153143959E-2</v>
      </c>
    </row>
    <row r="101" spans="1:7">
      <c r="A101" s="61">
        <v>40329</v>
      </c>
      <c r="C101">
        <v>9.6843791681936915E-3</v>
      </c>
      <c r="E101" s="62">
        <v>40329</v>
      </c>
      <c r="G101">
        <v>1.4541611467409022E-2</v>
      </c>
    </row>
    <row r="102" spans="1:7">
      <c r="A102" s="61">
        <v>40330</v>
      </c>
      <c r="C102">
        <v>-2.1143943476438536E-2</v>
      </c>
      <c r="E102" s="62">
        <v>40330</v>
      </c>
      <c r="G102">
        <v>-1.5288832390878766E-2</v>
      </c>
    </row>
    <row r="103" spans="1:7">
      <c r="A103" s="61">
        <v>40331</v>
      </c>
      <c r="C103">
        <v>9.8369054081952623E-3</v>
      </c>
      <c r="E103" s="62">
        <v>40331</v>
      </c>
      <c r="G103">
        <v>-2.7171743162628915E-2</v>
      </c>
    </row>
    <row r="104" spans="1:7">
      <c r="A104" s="61">
        <v>40332</v>
      </c>
      <c r="C104">
        <v>1.6703326657555435E-2</v>
      </c>
      <c r="E104" s="62">
        <v>40332</v>
      </c>
      <c r="G104">
        <v>1.1970537785190893E-2</v>
      </c>
    </row>
    <row r="105" spans="1:7">
      <c r="A105" s="61">
        <v>40333</v>
      </c>
      <c r="C105">
        <v>3.5859110560004072E-3</v>
      </c>
      <c r="E105" s="62">
        <v>40333</v>
      </c>
      <c r="G105">
        <v>-6.406812066541063E-3</v>
      </c>
    </row>
    <row r="106" spans="1:7">
      <c r="A106" s="61">
        <v>40336</v>
      </c>
      <c r="C106">
        <v>-1.8503676988950443E-2</v>
      </c>
      <c r="E106" s="62">
        <v>40336</v>
      </c>
      <c r="G106">
        <v>-3.6707175114878907E-2</v>
      </c>
    </row>
    <row r="107" spans="1:7">
      <c r="A107" s="61">
        <v>40337</v>
      </c>
      <c r="C107">
        <v>-7.3792089276330892E-3</v>
      </c>
      <c r="E107" s="62">
        <v>40337</v>
      </c>
      <c r="G107">
        <v>-5.1487141248435292E-3</v>
      </c>
    </row>
    <row r="108" spans="1:7">
      <c r="A108" s="61">
        <v>40338</v>
      </c>
      <c r="C108">
        <v>4.2311720460821199E-3</v>
      </c>
      <c r="E108" s="62">
        <v>40338</v>
      </c>
      <c r="G108">
        <v>1.6045527515686834E-2</v>
      </c>
    </row>
    <row r="109" spans="1:7">
      <c r="A109" s="61">
        <v>40339</v>
      </c>
      <c r="C109">
        <v>1.4156989752963724E-2</v>
      </c>
      <c r="E109" s="62">
        <v>40339</v>
      </c>
      <c r="G109">
        <v>3.7696929015084195E-2</v>
      </c>
    </row>
    <row r="110" spans="1:7">
      <c r="A110" s="61">
        <v>40340</v>
      </c>
      <c r="C110">
        <v>6.0803458243429837E-3</v>
      </c>
      <c r="E110" s="62">
        <v>40340</v>
      </c>
      <c r="G110">
        <v>-1.7672314087860748E-2</v>
      </c>
    </row>
    <row r="111" spans="1:7">
      <c r="A111" s="61">
        <v>40343</v>
      </c>
      <c r="C111">
        <v>1.2068613057295343E-2</v>
      </c>
      <c r="E111" s="62">
        <v>40343</v>
      </c>
      <c r="G111">
        <v>1.9489541924666811E-2</v>
      </c>
    </row>
    <row r="112" spans="1:7">
      <c r="A112" s="61">
        <v>40344</v>
      </c>
      <c r="C112">
        <v>6.1221042116551619E-3</v>
      </c>
      <c r="E112" s="62">
        <v>40344</v>
      </c>
      <c r="G112">
        <v>1.4708050786271768E-3</v>
      </c>
    </row>
    <row r="113" spans="1:7">
      <c r="A113" s="61">
        <v>40345</v>
      </c>
      <c r="C113">
        <v>1.9747480462404426E-3</v>
      </c>
      <c r="E113" s="62">
        <v>40345</v>
      </c>
      <c r="G113">
        <v>-5.3837827753275393E-3</v>
      </c>
    </row>
    <row r="114" spans="1:7">
      <c r="A114" s="61">
        <v>40346</v>
      </c>
      <c r="C114">
        <v>5.5409836065573904E-3</v>
      </c>
      <c r="E114" s="62">
        <v>40346</v>
      </c>
      <c r="G114">
        <v>-1.8701148872021563E-2</v>
      </c>
    </row>
    <row r="115" spans="1:7">
      <c r="A115" s="61">
        <v>40347</v>
      </c>
      <c r="C115">
        <v>-2.9128218505113609E-3</v>
      </c>
      <c r="E115" s="62">
        <v>40347</v>
      </c>
      <c r="G115">
        <v>-1.0031872641280877E-3</v>
      </c>
    </row>
    <row r="116" spans="1:7">
      <c r="A116" s="61">
        <v>40350</v>
      </c>
      <c r="C116">
        <v>1.6179959813528867E-2</v>
      </c>
      <c r="E116" s="62">
        <v>40350</v>
      </c>
      <c r="G116">
        <v>1.3553843841288148E-2</v>
      </c>
    </row>
    <row r="117" spans="1:7">
      <c r="A117" s="61">
        <v>40351</v>
      </c>
      <c r="C117">
        <v>-5.5815782886972764E-3</v>
      </c>
      <c r="E117" s="62">
        <v>40351</v>
      </c>
      <c r="G117">
        <v>6.4397518081751358E-3</v>
      </c>
    </row>
    <row r="118" spans="1:7">
      <c r="A118" s="61">
        <v>40352</v>
      </c>
      <c r="C118">
        <v>2.6068915425246932E-3</v>
      </c>
      <c r="E118" s="62">
        <v>40352</v>
      </c>
      <c r="G118">
        <v>1.4755683628543204E-3</v>
      </c>
    </row>
    <row r="119" spans="1:7">
      <c r="A119" s="61">
        <v>40353</v>
      </c>
      <c r="C119">
        <v>1.0759089637470803E-5</v>
      </c>
      <c r="E119" s="62">
        <v>40353</v>
      </c>
      <c r="G119">
        <v>3.0467494374222054E-2</v>
      </c>
    </row>
    <row r="120" spans="1:7">
      <c r="A120" s="61">
        <v>40354</v>
      </c>
      <c r="C120">
        <v>-8.4422081717992828E-3</v>
      </c>
      <c r="E120" s="62">
        <v>40354</v>
      </c>
      <c r="G120">
        <v>-3.8153121440298579E-3</v>
      </c>
    </row>
    <row r="121" spans="1:7">
      <c r="A121" s="61">
        <v>40357</v>
      </c>
      <c r="C121">
        <v>1.2322638281558058E-2</v>
      </c>
      <c r="E121" s="62">
        <v>40357</v>
      </c>
      <c r="G121">
        <v>2.0105850288359824E-2</v>
      </c>
    </row>
    <row r="122" spans="1:7">
      <c r="A122" s="61">
        <v>40358</v>
      </c>
      <c r="C122">
        <v>-1.2283397048840655E-2</v>
      </c>
      <c r="E122" s="62">
        <v>40358</v>
      </c>
      <c r="G122">
        <v>-1.2670741390615447E-2</v>
      </c>
    </row>
    <row r="123" spans="1:7">
      <c r="A123" s="61">
        <v>40359</v>
      </c>
      <c r="C123">
        <v>9.148061869691651E-3</v>
      </c>
      <c r="E123" s="62">
        <v>40359</v>
      </c>
      <c r="G123">
        <v>-2.8521313619451652E-3</v>
      </c>
    </row>
    <row r="124" spans="1:7">
      <c r="A124" s="61">
        <v>40360</v>
      </c>
      <c r="C124">
        <v>-8.6708413834634089E-3</v>
      </c>
      <c r="E124" s="62">
        <v>40360</v>
      </c>
      <c r="G124">
        <v>-9.5245396055630563E-4</v>
      </c>
    </row>
    <row r="125" spans="1:7">
      <c r="A125" s="61">
        <v>40361</v>
      </c>
      <c r="C125">
        <v>-2.7805699987706392E-3</v>
      </c>
      <c r="E125" s="62">
        <v>40361</v>
      </c>
      <c r="G125">
        <v>-9.5436788074067431E-4</v>
      </c>
    </row>
    <row r="126" spans="1:7">
      <c r="A126" s="61">
        <v>40364</v>
      </c>
      <c r="C126">
        <v>6.3090796358146743E-4</v>
      </c>
      <c r="E126" s="62">
        <v>40364</v>
      </c>
      <c r="G126">
        <v>-7.1630427190805448E-3</v>
      </c>
    </row>
    <row r="127" spans="1:7">
      <c r="A127" s="61">
        <v>40365</v>
      </c>
      <c r="C127">
        <v>9.1496447038957561E-3</v>
      </c>
      <c r="E127" s="62">
        <v>40365</v>
      </c>
      <c r="G127">
        <v>5.2905551578718152E-3</v>
      </c>
    </row>
    <row r="128" spans="1:7">
      <c r="A128" s="61">
        <v>40366</v>
      </c>
      <c r="C128">
        <v>-7.0630395128047025E-3</v>
      </c>
      <c r="E128" s="62">
        <v>40366</v>
      </c>
      <c r="G128">
        <v>-5.7413103533258056E-3</v>
      </c>
    </row>
    <row r="129" spans="1:7">
      <c r="A129" s="61">
        <v>40367</v>
      </c>
      <c r="C129">
        <v>9.9303860410451267E-3</v>
      </c>
      <c r="E129" s="62">
        <v>40367</v>
      </c>
      <c r="G129">
        <v>1.2992911960558814E-2</v>
      </c>
    </row>
    <row r="130" spans="1:7">
      <c r="A130" s="61">
        <v>40368</v>
      </c>
      <c r="C130">
        <v>8.9017477647160385E-3</v>
      </c>
      <c r="E130" s="62">
        <v>40368</v>
      </c>
      <c r="G130">
        <v>1.3301514238656199E-2</v>
      </c>
    </row>
    <row r="131" spans="1:7">
      <c r="A131" s="61">
        <v>40371</v>
      </c>
      <c r="C131">
        <v>4.3157756506492662E-3</v>
      </c>
      <c r="E131" s="62">
        <v>40371</v>
      </c>
      <c r="G131">
        <v>-6.0945841294562956E-3</v>
      </c>
    </row>
    <row r="132" spans="1:7">
      <c r="A132" s="61">
        <v>40372</v>
      </c>
      <c r="C132">
        <v>3.6116519950665964E-3</v>
      </c>
      <c r="E132" s="62">
        <v>40372</v>
      </c>
      <c r="G132">
        <v>4.7174853165351978E-3</v>
      </c>
    </row>
    <row r="133" spans="1:7">
      <c r="A133" s="61">
        <v>40373</v>
      </c>
      <c r="C133">
        <v>-2.3556752759730276E-3</v>
      </c>
      <c r="E133" s="62">
        <v>40373</v>
      </c>
      <c r="G133">
        <v>-4.6953351419468511E-3</v>
      </c>
    </row>
    <row r="134" spans="1:7">
      <c r="A134" s="61">
        <v>40374</v>
      </c>
      <c r="C134">
        <v>-1.4400372715530456E-3</v>
      </c>
      <c r="E134" s="62">
        <v>40374</v>
      </c>
      <c r="G134">
        <v>9.4347760570296876E-4</v>
      </c>
    </row>
    <row r="135" spans="1:7">
      <c r="A135" s="61">
        <v>40375</v>
      </c>
      <c r="C135">
        <v>3.6017503304844709E-3</v>
      </c>
      <c r="E135" s="62">
        <v>40375</v>
      </c>
      <c r="G135">
        <v>-6.1261003433190813E-3</v>
      </c>
    </row>
    <row r="136" spans="1:7">
      <c r="A136" s="61">
        <v>40378</v>
      </c>
      <c r="C136">
        <v>-4.5784804375656978E-5</v>
      </c>
      <c r="E136" s="62">
        <v>40378</v>
      </c>
      <c r="G136">
        <v>-2.8453686918406633E-3</v>
      </c>
    </row>
    <row r="137" spans="1:7">
      <c r="A137" s="61">
        <v>40379</v>
      </c>
      <c r="C137">
        <v>-3.581944464011362E-3</v>
      </c>
      <c r="E137" s="62">
        <v>40379</v>
      </c>
      <c r="G137">
        <v>-8.0837563912278549E-3</v>
      </c>
    </row>
    <row r="138" spans="1:7">
      <c r="A138" s="61">
        <v>40380</v>
      </c>
      <c r="C138">
        <v>5.4399502309945922E-3</v>
      </c>
      <c r="E138" s="62">
        <v>40380</v>
      </c>
      <c r="G138">
        <v>-1.0067336430872226E-2</v>
      </c>
    </row>
    <row r="139" spans="1:7">
      <c r="A139" s="61">
        <v>40381</v>
      </c>
      <c r="C139">
        <v>6.5284799223754818E-3</v>
      </c>
      <c r="E139" s="62">
        <v>40381</v>
      </c>
      <c r="G139">
        <v>4.8421470278794932E-4</v>
      </c>
    </row>
    <row r="140" spans="1:7">
      <c r="A140" s="61">
        <v>40382</v>
      </c>
      <c r="C140">
        <v>-2.2004659399311538E-4</v>
      </c>
      <c r="E140" s="62">
        <v>40382</v>
      </c>
      <c r="G140">
        <v>-4.7095352515218319E-3</v>
      </c>
    </row>
    <row r="141" spans="1:7">
      <c r="A141" s="61">
        <v>40385</v>
      </c>
      <c r="C141">
        <v>-6.2744550027948702E-3</v>
      </c>
      <c r="E141" s="62">
        <v>40385</v>
      </c>
      <c r="G141">
        <v>7.3719479986613379E-3</v>
      </c>
    </row>
    <row r="142" spans="1:7">
      <c r="A142" s="61">
        <v>40386</v>
      </c>
      <c r="C142">
        <v>2.2781285595758808E-3</v>
      </c>
      <c r="E142" s="62">
        <v>40386</v>
      </c>
      <c r="G142">
        <v>-5.3665304437041572E-3</v>
      </c>
    </row>
    <row r="143" spans="1:7">
      <c r="A143" s="61">
        <v>40387</v>
      </c>
      <c r="C143">
        <v>-4.195137008404317E-3</v>
      </c>
      <c r="E143" s="62">
        <v>40387</v>
      </c>
      <c r="G143">
        <v>-1.1279435153644954E-2</v>
      </c>
    </row>
    <row r="144" spans="1:7">
      <c r="A144" s="61">
        <v>40388</v>
      </c>
      <c r="C144">
        <v>1.62383408008571E-3</v>
      </c>
      <c r="E144" s="62">
        <v>40388</v>
      </c>
      <c r="G144">
        <v>9.9107699955148631E-4</v>
      </c>
    </row>
    <row r="145" spans="1:7">
      <c r="A145" s="61">
        <v>40389</v>
      </c>
      <c r="C145">
        <v>-5.2856092869175714E-3</v>
      </c>
      <c r="E145" s="62">
        <v>40389</v>
      </c>
      <c r="G145">
        <v>-1.8829913337036902E-2</v>
      </c>
    </row>
    <row r="146" spans="1:7">
      <c r="A146" s="61">
        <v>40392</v>
      </c>
      <c r="C146">
        <v>1.1709221011546554E-2</v>
      </c>
      <c r="E146" s="62">
        <v>40392</v>
      </c>
      <c r="G146">
        <v>9.5962087635413119E-3</v>
      </c>
    </row>
    <row r="147" spans="1:7">
      <c r="A147" s="61">
        <v>40393</v>
      </c>
      <c r="C147">
        <v>2.6103730002866362E-3</v>
      </c>
      <c r="E147" s="62">
        <v>40393</v>
      </c>
      <c r="G147">
        <v>9.0037294623417797E-3</v>
      </c>
    </row>
    <row r="148" spans="1:7">
      <c r="A148" s="61">
        <v>40394</v>
      </c>
      <c r="C148">
        <v>3.3599035247618169E-3</v>
      </c>
      <c r="E148" s="62">
        <v>40394</v>
      </c>
      <c r="G148">
        <v>-9.9150854045644745E-3</v>
      </c>
    </row>
    <row r="149" spans="1:7">
      <c r="A149" s="61">
        <v>40395</v>
      </c>
      <c r="C149">
        <v>-2.5531737512895815E-3</v>
      </c>
      <c r="E149" s="62">
        <v>40395</v>
      </c>
      <c r="G149">
        <v>-3.6555373039217111E-2</v>
      </c>
    </row>
    <row r="150" spans="1:7">
      <c r="A150" s="61">
        <v>40396</v>
      </c>
      <c r="C150">
        <v>-9.9254027623959878E-4</v>
      </c>
      <c r="E150" s="62">
        <v>40396</v>
      </c>
      <c r="G150">
        <v>1.5592418018600483E-2</v>
      </c>
    </row>
    <row r="151" spans="1:7">
      <c r="A151" s="61">
        <v>40399</v>
      </c>
      <c r="C151">
        <v>9.3740086523947021E-3</v>
      </c>
      <c r="E151" s="62">
        <v>40399</v>
      </c>
      <c r="G151">
        <v>2.0474401635612316E-3</v>
      </c>
    </row>
    <row r="152" spans="1:7">
      <c r="A152" s="61">
        <v>40400</v>
      </c>
      <c r="C152">
        <v>-4.5933979402237235E-3</v>
      </c>
      <c r="E152" s="62">
        <v>40400</v>
      </c>
      <c r="G152">
        <v>-1.0214824119380636E-2</v>
      </c>
    </row>
    <row r="153" spans="1:7">
      <c r="A153" s="61">
        <v>40401</v>
      </c>
      <c r="C153">
        <v>-7.1370083548448768E-3</v>
      </c>
      <c r="E153" s="62">
        <v>40401</v>
      </c>
      <c r="G153">
        <v>-1.0319178653376209E-2</v>
      </c>
    </row>
    <row r="154" spans="1:7">
      <c r="A154" s="61">
        <v>40402</v>
      </c>
      <c r="C154">
        <v>4.3332552881432407E-4</v>
      </c>
      <c r="E154" s="62">
        <v>40402</v>
      </c>
      <c r="G154">
        <v>6.2562207260861815E-3</v>
      </c>
    </row>
    <row r="155" spans="1:7">
      <c r="A155" s="61">
        <v>40403</v>
      </c>
      <c r="C155">
        <v>7.2166352874602595E-3</v>
      </c>
      <c r="E155" s="62">
        <v>40403</v>
      </c>
      <c r="G155">
        <v>6.2693707116449837E-2</v>
      </c>
    </row>
    <row r="156" spans="1:7">
      <c r="A156" s="61">
        <v>40406</v>
      </c>
      <c r="C156">
        <v>-5.080648797117256E-3</v>
      </c>
      <c r="E156" s="62">
        <v>40406</v>
      </c>
      <c r="G156">
        <v>1.3652767839054268E-2</v>
      </c>
    </row>
    <row r="157" spans="1:7">
      <c r="A157" s="61">
        <v>40407</v>
      </c>
      <c r="C157">
        <v>4.7057347220476185E-4</v>
      </c>
      <c r="E157" s="62">
        <v>40407</v>
      </c>
      <c r="G157">
        <v>2.885369695519494E-3</v>
      </c>
    </row>
    <row r="158" spans="1:7">
      <c r="A158" s="61">
        <v>40408</v>
      </c>
      <c r="C158">
        <v>1.0898233218009869E-2</v>
      </c>
      <c r="E158" s="62">
        <v>40408</v>
      </c>
      <c r="G158">
        <v>4.3170197794746443E-2</v>
      </c>
    </row>
    <row r="159" spans="1:7">
      <c r="A159" s="61">
        <v>40409</v>
      </c>
      <c r="C159">
        <v>1.0680792839491788E-2</v>
      </c>
      <c r="E159" s="62">
        <v>40409</v>
      </c>
      <c r="G159">
        <v>-1.518031862265767E-2</v>
      </c>
    </row>
    <row r="160" spans="1:7">
      <c r="A160" s="61">
        <v>40410</v>
      </c>
      <c r="C160">
        <v>-1.295840352468638E-3</v>
      </c>
      <c r="E160" s="62">
        <v>40410</v>
      </c>
      <c r="G160">
        <v>-3.7314362062552315E-3</v>
      </c>
    </row>
    <row r="161" spans="1:7">
      <c r="A161" s="61">
        <v>40413</v>
      </c>
      <c r="C161">
        <v>3.3530693218059332E-3</v>
      </c>
      <c r="E161" s="62">
        <v>40413</v>
      </c>
      <c r="G161">
        <v>1.9678012772620483E-2</v>
      </c>
    </row>
    <row r="162" spans="1:7">
      <c r="A162" s="61">
        <v>40414</v>
      </c>
      <c r="C162">
        <v>-6.8198524407176372E-3</v>
      </c>
      <c r="E162" s="62">
        <v>40414</v>
      </c>
      <c r="G162">
        <v>-1.8378949090907256E-2</v>
      </c>
    </row>
    <row r="163" spans="1:7">
      <c r="A163" s="61">
        <v>40415</v>
      </c>
      <c r="C163">
        <v>-9.3097682323433316E-3</v>
      </c>
      <c r="E163" s="62">
        <v>40415</v>
      </c>
      <c r="G163">
        <v>-1.0767288032780249E-2</v>
      </c>
    </row>
    <row r="164" spans="1:7">
      <c r="A164" s="61">
        <v>40416</v>
      </c>
      <c r="C164">
        <v>1.9161129884099249E-3</v>
      </c>
      <c r="E164" s="62">
        <v>40416</v>
      </c>
      <c r="G164">
        <v>-1.3251907749337323E-2</v>
      </c>
    </row>
    <row r="165" spans="1:7">
      <c r="A165" s="61">
        <v>40417</v>
      </c>
      <c r="C165">
        <v>-1.1930364780568952E-2</v>
      </c>
      <c r="E165" s="62">
        <v>40417</v>
      </c>
      <c r="G165">
        <v>-2.6857931112741096E-2</v>
      </c>
    </row>
    <row r="166" spans="1:7">
      <c r="A166" s="61">
        <v>40420</v>
      </c>
      <c r="C166">
        <v>8.2103240457678719E-4</v>
      </c>
      <c r="E166" s="62">
        <v>40420</v>
      </c>
      <c r="G166">
        <v>2.9077771238539236E-2</v>
      </c>
    </row>
    <row r="167" spans="1:7">
      <c r="A167" s="61">
        <v>40421</v>
      </c>
      <c r="C167">
        <v>-3.1732179012775572E-3</v>
      </c>
      <c r="E167" s="62">
        <v>40421</v>
      </c>
      <c r="G167">
        <v>-1.4367648699772221E-2</v>
      </c>
    </row>
    <row r="168" spans="1:7">
      <c r="A168" s="61">
        <v>40422</v>
      </c>
      <c r="C168">
        <v>1.6109206411464152E-2</v>
      </c>
      <c r="E168" s="62">
        <v>40422</v>
      </c>
      <c r="G168">
        <v>1.4577087167257332E-2</v>
      </c>
    </row>
    <row r="169" spans="1:7">
      <c r="A169" s="61">
        <v>40423</v>
      </c>
      <c r="C169">
        <v>2.8502400474235763E-3</v>
      </c>
      <c r="E169" s="62">
        <v>40423</v>
      </c>
      <c r="G169">
        <v>1.9161948311791346E-3</v>
      </c>
    </row>
    <row r="170" spans="1:7">
      <c r="A170" s="61">
        <v>40424</v>
      </c>
      <c r="C170">
        <v>1.5224518692134236E-3</v>
      </c>
      <c r="E170" s="62">
        <v>40424</v>
      </c>
      <c r="G170">
        <v>2.1032095594195995E-2</v>
      </c>
    </row>
    <row r="171" spans="1:7">
      <c r="A171" s="61">
        <v>40427</v>
      </c>
      <c r="C171">
        <v>1.6491604928951565E-2</v>
      </c>
      <c r="E171" s="62">
        <v>40427</v>
      </c>
      <c r="G171">
        <v>2.8053797154187106E-3</v>
      </c>
    </row>
    <row r="172" spans="1:7">
      <c r="A172" s="61">
        <v>40428</v>
      </c>
      <c r="C172">
        <v>3.6627316213579146E-3</v>
      </c>
      <c r="E172" s="62">
        <v>40428</v>
      </c>
      <c r="G172">
        <v>-4.6651820135153515E-3</v>
      </c>
    </row>
    <row r="173" spans="1:7">
      <c r="A173" s="61">
        <v>40429</v>
      </c>
      <c r="C173">
        <v>5.1461091378760362E-4</v>
      </c>
      <c r="E173" s="62">
        <v>40429</v>
      </c>
      <c r="G173">
        <v>-2.3444547761865748E-3</v>
      </c>
    </row>
    <row r="174" spans="1:7">
      <c r="A174" s="61">
        <v>40430</v>
      </c>
      <c r="C174">
        <v>5.6712554418166475E-3</v>
      </c>
      <c r="E174" s="62">
        <v>40430</v>
      </c>
      <c r="G174">
        <v>-3.7618086392162508E-3</v>
      </c>
    </row>
    <row r="175" spans="1:7">
      <c r="A175" s="61">
        <v>40434</v>
      </c>
      <c r="C175">
        <v>1.8418730277584609E-2</v>
      </c>
      <c r="E175" s="62">
        <v>40434</v>
      </c>
      <c r="G175">
        <v>1.0386677485275064E-2</v>
      </c>
    </row>
    <row r="176" spans="1:7">
      <c r="A176" s="61">
        <v>40435</v>
      </c>
      <c r="C176">
        <v>3.2462204016255156E-3</v>
      </c>
      <c r="E176" s="62">
        <v>40435</v>
      </c>
      <c r="G176">
        <v>-2.3357648552858833E-2</v>
      </c>
    </row>
    <row r="177" spans="1:7">
      <c r="A177" s="61">
        <v>40436</v>
      </c>
      <c r="C177">
        <v>8.2446973836172027E-3</v>
      </c>
      <c r="E177" s="62">
        <v>40436</v>
      </c>
      <c r="G177">
        <v>-7.1733427809247269E-3</v>
      </c>
    </row>
    <row r="178" spans="1:7">
      <c r="A178" s="61">
        <v>40437</v>
      </c>
      <c r="C178">
        <v>-7.0967092945150223E-3</v>
      </c>
      <c r="E178" s="62">
        <v>40437</v>
      </c>
      <c r="G178">
        <v>-4.8175638783403505E-3</v>
      </c>
    </row>
    <row r="179" spans="1:7">
      <c r="A179" s="61">
        <v>40438</v>
      </c>
      <c r="C179">
        <v>1.0869849403890321E-2</v>
      </c>
      <c r="E179" s="62">
        <v>40438</v>
      </c>
      <c r="G179">
        <v>1.5488650141505611E-2</v>
      </c>
    </row>
    <row r="180" spans="1:7">
      <c r="A180" s="61">
        <v>40441</v>
      </c>
      <c r="C180">
        <v>1.3633571497850078E-2</v>
      </c>
      <c r="E180" s="62">
        <v>40441</v>
      </c>
      <c r="G180">
        <v>1.0009897991298665E-2</v>
      </c>
    </row>
    <row r="181" spans="1:7">
      <c r="A181" s="61">
        <v>40442</v>
      </c>
      <c r="C181">
        <v>1.5596742864250519E-3</v>
      </c>
      <c r="E181" s="62">
        <v>40442</v>
      </c>
      <c r="G181">
        <v>-1.5101420172466252E-2</v>
      </c>
    </row>
    <row r="182" spans="1:7">
      <c r="A182" s="61">
        <v>40443</v>
      </c>
      <c r="C182">
        <v>-3.6367573626821799E-3</v>
      </c>
      <c r="E182" s="62">
        <v>40443</v>
      </c>
      <c r="G182">
        <v>-3.3535186554845605E-3</v>
      </c>
    </row>
    <row r="183" spans="1:7">
      <c r="A183" s="61">
        <v>40444</v>
      </c>
      <c r="C183">
        <v>-4.3595824517217389E-3</v>
      </c>
      <c r="E183" s="62">
        <v>40444</v>
      </c>
      <c r="G183">
        <v>-8.1731120507838734E-3</v>
      </c>
    </row>
    <row r="184" spans="1:7">
      <c r="A184" s="61">
        <v>40445</v>
      </c>
      <c r="C184">
        <v>9.4603704535970775E-3</v>
      </c>
      <c r="E184" s="62">
        <v>40445</v>
      </c>
      <c r="G184">
        <v>1.9380735097257716E-3</v>
      </c>
    </row>
    <row r="185" spans="1:7">
      <c r="A185" s="61">
        <v>40448</v>
      </c>
      <c r="C185">
        <v>2.9606591680261356E-3</v>
      </c>
      <c r="E185" s="62">
        <v>40448</v>
      </c>
      <c r="G185">
        <v>-4.8367991208488412E-4</v>
      </c>
    </row>
    <row r="186" spans="1:7">
      <c r="A186" s="61">
        <v>40449</v>
      </c>
      <c r="C186">
        <v>-3.2658186107277384E-4</v>
      </c>
      <c r="E186" s="62">
        <v>40449</v>
      </c>
      <c r="G186">
        <v>-5.3241404681439765E-3</v>
      </c>
    </row>
    <row r="187" spans="1:7">
      <c r="A187" s="61">
        <v>40450</v>
      </c>
      <c r="C187">
        <v>-5.7218072537545284E-3</v>
      </c>
      <c r="E187" s="62">
        <v>40450</v>
      </c>
      <c r="G187">
        <v>-1.9950755163605397E-2</v>
      </c>
    </row>
    <row r="188" spans="1:7">
      <c r="A188" s="61">
        <v>40451</v>
      </c>
      <c r="C188">
        <v>2.7625278725025935E-3</v>
      </c>
      <c r="E188" s="62">
        <v>40451</v>
      </c>
      <c r="G188">
        <v>-1.9861406004152659E-2</v>
      </c>
    </row>
    <row r="189" spans="1:7">
      <c r="A189" s="61">
        <v>40452</v>
      </c>
      <c r="C189">
        <v>1.8485940696109756E-2</v>
      </c>
      <c r="E189" s="62">
        <v>40452</v>
      </c>
      <c r="G189">
        <v>3.394140361686316E-2</v>
      </c>
    </row>
    <row r="190" spans="1:7">
      <c r="A190" s="61">
        <v>40455</v>
      </c>
      <c r="C190">
        <v>4.0729889617001497E-3</v>
      </c>
      <c r="E190" s="62">
        <v>40455</v>
      </c>
      <c r="G190">
        <v>-6.3693795430970592E-3</v>
      </c>
    </row>
    <row r="191" spans="1:7">
      <c r="A191" s="61">
        <v>40456</v>
      </c>
      <c r="C191">
        <v>-6.5326539373249831E-5</v>
      </c>
      <c r="E191" s="62">
        <v>40456</v>
      </c>
      <c r="G191">
        <v>6.4102085945864033E-3</v>
      </c>
    </row>
    <row r="192" spans="1:7">
      <c r="A192" s="61">
        <v>40457</v>
      </c>
      <c r="C192">
        <v>7.9548035253748477E-3</v>
      </c>
      <c r="E192" s="62">
        <v>40457</v>
      </c>
      <c r="G192">
        <v>8.3291219610126723E-3</v>
      </c>
    </row>
    <row r="193" spans="1:7">
      <c r="A193" s="61">
        <v>40458</v>
      </c>
      <c r="C193">
        <v>-9.0370928215606893E-3</v>
      </c>
      <c r="E193" s="62">
        <v>40458</v>
      </c>
      <c r="G193">
        <v>-2.4298561557995917E-3</v>
      </c>
    </row>
    <row r="194" spans="1:7">
      <c r="A194" s="61">
        <v>40459</v>
      </c>
      <c r="C194">
        <v>-3.3637524527360785E-3</v>
      </c>
      <c r="E194" s="62">
        <v>40459</v>
      </c>
      <c r="G194">
        <v>-4.3834555251052827E-3</v>
      </c>
    </row>
    <row r="195" spans="1:7">
      <c r="A195" s="61">
        <v>40462</v>
      </c>
      <c r="C195">
        <v>5.8001812556642222E-3</v>
      </c>
      <c r="E195" s="62">
        <v>40462</v>
      </c>
      <c r="G195">
        <v>1.1741308238328892E-2</v>
      </c>
    </row>
    <row r="196" spans="1:7">
      <c r="A196" s="61">
        <v>40463</v>
      </c>
      <c r="C196">
        <v>-7.8919731797195206E-3</v>
      </c>
      <c r="E196" s="62">
        <v>40463</v>
      </c>
      <c r="G196">
        <v>-8.2206320018890396E-3</v>
      </c>
    </row>
    <row r="197" spans="1:7">
      <c r="A197" s="61">
        <v>40464</v>
      </c>
      <c r="C197">
        <v>1.9442165195768302E-2</v>
      </c>
      <c r="E197" s="62">
        <v>40464</v>
      </c>
      <c r="G197">
        <v>7.3135992997092596E-3</v>
      </c>
    </row>
    <row r="198" spans="1:7">
      <c r="A198" s="61">
        <v>40465</v>
      </c>
      <c r="C198">
        <v>-7.5204138685279337E-3</v>
      </c>
      <c r="E198" s="62">
        <v>40465</v>
      </c>
      <c r="G198">
        <v>-1.403664476477131E-2</v>
      </c>
    </row>
    <row r="199" spans="1:7">
      <c r="A199" s="61">
        <v>40466</v>
      </c>
      <c r="C199">
        <v>-1.7761076684021115E-2</v>
      </c>
      <c r="E199" s="62">
        <v>40466</v>
      </c>
      <c r="G199">
        <v>-1.1290511138099679E-2</v>
      </c>
    </row>
    <row r="200" spans="1:7">
      <c r="A200" s="61">
        <v>40469</v>
      </c>
      <c r="C200">
        <v>1.430696314223757E-3</v>
      </c>
      <c r="E200" s="62">
        <v>40469</v>
      </c>
      <c r="G200">
        <v>-3.9728622690141961E-3</v>
      </c>
    </row>
    <row r="201" spans="1:7">
      <c r="A201" s="61">
        <v>40470</v>
      </c>
      <c r="C201">
        <v>-5.7555179336777921E-3</v>
      </c>
      <c r="E201" s="62">
        <v>40470</v>
      </c>
      <c r="G201">
        <v>9.9721678573515792E-4</v>
      </c>
    </row>
    <row r="202" spans="1:7">
      <c r="A202" s="61">
        <v>40471</v>
      </c>
      <c r="C202">
        <v>-6.1528138678854302E-3</v>
      </c>
      <c r="E202" s="62">
        <v>40471</v>
      </c>
      <c r="G202">
        <v>-6.9718691459750076E-3</v>
      </c>
    </row>
    <row r="203" spans="1:7">
      <c r="A203" s="61">
        <v>40472</v>
      </c>
      <c r="C203">
        <v>1.8846593568974085E-2</v>
      </c>
      <c r="E203" s="62">
        <v>40472</v>
      </c>
      <c r="G203">
        <v>7.0208173659481879E-3</v>
      </c>
    </row>
    <row r="204" spans="1:7">
      <c r="A204" s="61">
        <v>40473</v>
      </c>
      <c r="C204">
        <v>-3.8227470641740203E-3</v>
      </c>
      <c r="E204" s="62">
        <v>40473</v>
      </c>
      <c r="G204">
        <v>-9.4623992470704247E-3</v>
      </c>
    </row>
    <row r="205" spans="1:7">
      <c r="A205" s="61">
        <v>40476</v>
      </c>
      <c r="C205">
        <v>5.2493850092876207E-3</v>
      </c>
      <c r="E205" s="62">
        <v>40476</v>
      </c>
      <c r="G205">
        <v>-1.5084789440317197E-3</v>
      </c>
    </row>
    <row r="206" spans="1:7">
      <c r="A206" s="61">
        <v>40477</v>
      </c>
      <c r="C206">
        <v>-3.5489439004672278E-3</v>
      </c>
      <c r="E206" s="62">
        <v>40477</v>
      </c>
      <c r="G206">
        <v>2.5680052031290646E-2</v>
      </c>
    </row>
    <row r="207" spans="1:7">
      <c r="A207" s="61">
        <v>40478</v>
      </c>
      <c r="C207">
        <v>-9.1843127427641159E-3</v>
      </c>
      <c r="E207" s="62">
        <v>40478</v>
      </c>
      <c r="G207">
        <v>-3.0927671716544133E-2</v>
      </c>
    </row>
    <row r="208" spans="1:7">
      <c r="A208" s="61">
        <v>40479</v>
      </c>
      <c r="C208">
        <v>-5.2101116633155083E-3</v>
      </c>
      <c r="E208" s="62">
        <v>40479</v>
      </c>
      <c r="G208">
        <v>6.5853009732882691E-3</v>
      </c>
    </row>
    <row r="209" spans="1:7">
      <c r="A209" s="61">
        <v>40480</v>
      </c>
      <c r="C209">
        <v>3.0890484967902674E-3</v>
      </c>
      <c r="E209" s="62">
        <v>40480</v>
      </c>
      <c r="G209">
        <v>7.5489823175090669E-3</v>
      </c>
    </row>
    <row r="210" spans="1:7">
      <c r="A210" s="61">
        <v>40483</v>
      </c>
      <c r="C210">
        <v>1.6414685456480949E-2</v>
      </c>
      <c r="E210" s="62">
        <v>40483</v>
      </c>
      <c r="G210">
        <v>8.4916315491061975E-3</v>
      </c>
    </row>
    <row r="211" spans="1:7">
      <c r="A211" s="61">
        <v>40484</v>
      </c>
      <c r="C211">
        <v>1.555423252798291E-3</v>
      </c>
      <c r="E211" s="62">
        <v>40484</v>
      </c>
      <c r="G211">
        <v>1.9812245167279273E-2</v>
      </c>
    </row>
    <row r="212" spans="1:7">
      <c r="A212" s="61">
        <v>40485</v>
      </c>
      <c r="C212">
        <v>6.0906533213823839E-3</v>
      </c>
      <c r="E212" s="62">
        <v>40485</v>
      </c>
      <c r="G212">
        <v>1.214134075279499E-2</v>
      </c>
    </row>
    <row r="213" spans="1:7">
      <c r="A213" s="61">
        <v>40486</v>
      </c>
      <c r="C213">
        <v>1.656205822395589E-2</v>
      </c>
      <c r="E213" s="62">
        <v>40486</v>
      </c>
      <c r="G213">
        <v>-8.1575179151894845E-3</v>
      </c>
    </row>
    <row r="214" spans="1:7">
      <c r="A214" s="61">
        <v>40490</v>
      </c>
      <c r="C214">
        <v>-4.6188607012187738E-3</v>
      </c>
      <c r="E214" s="62">
        <v>40490</v>
      </c>
      <c r="G214">
        <v>-1.9343246463694333E-3</v>
      </c>
    </row>
    <row r="215" spans="1:7">
      <c r="A215" s="61">
        <v>40491</v>
      </c>
      <c r="C215">
        <v>4.4485961970893483E-3</v>
      </c>
      <c r="E215" s="62">
        <v>40491</v>
      </c>
      <c r="G215">
        <v>-9.694215288336953E-4</v>
      </c>
    </row>
    <row r="216" spans="1:7">
      <c r="A216" s="61">
        <v>40492</v>
      </c>
      <c r="C216">
        <v>-2.9717817058209964E-3</v>
      </c>
      <c r="E216" s="62">
        <v>40492</v>
      </c>
      <c r="G216">
        <v>3.493378816519907E-2</v>
      </c>
    </row>
    <row r="217" spans="1:7">
      <c r="A217" s="61">
        <v>40493</v>
      </c>
      <c r="C217">
        <v>-1.3317169212819464E-2</v>
      </c>
      <c r="E217" s="62">
        <v>40493</v>
      </c>
      <c r="G217">
        <v>-3.0942531946972229E-2</v>
      </c>
    </row>
    <row r="218" spans="1:7">
      <c r="A218" s="61">
        <v>40494</v>
      </c>
      <c r="C218">
        <v>-2.0573318429148137E-2</v>
      </c>
      <c r="E218" s="62">
        <v>40494</v>
      </c>
      <c r="G218">
        <v>-1.2578036753748197E-2</v>
      </c>
    </row>
    <row r="219" spans="1:7">
      <c r="A219" s="61">
        <v>40497</v>
      </c>
      <c r="C219">
        <v>6.762874929258699E-3</v>
      </c>
      <c r="E219" s="62">
        <v>40497</v>
      </c>
      <c r="G219">
        <v>-9.3094932119797223E-3</v>
      </c>
    </row>
    <row r="220" spans="1:7">
      <c r="A220" s="61">
        <v>40498</v>
      </c>
      <c r="C220">
        <v>-2.0839384031154463E-2</v>
      </c>
      <c r="E220" s="62">
        <v>40498</v>
      </c>
      <c r="G220">
        <v>-1.5825859008707983E-2</v>
      </c>
    </row>
    <row r="221" spans="1:7">
      <c r="A221" s="61">
        <v>40500</v>
      </c>
      <c r="C221">
        <v>1.3554975792407938E-3</v>
      </c>
      <c r="E221" s="62">
        <v>40500</v>
      </c>
      <c r="G221">
        <v>6.0298683987658327E-3</v>
      </c>
    </row>
    <row r="222" spans="1:7">
      <c r="A222" s="61">
        <v>40501</v>
      </c>
      <c r="C222">
        <v>-1.7887458076270232E-2</v>
      </c>
      <c r="E222" s="62">
        <v>40501</v>
      </c>
      <c r="G222">
        <v>-1.2487109702628736E-2</v>
      </c>
    </row>
    <row r="223" spans="1:7">
      <c r="A223" s="61">
        <v>40504</v>
      </c>
      <c r="C223">
        <v>1.8342970743999588E-2</v>
      </c>
      <c r="E223" s="62">
        <v>40504</v>
      </c>
      <c r="G223">
        <v>1.7197936316013733E-2</v>
      </c>
    </row>
    <row r="224" spans="1:7">
      <c r="A224" s="61">
        <v>40505</v>
      </c>
      <c r="C224">
        <v>-1.17737728620428E-2</v>
      </c>
      <c r="E224" s="62">
        <v>40505</v>
      </c>
      <c r="G224">
        <v>-1.5415180861730861E-2</v>
      </c>
    </row>
    <row r="225" spans="1:7">
      <c r="A225" s="61">
        <v>40506</v>
      </c>
      <c r="C225">
        <v>-1.2349100565248549E-2</v>
      </c>
      <c r="E225" s="62">
        <v>40506</v>
      </c>
      <c r="G225">
        <v>-1.4141022332030182E-2</v>
      </c>
    </row>
    <row r="226" spans="1:7">
      <c r="A226" s="61">
        <v>40507</v>
      </c>
      <c r="C226">
        <v>-1.5446661054444975E-2</v>
      </c>
      <c r="E226" s="62">
        <v>40507</v>
      </c>
      <c r="G226">
        <v>-7.2234375366714662E-2</v>
      </c>
    </row>
    <row r="227" spans="1:7">
      <c r="A227" s="61">
        <v>40508</v>
      </c>
      <c r="C227">
        <v>-1.2166103267713937E-2</v>
      </c>
      <c r="E227" s="62">
        <v>40508</v>
      </c>
      <c r="G227">
        <v>-2.2090971662996552E-3</v>
      </c>
    </row>
    <row r="228" spans="1:7">
      <c r="A228" s="61">
        <v>40511</v>
      </c>
      <c r="C228">
        <v>1.3282159499981596E-2</v>
      </c>
      <c r="E228" s="62">
        <v>40511</v>
      </c>
      <c r="G228">
        <v>4.9813633610056004E-3</v>
      </c>
    </row>
    <row r="229" spans="1:7">
      <c r="A229" s="61">
        <v>40512</v>
      </c>
      <c r="C229">
        <v>8.9726780298515062E-3</v>
      </c>
      <c r="E229" s="62">
        <v>40512</v>
      </c>
      <c r="G229">
        <v>4.4047043209281753E-3</v>
      </c>
    </row>
    <row r="230" spans="1:7">
      <c r="A230" s="61">
        <v>40513</v>
      </c>
      <c r="C230">
        <v>1.8927734644186098E-2</v>
      </c>
      <c r="E230" s="62">
        <v>40513</v>
      </c>
      <c r="G230">
        <v>3.289559487297098E-2</v>
      </c>
    </row>
    <row r="231" spans="1:7">
      <c r="A231" s="61">
        <v>40514</v>
      </c>
      <c r="C231">
        <v>7.9483166186804233E-3</v>
      </c>
      <c r="E231" s="62">
        <v>40514</v>
      </c>
      <c r="G231">
        <v>2.2292498460514391E-2</v>
      </c>
    </row>
    <row r="232" spans="1:7">
      <c r="A232" s="61">
        <v>40515</v>
      </c>
      <c r="C232">
        <v>-7.0069718251355821E-3</v>
      </c>
      <c r="E232" s="62">
        <v>40515</v>
      </c>
      <c r="G232">
        <v>-1.3498854398974658E-2</v>
      </c>
    </row>
    <row r="233" spans="1:7">
      <c r="A233" s="61">
        <v>40518</v>
      </c>
      <c r="C233">
        <v>-1.5477136633191687E-3</v>
      </c>
      <c r="E233" s="62">
        <v>40518</v>
      </c>
      <c r="G233">
        <v>1.5790544466414034E-3</v>
      </c>
    </row>
    <row r="234" spans="1:7">
      <c r="A234" s="61">
        <v>40519</v>
      </c>
      <c r="C234">
        <v>-4.2571704801804824E-3</v>
      </c>
      <c r="E234" s="62">
        <v>40519</v>
      </c>
      <c r="G234">
        <v>7.8820978346479526E-3</v>
      </c>
    </row>
    <row r="235" spans="1:7">
      <c r="A235" s="61">
        <v>40520</v>
      </c>
      <c r="C235">
        <v>-1.3557555691487084E-2</v>
      </c>
      <c r="E235" s="62">
        <v>40520</v>
      </c>
      <c r="G235">
        <v>-2.2419853623380503E-2</v>
      </c>
    </row>
    <row r="236" spans="1:7">
      <c r="A236" s="61">
        <v>40521</v>
      </c>
      <c r="C236">
        <v>-2.7005479182387854E-2</v>
      </c>
      <c r="E236" s="62">
        <v>40521</v>
      </c>
      <c r="G236">
        <v>-4.3200023514304735E-2</v>
      </c>
    </row>
    <row r="237" spans="1:7">
      <c r="A237" s="61">
        <v>40522</v>
      </c>
      <c r="C237">
        <v>1.5497759299161392E-2</v>
      </c>
      <c r="E237" s="62">
        <v>40522</v>
      </c>
      <c r="G237">
        <v>2.2854632234308427E-2</v>
      </c>
    </row>
    <row r="238" spans="1:7">
      <c r="A238" s="61">
        <v>40525</v>
      </c>
      <c r="C238">
        <v>1.0479653334661535E-2</v>
      </c>
      <c r="E238" s="62">
        <v>40525</v>
      </c>
      <c r="G238">
        <v>1.6893702600014174E-2</v>
      </c>
    </row>
    <row r="239" spans="1:7">
      <c r="A239" s="61">
        <v>40526</v>
      </c>
      <c r="C239">
        <v>8.2777158893369129E-3</v>
      </c>
      <c r="E239" s="62">
        <v>40526</v>
      </c>
      <c r="G239">
        <v>4.2864835230374482E-3</v>
      </c>
    </row>
    <row r="240" spans="1:7">
      <c r="A240" s="61">
        <v>40527</v>
      </c>
      <c r="C240">
        <v>-1.0168497213440755E-2</v>
      </c>
      <c r="E240" s="62">
        <v>40527</v>
      </c>
      <c r="G240">
        <v>-4.8019717054459624E-3</v>
      </c>
    </row>
    <row r="241" spans="1:7">
      <c r="A241" s="61">
        <v>40528</v>
      </c>
      <c r="C241">
        <v>7.2997267129828042E-3</v>
      </c>
      <c r="E241" s="62">
        <v>40528</v>
      </c>
      <c r="G241">
        <v>1.0724267076277826E-3</v>
      </c>
    </row>
    <row r="242" spans="1:7">
      <c r="A242" s="61">
        <v>40532</v>
      </c>
      <c r="C242">
        <v>-7.1258829720810394E-4</v>
      </c>
      <c r="E242" s="62">
        <v>40532</v>
      </c>
      <c r="G242">
        <v>-1.0712778406601687E-3</v>
      </c>
    </row>
    <row r="243" spans="1:7">
      <c r="A243" s="61">
        <v>40533</v>
      </c>
      <c r="C243">
        <v>8.6683741728244834E-3</v>
      </c>
      <c r="E243" s="62">
        <v>40533</v>
      </c>
      <c r="G243">
        <v>5.3614890217022863E-3</v>
      </c>
    </row>
    <row r="244" spans="1:7">
      <c r="A244" s="61">
        <v>40534</v>
      </c>
      <c r="C244">
        <v>-1.9133542397011571E-3</v>
      </c>
      <c r="E244" s="62">
        <v>40534</v>
      </c>
      <c r="G244">
        <v>-5.3328967543002335E-3</v>
      </c>
    </row>
    <row r="245" spans="1:7">
      <c r="A245" s="61">
        <v>40535</v>
      </c>
      <c r="C245">
        <v>-1.4686339429897039E-3</v>
      </c>
      <c r="E245" s="62">
        <v>40535</v>
      </c>
      <c r="G245">
        <v>5.8977510182661539E-3</v>
      </c>
    </row>
    <row r="246" spans="1:7">
      <c r="A246" s="61">
        <v>40536</v>
      </c>
      <c r="C246">
        <v>3.9828580911566176E-3</v>
      </c>
      <c r="E246" s="62">
        <v>40536</v>
      </c>
      <c r="G246">
        <v>7.9956426946770544E-3</v>
      </c>
    </row>
    <row r="247" spans="1:7">
      <c r="A247" s="61">
        <v>40539</v>
      </c>
      <c r="C247">
        <v>-2.9526059745705346E-3</v>
      </c>
      <c r="E247" s="62">
        <v>40539</v>
      </c>
      <c r="G247">
        <v>1.5867629272298578E-3</v>
      </c>
    </row>
    <row r="248" spans="1:7">
      <c r="A248" s="61">
        <v>40540</v>
      </c>
      <c r="C248">
        <v>-3.8357767447917657E-4</v>
      </c>
      <c r="E248" s="62">
        <v>40540</v>
      </c>
      <c r="G248">
        <v>3.6963457338247286E-3</v>
      </c>
    </row>
    <row r="249" spans="1:7">
      <c r="A249" s="61">
        <v>40541</v>
      </c>
      <c r="C249">
        <v>9.7947397174744048E-3</v>
      </c>
      <c r="E249" s="62">
        <v>40541</v>
      </c>
      <c r="G249">
        <v>5.7860612027681403E-3</v>
      </c>
    </row>
    <row r="250" spans="1:7">
      <c r="A250" s="61">
        <v>40542</v>
      </c>
      <c r="C250">
        <v>6.6371681415929619E-3</v>
      </c>
      <c r="E250" s="62">
        <v>40542</v>
      </c>
      <c r="G250">
        <v>-1.5690189448545146E-2</v>
      </c>
    </row>
    <row r="251" spans="1:7">
      <c r="A251" s="61">
        <v>40543</v>
      </c>
      <c r="C251">
        <v>6.9229169665850484E-3</v>
      </c>
      <c r="E251" s="62">
        <v>40543</v>
      </c>
      <c r="G251">
        <v>2.6567713852052709E-2</v>
      </c>
    </row>
    <row r="252" spans="1:7">
      <c r="A252" s="61">
        <v>40546</v>
      </c>
      <c r="C252">
        <v>4.4193945016506204E-3</v>
      </c>
      <c r="E252" s="62">
        <v>40546</v>
      </c>
      <c r="G252">
        <v>4.5030187855435957E-2</v>
      </c>
    </row>
    <row r="253" spans="1:7">
      <c r="A253" s="61">
        <v>40547</v>
      </c>
      <c r="C253">
        <v>-2.2679825393813096E-3</v>
      </c>
      <c r="E253" s="62">
        <v>40547</v>
      </c>
      <c r="G253">
        <v>9.9063865622358183E-4</v>
      </c>
    </row>
    <row r="254" spans="1:7">
      <c r="A254" s="61">
        <v>40548</v>
      </c>
      <c r="C254">
        <v>-1.0997929764157989E-2</v>
      </c>
      <c r="E254" s="62">
        <v>40548</v>
      </c>
      <c r="G254">
        <v>-2.3750552656173384E-2</v>
      </c>
    </row>
    <row r="255" spans="1:7">
      <c r="A255" s="61">
        <v>40549</v>
      </c>
      <c r="C255">
        <v>-7.353648294299818E-3</v>
      </c>
      <c r="E255" s="62">
        <v>40549</v>
      </c>
      <c r="G255">
        <v>2.4328364764552482E-2</v>
      </c>
    </row>
    <row r="256" spans="1:7">
      <c r="A256" s="61">
        <v>40550</v>
      </c>
      <c r="C256">
        <v>-2.3351417683911371E-2</v>
      </c>
      <c r="E256" s="62">
        <v>40550</v>
      </c>
      <c r="G256">
        <v>-1.9791616611804903E-2</v>
      </c>
    </row>
    <row r="257" spans="1:7">
      <c r="A257" s="61">
        <v>40553</v>
      </c>
      <c r="C257">
        <v>-2.4161042757143054E-2</v>
      </c>
      <c r="E257" s="62">
        <v>40553</v>
      </c>
      <c r="G257">
        <v>-5.049405522226753E-4</v>
      </c>
    </row>
    <row r="258" spans="1:7">
      <c r="A258" s="61">
        <v>40554</v>
      </c>
      <c r="C258">
        <v>-1.9619005021651939E-3</v>
      </c>
      <c r="E258" s="62">
        <v>40554</v>
      </c>
      <c r="G258">
        <v>5.0519564599114247E-4</v>
      </c>
    </row>
    <row r="259" spans="1:7">
      <c r="A259" s="61">
        <v>40555</v>
      </c>
      <c r="C259">
        <v>1.8340276292425888E-2</v>
      </c>
      <c r="E259" s="62">
        <v>40555</v>
      </c>
      <c r="G259">
        <v>2.6249535816467776E-2</v>
      </c>
    </row>
    <row r="260" spans="1:7">
      <c r="A260" s="61">
        <v>40556</v>
      </c>
      <c r="C260">
        <v>-1.5449499074830283E-2</v>
      </c>
      <c r="E260" s="62">
        <v>40556</v>
      </c>
      <c r="G260">
        <v>-1.6724112919034594E-2</v>
      </c>
    </row>
    <row r="261" spans="1:7">
      <c r="A261" s="61">
        <v>40557</v>
      </c>
      <c r="C261">
        <v>-1.6362411152987921E-2</v>
      </c>
      <c r="E261" s="62">
        <v>40557</v>
      </c>
      <c r="G261">
        <v>-8.504197958200458E-3</v>
      </c>
    </row>
    <row r="262" spans="1:7">
      <c r="A262" s="61">
        <v>40560</v>
      </c>
      <c r="C262">
        <v>-2.3925998092804708E-3</v>
      </c>
      <c r="E262" s="62">
        <v>40560</v>
      </c>
      <c r="G262">
        <v>-7.0645586453949426E-3</v>
      </c>
    </row>
    <row r="263" spans="1:7">
      <c r="A263" s="61">
        <v>40561</v>
      </c>
      <c r="C263">
        <v>1.0221406288821981E-2</v>
      </c>
      <c r="E263" s="62">
        <v>40561</v>
      </c>
      <c r="G263">
        <v>-5.070433656911463E-4</v>
      </c>
    </row>
    <row r="264" spans="1:7">
      <c r="A264" s="61">
        <v>40562</v>
      </c>
      <c r="C264">
        <v>-3.4022668115021339E-3</v>
      </c>
      <c r="E264" s="62">
        <v>40562</v>
      </c>
      <c r="G264">
        <v>-2.8470265270888667E-2</v>
      </c>
    </row>
    <row r="265" spans="1:7">
      <c r="A265" s="61">
        <v>40563</v>
      </c>
      <c r="C265">
        <v>3.2527849185946126E-3</v>
      </c>
      <c r="E265" s="62">
        <v>40563</v>
      </c>
      <c r="G265">
        <v>-5.2324324149833554E-3</v>
      </c>
    </row>
    <row r="266" spans="1:7">
      <c r="A266" s="61">
        <v>40564</v>
      </c>
      <c r="C266">
        <v>-1.5032507798112178E-3</v>
      </c>
      <c r="E266" s="62">
        <v>40564</v>
      </c>
      <c r="G266">
        <v>1.0519826032931515E-2</v>
      </c>
    </row>
    <row r="267" spans="1:7">
      <c r="A267" s="61">
        <v>40567</v>
      </c>
      <c r="C267">
        <v>8.2118942444886212E-3</v>
      </c>
      <c r="E267" s="62">
        <v>40567</v>
      </c>
      <c r="G267">
        <v>2.8631493758850983E-2</v>
      </c>
    </row>
    <row r="268" spans="1:7">
      <c r="A268" s="61">
        <v>40568</v>
      </c>
      <c r="C268">
        <v>-8.6540713163351535E-3</v>
      </c>
      <c r="E268" s="62">
        <v>40568</v>
      </c>
      <c r="G268">
        <v>-1.3157545274950706E-2</v>
      </c>
    </row>
    <row r="269" spans="1:7">
      <c r="A269" s="61">
        <v>40570</v>
      </c>
      <c r="C269">
        <v>-1.6678705551694831E-2</v>
      </c>
      <c r="E269" s="62">
        <v>40570</v>
      </c>
      <c r="G269">
        <v>-3.3846241379862141E-2</v>
      </c>
    </row>
    <row r="270" spans="1:7">
      <c r="A270" s="61">
        <v>40571</v>
      </c>
      <c r="C270">
        <v>-1.874410330145479E-2</v>
      </c>
      <c r="E270" s="62">
        <v>40571</v>
      </c>
      <c r="G270">
        <v>-2.7601035859388012E-2</v>
      </c>
    </row>
    <row r="271" spans="1:7">
      <c r="A271" s="61">
        <v>40574</v>
      </c>
      <c r="C271">
        <v>-1.4546589889066612E-4</v>
      </c>
      <c r="E271" s="62">
        <v>40574</v>
      </c>
      <c r="G271">
        <v>-1.8559024337886646E-2</v>
      </c>
    </row>
    <row r="272" spans="1:7">
      <c r="A272" s="61">
        <v>40575</v>
      </c>
      <c r="C272">
        <v>-1.6656494400522356E-2</v>
      </c>
      <c r="E272" s="62">
        <v>40575</v>
      </c>
      <c r="G272">
        <v>1.445993844446126E-2</v>
      </c>
    </row>
    <row r="273" spans="1:7">
      <c r="A273" s="61">
        <v>40576</v>
      </c>
      <c r="C273">
        <v>2.4213511933544687E-3</v>
      </c>
      <c r="E273" s="62">
        <v>40576</v>
      </c>
      <c r="G273">
        <v>1.6448412921682677E-2</v>
      </c>
    </row>
    <row r="274" spans="1:7">
      <c r="A274" s="61">
        <v>40577</v>
      </c>
      <c r="C274">
        <v>1.5828560526154837E-2</v>
      </c>
      <c r="E274" s="62">
        <v>40577</v>
      </c>
      <c r="G274">
        <v>-1.0788870000305868E-3</v>
      </c>
    </row>
    <row r="275" spans="1:7">
      <c r="A275" s="61">
        <v>40578</v>
      </c>
      <c r="C275">
        <v>-2.0883388970395517E-2</v>
      </c>
      <c r="E275" s="62">
        <v>40578</v>
      </c>
      <c r="G275">
        <v>-1.620078381550853E-3</v>
      </c>
    </row>
    <row r="276" spans="1:7">
      <c r="A276" s="61">
        <v>40581</v>
      </c>
      <c r="C276">
        <v>-1.386209567379531E-3</v>
      </c>
      <c r="E276" s="62">
        <v>40581</v>
      </c>
      <c r="G276">
        <v>-1.6224877346344296E-2</v>
      </c>
    </row>
    <row r="277" spans="1:7">
      <c r="A277" s="61">
        <v>40582</v>
      </c>
      <c r="C277">
        <v>-1.700192091624075E-2</v>
      </c>
      <c r="E277" s="62">
        <v>40582</v>
      </c>
      <c r="G277">
        <v>-3.7383429847482497E-2</v>
      </c>
    </row>
    <row r="278" spans="1:7">
      <c r="A278" s="61">
        <v>40583</v>
      </c>
      <c r="C278">
        <v>-1.6145624016016564E-2</v>
      </c>
      <c r="E278" s="62">
        <v>40583</v>
      </c>
      <c r="G278">
        <v>-2.8555070406886433E-2</v>
      </c>
    </row>
    <row r="279" spans="1:7">
      <c r="A279" s="61">
        <v>40584</v>
      </c>
      <c r="C279">
        <v>-3.2566331884275423E-3</v>
      </c>
      <c r="E279" s="62">
        <v>40584</v>
      </c>
      <c r="G279">
        <v>-8.2304253227405033E-2</v>
      </c>
    </row>
    <row r="280" spans="1:7">
      <c r="A280" s="61">
        <v>40585</v>
      </c>
      <c r="C280">
        <v>1.7483109060762263E-2</v>
      </c>
      <c r="E280" s="62">
        <v>40585</v>
      </c>
      <c r="G280">
        <v>3.4592362949223923E-2</v>
      </c>
    </row>
    <row r="281" spans="1:7">
      <c r="A281" s="61">
        <v>40588</v>
      </c>
      <c r="C281">
        <v>2.9014747562088671E-2</v>
      </c>
      <c r="E281" s="62">
        <v>40588</v>
      </c>
      <c r="G281">
        <v>5.4489871992145708E-2</v>
      </c>
    </row>
    <row r="282" spans="1:7">
      <c r="A282" s="61">
        <v>40589</v>
      </c>
      <c r="C282">
        <v>4.2661227479863792E-3</v>
      </c>
      <c r="E282" s="62">
        <v>40589</v>
      </c>
      <c r="G282">
        <v>-4.3453548824657885E-2</v>
      </c>
    </row>
    <row r="283" spans="1:7">
      <c r="A283" s="61">
        <v>40590</v>
      </c>
      <c r="C283">
        <v>1.3051515942516443E-3</v>
      </c>
      <c r="E283" s="62">
        <v>40590</v>
      </c>
      <c r="G283">
        <v>-1.3504278590138976E-2</v>
      </c>
    </row>
    <row r="284" spans="1:7">
      <c r="A284" s="61">
        <v>40591</v>
      </c>
      <c r="C284">
        <v>1.1577496375336439E-2</v>
      </c>
      <c r="E284" s="62">
        <v>40591</v>
      </c>
      <c r="G284">
        <v>2.2402131048629273E-2</v>
      </c>
    </row>
    <row r="285" spans="1:7">
      <c r="A285" s="61">
        <v>40592</v>
      </c>
      <c r="C285">
        <v>-1.648968468023216E-2</v>
      </c>
      <c r="E285" s="62">
        <v>40592</v>
      </c>
      <c r="G285">
        <v>-6.69591530351885E-3</v>
      </c>
    </row>
    <row r="286" spans="1:7">
      <c r="A286" s="61">
        <v>40595</v>
      </c>
      <c r="C286">
        <v>9.2858142765357664E-3</v>
      </c>
      <c r="E286" s="62">
        <v>40595</v>
      </c>
      <c r="G286">
        <v>0</v>
      </c>
    </row>
    <row r="287" spans="1:7">
      <c r="A287" s="61">
        <v>40596</v>
      </c>
      <c r="C287">
        <v>-9.2252759758734686E-3</v>
      </c>
      <c r="E287" s="62">
        <v>40596</v>
      </c>
      <c r="G287">
        <v>7.9667985947649688E-3</v>
      </c>
    </row>
    <row r="288" spans="1:7">
      <c r="A288" s="61">
        <v>40597</v>
      </c>
      <c r="C288">
        <v>-5.7898704188951893E-3</v>
      </c>
      <c r="E288" s="62">
        <v>40597</v>
      </c>
      <c r="G288">
        <v>-2.4319085661607572E-3</v>
      </c>
    </row>
    <row r="289" spans="1:7">
      <c r="A289" s="61">
        <v>40598</v>
      </c>
      <c r="C289">
        <v>-3.1739097470187001E-2</v>
      </c>
      <c r="E289" s="62">
        <v>40598</v>
      </c>
      <c r="G289">
        <v>-4.4485722100301162E-2</v>
      </c>
    </row>
    <row r="290" spans="1:7">
      <c r="A290" s="61">
        <v>40599</v>
      </c>
      <c r="C290">
        <v>6.7676910800713273E-3</v>
      </c>
      <c r="E290" s="62">
        <v>40599</v>
      </c>
      <c r="G290">
        <v>1.0841876234202656E-2</v>
      </c>
    </row>
    <row r="291" spans="1:7">
      <c r="A291" s="61">
        <v>40602</v>
      </c>
      <c r="C291">
        <v>4.9481298217412791E-3</v>
      </c>
      <c r="E291" s="62">
        <v>40602</v>
      </c>
      <c r="G291">
        <v>-1.0094594486697285E-2</v>
      </c>
    </row>
    <row r="292" spans="1:7">
      <c r="A292" s="61">
        <v>40603</v>
      </c>
      <c r="C292">
        <v>3.4348430180919036E-2</v>
      </c>
      <c r="E292" s="62">
        <v>40603</v>
      </c>
      <c r="G292">
        <v>3.6967041741615192E-2</v>
      </c>
    </row>
    <row r="293" spans="1:7">
      <c r="A293" s="61">
        <v>40605</v>
      </c>
      <c r="C293">
        <v>2.3872556180675407E-3</v>
      </c>
      <c r="E293" s="62">
        <v>40605</v>
      </c>
      <c r="G293">
        <v>9.2193075629903726E-3</v>
      </c>
    </row>
    <row r="294" spans="1:7">
      <c r="A294" s="61">
        <v>40606</v>
      </c>
      <c r="C294">
        <v>8.6020893835290352E-4</v>
      </c>
      <c r="E294" s="62">
        <v>40606</v>
      </c>
      <c r="G294">
        <v>6.0896307367765664E-3</v>
      </c>
    </row>
    <row r="295" spans="1:7">
      <c r="A295" s="61">
        <v>40609</v>
      </c>
      <c r="C295">
        <v>-1.3119341973015515E-2</v>
      </c>
      <c r="E295" s="62">
        <v>40609</v>
      </c>
      <c r="G295">
        <v>-1.2712320883508328E-2</v>
      </c>
    </row>
    <row r="296" spans="1:7">
      <c r="A296" s="61">
        <v>40610</v>
      </c>
      <c r="C296">
        <v>1.0224021592442593E-2</v>
      </c>
      <c r="E296" s="62">
        <v>40610</v>
      </c>
      <c r="G296">
        <v>1.778021449708736E-2</v>
      </c>
    </row>
    <row r="297" spans="1:7">
      <c r="A297" s="61">
        <v>40611</v>
      </c>
      <c r="C297">
        <v>2.8177944969293911E-3</v>
      </c>
      <c r="E297" s="62">
        <v>40611</v>
      </c>
      <c r="G297">
        <v>6.0280190786564554E-4</v>
      </c>
    </row>
    <row r="298" spans="1:7">
      <c r="A298" s="61">
        <v>40612</v>
      </c>
      <c r="C298">
        <v>-5.4208243489505476E-3</v>
      </c>
      <c r="E298" s="62">
        <v>40612</v>
      </c>
      <c r="G298">
        <v>-1.5050687272554476E-2</v>
      </c>
    </row>
    <row r="299" spans="1:7">
      <c r="A299" s="61">
        <v>40613</v>
      </c>
      <c r="C299">
        <v>-8.9506073626424449E-3</v>
      </c>
      <c r="E299" s="62">
        <v>40613</v>
      </c>
      <c r="G299">
        <v>-2.4449377229221431E-2</v>
      </c>
    </row>
    <row r="300" spans="1:7">
      <c r="A300" s="61">
        <v>40616</v>
      </c>
      <c r="C300">
        <v>1.3561582124515761E-2</v>
      </c>
      <c r="E300" s="62">
        <v>40616</v>
      </c>
      <c r="G300">
        <v>5.6386124298721373E-3</v>
      </c>
    </row>
    <row r="301" spans="1:7">
      <c r="A301" s="61">
        <v>40617</v>
      </c>
      <c r="C301">
        <v>-1.4663736763879788E-2</v>
      </c>
      <c r="E301" s="62">
        <v>40617</v>
      </c>
      <c r="G301">
        <v>-2.243024789613084E-2</v>
      </c>
    </row>
    <row r="302" spans="1:7">
      <c r="A302" s="61">
        <v>40618</v>
      </c>
      <c r="C302">
        <v>1.1522333768773967E-2</v>
      </c>
      <c r="E302" s="62">
        <v>40618</v>
      </c>
      <c r="G302">
        <v>-1.5932980865800542E-2</v>
      </c>
    </row>
    <row r="303" spans="1:7">
      <c r="A303" s="61">
        <v>40619</v>
      </c>
      <c r="C303">
        <v>-9.3754347911397858E-3</v>
      </c>
      <c r="E303" s="62">
        <v>40619</v>
      </c>
      <c r="G303">
        <v>8.4192851076235128E-3</v>
      </c>
    </row>
    <row r="304" spans="1:7">
      <c r="A304" s="61">
        <v>40620</v>
      </c>
      <c r="C304">
        <v>-1.1743776086776504E-2</v>
      </c>
      <c r="E304" s="62">
        <v>40620</v>
      </c>
      <c r="G304">
        <v>-7.7066491933579367E-3</v>
      </c>
    </row>
    <row r="305" spans="1:7">
      <c r="A305" s="61">
        <v>40623</v>
      </c>
      <c r="C305">
        <v>-2.1427165856465883E-3</v>
      </c>
      <c r="E305" s="62">
        <v>40623</v>
      </c>
      <c r="G305">
        <v>8.4137322780939942E-3</v>
      </c>
    </row>
    <row r="306" spans="1:7">
      <c r="A306" s="61">
        <v>40624</v>
      </c>
      <c r="C306">
        <v>9.0274988131321624E-3</v>
      </c>
      <c r="E306" s="62">
        <v>40624</v>
      </c>
      <c r="G306">
        <v>6.4180735700077709E-3</v>
      </c>
    </row>
    <row r="307" spans="1:7">
      <c r="A307" s="61">
        <v>40625</v>
      </c>
      <c r="C307">
        <v>1.1125507596760153E-2</v>
      </c>
      <c r="E307" s="62">
        <v>40625</v>
      </c>
      <c r="G307">
        <v>1.0841876234202656E-2</v>
      </c>
    </row>
    <row r="308" spans="1:7">
      <c r="A308" s="61">
        <v>40626</v>
      </c>
      <c r="C308">
        <v>7.634872000458137E-3</v>
      </c>
      <c r="E308" s="62">
        <v>40626</v>
      </c>
      <c r="G308">
        <v>2.5237401989751589E-2</v>
      </c>
    </row>
    <row r="309" spans="1:7">
      <c r="A309" s="61">
        <v>40627</v>
      </c>
      <c r="C309">
        <v>2.0343932165579066E-2</v>
      </c>
      <c r="E309" s="62">
        <v>40627</v>
      </c>
      <c r="G309">
        <v>9.230431521044153E-3</v>
      </c>
    </row>
    <row r="310" spans="1:7">
      <c r="A310" s="61">
        <v>40630</v>
      </c>
      <c r="C310">
        <v>5.733960924118077E-3</v>
      </c>
      <c r="E310" s="62">
        <v>40630</v>
      </c>
      <c r="G310">
        <v>6.09945117385592E-4</v>
      </c>
    </row>
    <row r="311" spans="1:7">
      <c r="A311" s="61">
        <v>40631</v>
      </c>
      <c r="C311">
        <v>7.2520709075993648E-3</v>
      </c>
      <c r="E311" s="62">
        <v>40631</v>
      </c>
      <c r="G311">
        <v>6.7028048858186048E-3</v>
      </c>
    </row>
    <row r="312" spans="1:7">
      <c r="A312" s="61">
        <v>40632</v>
      </c>
      <c r="C312">
        <v>1.0454398614328099E-2</v>
      </c>
      <c r="E312" s="62">
        <v>40632</v>
      </c>
      <c r="G312">
        <v>2.3002720395373499E-2</v>
      </c>
    </row>
    <row r="313" spans="1:7">
      <c r="A313" s="61">
        <v>40633</v>
      </c>
      <c r="C313">
        <v>6.2750833276648777E-3</v>
      </c>
      <c r="E313" s="62">
        <v>40633</v>
      </c>
      <c r="G313">
        <v>-5.917598015299925E-3</v>
      </c>
    </row>
    <row r="314" spans="1:7">
      <c r="A314" s="61">
        <v>40634</v>
      </c>
      <c r="C314">
        <v>1.5108241934665473E-3</v>
      </c>
      <c r="E314" s="62">
        <v>40634</v>
      </c>
      <c r="G314">
        <v>1.1904825386034939E-2</v>
      </c>
    </row>
    <row r="315" spans="1:7">
      <c r="A315" s="61">
        <v>40637</v>
      </c>
      <c r="C315">
        <v>1.3951510569939842E-2</v>
      </c>
      <c r="E315" s="62">
        <v>40637</v>
      </c>
      <c r="G315">
        <v>1.941177161180797E-2</v>
      </c>
    </row>
    <row r="316" spans="1:7">
      <c r="A316" s="61">
        <v>40638</v>
      </c>
      <c r="C316">
        <v>2.7891867423763699E-3</v>
      </c>
      <c r="E316" s="62">
        <v>40638</v>
      </c>
      <c r="G316">
        <v>0</v>
      </c>
    </row>
    <row r="317" spans="1:7">
      <c r="A317" s="61">
        <v>40639</v>
      </c>
      <c r="C317">
        <v>-1.7060315184345425E-3</v>
      </c>
      <c r="E317" s="62">
        <v>40639</v>
      </c>
      <c r="G317">
        <v>-7.5010874929871546E-3</v>
      </c>
    </row>
    <row r="318" spans="1:7">
      <c r="A318" s="61">
        <v>40640</v>
      </c>
      <c r="C318">
        <v>1.0705854972238771E-3</v>
      </c>
      <c r="E318" s="62">
        <v>40640</v>
      </c>
      <c r="G318">
        <v>6.8023387074592115E-2</v>
      </c>
    </row>
    <row r="319" spans="1:7">
      <c r="A319" s="61">
        <v>40641</v>
      </c>
      <c r="C319">
        <v>-8.8843277137884771E-3</v>
      </c>
      <c r="E319" s="62">
        <v>40641</v>
      </c>
      <c r="G319">
        <v>-2.8307199666478967E-2</v>
      </c>
    </row>
    <row r="320" spans="1:7">
      <c r="A320" s="61">
        <v>40644</v>
      </c>
      <c r="C320">
        <v>-9.084603088966154E-3</v>
      </c>
      <c r="E320" s="62">
        <v>40644</v>
      </c>
      <c r="G320">
        <v>-1.5126699179799856E-2</v>
      </c>
    </row>
    <row r="321" spans="1:7">
      <c r="A321" s="61">
        <v>40646</v>
      </c>
      <c r="C321">
        <v>1.9762872582903306E-2</v>
      </c>
      <c r="E321" s="62">
        <v>40646</v>
      </c>
      <c r="G321">
        <v>1.9340052586706312E-2</v>
      </c>
    </row>
    <row r="322" spans="1:7">
      <c r="A322" s="61">
        <v>40648</v>
      </c>
      <c r="C322">
        <v>-1.1749295307577462E-2</v>
      </c>
      <c r="E322" s="62">
        <v>40648</v>
      </c>
      <c r="G322">
        <v>-1.6182774675540124E-2</v>
      </c>
    </row>
    <row r="323" spans="1:7">
      <c r="A323" s="61">
        <v>40651</v>
      </c>
      <c r="C323">
        <v>-1.5241252722251514E-2</v>
      </c>
      <c r="E323" s="62">
        <v>40651</v>
      </c>
      <c r="G323">
        <v>-1.588157346533127E-2</v>
      </c>
    </row>
    <row r="324" spans="1:7">
      <c r="A324" s="61">
        <v>40652</v>
      </c>
      <c r="C324">
        <v>1.7344487417578554E-3</v>
      </c>
      <c r="E324" s="62">
        <v>40652</v>
      </c>
      <c r="G324">
        <v>-4.6114394668636286E-3</v>
      </c>
    </row>
    <row r="325" spans="1:7">
      <c r="A325" s="61">
        <v>40653</v>
      </c>
      <c r="C325">
        <v>1.6858633756726922E-2</v>
      </c>
      <c r="E325" s="62">
        <v>40653</v>
      </c>
      <c r="G325">
        <v>4.0536898068043474E-3</v>
      </c>
    </row>
    <row r="326" spans="1:7">
      <c r="A326" s="61">
        <v>40654</v>
      </c>
      <c r="C326">
        <v>3.9708292911383569E-3</v>
      </c>
      <c r="E326" s="62">
        <v>40654</v>
      </c>
      <c r="G326">
        <v>2.8837727818501538E-3</v>
      </c>
    </row>
    <row r="327" spans="1:7">
      <c r="A327" s="61">
        <v>40658</v>
      </c>
      <c r="C327">
        <v>-8.3300846003392013E-4</v>
      </c>
      <c r="E327" s="62">
        <v>40658</v>
      </c>
      <c r="G327">
        <v>8.6256330567712272E-3</v>
      </c>
    </row>
    <row r="328" spans="1:7">
      <c r="A328" s="61">
        <v>40659</v>
      </c>
      <c r="C328">
        <v>-8.7038587106954993E-4</v>
      </c>
      <c r="E328" s="62">
        <v>40659</v>
      </c>
      <c r="G328">
        <v>0</v>
      </c>
    </row>
    <row r="329" spans="1:7">
      <c r="A329" s="61">
        <v>40660</v>
      </c>
      <c r="C329">
        <v>-3.8517252658491364E-3</v>
      </c>
      <c r="E329" s="62">
        <v>40660</v>
      </c>
      <c r="G329">
        <v>-1.3113444072140571E-2</v>
      </c>
    </row>
    <row r="330" spans="1:7">
      <c r="A330" s="61">
        <v>40661</v>
      </c>
      <c r="C330">
        <v>-8.2961414230763291E-3</v>
      </c>
      <c r="E330" s="62">
        <v>40661</v>
      </c>
      <c r="G330">
        <v>-3.8128294254562142E-2</v>
      </c>
    </row>
    <row r="331" spans="1:7">
      <c r="A331" s="61">
        <v>40662</v>
      </c>
      <c r="C331">
        <v>-7.3147822796443256E-3</v>
      </c>
      <c r="E331" s="62">
        <v>40662</v>
      </c>
      <c r="G331">
        <v>-9.0090001734825908E-3</v>
      </c>
    </row>
    <row r="332" spans="1:7">
      <c r="A332" s="61">
        <v>40665</v>
      </c>
      <c r="C332">
        <v>-8.9343149167321854E-3</v>
      </c>
      <c r="E332" s="62">
        <v>40665</v>
      </c>
      <c r="G332">
        <v>-6.0593263345363557E-4</v>
      </c>
    </row>
    <row r="333" spans="1:7">
      <c r="A333" s="61">
        <v>40666</v>
      </c>
      <c r="C333">
        <v>-2.2679661796927035E-2</v>
      </c>
      <c r="E333" s="62">
        <v>40666</v>
      </c>
      <c r="G333">
        <v>-2.6076140570003417E-2</v>
      </c>
    </row>
    <row r="334" spans="1:7">
      <c r="A334" s="61">
        <v>40667</v>
      </c>
      <c r="C334">
        <v>-5.1760125376868592E-3</v>
      </c>
      <c r="E334" s="62">
        <v>40667</v>
      </c>
      <c r="G334">
        <v>-7.4714160802536716E-3</v>
      </c>
    </row>
    <row r="335" spans="1:7">
      <c r="A335" s="61">
        <v>40668</v>
      </c>
      <c r="C335">
        <v>-1.3440053124415041E-2</v>
      </c>
      <c r="E335" s="62">
        <v>40668</v>
      </c>
      <c r="G335">
        <v>-2.5099450848937101E-3</v>
      </c>
    </row>
    <row r="336" spans="1:7">
      <c r="A336" s="61">
        <v>40669</v>
      </c>
      <c r="C336">
        <v>1.653753616131529E-2</v>
      </c>
      <c r="E336" s="62">
        <v>40669</v>
      </c>
      <c r="G336">
        <v>5.0308811681103191E-3</v>
      </c>
    </row>
    <row r="337" spans="1:7">
      <c r="A337" s="61">
        <v>40672</v>
      </c>
      <c r="C337">
        <v>6.4806303117399626E-4</v>
      </c>
      <c r="E337" s="62">
        <v>40672</v>
      </c>
      <c r="G337">
        <v>-3.7540855205861847E-3</v>
      </c>
    </row>
    <row r="338" spans="1:7">
      <c r="A338" s="61">
        <v>40673</v>
      </c>
      <c r="C338">
        <v>-1.4149598566737115E-3</v>
      </c>
      <c r="E338" s="62">
        <v>40673</v>
      </c>
      <c r="G338">
        <v>-1.8844364281713922E-3</v>
      </c>
    </row>
    <row r="339" spans="1:7">
      <c r="A339" s="61">
        <v>40674</v>
      </c>
      <c r="C339">
        <v>4.9382280890360626E-3</v>
      </c>
      <c r="E339" s="62">
        <v>40674</v>
      </c>
      <c r="G339">
        <v>4.5940113025024945E-2</v>
      </c>
    </row>
    <row r="340" spans="1:7">
      <c r="A340" s="61">
        <v>40675</v>
      </c>
      <c r="C340">
        <v>-1.2595315426543059E-2</v>
      </c>
      <c r="E340" s="62">
        <v>40675</v>
      </c>
      <c r="G340">
        <v>-2.0456240446160606E-2</v>
      </c>
    </row>
    <row r="341" spans="1:7">
      <c r="A341" s="61">
        <v>40676</v>
      </c>
      <c r="C341">
        <v>1.0621103671207605E-2</v>
      </c>
      <c r="E341" s="62">
        <v>40676</v>
      </c>
      <c r="G341">
        <v>1.1055462791329169E-2</v>
      </c>
    </row>
    <row r="342" spans="1:7">
      <c r="A342" s="61">
        <v>40679</v>
      </c>
      <c r="C342">
        <v>-7.5815890757632244E-3</v>
      </c>
      <c r="E342" s="62">
        <v>40679</v>
      </c>
      <c r="G342">
        <v>-1.093457599329632E-2</v>
      </c>
    </row>
    <row r="343" spans="1:7">
      <c r="A343" s="61">
        <v>40680</v>
      </c>
      <c r="C343">
        <v>-9.3218297986882009E-3</v>
      </c>
      <c r="E343" s="62">
        <v>40680</v>
      </c>
      <c r="G343">
        <v>-7.9862678203821789E-3</v>
      </c>
    </row>
    <row r="344" spans="1:7">
      <c r="A344" s="61">
        <v>40681</v>
      </c>
      <c r="C344">
        <v>-4.4151925524460204E-3</v>
      </c>
      <c r="E344" s="62">
        <v>40681</v>
      </c>
      <c r="G344">
        <v>-1.1145743404477642E-2</v>
      </c>
    </row>
    <row r="345" spans="1:7">
      <c r="A345" s="61">
        <v>40682</v>
      </c>
      <c r="C345">
        <v>-3.6986365317552919E-4</v>
      </c>
      <c r="E345" s="62">
        <v>40682</v>
      </c>
      <c r="G345">
        <v>-3.1299691729322664E-3</v>
      </c>
    </row>
    <row r="346" spans="1:7">
      <c r="A346" s="61">
        <v>40683</v>
      </c>
      <c r="C346">
        <v>9.2895271896484884E-3</v>
      </c>
      <c r="E346" s="62">
        <v>40683</v>
      </c>
      <c r="G346">
        <v>1.8835674203082342E-3</v>
      </c>
    </row>
    <row r="347" spans="1:7">
      <c r="A347" s="61">
        <v>40686</v>
      </c>
      <c r="C347">
        <v>-1.6738799276775584E-2</v>
      </c>
      <c r="E347" s="62">
        <v>40686</v>
      </c>
      <c r="G347">
        <v>-1.3165103708295914E-2</v>
      </c>
    </row>
    <row r="348" spans="1:7">
      <c r="A348" s="61">
        <v>40687</v>
      </c>
      <c r="C348">
        <v>2.3673265498930225E-3</v>
      </c>
      <c r="E348" s="62">
        <v>40687</v>
      </c>
      <c r="G348">
        <v>3.8110068877053988E-3</v>
      </c>
    </row>
    <row r="349" spans="1:7">
      <c r="A349" s="61">
        <v>40688</v>
      </c>
      <c r="C349">
        <v>-7.0310384052869124E-3</v>
      </c>
      <c r="E349" s="62">
        <v>40688</v>
      </c>
      <c r="G349">
        <v>-7.594698537517066E-3</v>
      </c>
    </row>
    <row r="350" spans="1:7">
      <c r="A350" s="61">
        <v>40689</v>
      </c>
      <c r="C350">
        <v>9.4047307323034419E-3</v>
      </c>
      <c r="E350" s="62">
        <v>40689</v>
      </c>
      <c r="G350">
        <v>-1.9135122103381974E-3</v>
      </c>
    </row>
    <row r="351" spans="1:7">
      <c r="A351" s="61">
        <v>40690</v>
      </c>
      <c r="C351">
        <v>1.2491262961441764E-2</v>
      </c>
      <c r="E351" s="62">
        <v>40690</v>
      </c>
      <c r="G351">
        <v>7.668592610145959E-3</v>
      </c>
    </row>
    <row r="352" spans="1:7">
      <c r="A352" s="61">
        <v>40693</v>
      </c>
      <c r="C352">
        <v>2.1421886620572777E-3</v>
      </c>
      <c r="E352" s="62">
        <v>40693</v>
      </c>
      <c r="G352">
        <v>1.2681276530783056E-2</v>
      </c>
    </row>
    <row r="353" spans="1:7">
      <c r="A353" s="61">
        <v>40694</v>
      </c>
      <c r="C353">
        <v>1.614924917354052E-2</v>
      </c>
      <c r="E353" s="62">
        <v>40694</v>
      </c>
      <c r="G353">
        <v>9.3927194040960681E-3</v>
      </c>
    </row>
    <row r="354" spans="1:7">
      <c r="A354" s="61">
        <v>40695</v>
      </c>
      <c r="C354">
        <v>5.5700962012223652E-3</v>
      </c>
      <c r="E354" s="62">
        <v>40695</v>
      </c>
      <c r="G354">
        <v>1.7370538806892075E-2</v>
      </c>
    </row>
    <row r="355" spans="1:7">
      <c r="A355" s="61">
        <v>40696</v>
      </c>
      <c r="C355">
        <v>-7.8988063176550372E-3</v>
      </c>
      <c r="E355" s="62">
        <v>40696</v>
      </c>
      <c r="G355">
        <v>1.8295034543919599E-3</v>
      </c>
    </row>
    <row r="356" spans="1:7">
      <c r="A356" s="61">
        <v>40697</v>
      </c>
      <c r="C356">
        <v>-5.7024364955936416E-3</v>
      </c>
      <c r="E356" s="62">
        <v>40697</v>
      </c>
      <c r="G356">
        <v>-7.9131360982880265E-3</v>
      </c>
    </row>
    <row r="357" spans="1:7">
      <c r="A357" s="61">
        <v>40700</v>
      </c>
      <c r="C357">
        <v>1.8248175182482777E-3</v>
      </c>
      <c r="E357" s="62">
        <v>40700</v>
      </c>
      <c r="G357">
        <v>-2.4531357882900721E-3</v>
      </c>
    </row>
    <row r="358" spans="1:7">
      <c r="A358" s="61">
        <v>40701</v>
      </c>
      <c r="C358">
        <v>5.3941529351364328E-3</v>
      </c>
      <c r="E358" s="62">
        <v>40701</v>
      </c>
      <c r="G358">
        <v>2.459168462454754E-3</v>
      </c>
    </row>
    <row r="359" spans="1:7">
      <c r="A359" s="61">
        <v>40702</v>
      </c>
      <c r="C359">
        <v>-4.1725541767511564E-3</v>
      </c>
      <c r="E359" s="62">
        <v>40702</v>
      </c>
      <c r="G359">
        <v>-7.3617309898709035E-3</v>
      </c>
    </row>
    <row r="360" spans="1:7">
      <c r="A360" s="61">
        <v>40703</v>
      </c>
      <c r="C360">
        <v>-1.162533409664813E-3</v>
      </c>
      <c r="E360" s="62">
        <v>40703</v>
      </c>
      <c r="G360">
        <v>-7.4163280015507689E-3</v>
      </c>
    </row>
    <row r="361" spans="1:7">
      <c r="A361" s="61">
        <v>40704</v>
      </c>
      <c r="C361">
        <v>-5.7561394132042707E-3</v>
      </c>
      <c r="E361" s="62">
        <v>40704</v>
      </c>
      <c r="G361">
        <v>-9.3398632177902601E-3</v>
      </c>
    </row>
    <row r="362" spans="1:7">
      <c r="A362" s="61">
        <v>40707</v>
      </c>
      <c r="C362">
        <v>1.9451468585868583E-4</v>
      </c>
      <c r="E362" s="62">
        <v>40707</v>
      </c>
      <c r="G362">
        <v>-1.8857348405870486E-3</v>
      </c>
    </row>
    <row r="363" spans="1:7">
      <c r="A363" s="61">
        <v>40708</v>
      </c>
      <c r="C363">
        <v>3.5111912591493551E-3</v>
      </c>
      <c r="E363" s="62">
        <v>40708</v>
      </c>
      <c r="G363">
        <v>2.5189872361945109E-3</v>
      </c>
    </row>
    <row r="364" spans="1:7">
      <c r="A364" s="61">
        <v>40709</v>
      </c>
      <c r="C364">
        <v>-8.8194980320857059E-3</v>
      </c>
      <c r="E364" s="62">
        <v>40709</v>
      </c>
      <c r="G364">
        <v>-1.6960526186825448E-2</v>
      </c>
    </row>
    <row r="365" spans="1:7">
      <c r="A365" s="61">
        <v>40710</v>
      </c>
      <c r="C365">
        <v>-8.7842161393530162E-3</v>
      </c>
      <c r="E365" s="62">
        <v>40710</v>
      </c>
      <c r="G365">
        <v>-6.3893707257827439E-3</v>
      </c>
    </row>
    <row r="366" spans="1:7">
      <c r="A366" s="61">
        <v>40711</v>
      </c>
      <c r="C366">
        <v>-6.0359575223523834E-3</v>
      </c>
      <c r="E366" s="62">
        <v>40711</v>
      </c>
      <c r="G366">
        <v>6.4304573014178192E-3</v>
      </c>
    </row>
    <row r="367" spans="1:7">
      <c r="A367" s="61">
        <v>40714</v>
      </c>
      <c r="C367">
        <v>-2.0750795609534405E-2</v>
      </c>
      <c r="E367" s="62">
        <v>40714</v>
      </c>
      <c r="G367">
        <v>-6.2619919805749227E-2</v>
      </c>
    </row>
    <row r="368" spans="1:7">
      <c r="A368" s="61">
        <v>40715</v>
      </c>
      <c r="C368">
        <v>1.5291364984616855E-3</v>
      </c>
      <c r="E368" s="62">
        <v>40715</v>
      </c>
      <c r="G368">
        <v>0</v>
      </c>
    </row>
    <row r="369" spans="1:7">
      <c r="A369" s="61">
        <v>40716</v>
      </c>
      <c r="C369">
        <v>-1.8542364151429174E-3</v>
      </c>
      <c r="E369" s="62">
        <v>40716</v>
      </c>
      <c r="G369">
        <v>6.1359951808342096E-3</v>
      </c>
    </row>
    <row r="370" spans="1:7">
      <c r="A370" s="61">
        <v>40717</v>
      </c>
      <c r="C370">
        <v>5.7868237340863351E-3</v>
      </c>
      <c r="E370" s="62">
        <v>40717</v>
      </c>
      <c r="G370">
        <v>-2.7106055393850653E-3</v>
      </c>
    </row>
    <row r="371" spans="1:7">
      <c r="A371" s="61">
        <v>40718</v>
      </c>
      <c r="C371">
        <v>2.636362303757003E-2</v>
      </c>
      <c r="E371" s="62">
        <v>40718</v>
      </c>
      <c r="G371">
        <v>3.5326329078760106E-2</v>
      </c>
    </row>
    <row r="372" spans="1:7">
      <c r="A372" s="61">
        <v>40721</v>
      </c>
      <c r="C372">
        <v>1.1147213196700917E-2</v>
      </c>
      <c r="E372" s="62">
        <v>40721</v>
      </c>
      <c r="G372">
        <v>1.9028672255800058E-2</v>
      </c>
    </row>
    <row r="373" spans="1:7">
      <c r="A373" s="61">
        <v>40722</v>
      </c>
      <c r="C373">
        <v>3.2168987824515265E-3</v>
      </c>
      <c r="E373" s="62">
        <v>40722</v>
      </c>
      <c r="G373">
        <v>4.5079715894905713E-3</v>
      </c>
    </row>
    <row r="374" spans="1:7">
      <c r="A374" s="61">
        <v>40723</v>
      </c>
      <c r="C374">
        <v>8.3666839139326168E-3</v>
      </c>
      <c r="E374" s="62">
        <v>40723</v>
      </c>
      <c r="G374">
        <v>-5.7699568431924756E-3</v>
      </c>
    </row>
    <row r="375" spans="1:7">
      <c r="A375" s="61">
        <v>40724</v>
      </c>
      <c r="C375">
        <v>7.0161965931303787E-3</v>
      </c>
      <c r="E375" s="62">
        <v>40724</v>
      </c>
      <c r="G375">
        <v>-6.4494554526740703E-4</v>
      </c>
    </row>
    <row r="376" spans="1:7">
      <c r="A376" s="61">
        <v>40725</v>
      </c>
      <c r="C376">
        <v>-9.8443620229475733E-4</v>
      </c>
      <c r="E376" s="62">
        <v>40725</v>
      </c>
      <c r="G376">
        <v>9.6774269540713387E-3</v>
      </c>
    </row>
    <row r="377" spans="1:7">
      <c r="A377" s="61">
        <v>40728</v>
      </c>
      <c r="C377">
        <v>5.7354808713212775E-3</v>
      </c>
      <c r="E377" s="62">
        <v>40728</v>
      </c>
      <c r="G377">
        <v>2.9394163112499677E-2</v>
      </c>
    </row>
    <row r="378" spans="1:7">
      <c r="A378" s="61">
        <v>40729</v>
      </c>
      <c r="C378">
        <v>-3.0187090964917422E-3</v>
      </c>
      <c r="E378" s="62">
        <v>40729</v>
      </c>
      <c r="G378">
        <v>6.2068107826731087E-3</v>
      </c>
    </row>
    <row r="379" spans="1:7">
      <c r="A379" s="61">
        <v>40730</v>
      </c>
      <c r="C379">
        <v>-6.9900063671344496E-4</v>
      </c>
      <c r="E379" s="62">
        <v>40730</v>
      </c>
      <c r="G379">
        <v>-6.785618361269701E-3</v>
      </c>
    </row>
    <row r="380" spans="1:7">
      <c r="A380" s="61">
        <v>40731</v>
      </c>
      <c r="C380">
        <v>1.6614608943770738E-2</v>
      </c>
      <c r="E380" s="62">
        <v>40731</v>
      </c>
      <c r="G380">
        <v>1.366374380587777E-2</v>
      </c>
    </row>
    <row r="381" spans="1:7">
      <c r="A381" s="61">
        <v>40732</v>
      </c>
      <c r="C381">
        <v>-1.1891136998433241E-2</v>
      </c>
      <c r="E381" s="62">
        <v>40732</v>
      </c>
      <c r="G381">
        <v>3.6770427612717134E-3</v>
      </c>
    </row>
    <row r="382" spans="1:7">
      <c r="A382" s="61">
        <v>40735</v>
      </c>
      <c r="C382">
        <v>-7.3460213934344104E-3</v>
      </c>
      <c r="E382" s="62">
        <v>40735</v>
      </c>
      <c r="G382">
        <v>-2.3199417428485282E-2</v>
      </c>
    </row>
    <row r="383" spans="1:7">
      <c r="A383" s="61">
        <v>40736</v>
      </c>
      <c r="C383">
        <v>-1.4675751324845903E-2</v>
      </c>
      <c r="E383" s="62">
        <v>40736</v>
      </c>
      <c r="G383">
        <v>-1.8749895726577807E-2</v>
      </c>
    </row>
    <row r="384" spans="1:7">
      <c r="A384" s="61">
        <v>40737</v>
      </c>
      <c r="C384">
        <v>1.0961047749284504E-2</v>
      </c>
      <c r="E384" s="62">
        <v>40737</v>
      </c>
      <c r="G384">
        <v>-1.9109587633137676E-3</v>
      </c>
    </row>
    <row r="385" spans="1:7">
      <c r="A385" s="61">
        <v>40738</v>
      </c>
      <c r="C385">
        <v>4.0300932220525398E-3</v>
      </c>
      <c r="E385" s="62">
        <v>40738</v>
      </c>
      <c r="G385">
        <v>5.7441854416614199E-3</v>
      </c>
    </row>
    <row r="386" spans="1:7">
      <c r="A386" s="61">
        <v>40739</v>
      </c>
      <c r="C386">
        <v>-2.5972402586129134E-3</v>
      </c>
      <c r="E386" s="62">
        <v>40739</v>
      </c>
      <c r="G386">
        <v>2.5370871687552792E-3</v>
      </c>
    </row>
    <row r="387" spans="1:7">
      <c r="A387" s="61">
        <v>40742</v>
      </c>
      <c r="C387">
        <v>-1.40992167101834E-3</v>
      </c>
      <c r="E387" s="62">
        <v>40742</v>
      </c>
      <c r="G387">
        <v>3.1648369151057502E-3</v>
      </c>
    </row>
    <row r="388" spans="1:7">
      <c r="A388" s="61">
        <v>40743</v>
      </c>
      <c r="C388">
        <v>6.4703934180482146E-3</v>
      </c>
      <c r="E388" s="62">
        <v>40743</v>
      </c>
      <c r="G388">
        <v>-2.523970573122447E-3</v>
      </c>
    </row>
    <row r="389" spans="1:7">
      <c r="A389" s="61">
        <v>40744</v>
      </c>
      <c r="C389">
        <v>-9.456150134568353E-3</v>
      </c>
      <c r="E389" s="62">
        <v>40744</v>
      </c>
      <c r="G389">
        <v>-5.5329855980475549E-3</v>
      </c>
    </row>
    <row r="390" spans="1:7">
      <c r="A390" s="61">
        <v>40745</v>
      </c>
      <c r="C390">
        <v>-5.2487839676051834E-3</v>
      </c>
      <c r="E390" s="62">
        <v>40745</v>
      </c>
      <c r="G390">
        <v>-8.3813710184025784E-3</v>
      </c>
    </row>
    <row r="391" spans="1:7">
      <c r="A391" s="61">
        <v>40746</v>
      </c>
      <c r="C391">
        <v>1.5731008542201289E-2</v>
      </c>
      <c r="E391" s="62">
        <v>40746</v>
      </c>
      <c r="G391">
        <v>1.3004052314304054E-3</v>
      </c>
    </row>
    <row r="392" spans="1:7">
      <c r="A392" s="61">
        <v>40749</v>
      </c>
      <c r="C392">
        <v>7.6727404869439079E-3</v>
      </c>
      <c r="E392" s="62">
        <v>40749</v>
      </c>
      <c r="G392">
        <v>1.2987323546679169E-2</v>
      </c>
    </row>
    <row r="393" spans="1:7">
      <c r="A393" s="61">
        <v>40750</v>
      </c>
      <c r="C393">
        <v>-1.6763863416242485E-2</v>
      </c>
      <c r="E393" s="62">
        <v>40750</v>
      </c>
      <c r="G393">
        <v>-8.9740875109061667E-3</v>
      </c>
    </row>
    <row r="394" spans="1:7">
      <c r="A394" s="61">
        <v>40751</v>
      </c>
      <c r="C394">
        <v>-3.6886834962850993E-3</v>
      </c>
      <c r="E394" s="62">
        <v>40751</v>
      </c>
      <c r="G394">
        <v>2.5863376400850533E-3</v>
      </c>
    </row>
    <row r="395" spans="1:7">
      <c r="A395" s="61">
        <v>40752</v>
      </c>
      <c r="C395">
        <v>-1.0689806293277161E-2</v>
      </c>
      <c r="E395" s="62">
        <v>40752</v>
      </c>
      <c r="G395">
        <v>-2.9677313863528797E-2</v>
      </c>
    </row>
    <row r="396" spans="1:7">
      <c r="A396" s="61">
        <v>40753</v>
      </c>
      <c r="C396">
        <v>-4.5716148786573239E-3</v>
      </c>
      <c r="E396" s="62">
        <v>40753</v>
      </c>
      <c r="G396">
        <v>1.0638483977504904E-2</v>
      </c>
    </row>
    <row r="397" spans="1:7">
      <c r="A397" s="61">
        <v>40756</v>
      </c>
      <c r="C397">
        <v>4.400361712580788E-3</v>
      </c>
      <c r="E397" s="62">
        <v>40756</v>
      </c>
      <c r="G397">
        <v>4.6056998134964347E-3</v>
      </c>
    </row>
    <row r="398" spans="1:7">
      <c r="A398" s="61">
        <v>40757</v>
      </c>
      <c r="C398">
        <v>-1.0818014901354728E-2</v>
      </c>
      <c r="E398" s="62">
        <v>40757</v>
      </c>
      <c r="G398">
        <v>-7.8593820632553123E-3</v>
      </c>
    </row>
    <row r="399" spans="1:7">
      <c r="A399" s="61">
        <v>40758</v>
      </c>
      <c r="C399">
        <v>-8.2201598165333439E-3</v>
      </c>
      <c r="E399" s="62">
        <v>40758</v>
      </c>
      <c r="G399">
        <v>2.3102427885618445E-2</v>
      </c>
    </row>
    <row r="400" spans="1:7">
      <c r="A400" s="61">
        <v>40759</v>
      </c>
      <c r="C400">
        <v>-1.1561696100817989E-2</v>
      </c>
      <c r="E400" s="62">
        <v>40759</v>
      </c>
      <c r="G400">
        <v>-1.2902226022992676E-2</v>
      </c>
    </row>
    <row r="401" spans="1:7">
      <c r="A401" s="61">
        <v>40760</v>
      </c>
      <c r="C401">
        <v>-2.1339591192209881E-2</v>
      </c>
      <c r="E401" s="62">
        <v>40760</v>
      </c>
      <c r="G401">
        <v>-3.2683753660746311E-3</v>
      </c>
    </row>
    <row r="402" spans="1:7">
      <c r="A402" s="61">
        <v>40763</v>
      </c>
      <c r="C402">
        <v>-1.6613256243043578E-2</v>
      </c>
      <c r="E402" s="62">
        <v>40763</v>
      </c>
      <c r="G402">
        <v>-1.7704327627703343E-2</v>
      </c>
    </row>
    <row r="403" spans="1:7">
      <c r="A403" s="61">
        <v>40764</v>
      </c>
      <c r="C403">
        <v>-9.7421094610505871E-3</v>
      </c>
      <c r="E403" s="62">
        <v>40764</v>
      </c>
      <c r="G403">
        <v>-3.3378048184714161E-2</v>
      </c>
    </row>
    <row r="404" spans="1:7">
      <c r="A404" s="61">
        <v>40765</v>
      </c>
      <c r="C404">
        <v>1.8107201073928481E-2</v>
      </c>
      <c r="E404" s="62">
        <v>40765</v>
      </c>
      <c r="G404">
        <v>2.5551423448347696E-2</v>
      </c>
    </row>
    <row r="405" spans="1:7">
      <c r="A405" s="61">
        <v>40766</v>
      </c>
      <c r="C405">
        <v>-4.1703397301146609E-3</v>
      </c>
      <c r="E405" s="62">
        <v>40766</v>
      </c>
      <c r="G405">
        <v>-1.3466865046826627E-2</v>
      </c>
    </row>
    <row r="406" spans="1:7">
      <c r="A406" s="61">
        <v>40767</v>
      </c>
      <c r="C406">
        <v>-1.1356629176928104E-2</v>
      </c>
      <c r="E406" s="62">
        <v>40767</v>
      </c>
      <c r="G406">
        <v>-1.5700272533493636E-2</v>
      </c>
    </row>
    <row r="407" spans="1:7">
      <c r="A407" s="61">
        <v>40771</v>
      </c>
      <c r="C407">
        <v>-9.3480831263846442E-3</v>
      </c>
      <c r="E407" s="62">
        <v>40771</v>
      </c>
      <c r="G407">
        <v>-2.4272093056307033E-2</v>
      </c>
    </row>
    <row r="408" spans="1:7">
      <c r="A408" s="61">
        <v>40772</v>
      </c>
      <c r="C408">
        <v>1.1974012530224373E-3</v>
      </c>
      <c r="E408" s="62">
        <v>40772</v>
      </c>
      <c r="G408">
        <v>-3.5542268287724558E-3</v>
      </c>
    </row>
    <row r="409" spans="1:7">
      <c r="A409" s="61">
        <v>40773</v>
      </c>
      <c r="C409">
        <v>-2.1801361090106542E-2</v>
      </c>
      <c r="E409" s="62">
        <v>40773</v>
      </c>
      <c r="G409">
        <v>-9.9854429357928536E-3</v>
      </c>
    </row>
    <row r="410" spans="1:7">
      <c r="A410" s="61">
        <v>40774</v>
      </c>
      <c r="C410">
        <v>-1.7747768711078155E-2</v>
      </c>
      <c r="E410" s="62">
        <v>40774</v>
      </c>
      <c r="G410">
        <v>-1.6569692502689654E-2</v>
      </c>
    </row>
    <row r="411" spans="1:7">
      <c r="A411" s="61">
        <v>40777</v>
      </c>
      <c r="C411">
        <v>1.1375088836512681E-2</v>
      </c>
      <c r="E411" s="62">
        <v>40777</v>
      </c>
      <c r="G411">
        <v>2.9303043709018532E-2</v>
      </c>
    </row>
    <row r="412" spans="1:7">
      <c r="A412" s="61">
        <v>40778</v>
      </c>
      <c r="C412">
        <v>9.8179335096035582E-3</v>
      </c>
      <c r="E412" s="62">
        <v>40778</v>
      </c>
      <c r="G412">
        <v>2.7047019749364479E-2</v>
      </c>
    </row>
    <row r="413" spans="1:7">
      <c r="A413" s="61">
        <v>40779</v>
      </c>
      <c r="C413">
        <v>-1.1011994857661894E-2</v>
      </c>
      <c r="E413" s="62">
        <v>40779</v>
      </c>
      <c r="G413">
        <v>1.3167162400010935E-2</v>
      </c>
    </row>
    <row r="414" spans="1:7">
      <c r="A414" s="61">
        <v>40780</v>
      </c>
      <c r="C414">
        <v>-1.0152728197870855E-2</v>
      </c>
      <c r="E414" s="62">
        <v>40780</v>
      </c>
      <c r="G414">
        <v>-2.0522972974605551E-3</v>
      </c>
    </row>
    <row r="415" spans="1:7">
      <c r="A415" s="61">
        <v>40781</v>
      </c>
      <c r="C415">
        <v>-1.990731072593218E-2</v>
      </c>
      <c r="E415" s="62">
        <v>40781</v>
      </c>
      <c r="G415">
        <v>-1.4393815706770032E-2</v>
      </c>
    </row>
    <row r="416" spans="1:7">
      <c r="A416" s="61">
        <v>40784</v>
      </c>
      <c r="C416">
        <v>3.39729642241045E-2</v>
      </c>
      <c r="E416" s="62">
        <v>40784</v>
      </c>
      <c r="G416">
        <v>-7.6490285945280739E-3</v>
      </c>
    </row>
    <row r="417" spans="1:7">
      <c r="A417" s="61">
        <v>40785</v>
      </c>
      <c r="C417">
        <v>1.5681348033193456E-2</v>
      </c>
      <c r="E417" s="62">
        <v>40785</v>
      </c>
      <c r="G417">
        <v>1.0511463198856815E-2</v>
      </c>
    </row>
    <row r="418" spans="1:7">
      <c r="A418" s="61">
        <v>40788</v>
      </c>
      <c r="C418">
        <v>8.3380479525548088E-3</v>
      </c>
      <c r="E418" s="62">
        <v>40788</v>
      </c>
      <c r="G418">
        <v>1.3869955861333322E-2</v>
      </c>
    </row>
    <row r="419" spans="1:7">
      <c r="A419" s="61">
        <v>40791</v>
      </c>
      <c r="C419">
        <v>-2.430039623576105E-3</v>
      </c>
      <c r="E419" s="62">
        <v>40791</v>
      </c>
      <c r="G419">
        <v>-1.2312100444948125E-2</v>
      </c>
    </row>
    <row r="420" spans="1:7">
      <c r="A420" s="61">
        <v>40792</v>
      </c>
      <c r="C420">
        <v>7.4940652588789021E-3</v>
      </c>
      <c r="E420" s="62">
        <v>40792</v>
      </c>
      <c r="G420">
        <v>-6.9246668663196904E-4</v>
      </c>
    </row>
    <row r="421" spans="1:7">
      <c r="A421" s="61">
        <v>40793</v>
      </c>
      <c r="C421">
        <v>1.3097914805802807E-2</v>
      </c>
      <c r="E421" s="62">
        <v>40793</v>
      </c>
      <c r="G421">
        <v>1.9403448592369449E-2</v>
      </c>
    </row>
    <row r="422" spans="1:7">
      <c r="A422" s="61">
        <v>40794</v>
      </c>
      <c r="C422">
        <v>4.5223418890468466E-3</v>
      </c>
      <c r="E422" s="62">
        <v>40794</v>
      </c>
      <c r="G422">
        <v>-1.3596415614316867E-2</v>
      </c>
    </row>
    <row r="423" spans="1:7">
      <c r="A423" s="61">
        <v>40795</v>
      </c>
      <c r="C423">
        <v>-1.6842710571713923E-2</v>
      </c>
      <c r="E423" s="62">
        <v>40795</v>
      </c>
      <c r="G423">
        <v>-4.8235312239644995E-3</v>
      </c>
    </row>
    <row r="424" spans="1:7">
      <c r="A424" s="61">
        <v>40798</v>
      </c>
      <c r="C424">
        <v>-2.2056673182594837E-2</v>
      </c>
      <c r="E424" s="62">
        <v>40798</v>
      </c>
      <c r="G424">
        <v>-9.6950604037855069E-3</v>
      </c>
    </row>
    <row r="425" spans="1:7">
      <c r="A425" s="61">
        <v>40799</v>
      </c>
      <c r="C425">
        <v>-1.152889700327309E-3</v>
      </c>
      <c r="E425" s="62">
        <v>40799</v>
      </c>
      <c r="G425">
        <v>-2.0981601835921549E-3</v>
      </c>
    </row>
    <row r="426" spans="1:7">
      <c r="A426" s="61">
        <v>40800</v>
      </c>
      <c r="C426">
        <v>1.1821895521388437E-2</v>
      </c>
      <c r="E426" s="62">
        <v>40800</v>
      </c>
      <c r="G426">
        <v>-2.1026344295749983E-3</v>
      </c>
    </row>
    <row r="427" spans="1:7">
      <c r="A427" s="61">
        <v>40801</v>
      </c>
      <c r="C427">
        <v>1.2209365704763882E-2</v>
      </c>
      <c r="E427" s="62">
        <v>40801</v>
      </c>
      <c r="G427">
        <v>1.1236039792180717E-2</v>
      </c>
    </row>
    <row r="428" spans="1:7">
      <c r="A428" s="61">
        <v>40802</v>
      </c>
      <c r="C428">
        <v>1.6731541455759147E-3</v>
      </c>
      <c r="E428" s="62">
        <v>40802</v>
      </c>
      <c r="G428">
        <v>0</v>
      </c>
    </row>
    <row r="429" spans="1:7">
      <c r="A429" s="61">
        <v>40805</v>
      </c>
      <c r="C429">
        <v>-8.7588269853276952E-3</v>
      </c>
      <c r="E429" s="62">
        <v>40805</v>
      </c>
      <c r="G429">
        <v>-7.638465184851043E-3</v>
      </c>
    </row>
    <row r="430" spans="1:7">
      <c r="A430" s="61">
        <v>40806</v>
      </c>
      <c r="C430">
        <v>1.8509192614917271E-2</v>
      </c>
      <c r="E430" s="62">
        <v>40806</v>
      </c>
      <c r="G430">
        <v>2.7290803681202912E-2</v>
      </c>
    </row>
    <row r="431" spans="1:7">
      <c r="A431" s="61">
        <v>40807</v>
      </c>
      <c r="C431">
        <v>1.095390232770466E-3</v>
      </c>
      <c r="E431" s="62">
        <v>40807</v>
      </c>
      <c r="G431">
        <v>-8.8552519610979805E-3</v>
      </c>
    </row>
    <row r="432" spans="1:7">
      <c r="A432" s="61">
        <v>40808</v>
      </c>
      <c r="C432">
        <v>-3.9075560013373423E-2</v>
      </c>
      <c r="E432" s="62">
        <v>40808</v>
      </c>
      <c r="G432">
        <v>-3.5739040590596446E-2</v>
      </c>
    </row>
    <row r="433" spans="1:7">
      <c r="A433" s="61">
        <v>40809</v>
      </c>
      <c r="C433">
        <v>-1.0588202733638381E-2</v>
      </c>
      <c r="E433" s="62">
        <v>40809</v>
      </c>
      <c r="G433">
        <v>-3.5628462603685481E-3</v>
      </c>
    </row>
    <row r="434" spans="1:7">
      <c r="A434" s="61">
        <v>40812</v>
      </c>
      <c r="C434">
        <v>-8.8273491977860462E-3</v>
      </c>
      <c r="E434" s="62">
        <v>40812</v>
      </c>
      <c r="G434">
        <v>-7.1539716840858412E-3</v>
      </c>
    </row>
    <row r="435" spans="1:7">
      <c r="A435" s="61">
        <v>40813</v>
      </c>
      <c r="C435">
        <v>2.5508393942814744E-2</v>
      </c>
      <c r="E435" s="62">
        <v>40813</v>
      </c>
      <c r="G435">
        <v>1.9453586454736393E-2</v>
      </c>
    </row>
    <row r="436" spans="1:7">
      <c r="A436" s="61">
        <v>40814</v>
      </c>
      <c r="C436">
        <v>-5.7241029552253849E-3</v>
      </c>
      <c r="E436" s="62">
        <v>40814</v>
      </c>
      <c r="G436">
        <v>-9.1886760627196626E-3</v>
      </c>
    </row>
    <row r="437" spans="1:7">
      <c r="A437" s="61">
        <v>40815</v>
      </c>
      <c r="C437">
        <v>1.0288366870035223E-2</v>
      </c>
      <c r="E437" s="62">
        <v>40815</v>
      </c>
      <c r="G437">
        <v>2.8535171497076897E-3</v>
      </c>
    </row>
    <row r="438" spans="1:7">
      <c r="A438" s="61">
        <v>40816</v>
      </c>
      <c r="C438">
        <v>-1.2841034953758945E-2</v>
      </c>
      <c r="E438" s="62">
        <v>40816</v>
      </c>
      <c r="G438">
        <v>1.493646849975183E-2</v>
      </c>
    </row>
    <row r="439" spans="1:7">
      <c r="A439" s="61">
        <v>40819</v>
      </c>
      <c r="C439">
        <v>-1.4988423172684964E-2</v>
      </c>
      <c r="E439" s="62">
        <v>40819</v>
      </c>
      <c r="G439">
        <v>-2.6629909734096811E-2</v>
      </c>
    </row>
    <row r="440" spans="1:7">
      <c r="A440" s="61">
        <v>40820</v>
      </c>
      <c r="C440">
        <v>-1.468117006611069E-2</v>
      </c>
      <c r="E440" s="62">
        <v>40820</v>
      </c>
      <c r="G440">
        <v>-2.1599659876793383E-3</v>
      </c>
    </row>
    <row r="441" spans="1:7">
      <c r="A441" s="61">
        <v>40821</v>
      </c>
      <c r="C441">
        <v>-7.2406045751633617E-3</v>
      </c>
      <c r="E441" s="62">
        <v>40821</v>
      </c>
      <c r="G441">
        <v>6.4942958907663233E-3</v>
      </c>
    </row>
    <row r="442" spans="1:7">
      <c r="A442" s="61">
        <v>40823</v>
      </c>
      <c r="C442">
        <v>1.8897038401003888E-2</v>
      </c>
      <c r="E442" s="62">
        <v>40823</v>
      </c>
      <c r="G442">
        <v>-1.1469552571574577E-2</v>
      </c>
    </row>
    <row r="443" spans="1:7">
      <c r="A443" s="61">
        <v>40826</v>
      </c>
      <c r="C443">
        <v>1.0701881915838787E-2</v>
      </c>
      <c r="E443" s="62">
        <v>40826</v>
      </c>
      <c r="G443">
        <v>9.4268880696081921E-3</v>
      </c>
    </row>
    <row r="444" spans="1:7">
      <c r="A444" s="61">
        <v>40827</v>
      </c>
      <c r="C444">
        <v>1.2186838214728095E-2</v>
      </c>
      <c r="E444" s="62">
        <v>40827</v>
      </c>
      <c r="G444">
        <v>-1.0057299153088641E-2</v>
      </c>
    </row>
    <row r="445" spans="1:7">
      <c r="A445" s="61">
        <v>40828</v>
      </c>
      <c r="C445">
        <v>1.1586136112427115E-2</v>
      </c>
      <c r="E445" s="62">
        <v>40828</v>
      </c>
      <c r="G445">
        <v>1.5965707360297884E-2</v>
      </c>
    </row>
    <row r="446" spans="1:7">
      <c r="A446" s="61">
        <v>40829</v>
      </c>
      <c r="C446">
        <v>9.4339622641508355E-3</v>
      </c>
      <c r="E446" s="62">
        <v>40829</v>
      </c>
      <c r="G446">
        <v>-1.9286692481507953E-2</v>
      </c>
    </row>
    <row r="447" spans="1:7">
      <c r="A447" s="61">
        <v>40830</v>
      </c>
      <c r="C447">
        <v>-1.1887618513758799E-3</v>
      </c>
      <c r="E447" s="62">
        <v>40830</v>
      </c>
      <c r="G447">
        <v>-2.1852668826394185E-3</v>
      </c>
    </row>
    <row r="448" spans="1:7">
      <c r="A448" s="61">
        <v>40833</v>
      </c>
      <c r="C448">
        <v>6.4637238015986202E-3</v>
      </c>
      <c r="E448" s="62">
        <v>40833</v>
      </c>
      <c r="G448">
        <v>0</v>
      </c>
    </row>
    <row r="449" spans="1:7">
      <c r="A449" s="61">
        <v>40834</v>
      </c>
      <c r="C449">
        <v>-1.5574826465667909E-2</v>
      </c>
      <c r="E449" s="62">
        <v>40834</v>
      </c>
      <c r="G449">
        <v>-5.8386545205450164E-3</v>
      </c>
    </row>
    <row r="450" spans="1:7">
      <c r="A450" s="61">
        <v>40835</v>
      </c>
      <c r="C450">
        <v>9.6587690684998926E-3</v>
      </c>
      <c r="E450" s="62">
        <v>40835</v>
      </c>
      <c r="G450">
        <v>1.468452164482132E-2</v>
      </c>
    </row>
    <row r="451" spans="1:7">
      <c r="A451" s="61">
        <v>40836</v>
      </c>
      <c r="C451">
        <v>-2.7567395026261575E-3</v>
      </c>
      <c r="E451" s="62">
        <v>40836</v>
      </c>
      <c r="G451">
        <v>-2.8946151225661926E-3</v>
      </c>
    </row>
    <row r="452" spans="1:7">
      <c r="A452" s="61">
        <v>40837</v>
      </c>
      <c r="C452">
        <v>-3.8701041727288248E-3</v>
      </c>
      <c r="E452" s="62">
        <v>40837</v>
      </c>
      <c r="G452">
        <v>-7.2576267873764456E-4</v>
      </c>
    </row>
    <row r="453" spans="1:7">
      <c r="A453" s="61">
        <v>40840</v>
      </c>
      <c r="C453">
        <v>2.716676890719446E-3</v>
      </c>
      <c r="E453" s="62">
        <v>40840</v>
      </c>
      <c r="G453">
        <v>7.2628979276318016E-4</v>
      </c>
    </row>
    <row r="454" spans="1:7">
      <c r="A454" s="61">
        <v>40841</v>
      </c>
      <c r="C454">
        <v>8.797995688399677E-3</v>
      </c>
      <c r="E454" s="62">
        <v>40841</v>
      </c>
      <c r="G454">
        <v>-3.6289108093178831E-3</v>
      </c>
    </row>
    <row r="455" spans="1:7">
      <c r="A455" s="61">
        <v>40844</v>
      </c>
      <c r="C455">
        <v>2.4695366515145763E-2</v>
      </c>
      <c r="E455" s="62">
        <v>40844</v>
      </c>
      <c r="G455">
        <v>1.748078257016555E-2</v>
      </c>
    </row>
    <row r="456" spans="1:7">
      <c r="A456" s="61">
        <v>40847</v>
      </c>
      <c r="C456">
        <v>1.9011761197366139E-3</v>
      </c>
      <c r="E456" s="62">
        <v>40847</v>
      </c>
      <c r="G456">
        <v>7.1582759235503312E-4</v>
      </c>
    </row>
    <row r="457" spans="1:7">
      <c r="A457" s="61">
        <v>40848</v>
      </c>
      <c r="C457">
        <v>-1.1013338790392893E-2</v>
      </c>
      <c r="E457" s="62">
        <v>40848</v>
      </c>
      <c r="G457">
        <v>-5.7231645443414211E-3</v>
      </c>
    </row>
    <row r="458" spans="1:7">
      <c r="A458" s="61">
        <v>40849</v>
      </c>
      <c r="C458">
        <v>-5.2293974906416699E-3</v>
      </c>
      <c r="E458" s="62">
        <v>40849</v>
      </c>
      <c r="G458">
        <v>1.4390430197327364E-3</v>
      </c>
    </row>
    <row r="459" spans="1:7">
      <c r="A459" s="61">
        <v>40850</v>
      </c>
      <c r="C459">
        <v>3.0350017964185429E-3</v>
      </c>
      <c r="E459" s="62">
        <v>40850</v>
      </c>
      <c r="G459">
        <v>2.7299361551000319E-2</v>
      </c>
    </row>
    <row r="460" spans="1:7">
      <c r="A460" s="61">
        <v>40851</v>
      </c>
      <c r="C460">
        <v>9.1717175525747041E-3</v>
      </c>
      <c r="E460" s="62">
        <v>40851</v>
      </c>
      <c r="G460">
        <v>6.9941801893511828E-4</v>
      </c>
    </row>
    <row r="461" spans="1:7">
      <c r="A461" s="61">
        <v>40855</v>
      </c>
      <c r="C461">
        <v>-1.0648234634783892E-3</v>
      </c>
      <c r="E461" s="62">
        <v>40855</v>
      </c>
      <c r="G461">
        <v>-7.6880645820314106E-3</v>
      </c>
    </row>
    <row r="462" spans="1:7">
      <c r="A462" s="61">
        <v>40856</v>
      </c>
      <c r="C462">
        <v>-5.6664110859686537E-3</v>
      </c>
      <c r="E462" s="62">
        <v>40856</v>
      </c>
      <c r="G462">
        <v>-1.7604871369656883E-2</v>
      </c>
    </row>
    <row r="463" spans="1:7">
      <c r="A463" s="61">
        <v>40858</v>
      </c>
      <c r="C463">
        <v>-1.8102313334587172E-2</v>
      </c>
      <c r="E463" s="62">
        <v>40858</v>
      </c>
      <c r="G463">
        <v>-1.5054223785486003E-2</v>
      </c>
    </row>
    <row r="464" spans="1:7">
      <c r="A464" s="61">
        <v>40861</v>
      </c>
      <c r="C464">
        <v>-3.2562371306801092E-4</v>
      </c>
      <c r="E464" s="62">
        <v>40861</v>
      </c>
      <c r="G464">
        <v>-2.0378063916129386E-2</v>
      </c>
    </row>
    <row r="465" spans="1:7">
      <c r="A465" s="61">
        <v>40862</v>
      </c>
      <c r="C465">
        <v>-1.6832565313610784E-2</v>
      </c>
      <c r="E465" s="62">
        <v>40862</v>
      </c>
      <c r="G465">
        <v>-0.10995557090092484</v>
      </c>
    </row>
    <row r="466" spans="1:7">
      <c r="A466" s="61">
        <v>40863</v>
      </c>
      <c r="C466">
        <v>-1.257015902712798E-2</v>
      </c>
      <c r="E466" s="62">
        <v>40863</v>
      </c>
      <c r="G466">
        <v>-1.6696739348388721E-3</v>
      </c>
    </row>
    <row r="467" spans="1:7">
      <c r="A467" s="61">
        <v>40864</v>
      </c>
      <c r="C467">
        <v>-1.2611759133163704E-2</v>
      </c>
      <c r="E467" s="62">
        <v>40864</v>
      </c>
      <c r="G467">
        <v>-9.1968910027050502E-3</v>
      </c>
    </row>
    <row r="468" spans="1:7">
      <c r="A468" s="61">
        <v>40865</v>
      </c>
      <c r="C468">
        <v>-1.4821699848085181E-2</v>
      </c>
      <c r="E468" s="62">
        <v>40865</v>
      </c>
      <c r="G468">
        <v>1.2658240275621763E-2</v>
      </c>
    </row>
    <row r="469" spans="1:7">
      <c r="A469" s="61">
        <v>40868</v>
      </c>
      <c r="C469">
        <v>-1.4851937143030833E-2</v>
      </c>
      <c r="E469" s="62">
        <v>40868</v>
      </c>
      <c r="G469">
        <v>-4.7500970807028989E-2</v>
      </c>
    </row>
    <row r="470" spans="1:7">
      <c r="A470" s="61">
        <v>40869</v>
      </c>
      <c r="C470">
        <v>-5.2106395905634059E-3</v>
      </c>
      <c r="E470" s="62">
        <v>40869</v>
      </c>
      <c r="G470">
        <v>2.5373435768797185E-2</v>
      </c>
    </row>
    <row r="471" spans="1:7">
      <c r="A471" s="61">
        <v>40870</v>
      </c>
      <c r="C471">
        <v>-1.1448919805802983E-2</v>
      </c>
      <c r="E471" s="62">
        <v>40870</v>
      </c>
      <c r="G471">
        <v>-1.5358662225515376E-2</v>
      </c>
    </row>
    <row r="472" spans="1:7">
      <c r="A472" s="61">
        <v>40871</v>
      </c>
      <c r="C472">
        <v>-2.167607359393565E-3</v>
      </c>
      <c r="E472" s="62">
        <v>40871</v>
      </c>
      <c r="G472">
        <v>6.9315558299783342E-3</v>
      </c>
    </row>
    <row r="473" spans="1:7">
      <c r="A473" s="61">
        <v>40872</v>
      </c>
      <c r="C473">
        <v>2.7285129604369439E-4</v>
      </c>
      <c r="E473" s="62">
        <v>40872</v>
      </c>
      <c r="G473">
        <v>1.2047913936210446E-2</v>
      </c>
    </row>
    <row r="474" spans="1:7">
      <c r="A474" s="61">
        <v>40875</v>
      </c>
      <c r="C474">
        <v>1.6996097192496538E-2</v>
      </c>
      <c r="E474" s="62">
        <v>40875</v>
      </c>
      <c r="G474">
        <v>2.1259487610169187E-2</v>
      </c>
    </row>
    <row r="475" spans="1:7">
      <c r="A475" s="61">
        <v>40876</v>
      </c>
      <c r="C475">
        <v>4.8795081290749663E-3</v>
      </c>
      <c r="E475" s="62">
        <v>40876</v>
      </c>
      <c r="G475">
        <v>4.1637847226019412E-3</v>
      </c>
    </row>
    <row r="476" spans="1:7">
      <c r="A476" s="61">
        <v>40877</v>
      </c>
      <c r="C476">
        <v>-7.5147060333234832E-3</v>
      </c>
      <c r="E476" s="62">
        <v>40877</v>
      </c>
      <c r="G476">
        <v>-1.1610176706171564E-2</v>
      </c>
    </row>
    <row r="477" spans="1:7">
      <c r="A477" s="61">
        <v>40878</v>
      </c>
      <c r="C477">
        <v>2.5124900441676885E-2</v>
      </c>
      <c r="E477" s="62">
        <v>40878</v>
      </c>
      <c r="G477">
        <v>-7.5494712956346742E-3</v>
      </c>
    </row>
    <row r="478" spans="1:7">
      <c r="A478" s="61">
        <v>40879</v>
      </c>
      <c r="C478">
        <v>1.0160837890743134E-2</v>
      </c>
      <c r="E478" s="62">
        <v>40879</v>
      </c>
      <c r="G478">
        <v>3.2967637118019602E-2</v>
      </c>
    </row>
    <row r="479" spans="1:7">
      <c r="A479" s="61">
        <v>40882</v>
      </c>
      <c r="C479">
        <v>9.2895028617662051E-3</v>
      </c>
      <c r="E479" s="62">
        <v>40882</v>
      </c>
      <c r="G479">
        <v>-9.0026864391733342E-3</v>
      </c>
    </row>
    <row r="480" spans="1:7">
      <c r="A480" s="61">
        <v>40884</v>
      </c>
      <c r="C480">
        <v>3.1075878586345868E-3</v>
      </c>
      <c r="E480" s="62">
        <v>40884</v>
      </c>
      <c r="G480">
        <v>0</v>
      </c>
    </row>
    <row r="481" spans="1:7">
      <c r="A481" s="61">
        <v>40885</v>
      </c>
      <c r="C481">
        <v>-1.2224118709117422E-2</v>
      </c>
      <c r="E481" s="62">
        <v>40885</v>
      </c>
      <c r="G481">
        <v>-8.2570531439683445E-3</v>
      </c>
    </row>
    <row r="482" spans="1:7">
      <c r="A482" s="61">
        <v>40886</v>
      </c>
      <c r="C482">
        <v>-2.2213787730478E-2</v>
      </c>
      <c r="E482" s="62">
        <v>40886</v>
      </c>
      <c r="G482">
        <v>-9.9911906540195924E-3</v>
      </c>
    </row>
    <row r="483" spans="1:7">
      <c r="A483" s="61">
        <v>40889</v>
      </c>
      <c r="C483">
        <v>-8.9586695813838341E-3</v>
      </c>
      <c r="E483" s="62">
        <v>40889</v>
      </c>
      <c r="G483">
        <v>-3.6165932597256145E-2</v>
      </c>
    </row>
    <row r="484" spans="1:7">
      <c r="A484" s="61">
        <v>40890</v>
      </c>
      <c r="C484">
        <v>-1.3770782440190931E-2</v>
      </c>
      <c r="E484" s="62">
        <v>40890</v>
      </c>
      <c r="G484">
        <v>4.3634834610316309E-3</v>
      </c>
    </row>
    <row r="485" spans="1:7">
      <c r="A485" s="61">
        <v>40891</v>
      </c>
      <c r="C485">
        <v>1.0451395783906941E-4</v>
      </c>
      <c r="E485" s="62">
        <v>40891</v>
      </c>
      <c r="G485">
        <v>4.3446039447918019E-3</v>
      </c>
    </row>
    <row r="486" spans="1:7">
      <c r="A486" s="61">
        <v>40892</v>
      </c>
      <c r="C486">
        <v>-8.9768107763530149E-3</v>
      </c>
      <c r="E486" s="62">
        <v>40892</v>
      </c>
      <c r="G486">
        <v>-1.6436243301541871E-2</v>
      </c>
    </row>
    <row r="487" spans="1:7">
      <c r="A487" s="61">
        <v>40893</v>
      </c>
      <c r="C487">
        <v>-7.0440357685170709E-3</v>
      </c>
      <c r="E487" s="62">
        <v>40893</v>
      </c>
      <c r="G487">
        <v>-1.847023765484089E-2</v>
      </c>
    </row>
    <row r="488" spans="1:7">
      <c r="A488" s="61">
        <v>40896</v>
      </c>
      <c r="C488">
        <v>-1.8149186525636088E-2</v>
      </c>
      <c r="E488" s="62">
        <v>40896</v>
      </c>
      <c r="G488">
        <v>-9.8559451099715749E-3</v>
      </c>
    </row>
    <row r="489" spans="1:7">
      <c r="A489" s="61">
        <v>40897</v>
      </c>
      <c r="C489">
        <v>-9.5722243253474667E-3</v>
      </c>
      <c r="E489" s="62">
        <v>40897</v>
      </c>
      <c r="G489">
        <v>-1.3574588531598306E-2</v>
      </c>
    </row>
    <row r="490" spans="1:7">
      <c r="A490" s="61">
        <v>40898</v>
      </c>
      <c r="C490">
        <v>1.1717811510319894E-2</v>
      </c>
      <c r="E490" s="62">
        <v>40898</v>
      </c>
      <c r="G490">
        <v>-3.9450838194302597E-2</v>
      </c>
    </row>
    <row r="491" spans="1:7">
      <c r="A491" s="61">
        <v>40899</v>
      </c>
      <c r="C491">
        <v>6.4656800837625573E-3</v>
      </c>
      <c r="E491" s="62">
        <v>40899</v>
      </c>
      <c r="G491">
        <v>1.6237004024601549E-2</v>
      </c>
    </row>
    <row r="492" spans="1:7">
      <c r="A492" s="61">
        <v>40900</v>
      </c>
      <c r="C492">
        <v>9.3091096287080139E-3</v>
      </c>
      <c r="E492" s="62">
        <v>40900</v>
      </c>
      <c r="G492">
        <v>1.7857613720420603E-2</v>
      </c>
    </row>
    <row r="493" spans="1:7">
      <c r="A493" s="61">
        <v>40903</v>
      </c>
      <c r="C493">
        <v>1.7532674529805547E-3</v>
      </c>
      <c r="E493" s="62">
        <v>40903</v>
      </c>
      <c r="G493">
        <v>1.7544066233884013E-2</v>
      </c>
    </row>
    <row r="494" spans="1:7">
      <c r="A494" s="61">
        <v>40904</v>
      </c>
      <c r="C494">
        <v>2.5775656324581566E-3</v>
      </c>
      <c r="E494" s="62">
        <v>40904</v>
      </c>
      <c r="G494">
        <v>-1.5426452472620167E-2</v>
      </c>
    </row>
    <row r="495" spans="1:7">
      <c r="A495" s="61">
        <v>40905</v>
      </c>
      <c r="C495">
        <v>-7.8609365411878452E-3</v>
      </c>
      <c r="E495" s="62">
        <v>40905</v>
      </c>
      <c r="G495">
        <v>-7.3743466583811451E-3</v>
      </c>
    </row>
    <row r="496" spans="1:7">
      <c r="A496" s="61">
        <v>40906</v>
      </c>
      <c r="C496">
        <v>-1.2753932284723919E-2</v>
      </c>
      <c r="E496" s="62">
        <v>40906</v>
      </c>
      <c r="G496">
        <v>-2.5069060736179989E-2</v>
      </c>
    </row>
    <row r="497" spans="1:7">
      <c r="A497" s="61">
        <v>40907</v>
      </c>
      <c r="C497">
        <v>-3.953380356236531E-3</v>
      </c>
      <c r="E497" s="62">
        <v>40907</v>
      </c>
      <c r="G497">
        <v>3.5238689176341709E-2</v>
      </c>
    </row>
    <row r="498" spans="1:7">
      <c r="A498" s="61">
        <v>40910</v>
      </c>
      <c r="C498">
        <v>-6.3982301844618629E-4</v>
      </c>
      <c r="E498" s="62">
        <v>40910</v>
      </c>
      <c r="G498">
        <v>2.2998231782376612E-2</v>
      </c>
    </row>
    <row r="499" spans="1:7">
      <c r="A499" s="61">
        <v>40911</v>
      </c>
      <c r="C499">
        <v>1.6819671419580264E-2</v>
      </c>
      <c r="E499" s="62">
        <v>40911</v>
      </c>
      <c r="G499">
        <v>6.3849805082058841E-2</v>
      </c>
    </row>
    <row r="500" spans="1:7">
      <c r="A500" s="61">
        <v>40912</v>
      </c>
      <c r="C500">
        <v>1.021301118415424E-2</v>
      </c>
      <c r="E500" s="62">
        <v>40912</v>
      </c>
      <c r="G500">
        <v>5.9178515690292196E-3</v>
      </c>
    </row>
    <row r="501" spans="1:7">
      <c r="A501" s="61">
        <v>40913</v>
      </c>
      <c r="C501">
        <v>-1.7536260973368507E-3</v>
      </c>
      <c r="E501" s="62">
        <v>40913</v>
      </c>
      <c r="G501">
        <v>7.5622229001419588E-3</v>
      </c>
    </row>
    <row r="502" spans="1:7">
      <c r="A502" s="61">
        <v>40914</v>
      </c>
      <c r="C502">
        <v>-1.9683581141857818E-3</v>
      </c>
      <c r="E502" s="62">
        <v>40914</v>
      </c>
      <c r="G502">
        <v>8.3396148508583477E-3</v>
      </c>
    </row>
    <row r="503" spans="1:7">
      <c r="A503" s="61">
        <v>40917</v>
      </c>
      <c r="C503">
        <v>1.7988466218726284E-4</v>
      </c>
      <c r="E503" s="62">
        <v>40917</v>
      </c>
      <c r="G503">
        <v>1.3234054331346346E-2</v>
      </c>
    </row>
    <row r="504" spans="1:7">
      <c r="A504" s="61">
        <v>40918</v>
      </c>
      <c r="C504">
        <v>1.4028480142188965E-2</v>
      </c>
      <c r="E504" s="62">
        <v>40918</v>
      </c>
      <c r="G504">
        <v>-8.1648263008771713E-4</v>
      </c>
    </row>
    <row r="505" spans="1:7">
      <c r="A505" s="61">
        <v>40919</v>
      </c>
      <c r="C505">
        <v>1.2321592521492402E-2</v>
      </c>
      <c r="E505" s="62">
        <v>40919</v>
      </c>
      <c r="G505">
        <v>8.9881910381303803E-3</v>
      </c>
    </row>
    <row r="506" spans="1:7">
      <c r="A506" s="61">
        <v>40920</v>
      </c>
      <c r="C506">
        <v>-1.7417473126590645E-3</v>
      </c>
      <c r="E506" s="62">
        <v>40920</v>
      </c>
      <c r="G506">
        <v>-1.5385004179334315E-2</v>
      </c>
    </row>
    <row r="507" spans="1:7">
      <c r="A507" s="61">
        <v>40921</v>
      </c>
      <c r="C507">
        <v>6.3906669419782633E-3</v>
      </c>
      <c r="E507" s="62">
        <v>40921</v>
      </c>
      <c r="G507">
        <v>3.2071413687991622E-2</v>
      </c>
    </row>
    <row r="508" spans="1:7">
      <c r="A508" s="61">
        <v>40924</v>
      </c>
      <c r="C508">
        <v>4.103447922116558E-4</v>
      </c>
      <c r="E508" s="62">
        <v>40924</v>
      </c>
      <c r="G508">
        <v>-1.0358177828388038E-2</v>
      </c>
    </row>
    <row r="509" spans="1:7">
      <c r="A509" s="61">
        <v>40925</v>
      </c>
      <c r="C509">
        <v>1.3966509090535902E-2</v>
      </c>
      <c r="E509" s="62">
        <v>40925</v>
      </c>
      <c r="G509">
        <v>-2.8180766438076411E-2</v>
      </c>
    </row>
    <row r="510" spans="1:7">
      <c r="A510" s="61">
        <v>40926</v>
      </c>
      <c r="C510">
        <v>5.1172621636110267E-3</v>
      </c>
      <c r="E510" s="62">
        <v>40926</v>
      </c>
      <c r="G510">
        <v>-2.4026015130511783E-2</v>
      </c>
    </row>
    <row r="511" spans="1:7">
      <c r="A511" s="61">
        <v>40927</v>
      </c>
      <c r="C511">
        <v>6.6708925714629953E-3</v>
      </c>
      <c r="E511" s="62">
        <v>40927</v>
      </c>
      <c r="G511">
        <v>2.2072274530133367E-2</v>
      </c>
    </row>
    <row r="512" spans="1:7">
      <c r="A512" s="61">
        <v>40928</v>
      </c>
      <c r="C512">
        <v>8.515742128935605E-3</v>
      </c>
      <c r="E512" s="62">
        <v>40928</v>
      </c>
      <c r="G512">
        <v>2.4916698247319315E-2</v>
      </c>
    </row>
    <row r="513" spans="1:7">
      <c r="A513" s="61">
        <v>40931</v>
      </c>
      <c r="C513">
        <v>-7.9284850647162589E-4</v>
      </c>
      <c r="E513" s="62">
        <v>40931</v>
      </c>
      <c r="G513">
        <v>1.7827078493529797E-2</v>
      </c>
    </row>
    <row r="514" spans="1:7">
      <c r="A514" s="61">
        <v>40932</v>
      </c>
      <c r="C514">
        <v>1.1753387157564816E-2</v>
      </c>
      <c r="E514" s="62">
        <v>40932</v>
      </c>
      <c r="G514">
        <v>-7.9625945271972055E-4</v>
      </c>
    </row>
    <row r="515" spans="1:7">
      <c r="A515" s="61">
        <v>40933</v>
      </c>
      <c r="C515">
        <v>1.3008911153156048E-2</v>
      </c>
      <c r="E515" s="62">
        <v>40933</v>
      </c>
      <c r="G515">
        <v>2.4702750930597935E-2</v>
      </c>
    </row>
    <row r="516" spans="1:7">
      <c r="A516" s="61">
        <v>40935</v>
      </c>
      <c r="C516">
        <v>1.0790252966110072E-2</v>
      </c>
      <c r="E516" s="62">
        <v>40935</v>
      </c>
      <c r="G516">
        <v>7.775438962264858E-3</v>
      </c>
    </row>
    <row r="517" spans="1:7">
      <c r="A517" s="61">
        <v>40938</v>
      </c>
      <c r="C517">
        <v>-1.4332353588832895E-2</v>
      </c>
      <c r="E517" s="62">
        <v>40938</v>
      </c>
      <c r="G517">
        <v>-9.2588655620868821E-3</v>
      </c>
    </row>
    <row r="518" spans="1:7">
      <c r="A518" s="61">
        <v>40939</v>
      </c>
      <c r="C518">
        <v>5.7308260160074597E-3</v>
      </c>
      <c r="E518" s="62">
        <v>40939</v>
      </c>
      <c r="G518">
        <v>2.4922100087004236E-2</v>
      </c>
    </row>
    <row r="519" spans="1:7">
      <c r="A519" s="61">
        <v>40940</v>
      </c>
      <c r="C519">
        <v>1.2391106990399959E-2</v>
      </c>
      <c r="E519" s="62">
        <v>40940</v>
      </c>
      <c r="G519">
        <v>1.1398048591653982E-2</v>
      </c>
    </row>
    <row r="520" spans="1:7">
      <c r="A520" s="61">
        <v>40941</v>
      </c>
      <c r="C520">
        <v>1.0293346052945351E-2</v>
      </c>
      <c r="E520" s="62">
        <v>40941</v>
      </c>
      <c r="G520">
        <v>3.8317134674157281E-2</v>
      </c>
    </row>
    <row r="521" spans="1:7">
      <c r="A521" s="61">
        <v>40942</v>
      </c>
      <c r="C521">
        <v>6.2887143072972093E-3</v>
      </c>
      <c r="E521" s="62">
        <v>40942</v>
      </c>
      <c r="G521">
        <v>2.1707638368380713E-2</v>
      </c>
    </row>
    <row r="522" spans="1:7">
      <c r="A522" s="61">
        <v>40945</v>
      </c>
      <c r="C522">
        <v>1.3024303274842759E-2</v>
      </c>
      <c r="E522" s="62">
        <v>40945</v>
      </c>
      <c r="G522">
        <v>5.0282298994410633E-2</v>
      </c>
    </row>
    <row r="523" spans="1:7">
      <c r="A523" s="61">
        <v>40946</v>
      </c>
      <c r="C523">
        <v>9.2628614831693817E-4</v>
      </c>
      <c r="E523" s="62">
        <v>40946</v>
      </c>
      <c r="G523">
        <v>-5.46191532806376E-2</v>
      </c>
    </row>
    <row r="524" spans="1:7">
      <c r="A524" s="61">
        <v>40947</v>
      </c>
      <c r="C524">
        <v>-2.5449295748579469E-3</v>
      </c>
      <c r="E524" s="62">
        <v>40947</v>
      </c>
      <c r="G524">
        <v>1.1413829228550696E-2</v>
      </c>
    </row>
    <row r="525" spans="1:7">
      <c r="A525" s="61">
        <v>40948</v>
      </c>
      <c r="C525">
        <v>6.0491914309307344E-3</v>
      </c>
      <c r="E525" s="62">
        <v>40948</v>
      </c>
      <c r="G525">
        <v>3.9491406565090238E-2</v>
      </c>
    </row>
    <row r="526" spans="1:7">
      <c r="A526" s="61">
        <v>40949</v>
      </c>
      <c r="C526">
        <v>3.4490708719510724E-3</v>
      </c>
      <c r="E526" s="62">
        <v>40949</v>
      </c>
      <c r="G526">
        <v>-2.7139481745518559E-3</v>
      </c>
    </row>
    <row r="527" spans="1:7">
      <c r="A527" s="61">
        <v>40952</v>
      </c>
      <c r="C527">
        <v>-3.4004540065626254E-4</v>
      </c>
      <c r="E527" s="62">
        <v>40952</v>
      </c>
      <c r="G527">
        <v>-4.7611849370322095E-3</v>
      </c>
    </row>
    <row r="528" spans="1:7">
      <c r="A528" s="61">
        <v>40953</v>
      </c>
      <c r="C528">
        <v>2.8775787886587789E-3</v>
      </c>
      <c r="E528" s="62">
        <v>40953</v>
      </c>
      <c r="G528">
        <v>-4.101666370397568E-3</v>
      </c>
    </row>
    <row r="529" spans="1:7">
      <c r="A529" s="61">
        <v>40954</v>
      </c>
      <c r="C529">
        <v>1.760095338497502E-2</v>
      </c>
      <c r="E529" s="62">
        <v>40954</v>
      </c>
      <c r="G529">
        <v>1.0294908822370196E-2</v>
      </c>
    </row>
    <row r="530" spans="1:7">
      <c r="A530" s="61">
        <v>40955</v>
      </c>
      <c r="C530">
        <v>6.6123147605965009E-3</v>
      </c>
      <c r="E530" s="62">
        <v>40955</v>
      </c>
      <c r="G530">
        <v>5.910388466407733E-2</v>
      </c>
    </row>
    <row r="531" spans="1:7">
      <c r="A531" s="61">
        <v>40956</v>
      </c>
      <c r="C531">
        <v>8.6719945587483156E-3</v>
      </c>
      <c r="E531" s="62">
        <v>40956</v>
      </c>
      <c r="G531">
        <v>-1.218765193610909E-2</v>
      </c>
    </row>
    <row r="532" spans="1:7">
      <c r="A532" s="61">
        <v>40960</v>
      </c>
      <c r="C532">
        <v>3.7175710686021806E-3</v>
      </c>
      <c r="E532" s="62">
        <v>40960</v>
      </c>
      <c r="G532">
        <v>-9.7400531878937199E-3</v>
      </c>
    </row>
    <row r="533" spans="1:7">
      <c r="A533" s="61">
        <v>40961</v>
      </c>
      <c r="C533">
        <v>-7.6197547888656753E-3</v>
      </c>
      <c r="E533" s="62">
        <v>40961</v>
      </c>
      <c r="G533">
        <v>-3.0819509972015546E-2</v>
      </c>
    </row>
    <row r="534" spans="1:7">
      <c r="A534" s="61">
        <v>40962</v>
      </c>
      <c r="C534">
        <v>-1.5098205139624994E-2</v>
      </c>
      <c r="E534" s="62">
        <v>40962</v>
      </c>
      <c r="G534">
        <v>-3.0447739061755595E-2</v>
      </c>
    </row>
    <row r="535" spans="1:7">
      <c r="A535" s="61">
        <v>40963</v>
      </c>
      <c r="C535">
        <v>-5.8514967893642696E-3</v>
      </c>
      <c r="E535" s="62">
        <v>40963</v>
      </c>
      <c r="G535">
        <v>6.9814204380277674E-4</v>
      </c>
    </row>
    <row r="536" spans="1:7">
      <c r="A536" s="61">
        <v>40966</v>
      </c>
      <c r="C536">
        <v>-1.7066491998944583E-2</v>
      </c>
      <c r="E536" s="62">
        <v>40966</v>
      </c>
      <c r="G536">
        <v>-2.9985637350247181E-2</v>
      </c>
    </row>
    <row r="537" spans="1:7">
      <c r="A537" s="61">
        <v>40967</v>
      </c>
      <c r="C537">
        <v>-2.526678204855227E-3</v>
      </c>
      <c r="E537" s="62">
        <v>40967</v>
      </c>
      <c r="G537">
        <v>6.4709489188502743E-3</v>
      </c>
    </row>
    <row r="538" spans="1:7">
      <c r="A538" s="61">
        <v>40968</v>
      </c>
      <c r="C538">
        <v>1.4112865811791204E-2</v>
      </c>
      <c r="E538" s="62">
        <v>40968</v>
      </c>
      <c r="G538">
        <v>-9.2869345905317018E-3</v>
      </c>
    </row>
    <row r="539" spans="1:7">
      <c r="A539" s="61">
        <v>40969</v>
      </c>
      <c r="C539">
        <v>-6.999405279289995E-3</v>
      </c>
      <c r="E539" s="62">
        <v>40969</v>
      </c>
      <c r="G539">
        <v>-2.0186926524999517E-2</v>
      </c>
    </row>
    <row r="540" spans="1:7">
      <c r="A540" s="61">
        <v>40970</v>
      </c>
      <c r="C540">
        <v>9.8590251543358783E-4</v>
      </c>
      <c r="E540" s="62">
        <v>40970</v>
      </c>
      <c r="G540">
        <v>-9.5656887179319094E-3</v>
      </c>
    </row>
    <row r="541" spans="1:7">
      <c r="A541" s="61">
        <v>40971</v>
      </c>
      <c r="C541">
        <v>-6.351427230134719E-4</v>
      </c>
      <c r="E541" s="62">
        <v>40973</v>
      </c>
      <c r="G541">
        <v>-5.2012523895692544E-3</v>
      </c>
    </row>
    <row r="542" spans="1:7">
      <c r="A542" s="61">
        <v>40973</v>
      </c>
      <c r="C542">
        <v>-8.593692432392535E-3</v>
      </c>
      <c r="E542" s="62">
        <v>40974</v>
      </c>
      <c r="G542">
        <v>-4.4062064854796745E-2</v>
      </c>
    </row>
    <row r="543" spans="1:7">
      <c r="A543" s="61">
        <v>40974</v>
      </c>
      <c r="C543">
        <v>-1.2616713894179335E-2</v>
      </c>
      <c r="E543" s="62">
        <v>40975</v>
      </c>
      <c r="G543">
        <v>6.2507006894732533E-3</v>
      </c>
    </row>
    <row r="544" spans="1:7">
      <c r="A544" s="61">
        <v>40977</v>
      </c>
      <c r="C544">
        <v>1.7490393533854617E-2</v>
      </c>
      <c r="E544" s="62">
        <v>40977</v>
      </c>
      <c r="G544">
        <v>3.6490466989610636E-2</v>
      </c>
    </row>
    <row r="545" spans="1:7">
      <c r="A545" s="61">
        <v>40980</v>
      </c>
      <c r="C545">
        <v>1.5227057094487647E-2</v>
      </c>
      <c r="E545" s="62">
        <v>40980</v>
      </c>
      <c r="G545">
        <v>1.647835769365702E-2</v>
      </c>
    </row>
    <row r="546" spans="1:7">
      <c r="A546" s="61">
        <v>40981</v>
      </c>
      <c r="C546">
        <v>5.3416160450052768E-3</v>
      </c>
      <c r="E546" s="62">
        <v>40981</v>
      </c>
      <c r="G546">
        <v>-6.6316310313092866E-3</v>
      </c>
    </row>
    <row r="547" spans="1:7">
      <c r="A547" s="61">
        <v>40982</v>
      </c>
      <c r="C547">
        <v>1.1546944206477854E-2</v>
      </c>
      <c r="E547" s="62">
        <v>40982</v>
      </c>
      <c r="G547">
        <v>4.4500433304917476E-3</v>
      </c>
    </row>
    <row r="548" spans="1:7">
      <c r="A548" s="61">
        <v>40983</v>
      </c>
      <c r="C548">
        <v>-9.0816537979871957E-3</v>
      </c>
      <c r="E548" s="62">
        <v>40983</v>
      </c>
      <c r="G548">
        <v>-2.6586579191758945E-2</v>
      </c>
    </row>
    <row r="549" spans="1:7">
      <c r="A549" s="61">
        <v>40984</v>
      </c>
      <c r="C549">
        <v>-1.3910987861981179E-2</v>
      </c>
      <c r="E549" s="62">
        <v>40984</v>
      </c>
      <c r="G549">
        <v>-2.579684264131725E-2</v>
      </c>
    </row>
    <row r="550" spans="1:7">
      <c r="A550" s="61">
        <v>40987</v>
      </c>
      <c r="C550">
        <v>-1.0649578166059655E-2</v>
      </c>
      <c r="E550" s="62">
        <v>40987</v>
      </c>
      <c r="G550">
        <v>-9.3453236041179111E-3</v>
      </c>
    </row>
    <row r="551" spans="1:7">
      <c r="A551" s="61">
        <v>40988</v>
      </c>
      <c r="C551">
        <v>-5.163094128611506E-3</v>
      </c>
      <c r="E551" s="62">
        <v>40988</v>
      </c>
      <c r="G551">
        <v>-1.8082481723310246E-2</v>
      </c>
    </row>
    <row r="552" spans="1:7">
      <c r="A552" s="61">
        <v>40989</v>
      </c>
      <c r="C552">
        <v>1.093249395761909E-2</v>
      </c>
      <c r="E552" s="62">
        <v>40989</v>
      </c>
      <c r="G552">
        <v>2.7221908906967188E-2</v>
      </c>
    </row>
    <row r="553" spans="1:7">
      <c r="A553" s="61">
        <v>40990</v>
      </c>
      <c r="C553">
        <v>-3.6603560275407041E-3</v>
      </c>
      <c r="E553" s="62">
        <v>40990</v>
      </c>
      <c r="G553">
        <v>-3.1957113922803905E-2</v>
      </c>
    </row>
    <row r="554" spans="1:7">
      <c r="A554" s="61">
        <v>40991</v>
      </c>
      <c r="C554">
        <v>-6.1943116501421668E-3</v>
      </c>
      <c r="E554" s="62">
        <v>40991</v>
      </c>
      <c r="G554">
        <v>-1.6105956002669824E-3</v>
      </c>
    </row>
    <row r="555" spans="1:7">
      <c r="A555" s="61">
        <v>40994</v>
      </c>
      <c r="C555">
        <v>-6.401377606409E-3</v>
      </c>
      <c r="E555" s="62">
        <v>40994</v>
      </c>
      <c r="G555">
        <v>-2.0160420846031323E-2</v>
      </c>
    </row>
    <row r="556" spans="1:7">
      <c r="A556" s="61">
        <v>40995</v>
      </c>
      <c r="C556">
        <v>6.7817044683904078E-4</v>
      </c>
      <c r="E556" s="62">
        <v>40995</v>
      </c>
      <c r="G556">
        <v>1.3991745919694805E-2</v>
      </c>
    </row>
    <row r="557" spans="1:7">
      <c r="A557" s="61">
        <v>40996</v>
      </c>
      <c r="C557">
        <v>-4.9604668674699476E-3</v>
      </c>
      <c r="E557" s="62">
        <v>40996</v>
      </c>
      <c r="G557">
        <v>-3.2472082491595078E-3</v>
      </c>
    </row>
    <row r="558" spans="1:7">
      <c r="A558" s="61">
        <v>40997</v>
      </c>
      <c r="C558">
        <v>-8.2392893967627966E-3</v>
      </c>
      <c r="E558" s="62">
        <v>40997</v>
      </c>
      <c r="G558">
        <v>-4.8849040742787791E-3</v>
      </c>
    </row>
    <row r="559" spans="1:7">
      <c r="A559" s="61">
        <v>40998</v>
      </c>
      <c r="C559">
        <v>1.6758550962400458E-2</v>
      </c>
      <c r="E559" s="62">
        <v>40998</v>
      </c>
      <c r="G559">
        <v>4.2551859246559715E-2</v>
      </c>
    </row>
    <row r="560" spans="1:7">
      <c r="A560" s="61">
        <v>41001</v>
      </c>
      <c r="C560">
        <v>1.2345331569714572E-2</v>
      </c>
      <c r="E560" s="62">
        <v>41001</v>
      </c>
      <c r="G560">
        <v>6.2802135043591731E-3</v>
      </c>
    </row>
    <row r="561" spans="1:7">
      <c r="A561" s="61">
        <v>41002</v>
      </c>
      <c r="C561">
        <v>9.2572858268082717E-3</v>
      </c>
      <c r="E561" s="62">
        <v>41002</v>
      </c>
      <c r="G561">
        <v>1.7159677221840693E-2</v>
      </c>
    </row>
    <row r="562" spans="1:7">
      <c r="A562" s="61">
        <v>41003</v>
      </c>
      <c r="C562">
        <v>-3.1125475145528997E-3</v>
      </c>
      <c r="E562" s="62">
        <v>41003</v>
      </c>
      <c r="G562">
        <v>4.601798553596893E-3</v>
      </c>
    </row>
    <row r="563" spans="1:7">
      <c r="A563" s="61">
        <v>41008</v>
      </c>
      <c r="C563">
        <v>-1.1604881418374395E-2</v>
      </c>
      <c r="E563" s="62">
        <v>41008</v>
      </c>
      <c r="G563">
        <v>-3.3587328132519925E-2</v>
      </c>
    </row>
    <row r="564" spans="1:7">
      <c r="A564" s="61">
        <v>41009</v>
      </c>
      <c r="C564">
        <v>-3.5316591343243216E-3</v>
      </c>
      <c r="E564" s="62">
        <v>41009</v>
      </c>
      <c r="G564">
        <v>-6.3198936863304968E-3</v>
      </c>
    </row>
    <row r="565" spans="1:7">
      <c r="A565" s="61">
        <v>41010</v>
      </c>
      <c r="C565">
        <v>-5.4518590558838261E-3</v>
      </c>
      <c r="E565" s="62">
        <v>41010</v>
      </c>
      <c r="G565">
        <v>-1.4308688036770829E-2</v>
      </c>
    </row>
    <row r="566" spans="1:7">
      <c r="A566" s="61">
        <v>41011</v>
      </c>
      <c r="C566">
        <v>6.4690229706730676E-3</v>
      </c>
      <c r="E566" s="62">
        <v>41011</v>
      </c>
      <c r="G566">
        <v>1.290320485345637E-2</v>
      </c>
    </row>
    <row r="567" spans="1:7">
      <c r="A567" s="61">
        <v>41012</v>
      </c>
      <c r="C567">
        <v>-4.3067609607532207E-3</v>
      </c>
      <c r="E567" s="62">
        <v>41012</v>
      </c>
      <c r="G567">
        <v>-1.0349930031379231E-2</v>
      </c>
    </row>
    <row r="568" spans="1:7">
      <c r="A568" s="61">
        <v>41015</v>
      </c>
      <c r="C568">
        <v>-3.6779883655470753E-3</v>
      </c>
      <c r="E568" s="62">
        <v>41015</v>
      </c>
      <c r="G568">
        <v>1.4481267719751958E-2</v>
      </c>
    </row>
    <row r="569" spans="1:7">
      <c r="A569" s="61">
        <v>41016</v>
      </c>
      <c r="C569">
        <v>1.1752740422646559E-2</v>
      </c>
      <c r="E569" s="62">
        <v>41016</v>
      </c>
      <c r="G569">
        <v>1.2688368319427124E-2</v>
      </c>
    </row>
    <row r="570" spans="1:7">
      <c r="A570" s="61">
        <v>41017</v>
      </c>
      <c r="C570">
        <v>5.9291112848580303E-3</v>
      </c>
      <c r="E570" s="62">
        <v>41017</v>
      </c>
      <c r="G570">
        <v>3.1326411597333917E-3</v>
      </c>
    </row>
    <row r="571" spans="1:7">
      <c r="A571" s="61">
        <v>41018</v>
      </c>
      <c r="C571">
        <v>2.4242872872966168E-3</v>
      </c>
      <c r="E571" s="62">
        <v>41018</v>
      </c>
      <c r="G571">
        <v>1.561490311293617E-3</v>
      </c>
    </row>
    <row r="572" spans="1:7">
      <c r="A572" s="61">
        <v>41019</v>
      </c>
      <c r="C572">
        <v>-4.6706973738865889E-3</v>
      </c>
      <c r="E572" s="62">
        <v>41019</v>
      </c>
      <c r="G572">
        <v>-1.0132180314989874E-2</v>
      </c>
    </row>
    <row r="573" spans="1:7">
      <c r="A573" s="61">
        <v>41022</v>
      </c>
      <c r="C573">
        <v>-1.2213782934089987E-2</v>
      </c>
      <c r="E573" s="62">
        <v>41022</v>
      </c>
      <c r="G573">
        <v>-2.0473440403880095E-2</v>
      </c>
    </row>
    <row r="574" spans="1:7">
      <c r="A574" s="61">
        <v>41023</v>
      </c>
      <c r="C574">
        <v>-5.3233438485805092E-3</v>
      </c>
      <c r="E574" s="62">
        <v>41023</v>
      </c>
      <c r="G574">
        <v>1.6079341320542103E-3</v>
      </c>
    </row>
    <row r="575" spans="1:7">
      <c r="A575" s="61">
        <v>41024</v>
      </c>
      <c r="C575">
        <v>-2.0010382745764997E-3</v>
      </c>
      <c r="E575" s="62">
        <v>41024</v>
      </c>
      <c r="G575">
        <v>-2.2471456169486415E-2</v>
      </c>
    </row>
    <row r="576" spans="1:7">
      <c r="A576" s="61">
        <v>41025</v>
      </c>
      <c r="C576">
        <v>-2.7711310565291134E-3</v>
      </c>
      <c r="E576" s="62">
        <v>41025</v>
      </c>
      <c r="G576">
        <v>4.1056693795634997E-3</v>
      </c>
    </row>
    <row r="577" spans="1:7">
      <c r="A577" s="61">
        <v>41026</v>
      </c>
      <c r="C577">
        <v>-2.8072837632775556E-3</v>
      </c>
      <c r="E577" s="62">
        <v>41026</v>
      </c>
      <c r="G577">
        <v>-9.8131223663465161E-3</v>
      </c>
    </row>
    <row r="578" spans="1:7">
      <c r="A578" s="61">
        <v>41029</v>
      </c>
      <c r="C578">
        <v>3.8209192961164355E-3</v>
      </c>
      <c r="E578" s="62">
        <v>41029</v>
      </c>
      <c r="G578">
        <v>2.22967944048767E-2</v>
      </c>
    </row>
    <row r="579" spans="1:7">
      <c r="A579" s="61">
        <v>41031</v>
      </c>
      <c r="C579">
        <v>3.9386068476978259E-3</v>
      </c>
      <c r="E579" s="62">
        <v>41031</v>
      </c>
      <c r="G579">
        <v>2.1000847756427351E-2</v>
      </c>
    </row>
    <row r="580" spans="1:7">
      <c r="A580" s="61">
        <v>41032</v>
      </c>
      <c r="C580">
        <v>-8.4578331389005244E-3</v>
      </c>
      <c r="E580" s="62">
        <v>41032</v>
      </c>
      <c r="G580">
        <v>-3.0063920758642983E-2</v>
      </c>
    </row>
    <row r="581" spans="1:7">
      <c r="A581" s="61">
        <v>41033</v>
      </c>
      <c r="C581">
        <v>-1.4166026206673999E-2</v>
      </c>
      <c r="E581" s="62">
        <v>41033</v>
      </c>
      <c r="G581">
        <v>-8.9715737960910525E-3</v>
      </c>
    </row>
    <row r="582" spans="1:7">
      <c r="A582" s="61">
        <v>41036</v>
      </c>
      <c r="C582">
        <v>-1.0211742059672797E-2</v>
      </c>
      <c r="E582" s="62">
        <v>41036</v>
      </c>
      <c r="G582">
        <v>1.8930755497822083E-2</v>
      </c>
    </row>
    <row r="583" spans="1:7">
      <c r="A583" s="61">
        <v>41037</v>
      </c>
      <c r="C583">
        <v>-2.3337449800173086E-3</v>
      </c>
      <c r="E583" s="62">
        <v>41037</v>
      </c>
      <c r="G583">
        <v>-2.7463910714314817E-2</v>
      </c>
    </row>
    <row r="584" spans="1:7">
      <c r="A584" s="61">
        <v>41038</v>
      </c>
      <c r="C584">
        <v>-1.6588855641867749E-2</v>
      </c>
      <c r="E584" s="62">
        <v>41038</v>
      </c>
      <c r="G584">
        <v>-1.6611683440369378E-2</v>
      </c>
    </row>
    <row r="585" spans="1:7">
      <c r="A585" s="61">
        <v>41039</v>
      </c>
      <c r="C585">
        <v>-9.4155425830302181E-4</v>
      </c>
      <c r="E585" s="62">
        <v>41039</v>
      </c>
      <c r="G585">
        <v>1.6894919436259194E-3</v>
      </c>
    </row>
    <row r="586" spans="1:7">
      <c r="A586" s="61">
        <v>41040</v>
      </c>
      <c r="C586">
        <v>-7.4502490029960079E-3</v>
      </c>
      <c r="E586" s="62">
        <v>41040</v>
      </c>
      <c r="G586">
        <v>-1.1804119716766186E-2</v>
      </c>
    </row>
    <row r="587" spans="1:7">
      <c r="A587" s="61">
        <v>41043</v>
      </c>
      <c r="C587">
        <v>-3.9979610398698483E-3</v>
      </c>
      <c r="E587" s="62">
        <v>41043</v>
      </c>
      <c r="G587">
        <v>4.2649407556441324E-3</v>
      </c>
    </row>
    <row r="588" spans="1:7">
      <c r="A588" s="61">
        <v>41044</v>
      </c>
      <c r="C588">
        <v>-2.5689656902588582E-3</v>
      </c>
      <c r="E588" s="62">
        <v>41044</v>
      </c>
      <c r="G588">
        <v>1.6143007574304969E-2</v>
      </c>
    </row>
    <row r="589" spans="1:7">
      <c r="A589" s="61">
        <v>41045</v>
      </c>
      <c r="C589">
        <v>-7.0124251722924417E-3</v>
      </c>
      <c r="E589" s="62">
        <v>41045</v>
      </c>
      <c r="G589">
        <v>-2.8428243736486603E-2</v>
      </c>
    </row>
    <row r="590" spans="1:7">
      <c r="A590" s="61">
        <v>41046</v>
      </c>
      <c r="C590">
        <v>-2.3303410403445587E-4</v>
      </c>
      <c r="E590" s="62">
        <v>41046</v>
      </c>
      <c r="G590">
        <v>5.1642086061865185E-3</v>
      </c>
    </row>
    <row r="591" spans="1:7">
      <c r="A591" s="61">
        <v>41047</v>
      </c>
      <c r="C591">
        <v>-5.0874081580948296E-3</v>
      </c>
      <c r="E591" s="62">
        <v>41047</v>
      </c>
      <c r="G591">
        <v>1.1129707489660341E-2</v>
      </c>
    </row>
    <row r="592" spans="1:7">
      <c r="A592" s="61">
        <v>41050</v>
      </c>
      <c r="C592">
        <v>8.9841402422255346E-3</v>
      </c>
      <c r="E592" s="62">
        <v>41050</v>
      </c>
      <c r="G592">
        <v>0</v>
      </c>
    </row>
    <row r="593" spans="1:7">
      <c r="A593" s="61">
        <v>41051</v>
      </c>
      <c r="C593">
        <v>1.2316389884408387E-3</v>
      </c>
      <c r="E593" s="62">
        <v>41051</v>
      </c>
      <c r="G593">
        <v>-2.7942408875960202E-2</v>
      </c>
    </row>
    <row r="594" spans="1:7">
      <c r="A594" s="61">
        <v>41052</v>
      </c>
      <c r="C594">
        <v>-1.259364570414526E-2</v>
      </c>
      <c r="E594" s="62">
        <v>41052</v>
      </c>
      <c r="G594">
        <v>-1.655095068841609E-2</v>
      </c>
    </row>
    <row r="595" spans="1:7">
      <c r="A595" s="61">
        <v>41053</v>
      </c>
      <c r="C595">
        <v>8.6492116657136599E-3</v>
      </c>
      <c r="E595" s="62">
        <v>41053</v>
      </c>
      <c r="G595">
        <v>8.8575036979586129E-4</v>
      </c>
    </row>
    <row r="596" spans="1:7">
      <c r="A596" s="61">
        <v>41054</v>
      </c>
      <c r="C596">
        <v>4.9405213869905618E-3</v>
      </c>
      <c r="E596" s="62">
        <v>41054</v>
      </c>
      <c r="G596">
        <v>8.8508332588222143E-3</v>
      </c>
    </row>
    <row r="597" spans="1:7">
      <c r="A597" s="61">
        <v>41057</v>
      </c>
      <c r="C597">
        <v>9.500015111370913E-3</v>
      </c>
      <c r="E597" s="62">
        <v>41057</v>
      </c>
      <c r="G597">
        <v>-3.5092419097411554E-3</v>
      </c>
    </row>
    <row r="598" spans="1:7">
      <c r="A598" s="61">
        <v>41058</v>
      </c>
      <c r="C598">
        <v>7.4247051074785575E-3</v>
      </c>
      <c r="E598" s="62">
        <v>41058</v>
      </c>
      <c r="G598">
        <v>-1.7606050511061375E-2</v>
      </c>
    </row>
    <row r="599" spans="1:7">
      <c r="A599" s="61">
        <v>41059</v>
      </c>
      <c r="C599">
        <v>-8.1525507677067139E-3</v>
      </c>
      <c r="E599" s="62">
        <v>41059</v>
      </c>
      <c r="G599">
        <v>-3.6737561421859681E-2</v>
      </c>
    </row>
    <row r="600" spans="1:7">
      <c r="A600" s="61">
        <v>41060</v>
      </c>
      <c r="C600">
        <v>-8.4692440600438526E-3</v>
      </c>
      <c r="E600" s="62">
        <v>41060</v>
      </c>
      <c r="G600">
        <v>4.5581458230711823E-2</v>
      </c>
    </row>
    <row r="601" spans="1:7">
      <c r="A601" s="61">
        <v>41061</v>
      </c>
      <c r="C601">
        <v>-6.4364064907986218E-3</v>
      </c>
      <c r="E601" s="62">
        <v>41061</v>
      </c>
      <c r="G601">
        <v>-2.3132661396910174E-2</v>
      </c>
    </row>
    <row r="602" spans="1:7">
      <c r="A602" s="61">
        <v>41064</v>
      </c>
      <c r="C602">
        <v>-1.0594079480940795E-2</v>
      </c>
      <c r="E602" s="62">
        <v>41064</v>
      </c>
      <c r="G602">
        <v>-2.1857002223111082E-2</v>
      </c>
    </row>
    <row r="603" spans="1:7">
      <c r="A603" s="61">
        <v>41065</v>
      </c>
      <c r="C603">
        <v>6.8036272350017555E-3</v>
      </c>
      <c r="E603" s="62">
        <v>41065</v>
      </c>
      <c r="G603">
        <v>2.7001408693612134E-2</v>
      </c>
    </row>
    <row r="604" spans="1:7">
      <c r="A604" s="61">
        <v>41066</v>
      </c>
      <c r="C604">
        <v>1.4838335419656326E-2</v>
      </c>
      <c r="E604" s="62">
        <v>41066</v>
      </c>
      <c r="G604">
        <v>6.3471511734185353E-3</v>
      </c>
    </row>
    <row r="605" spans="1:7">
      <c r="A605" s="61">
        <v>41067</v>
      </c>
      <c r="C605">
        <v>1.9124121263174674E-2</v>
      </c>
      <c r="E605" s="62">
        <v>41067</v>
      </c>
      <c r="G605">
        <v>-9.0290589122910773E-4</v>
      </c>
    </row>
    <row r="606" spans="1:7">
      <c r="A606" s="61">
        <v>41068</v>
      </c>
      <c r="C606">
        <v>3.473588916004201E-3</v>
      </c>
      <c r="E606" s="62">
        <v>41068</v>
      </c>
      <c r="G606">
        <v>-8.1146339595581929E-3</v>
      </c>
    </row>
    <row r="607" spans="1:7">
      <c r="A607" s="61">
        <v>41071</v>
      </c>
      <c r="C607">
        <v>2.8241662335623985E-3</v>
      </c>
      <c r="E607" s="62">
        <v>41071</v>
      </c>
      <c r="G607">
        <v>0</v>
      </c>
    </row>
    <row r="608" spans="1:7">
      <c r="A608" s="61">
        <v>41072</v>
      </c>
      <c r="C608">
        <v>-1.0463012760964874E-3</v>
      </c>
      <c r="E608" s="62">
        <v>41072</v>
      </c>
      <c r="G608">
        <v>6.3646878453024703E-3</v>
      </c>
    </row>
    <row r="609" spans="1:7">
      <c r="A609" s="61">
        <v>41073</v>
      </c>
      <c r="C609">
        <v>9.2993206601538793E-3</v>
      </c>
      <c r="E609" s="62">
        <v>41073</v>
      </c>
      <c r="G609">
        <v>-3.6140147083676536E-3</v>
      </c>
    </row>
    <row r="610" spans="1:7">
      <c r="A610" s="61">
        <v>41074</v>
      </c>
      <c r="C610">
        <v>-7.4872948752763039E-3</v>
      </c>
      <c r="E610" s="62">
        <v>41074</v>
      </c>
      <c r="G610">
        <v>-9.0674022846303371E-3</v>
      </c>
    </row>
    <row r="611" spans="1:7">
      <c r="A611" s="61">
        <v>41075</v>
      </c>
      <c r="C611">
        <v>3.1269543464663638E-3</v>
      </c>
      <c r="E611" s="62">
        <v>41075</v>
      </c>
      <c r="G611">
        <v>6.4052299702846774E-3</v>
      </c>
    </row>
    <row r="612" spans="1:7">
      <c r="A612" s="61">
        <v>41078</v>
      </c>
      <c r="C612">
        <v>1.6267923940150337E-3</v>
      </c>
      <c r="E612" s="62">
        <v>41078</v>
      </c>
      <c r="G612">
        <v>9.093253831973186E-4</v>
      </c>
    </row>
    <row r="613" spans="1:7">
      <c r="A613" s="61">
        <v>41079</v>
      </c>
      <c r="C613">
        <v>-7.7025568209448019E-3</v>
      </c>
      <c r="E613" s="62">
        <v>41079</v>
      </c>
      <c r="G613">
        <v>-4.5419882905036128E-3</v>
      </c>
    </row>
    <row r="614" spans="1:7">
      <c r="A614" s="61">
        <v>41080</v>
      </c>
      <c r="C614">
        <v>7.8603561662632677E-3</v>
      </c>
      <c r="E614" s="62">
        <v>41080</v>
      </c>
      <c r="G614">
        <v>4.5627120753226674E-3</v>
      </c>
    </row>
    <row r="615" spans="1:7">
      <c r="A615" s="61">
        <v>41081</v>
      </c>
      <c r="C615">
        <v>4.589966255968486E-3</v>
      </c>
      <c r="E615" s="62">
        <v>41081</v>
      </c>
      <c r="G615">
        <v>2.5430826431752502E-2</v>
      </c>
    </row>
    <row r="616" spans="1:7">
      <c r="A616" s="61">
        <v>41082</v>
      </c>
      <c r="C616">
        <v>6.7760514979984277E-5</v>
      </c>
      <c r="E616" s="62">
        <v>41082</v>
      </c>
      <c r="G616">
        <v>5.6687250812730475E-2</v>
      </c>
    </row>
    <row r="617" spans="1:7">
      <c r="A617" s="61">
        <v>41085</v>
      </c>
      <c r="C617">
        <v>1.6067833359143704E-3</v>
      </c>
      <c r="E617" s="62">
        <v>41085</v>
      </c>
      <c r="G617">
        <v>-1.4249833673612586E-2</v>
      </c>
    </row>
    <row r="618" spans="1:7">
      <c r="A618" s="61">
        <v>41086</v>
      </c>
      <c r="C618">
        <v>-2.9958058717795091E-3</v>
      </c>
      <c r="E618" s="62">
        <v>41086</v>
      </c>
      <c r="G618">
        <v>8.5045712550871986E-3</v>
      </c>
    </row>
    <row r="619" spans="1:7">
      <c r="A619" s="61">
        <v>41087</v>
      </c>
      <c r="C619">
        <v>5.9223790322581E-3</v>
      </c>
      <c r="E619" s="62">
        <v>41087</v>
      </c>
      <c r="G619">
        <v>-5.9031068296254907E-3</v>
      </c>
    </row>
    <row r="620" spans="1:7">
      <c r="A620" s="61">
        <v>41088</v>
      </c>
      <c r="C620">
        <v>1.1563032983551585E-3</v>
      </c>
      <c r="E620" s="62">
        <v>41088</v>
      </c>
      <c r="G620">
        <v>2.8838307848579589E-2</v>
      </c>
    </row>
    <row r="621" spans="1:7">
      <c r="A621" s="61">
        <v>41089</v>
      </c>
      <c r="C621">
        <v>1.5428444932097623E-2</v>
      </c>
      <c r="E621" s="62">
        <v>41089</v>
      </c>
      <c r="G621">
        <v>1.8137469653331233E-2</v>
      </c>
    </row>
    <row r="622" spans="1:7">
      <c r="A622" s="61">
        <v>41092</v>
      </c>
      <c r="C622">
        <v>1.0085116869822166E-2</v>
      </c>
      <c r="E622" s="62">
        <v>41092</v>
      </c>
      <c r="G622">
        <v>8.0985243164054634E-4</v>
      </c>
    </row>
    <row r="623" spans="1:7">
      <c r="A623" s="61">
        <v>41093</v>
      </c>
      <c r="C623">
        <v>3.8473809657864613E-3</v>
      </c>
      <c r="E623" s="62">
        <v>41093</v>
      </c>
      <c r="G623">
        <v>-4.0458768996600942E-3</v>
      </c>
    </row>
    <row r="624" spans="1:7">
      <c r="A624" s="61">
        <v>41094</v>
      </c>
      <c r="C624">
        <v>3.6924169907270625E-3</v>
      </c>
      <c r="E624" s="62">
        <v>41094</v>
      </c>
      <c r="G624">
        <v>1.2185029198654992E-2</v>
      </c>
    </row>
    <row r="625" spans="1:7">
      <c r="A625" s="61">
        <v>41095</v>
      </c>
      <c r="C625">
        <v>2.3004349405331896E-3</v>
      </c>
      <c r="E625" s="62">
        <v>41095</v>
      </c>
      <c r="G625">
        <v>1.7657103494594827E-2</v>
      </c>
    </row>
    <row r="626" spans="1:7">
      <c r="A626" s="61">
        <v>41096</v>
      </c>
      <c r="C626">
        <v>1.2730212417997667E-3</v>
      </c>
      <c r="E626" s="62">
        <v>41096</v>
      </c>
      <c r="G626">
        <v>7.8859587929196243E-3</v>
      </c>
    </row>
    <row r="627" spans="1:7">
      <c r="A627" s="61">
        <v>41099</v>
      </c>
      <c r="C627">
        <v>-8.3337200129923687E-3</v>
      </c>
      <c r="E627" s="62">
        <v>41099</v>
      </c>
      <c r="G627">
        <v>-1.564989705123063E-2</v>
      </c>
    </row>
    <row r="628" spans="1:7">
      <c r="A628" s="61">
        <v>41100</v>
      </c>
      <c r="C628">
        <v>4.9973328841348376E-3</v>
      </c>
      <c r="E628" s="62">
        <v>41100</v>
      </c>
      <c r="G628">
        <v>1.5103645779108523E-2</v>
      </c>
    </row>
    <row r="629" spans="1:7">
      <c r="A629" s="61">
        <v>41101</v>
      </c>
      <c r="C629">
        <v>2.8866478568970991E-4</v>
      </c>
      <c r="E629" s="62">
        <v>41101</v>
      </c>
      <c r="G629">
        <v>7.8323475023283186E-4</v>
      </c>
    </row>
    <row r="630" spans="1:7">
      <c r="A630" s="61">
        <v>41102</v>
      </c>
      <c r="C630">
        <v>-1.1450168494349388E-2</v>
      </c>
      <c r="E630" s="62">
        <v>41102</v>
      </c>
      <c r="G630">
        <v>-3.913056349240422E-3</v>
      </c>
    </row>
    <row r="631" spans="1:7">
      <c r="A631" s="61">
        <v>41103</v>
      </c>
      <c r="C631">
        <v>-1.5255386469791251E-3</v>
      </c>
      <c r="E631" s="62">
        <v>41103</v>
      </c>
      <c r="G631">
        <v>-1.5694943805186496E-3</v>
      </c>
    </row>
    <row r="632" spans="1:7">
      <c r="A632" s="61">
        <v>41106</v>
      </c>
      <c r="C632">
        <v>-3.9894369518060236E-3</v>
      </c>
      <c r="E632" s="62">
        <v>41106</v>
      </c>
      <c r="G632">
        <v>-6.2951162008275819E-3</v>
      </c>
    </row>
    <row r="633" spans="1:7">
      <c r="A633" s="61">
        <v>41107</v>
      </c>
      <c r="C633">
        <v>-1.9790354806027491E-3</v>
      </c>
      <c r="E633" s="62">
        <v>41107</v>
      </c>
      <c r="G633">
        <v>-1.7419435844362133E-2</v>
      </c>
    </row>
    <row r="634" spans="1:7">
      <c r="A634" s="61">
        <v>41108</v>
      </c>
      <c r="C634">
        <v>-8.7288183836512346E-4</v>
      </c>
      <c r="E634" s="62">
        <v>41108</v>
      </c>
      <c r="G634">
        <v>-4.6152667379385651E-3</v>
      </c>
    </row>
    <row r="635" spans="1:7">
      <c r="A635" s="61">
        <v>41109</v>
      </c>
      <c r="C635">
        <v>6.3529143638540505E-3</v>
      </c>
      <c r="E635" s="62">
        <v>41109</v>
      </c>
      <c r="G635">
        <v>1.647622027113944E-3</v>
      </c>
    </row>
    <row r="636" spans="1:7">
      <c r="A636" s="61">
        <v>41110</v>
      </c>
      <c r="C636">
        <v>-3.9726350554374658E-3</v>
      </c>
      <c r="E636" s="62">
        <v>41110</v>
      </c>
      <c r="G636">
        <v>-5.7573631995852664E-3</v>
      </c>
    </row>
    <row r="637" spans="1:7">
      <c r="A637" s="61">
        <v>41113</v>
      </c>
      <c r="C637">
        <v>-1.3557041893249158E-2</v>
      </c>
      <c r="E637" s="62">
        <v>41113</v>
      </c>
      <c r="G637">
        <v>-2.1504571430535597E-2</v>
      </c>
    </row>
    <row r="638" spans="1:7">
      <c r="A638" s="61">
        <v>41114</v>
      </c>
      <c r="C638">
        <v>-3.1021004004878148E-3</v>
      </c>
      <c r="E638" s="62">
        <v>41114</v>
      </c>
      <c r="G638">
        <v>-1.6909455836771848E-3</v>
      </c>
    </row>
    <row r="639" spans="1:7">
      <c r="A639" s="61">
        <v>41115</v>
      </c>
      <c r="C639">
        <v>-2.254335260115572E-3</v>
      </c>
      <c r="E639" s="62">
        <v>41115</v>
      </c>
      <c r="G639">
        <v>-1.4394599260969738E-2</v>
      </c>
    </row>
    <row r="640" spans="1:7">
      <c r="A640" s="61">
        <v>41116</v>
      </c>
      <c r="C640">
        <v>-7.0293339512968629E-3</v>
      </c>
      <c r="E640" s="62">
        <v>41116</v>
      </c>
      <c r="G640">
        <v>-3.6941055295136034E-2</v>
      </c>
    </row>
    <row r="641" spans="1:7">
      <c r="A641" s="61">
        <v>41117</v>
      </c>
      <c r="C641">
        <v>1.4294326999747884E-3</v>
      </c>
      <c r="E641" s="62">
        <v>41117</v>
      </c>
      <c r="G641">
        <v>2.6764955147932892E-3</v>
      </c>
    </row>
    <row r="642" spans="1:7">
      <c r="A642" s="61">
        <v>41120</v>
      </c>
      <c r="C642">
        <v>9.5644996844200612E-3</v>
      </c>
      <c r="E642" s="62">
        <v>41120</v>
      </c>
      <c r="G642">
        <v>2.0461503216592042E-2</v>
      </c>
    </row>
    <row r="643" spans="1:7">
      <c r="A643" s="61">
        <v>41121</v>
      </c>
      <c r="C643">
        <v>1.1282100605943953E-2</v>
      </c>
      <c r="E643" s="62">
        <v>41121</v>
      </c>
      <c r="G643">
        <v>3.1386840660761521E-2</v>
      </c>
    </row>
    <row r="644" spans="1:7">
      <c r="A644" s="61">
        <v>41122</v>
      </c>
      <c r="C644">
        <v>2.5584204369288929E-3</v>
      </c>
      <c r="E644" s="62">
        <v>41122</v>
      </c>
      <c r="G644">
        <v>1.6061055668459296E-2</v>
      </c>
    </row>
    <row r="645" spans="1:7">
      <c r="A645" s="61">
        <v>41123</v>
      </c>
      <c r="C645">
        <v>1.2712025196371984E-3</v>
      </c>
      <c r="E645" s="62">
        <v>41123</v>
      </c>
      <c r="G645">
        <v>-4.9923568455416505E-3</v>
      </c>
    </row>
    <row r="646" spans="1:7">
      <c r="A646" s="61">
        <v>41124</v>
      </c>
      <c r="C646">
        <v>-3.4676823375590134E-3</v>
      </c>
      <c r="E646" s="62">
        <v>41124</v>
      </c>
      <c r="G646">
        <v>1.6724194827889135E-3</v>
      </c>
    </row>
    <row r="647" spans="1:7">
      <c r="A647" s="61">
        <v>41127</v>
      </c>
      <c r="C647">
        <v>1.0020916524053968E-2</v>
      </c>
      <c r="E647" s="62">
        <v>41127</v>
      </c>
      <c r="G647">
        <v>-5.8438694413922854E-3</v>
      </c>
    </row>
    <row r="648" spans="1:7">
      <c r="A648" s="61">
        <v>41128</v>
      </c>
      <c r="C648">
        <v>7.361108496338341E-3</v>
      </c>
      <c r="E648" s="62">
        <v>41128</v>
      </c>
      <c r="G648">
        <v>1.7632909131665844E-2</v>
      </c>
    </row>
    <row r="649" spans="1:7">
      <c r="A649" s="61">
        <v>41129</v>
      </c>
      <c r="C649">
        <v>3.4013605442176531E-3</v>
      </c>
      <c r="E649" s="62">
        <v>41129</v>
      </c>
      <c r="G649">
        <v>6.6015828429090359E-3</v>
      </c>
    </row>
    <row r="650" spans="1:7">
      <c r="A650" s="61">
        <v>41130</v>
      </c>
      <c r="C650">
        <v>-1.7787297448314736E-3</v>
      </c>
      <c r="E650" s="62">
        <v>41130</v>
      </c>
      <c r="G650">
        <v>-1.8033543134572699E-2</v>
      </c>
    </row>
    <row r="651" spans="1:7">
      <c r="A651" s="61">
        <v>41131</v>
      </c>
      <c r="C651">
        <v>-3.5544692085941994E-3</v>
      </c>
      <c r="E651" s="62">
        <v>41131</v>
      </c>
      <c r="G651">
        <v>-2.5044682793873459E-3</v>
      </c>
    </row>
    <row r="652" spans="1:7">
      <c r="A652" s="61">
        <v>41134</v>
      </c>
      <c r="C652">
        <v>3.6326866901355026E-3</v>
      </c>
      <c r="E652" s="62">
        <v>41134</v>
      </c>
      <c r="G652">
        <v>1.5899985140252475E-2</v>
      </c>
    </row>
    <row r="653" spans="1:7">
      <c r="A653" s="61">
        <v>41135</v>
      </c>
      <c r="C653">
        <v>5.6718534273669649E-3</v>
      </c>
      <c r="E653" s="62">
        <v>41135</v>
      </c>
      <c r="G653">
        <v>2.4714783204371812E-3</v>
      </c>
    </row>
    <row r="654" spans="1:7">
      <c r="A654" s="61">
        <v>41137</v>
      </c>
      <c r="C654">
        <v>1.7902860747281428E-3</v>
      </c>
      <c r="E654" s="62">
        <v>41137</v>
      </c>
      <c r="G654">
        <v>-5.7527761916233797E-3</v>
      </c>
    </row>
    <row r="655" spans="1:7">
      <c r="A655" s="61">
        <v>41138</v>
      </c>
      <c r="C655">
        <v>-1.4537440854839234E-3</v>
      </c>
      <c r="E655" s="62">
        <v>41138</v>
      </c>
      <c r="G655">
        <v>-4.1307754088990081E-3</v>
      </c>
    </row>
    <row r="656" spans="1:7">
      <c r="A656" s="61">
        <v>41142</v>
      </c>
      <c r="C656">
        <v>4.1079376854598728E-3</v>
      </c>
      <c r="E656" s="62">
        <v>41142</v>
      </c>
      <c r="G656">
        <v>1.2447961817000358E-2</v>
      </c>
    </row>
    <row r="657" spans="1:7">
      <c r="A657" s="61">
        <v>41143</v>
      </c>
      <c r="C657">
        <v>1.1728526176778191E-3</v>
      </c>
      <c r="E657" s="62">
        <v>41143</v>
      </c>
      <c r="G657">
        <v>4.2621535171514374E-2</v>
      </c>
    </row>
    <row r="658" spans="1:7">
      <c r="A658" s="61">
        <v>41144</v>
      </c>
      <c r="C658">
        <v>1.475878608984411E-3</v>
      </c>
      <c r="E658" s="62">
        <v>41144</v>
      </c>
      <c r="G658">
        <v>-1.0219951471457826E-2</v>
      </c>
    </row>
    <row r="659" spans="1:7">
      <c r="A659" s="61">
        <v>41145</v>
      </c>
      <c r="C659">
        <v>-5.3513862024500659E-3</v>
      </c>
      <c r="E659" s="62">
        <v>41145</v>
      </c>
      <c r="G659">
        <v>-1.1119677665920411E-2</v>
      </c>
    </row>
    <row r="660" spans="1:7">
      <c r="A660" s="61">
        <v>41148</v>
      </c>
      <c r="C660">
        <v>-4.6208410115844796E-3</v>
      </c>
      <c r="E660" s="62">
        <v>41148</v>
      </c>
      <c r="G660">
        <v>-1.9276218280215945E-2</v>
      </c>
    </row>
    <row r="661" spans="1:7">
      <c r="A661" s="61">
        <v>41149</v>
      </c>
      <c r="C661">
        <v>-6.0005581914596706E-3</v>
      </c>
      <c r="E661" s="62">
        <v>41149</v>
      </c>
      <c r="G661">
        <v>-1.6382471581976872E-3</v>
      </c>
    </row>
    <row r="662" spans="1:7">
      <c r="A662" s="61">
        <v>41150</v>
      </c>
      <c r="C662">
        <v>-5.1102063737189724E-3</v>
      </c>
      <c r="E662" s="62">
        <v>41150</v>
      </c>
      <c r="G662">
        <v>-1.312540900278715E-2</v>
      </c>
    </row>
    <row r="663" spans="1:7">
      <c r="A663" s="61">
        <v>41151</v>
      </c>
      <c r="C663">
        <v>-3.5560071120141557E-3</v>
      </c>
      <c r="E663" s="62">
        <v>41151</v>
      </c>
      <c r="G663">
        <v>-9.9764675244947733E-3</v>
      </c>
    </row>
    <row r="664" spans="1:7">
      <c r="A664" s="61">
        <v>41152</v>
      </c>
      <c r="C664">
        <v>-1.6427337355198342E-3</v>
      </c>
      <c r="E664" s="62">
        <v>41152</v>
      </c>
      <c r="G664">
        <v>-9.2352949581970562E-3</v>
      </c>
    </row>
    <row r="665" spans="1:7">
      <c r="A665" s="61">
        <v>41155</v>
      </c>
      <c r="C665">
        <v>-2.0236980718130494E-3</v>
      </c>
      <c r="E665" s="62">
        <v>41155</v>
      </c>
      <c r="G665">
        <v>0</v>
      </c>
    </row>
    <row r="666" spans="1:7">
      <c r="A666" s="61">
        <v>41156</v>
      </c>
      <c r="C666">
        <v>4.7378545099637084E-4</v>
      </c>
      <c r="E666" s="62">
        <v>41156</v>
      </c>
      <c r="G666">
        <v>0</v>
      </c>
    </row>
    <row r="667" spans="1:7">
      <c r="A667" s="61">
        <v>41157</v>
      </c>
      <c r="C667">
        <v>-3.6748340168397636E-3</v>
      </c>
      <c r="E667" s="62">
        <v>41157</v>
      </c>
      <c r="G667">
        <v>-8.4757610953391954E-4</v>
      </c>
    </row>
    <row r="668" spans="1:7">
      <c r="A668" s="61">
        <v>41158</v>
      </c>
      <c r="C668">
        <v>-1.4164171300918727E-3</v>
      </c>
      <c r="E668" s="62">
        <v>41158</v>
      </c>
      <c r="G668">
        <v>4.2414382218170319E-3</v>
      </c>
    </row>
    <row r="669" spans="1:7">
      <c r="A669" s="61">
        <v>41159</v>
      </c>
      <c r="C669">
        <v>1.5973954267654276E-2</v>
      </c>
      <c r="E669" s="62">
        <v>41159</v>
      </c>
      <c r="G669">
        <v>1.6892296246397234E-2</v>
      </c>
    </row>
    <row r="670" spans="1:7">
      <c r="A670" s="61">
        <v>41162</v>
      </c>
      <c r="C670">
        <v>2.5067327673770289E-3</v>
      </c>
      <c r="E670" s="62">
        <v>41162</v>
      </c>
      <c r="G670">
        <v>1.4950381074502023E-2</v>
      </c>
    </row>
    <row r="671" spans="1:7">
      <c r="A671" s="61">
        <v>41163</v>
      </c>
      <c r="C671">
        <v>4.8336121955760622E-4</v>
      </c>
      <c r="E671" s="62">
        <v>41163</v>
      </c>
      <c r="G671">
        <v>3.2720132977833338E-3</v>
      </c>
    </row>
    <row r="672" spans="1:7">
      <c r="A672" s="61">
        <v>41164</v>
      </c>
      <c r="C672">
        <v>8.2410435558197288E-3</v>
      </c>
      <c r="E672" s="62">
        <v>41164</v>
      </c>
      <c r="G672">
        <v>-4.0771350119174158E-3</v>
      </c>
    </row>
    <row r="673" spans="1:7">
      <c r="A673" s="61">
        <v>41165</v>
      </c>
      <c r="C673">
        <v>2.3406039495387572E-3</v>
      </c>
      <c r="E673" s="62">
        <v>41165</v>
      </c>
      <c r="G673">
        <v>-1.3923092946093788E-2</v>
      </c>
    </row>
    <row r="674" spans="1:7">
      <c r="A674" s="61">
        <v>41166</v>
      </c>
      <c r="C674">
        <v>1.7504343908874578E-2</v>
      </c>
      <c r="E674" s="62">
        <v>41166</v>
      </c>
      <c r="G674">
        <v>8.3050672077380604E-3</v>
      </c>
    </row>
    <row r="675" spans="1:7">
      <c r="A675" s="61">
        <v>41169</v>
      </c>
      <c r="C675">
        <v>1.2278973951227411E-2</v>
      </c>
      <c r="E675" s="62">
        <v>41169</v>
      </c>
      <c r="G675">
        <v>1.6474716982895442E-2</v>
      </c>
    </row>
    <row r="676" spans="1:7">
      <c r="A676" s="61">
        <v>41170</v>
      </c>
      <c r="C676">
        <v>4.2843371773352066E-4</v>
      </c>
      <c r="E676" s="62">
        <v>41170</v>
      </c>
      <c r="G676">
        <v>1.6210604108847478E-3</v>
      </c>
    </row>
    <row r="677" spans="1:7">
      <c r="A677" s="61">
        <v>41172</v>
      </c>
      <c r="C677">
        <v>-6.6646443738623629E-3</v>
      </c>
      <c r="E677" s="62">
        <v>41172</v>
      </c>
      <c r="G677">
        <v>-1.2135830144132592E-2</v>
      </c>
    </row>
    <row r="678" spans="1:7">
      <c r="A678" s="61">
        <v>41173</v>
      </c>
      <c r="C678">
        <v>1.4011514590836828E-2</v>
      </c>
      <c r="E678" s="62">
        <v>41173</v>
      </c>
      <c r="G678">
        <v>2.3750703057136398E-2</v>
      </c>
    </row>
    <row r="679" spans="1:7">
      <c r="A679" s="61">
        <v>41176</v>
      </c>
      <c r="C679">
        <v>8.884204186116483E-3</v>
      </c>
      <c r="E679" s="62">
        <v>41176</v>
      </c>
      <c r="G679">
        <v>0</v>
      </c>
    </row>
    <row r="680" spans="1:7">
      <c r="A680" s="61">
        <v>41177</v>
      </c>
      <c r="C680">
        <v>2.6338893766461808E-4</v>
      </c>
      <c r="E680" s="62">
        <v>41177</v>
      </c>
      <c r="G680">
        <v>-3.2004630605401226E-3</v>
      </c>
    </row>
    <row r="681" spans="1:7">
      <c r="A681" s="61">
        <v>41178</v>
      </c>
      <c r="C681">
        <v>-1.2902659527780855E-3</v>
      </c>
      <c r="E681" s="62">
        <v>41178</v>
      </c>
      <c r="G681">
        <v>9.6303638261560753E-3</v>
      </c>
    </row>
    <row r="682" spans="1:7">
      <c r="A682" s="61">
        <v>41179</v>
      </c>
      <c r="C682">
        <v>1.6610565725988465E-3</v>
      </c>
      <c r="E682" s="62">
        <v>41179</v>
      </c>
      <c r="G682">
        <v>7.1551630824200196E-3</v>
      </c>
    </row>
    <row r="683" spans="1:7">
      <c r="A683" s="61">
        <v>41180</v>
      </c>
      <c r="C683">
        <v>6.8525602779628807E-3</v>
      </c>
      <c r="E683" s="62">
        <v>41180</v>
      </c>
      <c r="G683">
        <v>6.235184018143388E-2</v>
      </c>
    </row>
    <row r="684" spans="1:7">
      <c r="A684" s="61">
        <v>41183</v>
      </c>
      <c r="C684">
        <v>4.6360443735676393E-3</v>
      </c>
      <c r="E684" s="62">
        <v>41183</v>
      </c>
      <c r="G684">
        <v>1.4859179909391071E-2</v>
      </c>
    </row>
    <row r="685" spans="1:7">
      <c r="A685" s="61">
        <v>41185</v>
      </c>
      <c r="C685">
        <v>4.007459773604608E-3</v>
      </c>
      <c r="E685" s="62">
        <v>41185</v>
      </c>
      <c r="G685">
        <v>-1.4641617481075288E-2</v>
      </c>
    </row>
    <row r="686" spans="1:7">
      <c r="A686" s="61">
        <v>41186</v>
      </c>
      <c r="C686">
        <v>6.9375448175762024E-3</v>
      </c>
      <c r="E686" s="62">
        <v>41186</v>
      </c>
      <c r="G686">
        <v>2.0058865362252449E-2</v>
      </c>
    </row>
    <row r="687" spans="1:7">
      <c r="A687" s="61">
        <v>41187</v>
      </c>
      <c r="C687">
        <v>1.5272415272414648E-3</v>
      </c>
      <c r="E687" s="62">
        <v>41187</v>
      </c>
      <c r="G687">
        <v>-2.9132444152511414E-2</v>
      </c>
    </row>
    <row r="688" spans="1:7">
      <c r="A688" s="61">
        <v>41190</v>
      </c>
      <c r="C688">
        <v>-1.0571585223768045E-2</v>
      </c>
      <c r="E688" s="62">
        <v>41190</v>
      </c>
      <c r="G688">
        <v>-1.5754462860000883E-2</v>
      </c>
    </row>
    <row r="689" spans="1:7">
      <c r="A689" s="61">
        <v>41191</v>
      </c>
      <c r="C689">
        <v>-1.1255995982473706E-3</v>
      </c>
      <c r="E689" s="62">
        <v>41191</v>
      </c>
      <c r="G689">
        <v>3.8114739866917722E-3</v>
      </c>
    </row>
    <row r="690" spans="1:7">
      <c r="A690" s="61">
        <v>41192</v>
      </c>
      <c r="C690">
        <v>-6.8132172948235301E-3</v>
      </c>
      <c r="E690" s="62">
        <v>41192</v>
      </c>
      <c r="G690">
        <v>1.5944208775864388E-2</v>
      </c>
    </row>
    <row r="691" spans="1:7">
      <c r="A691" s="61">
        <v>41193</v>
      </c>
      <c r="C691">
        <v>3.37761175792916E-3</v>
      </c>
      <c r="E691" s="62">
        <v>41193</v>
      </c>
      <c r="G691">
        <v>2.9148649788770253E-2</v>
      </c>
    </row>
    <row r="692" spans="1:7">
      <c r="A692" s="61">
        <v>41194</v>
      </c>
      <c r="C692">
        <v>5.6538946635932672E-4</v>
      </c>
      <c r="E692" s="62">
        <v>41194</v>
      </c>
      <c r="G692">
        <v>0</v>
      </c>
    </row>
    <row r="693" spans="1:7">
      <c r="A693" s="61">
        <v>41197</v>
      </c>
      <c r="C693">
        <v>9.5627227679609213E-5</v>
      </c>
      <c r="E693" s="62">
        <v>41197</v>
      </c>
      <c r="G693">
        <v>2.1789851556276926E-3</v>
      </c>
    </row>
    <row r="694" spans="1:7">
      <c r="A694" s="61">
        <v>41198</v>
      </c>
      <c r="C694">
        <v>-1.6515850870559194E-3</v>
      </c>
      <c r="E694" s="62">
        <v>41198</v>
      </c>
      <c r="G694">
        <v>-1.1594239337137166E-2</v>
      </c>
    </row>
    <row r="695" spans="1:7">
      <c r="A695" s="61">
        <v>41199</v>
      </c>
      <c r="C695">
        <v>-1.8023351995192826E-3</v>
      </c>
      <c r="E695" s="62">
        <v>41199</v>
      </c>
      <c r="G695">
        <v>0</v>
      </c>
    </row>
    <row r="696" spans="1:7">
      <c r="A696" s="61">
        <v>41200</v>
      </c>
      <c r="C696">
        <v>4.8672411988417265E-3</v>
      </c>
      <c r="E696" s="62">
        <v>41200</v>
      </c>
      <c r="G696">
        <v>3.0791094863746829E-2</v>
      </c>
    </row>
    <row r="697" spans="1:7">
      <c r="A697" s="61">
        <v>41201</v>
      </c>
      <c r="C697">
        <v>1.4756688251930597E-4</v>
      </c>
      <c r="E697" s="62">
        <v>41201</v>
      </c>
      <c r="G697">
        <v>-5.476489955253297E-2</v>
      </c>
    </row>
    <row r="698" spans="1:7">
      <c r="A698" s="61">
        <v>41204</v>
      </c>
      <c r="C698">
        <v>-7.5508379694311776E-4</v>
      </c>
      <c r="E698" s="62">
        <v>41204</v>
      </c>
      <c r="G698">
        <v>1.0534100835698924E-2</v>
      </c>
    </row>
    <row r="699" spans="1:7">
      <c r="A699" s="61">
        <v>41205</v>
      </c>
      <c r="C699">
        <v>1.1812528228466927E-3</v>
      </c>
      <c r="E699" s="62">
        <v>41205</v>
      </c>
      <c r="G699">
        <v>-1.4147670965404424E-2</v>
      </c>
    </row>
    <row r="700" spans="1:7">
      <c r="A700" s="61">
        <v>41207</v>
      </c>
      <c r="C700">
        <v>-1.2058854148592529E-3</v>
      </c>
      <c r="E700" s="62">
        <v>41207</v>
      </c>
      <c r="G700">
        <v>-1.8126118719638186E-2</v>
      </c>
    </row>
    <row r="701" spans="1:7">
      <c r="A701" s="61">
        <v>41211</v>
      </c>
      <c r="C701">
        <v>-3.0979745355219869E-3</v>
      </c>
      <c r="E701" s="62">
        <v>41211</v>
      </c>
      <c r="G701">
        <v>-2.2307395237605391E-2</v>
      </c>
    </row>
    <row r="702" spans="1:7">
      <c r="A702" s="61">
        <v>41212</v>
      </c>
      <c r="C702">
        <v>-6.7754473195839873E-3</v>
      </c>
      <c r="E702" s="62">
        <v>41212</v>
      </c>
      <c r="G702">
        <v>-1.1803351437748615E-2</v>
      </c>
    </row>
    <row r="703" spans="1:7">
      <c r="A703" s="61">
        <v>41213</v>
      </c>
      <c r="C703">
        <v>-2.4501595247747501E-3</v>
      </c>
      <c r="E703" s="62">
        <v>41213</v>
      </c>
      <c r="G703">
        <v>2.3888879309069957E-3</v>
      </c>
    </row>
    <row r="704" spans="1:7">
      <c r="A704" s="61">
        <v>41214</v>
      </c>
      <c r="C704">
        <v>5.0183771557816706E-3</v>
      </c>
      <c r="E704" s="62">
        <v>41214</v>
      </c>
      <c r="G704">
        <v>2.4622602471226614E-2</v>
      </c>
    </row>
    <row r="705" spans="1:7">
      <c r="A705" s="61">
        <v>41215</v>
      </c>
      <c r="C705">
        <v>1.1349251002180052E-2</v>
      </c>
      <c r="E705" s="62">
        <v>41215</v>
      </c>
      <c r="G705">
        <v>-1.0852444768008901E-2</v>
      </c>
    </row>
    <row r="706" spans="1:7">
      <c r="A706" s="61">
        <v>41218</v>
      </c>
      <c r="C706">
        <v>5.8239093208632665E-4</v>
      </c>
      <c r="E706" s="62">
        <v>41218</v>
      </c>
      <c r="G706">
        <v>-1.0187703798060358E-2</v>
      </c>
    </row>
    <row r="707" spans="1:7">
      <c r="A707" s="61">
        <v>41219</v>
      </c>
      <c r="C707">
        <v>1.581096342628853E-3</v>
      </c>
      <c r="E707" s="62">
        <v>41219</v>
      </c>
      <c r="G707">
        <v>0</v>
      </c>
    </row>
    <row r="708" spans="1:7">
      <c r="A708" s="61">
        <v>41220</v>
      </c>
      <c r="C708">
        <v>5.6725531693437373E-3</v>
      </c>
      <c r="E708" s="62">
        <v>41220</v>
      </c>
      <c r="G708">
        <v>7.9168982384020363E-3</v>
      </c>
    </row>
    <row r="709" spans="1:7">
      <c r="A709" s="61">
        <v>41221</v>
      </c>
      <c r="C709">
        <v>-8.2797164197113699E-4</v>
      </c>
      <c r="E709" s="62">
        <v>41221</v>
      </c>
      <c r="G709">
        <v>-5.4977966616678144E-3</v>
      </c>
    </row>
    <row r="710" spans="1:7">
      <c r="A710" s="61">
        <v>41222</v>
      </c>
      <c r="C710">
        <v>-2.7880880448855651E-3</v>
      </c>
      <c r="E710" s="62">
        <v>41222</v>
      </c>
      <c r="G710">
        <v>5.5281895235755954E-3</v>
      </c>
    </row>
    <row r="711" spans="1:7">
      <c r="A711" s="61">
        <v>41225</v>
      </c>
      <c r="C711">
        <v>-2.7179793468194839E-3</v>
      </c>
      <c r="E711" s="62">
        <v>41225</v>
      </c>
      <c r="G711">
        <v>-1.2568701947197751E-2</v>
      </c>
    </row>
    <row r="712" spans="1:7">
      <c r="A712" s="61">
        <v>41228</v>
      </c>
      <c r="C712">
        <v>-4.6750453193168395E-3</v>
      </c>
      <c r="E712" s="62">
        <v>41228</v>
      </c>
      <c r="G712">
        <v>9.547843164042228E-3</v>
      </c>
    </row>
    <row r="713" spans="1:7">
      <c r="A713" s="61">
        <v>41229</v>
      </c>
      <c r="C713">
        <v>-6.8842916151070988E-3</v>
      </c>
      <c r="E713" s="62">
        <v>41229</v>
      </c>
      <c r="G713">
        <v>-1.9701504226508425E-2</v>
      </c>
    </row>
    <row r="714" spans="1:7">
      <c r="A714" s="61">
        <v>41232</v>
      </c>
      <c r="C714">
        <v>-5.9053736267592636E-3</v>
      </c>
      <c r="E714" s="62">
        <v>41232</v>
      </c>
      <c r="G714">
        <v>-1.5273575319069707E-2</v>
      </c>
    </row>
    <row r="715" spans="1:7">
      <c r="A715" s="61">
        <v>41233</v>
      </c>
      <c r="C715">
        <v>-7.0614611928669654E-5</v>
      </c>
      <c r="E715" s="62">
        <v>41233</v>
      </c>
      <c r="G715">
        <v>-2.2856739254753039E-2</v>
      </c>
    </row>
    <row r="716" spans="1:7">
      <c r="A716" s="61">
        <v>41234</v>
      </c>
      <c r="C716">
        <v>1.2358429773222815E-3</v>
      </c>
      <c r="E716" s="62">
        <v>41234</v>
      </c>
      <c r="G716">
        <v>-1.6710222038253473E-3</v>
      </c>
    </row>
    <row r="717" spans="1:7">
      <c r="A717" s="61">
        <v>41235</v>
      </c>
      <c r="C717">
        <v>5.378097916648299E-3</v>
      </c>
      <c r="E717" s="62">
        <v>41235</v>
      </c>
      <c r="G717">
        <v>-2.5107747890065887E-3</v>
      </c>
    </row>
    <row r="718" spans="1:7">
      <c r="A718" s="61">
        <v>41236</v>
      </c>
      <c r="C718">
        <v>1.3855638280146339E-3</v>
      </c>
      <c r="E718" s="62">
        <v>41236</v>
      </c>
      <c r="G718">
        <v>2.4330260909691277E-2</v>
      </c>
    </row>
    <row r="719" spans="1:7">
      <c r="A719" s="61">
        <v>41239</v>
      </c>
      <c r="C719">
        <v>3.2664570763020814E-3</v>
      </c>
      <c r="E719" s="62">
        <v>41239</v>
      </c>
      <c r="G719">
        <v>-4.914669442356817E-3</v>
      </c>
    </row>
    <row r="720" spans="1:7">
      <c r="A720" s="61">
        <v>41240</v>
      </c>
      <c r="C720">
        <v>1.015153102196162E-2</v>
      </c>
      <c r="E720" s="62">
        <v>41240</v>
      </c>
      <c r="G720">
        <v>1.3991858304544922E-2</v>
      </c>
    </row>
    <row r="721" spans="1:7">
      <c r="A721" s="61">
        <v>41242</v>
      </c>
      <c r="C721">
        <v>1.5078590130220259E-2</v>
      </c>
      <c r="E721" s="62">
        <v>41242</v>
      </c>
      <c r="G721">
        <v>6.4926453041468327E-3</v>
      </c>
    </row>
    <row r="722" spans="1:7">
      <c r="A722" s="61">
        <v>41243</v>
      </c>
      <c r="C722">
        <v>1.2726436938163986E-2</v>
      </c>
      <c r="E722" s="62">
        <v>41243</v>
      </c>
      <c r="G722">
        <v>9.6787951412336294E-3</v>
      </c>
    </row>
    <row r="723" spans="1:7">
      <c r="A723" s="61">
        <v>41246</v>
      </c>
      <c r="C723">
        <v>4.5054510914790272E-3</v>
      </c>
      <c r="E723" s="62">
        <v>41246</v>
      </c>
      <c r="G723">
        <v>6.0702266726956416E-2</v>
      </c>
    </row>
    <row r="724" spans="1:7">
      <c r="A724" s="61">
        <v>41247</v>
      </c>
      <c r="C724">
        <v>2.3514054040484644E-3</v>
      </c>
      <c r="E724" s="62">
        <v>41247</v>
      </c>
      <c r="G724">
        <v>-1.5060587466459378E-2</v>
      </c>
    </row>
    <row r="725" spans="1:7">
      <c r="A725" s="61">
        <v>41248</v>
      </c>
      <c r="C725">
        <v>4.3494957590329564E-3</v>
      </c>
      <c r="E725" s="62">
        <v>41248</v>
      </c>
      <c r="G725">
        <v>-1.52928270517135E-3</v>
      </c>
    </row>
    <row r="726" spans="1:7">
      <c r="A726" s="61">
        <v>41249</v>
      </c>
      <c r="C726">
        <v>4.5800257678399519E-3</v>
      </c>
      <c r="E726" s="62">
        <v>41249</v>
      </c>
      <c r="G726">
        <v>8.4237270098202217E-3</v>
      </c>
    </row>
    <row r="727" spans="1:7">
      <c r="A727" s="61">
        <v>41250</v>
      </c>
      <c r="C727">
        <v>-3.5579532666969558E-4</v>
      </c>
      <c r="E727" s="62">
        <v>41250</v>
      </c>
      <c r="G727">
        <v>-2.1261560647415682E-2</v>
      </c>
    </row>
    <row r="728" spans="1:7">
      <c r="A728" s="61">
        <v>41253</v>
      </c>
      <c r="C728">
        <v>-7.6150745366797528E-4</v>
      </c>
      <c r="E728" s="62">
        <v>41253</v>
      </c>
      <c r="G728">
        <v>2.3276095617653161E-3</v>
      </c>
    </row>
    <row r="729" spans="1:7">
      <c r="A729" s="61">
        <v>41254</v>
      </c>
      <c r="C729">
        <v>-3.3134251704358138E-4</v>
      </c>
      <c r="E729" s="62">
        <v>41254</v>
      </c>
      <c r="G729">
        <v>-1.8575014168727855E-2</v>
      </c>
    </row>
    <row r="730" spans="1:7">
      <c r="A730" s="61">
        <v>41255</v>
      </c>
      <c r="C730">
        <v>-1.8727057283249682E-3</v>
      </c>
      <c r="E730" s="62">
        <v>41255</v>
      </c>
      <c r="G730">
        <v>-9.4649871652021881E-3</v>
      </c>
    </row>
    <row r="731" spans="1:7">
      <c r="A731" s="61">
        <v>41256</v>
      </c>
      <c r="C731">
        <v>-4.8648873023120973E-3</v>
      </c>
      <c r="E731" s="62">
        <v>41256</v>
      </c>
      <c r="G731">
        <v>4.7777758618139914E-3</v>
      </c>
    </row>
    <row r="732" spans="1:7">
      <c r="A732" s="61">
        <v>41257</v>
      </c>
      <c r="C732">
        <v>-2.1690345293612196E-3</v>
      </c>
      <c r="E732" s="62">
        <v>41257</v>
      </c>
      <c r="G732">
        <v>1.585024895673941E-3</v>
      </c>
    </row>
    <row r="733" spans="1:7">
      <c r="A733" s="61">
        <v>41260</v>
      </c>
      <c r="C733">
        <v>8.7786036167862114E-4</v>
      </c>
      <c r="E733" s="62">
        <v>41260</v>
      </c>
      <c r="G733">
        <v>-3.1649635532203175E-3</v>
      </c>
    </row>
    <row r="734" spans="1:7">
      <c r="A734" s="61">
        <v>41261</v>
      </c>
      <c r="C734">
        <v>5.1455970061979831E-3</v>
      </c>
      <c r="E734" s="62">
        <v>41261</v>
      </c>
      <c r="G734">
        <v>1.5874712744290587E-3</v>
      </c>
    </row>
    <row r="735" spans="1:7">
      <c r="A735" s="61">
        <v>41262</v>
      </c>
      <c r="C735">
        <v>7.0722180669823441E-3</v>
      </c>
      <c r="E735" s="62">
        <v>41262</v>
      </c>
      <c r="G735">
        <v>2.4564078951882385E-2</v>
      </c>
    </row>
    <row r="736" spans="1:7">
      <c r="A736" s="61">
        <v>41263</v>
      </c>
      <c r="C736">
        <v>9.9850636650978164E-4</v>
      </c>
      <c r="E736" s="62">
        <v>41263</v>
      </c>
      <c r="G736">
        <v>9.2802545136502837E-3</v>
      </c>
    </row>
    <row r="737" spans="1:7">
      <c r="A737" s="61">
        <v>41264</v>
      </c>
      <c r="C737">
        <v>-9.307348601012469E-3</v>
      </c>
      <c r="E737" s="62">
        <v>41264</v>
      </c>
      <c r="G737">
        <v>-2.9884027206797583E-2</v>
      </c>
    </row>
    <row r="738" spans="1:7">
      <c r="A738" s="61">
        <v>41267</v>
      </c>
      <c r="C738">
        <v>-2.288367603371806E-3</v>
      </c>
      <c r="E738" s="62">
        <v>41267</v>
      </c>
      <c r="G738">
        <v>4.7383290684261808E-3</v>
      </c>
    </row>
    <row r="739" spans="1:7">
      <c r="A739" s="61">
        <v>41269</v>
      </c>
      <c r="C739">
        <v>4.061785851307005E-3</v>
      </c>
      <c r="E739" s="62">
        <v>41269</v>
      </c>
      <c r="G739">
        <v>-5.5022569632100201E-3</v>
      </c>
    </row>
    <row r="740" spans="1:7">
      <c r="A740" s="61">
        <v>41270</v>
      </c>
      <c r="C740">
        <v>2.2511110188145156E-3</v>
      </c>
      <c r="E740" s="62">
        <v>41270</v>
      </c>
      <c r="G740">
        <v>-2.450588477431416E-2</v>
      </c>
    </row>
    <row r="741" spans="1:7">
      <c r="A741" s="61">
        <v>41271</v>
      </c>
      <c r="C741">
        <v>2.1548866198135055E-4</v>
      </c>
      <c r="E741" s="62">
        <v>41271</v>
      </c>
      <c r="G741">
        <v>2.2690016978396971E-2</v>
      </c>
    </row>
    <row r="742" spans="1:7">
      <c r="A742" s="61">
        <v>41275</v>
      </c>
      <c r="C742">
        <v>9.5954657695430361E-3</v>
      </c>
      <c r="E742" s="62">
        <v>41275</v>
      </c>
      <c r="G742">
        <v>2.2997137184390143E-2</v>
      </c>
    </row>
    <row r="743" spans="1:7">
      <c r="A743" s="61">
        <v>41276</v>
      </c>
      <c r="C743">
        <v>7.8053184504268194E-3</v>
      </c>
      <c r="E743" s="62">
        <v>41276</v>
      </c>
      <c r="G743">
        <v>-3.8747907828765938E-3</v>
      </c>
    </row>
    <row r="744" spans="1:7">
      <c r="A744" s="61">
        <v>41277</v>
      </c>
      <c r="C744">
        <v>4.5605948318686368E-3</v>
      </c>
      <c r="E744" s="62">
        <v>41277</v>
      </c>
      <c r="G744">
        <v>3.9689013541037335E-2</v>
      </c>
    </row>
    <row r="745" spans="1:7">
      <c r="A745" s="61">
        <v>41278</v>
      </c>
      <c r="C745">
        <v>1.1674003453560535E-3</v>
      </c>
      <c r="E745" s="62">
        <v>41278</v>
      </c>
      <c r="G745">
        <v>-1.0480478981965835E-2</v>
      </c>
    </row>
    <row r="746" spans="1:7">
      <c r="A746" s="61">
        <v>41281</v>
      </c>
      <c r="C746">
        <v>7.125794566581054E-4</v>
      </c>
      <c r="E746" s="62">
        <v>41281</v>
      </c>
      <c r="G746">
        <v>1.9668164486216954E-2</v>
      </c>
    </row>
    <row r="747" spans="1:7">
      <c r="A747" s="61">
        <v>41282</v>
      </c>
      <c r="C747">
        <v>-2.6379032714854427E-3</v>
      </c>
      <c r="E747" s="62">
        <v>41282</v>
      </c>
      <c r="G747">
        <v>-9.6436769975563712E-3</v>
      </c>
    </row>
    <row r="748" spans="1:7">
      <c r="A748" s="61">
        <v>41283</v>
      </c>
      <c r="C748">
        <v>-9.167836309500548E-4</v>
      </c>
      <c r="E748" s="62">
        <v>41283</v>
      </c>
      <c r="G748">
        <v>-8.9898482713784162E-3</v>
      </c>
    </row>
    <row r="749" spans="1:7">
      <c r="A749" s="61">
        <v>41284</v>
      </c>
      <c r="C749">
        <v>-1.4860650945235734E-3</v>
      </c>
      <c r="E749" s="62">
        <v>41284</v>
      </c>
      <c r="G749">
        <v>-2.0407680615604416E-2</v>
      </c>
    </row>
    <row r="750" spans="1:7">
      <c r="A750" s="61">
        <v>41285</v>
      </c>
      <c r="C750">
        <v>-2.4723286245230455E-3</v>
      </c>
      <c r="E750" s="62">
        <v>41285</v>
      </c>
      <c r="G750">
        <v>-1.7747625612871222E-2</v>
      </c>
    </row>
    <row r="751" spans="1:7">
      <c r="A751" s="61">
        <v>41288</v>
      </c>
      <c r="C751">
        <v>1.6224104616938142E-3</v>
      </c>
      <c r="E751" s="62">
        <v>41288</v>
      </c>
      <c r="G751">
        <v>1.8853899272443336E-2</v>
      </c>
    </row>
    <row r="752" spans="1:7">
      <c r="A752" s="61">
        <v>41289</v>
      </c>
      <c r="C752">
        <v>8.6035684052875507E-3</v>
      </c>
      <c r="E752" s="62">
        <v>41289</v>
      </c>
      <c r="G752">
        <v>1.0022951792488126E-2</v>
      </c>
    </row>
    <row r="753" spans="1:7">
      <c r="A753" s="61">
        <v>41290</v>
      </c>
      <c r="C753">
        <v>-4.1964927005237549E-3</v>
      </c>
      <c r="E753" s="62">
        <v>41290</v>
      </c>
      <c r="G753">
        <v>-2.3664154181941906E-2</v>
      </c>
    </row>
    <row r="754" spans="1:7">
      <c r="A754" s="61">
        <v>41291</v>
      </c>
      <c r="C754">
        <v>-2.2205473568190919E-3</v>
      </c>
      <c r="E754" s="62">
        <v>41291</v>
      </c>
      <c r="G754">
        <v>7.8180845333591965E-3</v>
      </c>
    </row>
    <row r="755" spans="1:7">
      <c r="A755" s="61">
        <v>41292</v>
      </c>
      <c r="C755">
        <v>5.3363006522142873E-3</v>
      </c>
      <c r="E755" s="62">
        <v>41292</v>
      </c>
      <c r="G755">
        <v>2.3276095617653161E-3</v>
      </c>
    </row>
    <row r="756" spans="1:7">
      <c r="A756" s="61">
        <v>41295</v>
      </c>
      <c r="C756">
        <v>2.7872931747674689E-3</v>
      </c>
      <c r="E756" s="62">
        <v>41295</v>
      </c>
      <c r="G756">
        <v>-9.2873709365976255E-3</v>
      </c>
    </row>
    <row r="757" spans="1:7">
      <c r="A757" s="61">
        <v>41296</v>
      </c>
      <c r="C757">
        <v>-3.4804746980767885E-3</v>
      </c>
      <c r="E757" s="62">
        <v>41296</v>
      </c>
      <c r="G757">
        <v>4.6879989943306825E-3</v>
      </c>
    </row>
    <row r="758" spans="1:7">
      <c r="A758" s="61">
        <v>41297</v>
      </c>
      <c r="C758">
        <v>-3.4117827777733448E-3</v>
      </c>
      <c r="E758" s="62">
        <v>41297</v>
      </c>
      <c r="G758">
        <v>-1.0110183704479426E-2</v>
      </c>
    </row>
    <row r="759" spans="1:7">
      <c r="A759" s="61">
        <v>41298</v>
      </c>
      <c r="C759">
        <v>-6.1898156035273908E-3</v>
      </c>
      <c r="E759" s="62">
        <v>41298</v>
      </c>
      <c r="G759">
        <v>-1.8066515881348107E-2</v>
      </c>
    </row>
    <row r="760" spans="1:7">
      <c r="A760" s="61">
        <v>41299</v>
      </c>
      <c r="C760">
        <v>1.4611767779011001E-3</v>
      </c>
      <c r="E760" s="62">
        <v>41299</v>
      </c>
      <c r="G760">
        <v>1.3600028679188626E-2</v>
      </c>
    </row>
    <row r="761" spans="1:7">
      <c r="A761" s="61">
        <v>41302</v>
      </c>
      <c r="C761">
        <v>5.8524815989174769E-3</v>
      </c>
      <c r="E761" s="62">
        <v>41302</v>
      </c>
      <c r="G761">
        <v>-1.1049456827306217E-2</v>
      </c>
    </row>
    <row r="762" spans="1:7">
      <c r="A762" s="61">
        <v>41303</v>
      </c>
      <c r="C762">
        <v>-3.4278490449833696E-3</v>
      </c>
      <c r="E762" s="62">
        <v>41303</v>
      </c>
      <c r="G762">
        <v>-8.7800272214026871E-3</v>
      </c>
    </row>
    <row r="763" spans="1:7">
      <c r="A763" s="61">
        <v>41304</v>
      </c>
      <c r="C763">
        <v>-6.2612825058146399E-4</v>
      </c>
      <c r="E763" s="62">
        <v>41304</v>
      </c>
      <c r="G763">
        <v>-9.661471328417397E-3</v>
      </c>
    </row>
    <row r="764" spans="1:7">
      <c r="A764" s="61">
        <v>41305</v>
      </c>
      <c r="C764">
        <v>-1.6842824712572648E-3</v>
      </c>
      <c r="E764" s="62">
        <v>41305</v>
      </c>
      <c r="G764">
        <v>4.878712122252154E-3</v>
      </c>
    </row>
    <row r="765" spans="1:7">
      <c r="A765" s="61">
        <v>41306</v>
      </c>
      <c r="C765">
        <v>-1.4996658353301413E-3</v>
      </c>
      <c r="E765" s="62">
        <v>41306</v>
      </c>
      <c r="G765">
        <v>0</v>
      </c>
    </row>
    <row r="766" spans="1:7">
      <c r="A766" s="61">
        <v>41309</v>
      </c>
      <c r="C766">
        <v>-2.4814300873399276E-3</v>
      </c>
      <c r="E766" s="62">
        <v>41309</v>
      </c>
      <c r="G766">
        <v>-1.1326638414898541E-2</v>
      </c>
    </row>
    <row r="767" spans="1:7">
      <c r="A767" s="61">
        <v>41310</v>
      </c>
      <c r="C767">
        <v>-8.3874768832952716E-3</v>
      </c>
      <c r="E767" s="62">
        <v>41310</v>
      </c>
      <c r="G767">
        <v>2.4535691369935151E-3</v>
      </c>
    </row>
    <row r="768" spans="1:7">
      <c r="A768" s="61">
        <v>41311</v>
      </c>
      <c r="C768">
        <v>2.4178707883248424E-3</v>
      </c>
      <c r="E768" s="62">
        <v>41311</v>
      </c>
      <c r="G768">
        <v>8.1643558164823226E-3</v>
      </c>
    </row>
    <row r="769" spans="1:7">
      <c r="A769" s="61">
        <v>41312</v>
      </c>
      <c r="C769">
        <v>-5.3015460098456988E-3</v>
      </c>
      <c r="E769" s="62">
        <v>41312</v>
      </c>
      <c r="G769">
        <v>-4.0491283582182163E-3</v>
      </c>
    </row>
    <row r="770" spans="1:7">
      <c r="A770" s="61">
        <v>41313</v>
      </c>
      <c r="C770">
        <v>-4.584954067698389E-3</v>
      </c>
      <c r="E770" s="62">
        <v>41313</v>
      </c>
      <c r="G770">
        <v>7.318094997837676E-3</v>
      </c>
    </row>
    <row r="771" spans="1:7">
      <c r="A771" s="61">
        <v>41316</v>
      </c>
      <c r="C771">
        <v>-1.8873258172868159E-3</v>
      </c>
      <c r="E771" s="62">
        <v>41316</v>
      </c>
      <c r="G771">
        <v>-4.8432686223735776E-3</v>
      </c>
    </row>
    <row r="772" spans="1:7">
      <c r="A772" s="61">
        <v>41317</v>
      </c>
      <c r="C772">
        <v>-2.4989795833368038E-4</v>
      </c>
      <c r="E772" s="62">
        <v>41317</v>
      </c>
      <c r="G772">
        <v>1.7843290907247004E-2</v>
      </c>
    </row>
    <row r="773" spans="1:7">
      <c r="A773" s="61">
        <v>41318</v>
      </c>
      <c r="C773">
        <v>2.799556736849877E-3</v>
      </c>
      <c r="E773" s="62">
        <v>41318</v>
      </c>
      <c r="G773">
        <v>-1.513975459298292E-2</v>
      </c>
    </row>
    <row r="774" spans="1:7">
      <c r="A774" s="61">
        <v>41319</v>
      </c>
      <c r="C774">
        <v>-5.5668646919529727E-3</v>
      </c>
      <c r="E774" s="62">
        <v>41319</v>
      </c>
      <c r="G774">
        <v>-2.0227445014695269E-2</v>
      </c>
    </row>
    <row r="775" spans="1:7">
      <c r="A775" s="61">
        <v>41320</v>
      </c>
      <c r="C775">
        <v>-6.040857250281929E-3</v>
      </c>
      <c r="E775" s="62">
        <v>41320</v>
      </c>
      <c r="G775">
        <v>-1.3212254229803893E-2</v>
      </c>
    </row>
    <row r="776" spans="1:7">
      <c r="A776" s="61">
        <v>41323</v>
      </c>
      <c r="C776">
        <v>2.9673341066894696E-3</v>
      </c>
      <c r="E776" s="62">
        <v>41323</v>
      </c>
      <c r="G776">
        <v>-8.3688199660244785E-4</v>
      </c>
    </row>
    <row r="777" spans="1:7">
      <c r="A777" s="61">
        <v>41324</v>
      </c>
      <c r="C777">
        <v>5.2717596278757601E-3</v>
      </c>
      <c r="E777" s="62">
        <v>41324</v>
      </c>
      <c r="G777">
        <v>1.1725019617355496E-2</v>
      </c>
    </row>
    <row r="778" spans="1:7">
      <c r="A778" s="61">
        <v>41325</v>
      </c>
      <c r="C778">
        <v>5.5859401053826637E-3</v>
      </c>
      <c r="E778" s="62">
        <v>41325</v>
      </c>
      <c r="G778">
        <v>9.9351865649888165E-3</v>
      </c>
    </row>
    <row r="779" spans="1:7">
      <c r="A779" s="61">
        <v>41326</v>
      </c>
      <c r="C779">
        <v>-1.2079858059595132E-2</v>
      </c>
      <c r="E779" s="62">
        <v>41326</v>
      </c>
      <c r="G779">
        <v>-2.1312578879122631E-2</v>
      </c>
    </row>
    <row r="780" spans="1:7">
      <c r="A780" s="61">
        <v>41327</v>
      </c>
      <c r="C780">
        <v>-6.8816771150666759E-3</v>
      </c>
      <c r="E780" s="62">
        <v>41327</v>
      </c>
      <c r="G780">
        <v>-1.5913173789706643E-2</v>
      </c>
    </row>
    <row r="781" spans="1:7">
      <c r="A781" s="61">
        <v>41330</v>
      </c>
      <c r="C781">
        <v>1.6816380337508824E-3</v>
      </c>
      <c r="E781" s="62">
        <v>41330</v>
      </c>
      <c r="G781">
        <v>-1.5317667751969237E-2</v>
      </c>
    </row>
    <row r="782" spans="1:7">
      <c r="A782" s="61">
        <v>41331</v>
      </c>
      <c r="C782">
        <v>-1.1110548694067534E-2</v>
      </c>
      <c r="E782" s="62">
        <v>41331</v>
      </c>
      <c r="G782">
        <v>-1.7286488355881615E-2</v>
      </c>
    </row>
    <row r="783" spans="1:7">
      <c r="A783" s="61">
        <v>41332</v>
      </c>
      <c r="C783">
        <v>-1.8256426006022604E-3</v>
      </c>
      <c r="E783" s="62">
        <v>41332</v>
      </c>
      <c r="G783">
        <v>1.8470274751779127E-2</v>
      </c>
    </row>
    <row r="784" spans="1:7">
      <c r="A784" s="61">
        <v>41333</v>
      </c>
      <c r="C784">
        <v>-5.6835177983846847E-3</v>
      </c>
      <c r="E784" s="62">
        <v>41333</v>
      </c>
      <c r="G784">
        <v>-6.7358968223004689E-2</v>
      </c>
    </row>
    <row r="785" spans="1:7">
      <c r="A785" s="61">
        <v>41334</v>
      </c>
      <c r="C785">
        <v>-9.3261131167268353E-3</v>
      </c>
      <c r="E785" s="62">
        <v>41334</v>
      </c>
      <c r="G785">
        <v>4.1668190208737362E-2</v>
      </c>
    </row>
    <row r="786" spans="1:7">
      <c r="A786" s="61">
        <v>41337</v>
      </c>
      <c r="C786">
        <v>-1.9435165502580916E-3</v>
      </c>
      <c r="E786" s="62">
        <v>41337</v>
      </c>
      <c r="G786">
        <v>-2.0445247220864569E-2</v>
      </c>
    </row>
    <row r="787" spans="1:7">
      <c r="A787" s="61">
        <v>41338</v>
      </c>
      <c r="C787">
        <v>7.4675522250523454E-3</v>
      </c>
      <c r="E787" s="62">
        <v>41338</v>
      </c>
      <c r="G787">
        <v>2.8130465787338695E-2</v>
      </c>
    </row>
    <row r="788" spans="1:7">
      <c r="A788" s="61">
        <v>41339</v>
      </c>
      <c r="C788">
        <v>1.1415997929070608E-2</v>
      </c>
      <c r="E788" s="62">
        <v>41339</v>
      </c>
      <c r="G788">
        <v>1.1473664086738585E-2</v>
      </c>
    </row>
    <row r="789" spans="1:7">
      <c r="A789" s="61">
        <v>41340</v>
      </c>
      <c r="C789">
        <v>3.3272759847457196E-3</v>
      </c>
      <c r="E789" s="62">
        <v>41340</v>
      </c>
      <c r="G789">
        <v>4.3635933995654266E-3</v>
      </c>
    </row>
    <row r="790" spans="1:7">
      <c r="A790" s="61">
        <v>41341</v>
      </c>
      <c r="C790">
        <v>1.261872571277956E-2</v>
      </c>
      <c r="E790" s="62">
        <v>41341</v>
      </c>
      <c r="G790">
        <v>-8.6894995954696439E-4</v>
      </c>
    </row>
    <row r="791" spans="1:7">
      <c r="A791" s="61">
        <v>41344</v>
      </c>
      <c r="C791">
        <v>5.2230722077135959E-3</v>
      </c>
      <c r="E791" s="62">
        <v>41344</v>
      </c>
      <c r="G791">
        <v>1.0434307737539499E-2</v>
      </c>
    </row>
    <row r="792" spans="1:7">
      <c r="A792" s="61">
        <v>41345</v>
      </c>
      <c r="C792">
        <v>-2.5478451912554611E-3</v>
      </c>
      <c r="E792" s="62">
        <v>41345</v>
      </c>
      <c r="G792">
        <v>-1.721430326889505E-3</v>
      </c>
    </row>
    <row r="793" spans="1:7">
      <c r="A793" s="61">
        <v>41346</v>
      </c>
      <c r="C793">
        <v>-1.0401661585876429E-2</v>
      </c>
      <c r="E793" s="62">
        <v>41346</v>
      </c>
      <c r="G793">
        <v>1.7243987592092584E-3</v>
      </c>
    </row>
    <row r="794" spans="1:7">
      <c r="A794" s="61">
        <v>41347</v>
      </c>
      <c r="C794">
        <v>6.9396252602350232E-4</v>
      </c>
      <c r="E794" s="62">
        <v>41347</v>
      </c>
      <c r="G794">
        <v>1.0328354892163679E-2</v>
      </c>
    </row>
    <row r="795" spans="1:7">
      <c r="A795" s="61">
        <v>41348</v>
      </c>
      <c r="C795">
        <v>2.4863840871418115E-3</v>
      </c>
      <c r="E795" s="62">
        <v>41348</v>
      </c>
      <c r="G795">
        <v>-5.1960477782565385E-2</v>
      </c>
    </row>
    <row r="796" spans="1:7">
      <c r="A796" s="61">
        <v>41351</v>
      </c>
      <c r="C796">
        <v>-9.8871248038604267E-3</v>
      </c>
      <c r="E796" s="62">
        <v>41351</v>
      </c>
      <c r="G796">
        <v>3.5945125868590017E-3</v>
      </c>
    </row>
    <row r="797" spans="1:7">
      <c r="A797" s="61">
        <v>41352</v>
      </c>
      <c r="C797">
        <v>-5.4956290578191307E-3</v>
      </c>
      <c r="E797" s="62">
        <v>41352</v>
      </c>
      <c r="G797">
        <v>-9.8472515399076234E-3</v>
      </c>
    </row>
    <row r="798" spans="1:7">
      <c r="A798" s="61">
        <v>41353</v>
      </c>
      <c r="C798">
        <v>-1.5866896274020863E-2</v>
      </c>
      <c r="E798" s="62">
        <v>41353</v>
      </c>
      <c r="G798">
        <v>-1.3562283623038029E-2</v>
      </c>
    </row>
    <row r="799" spans="1:7">
      <c r="A799" s="61">
        <v>41354</v>
      </c>
      <c r="C799">
        <v>-8.244173797978472E-3</v>
      </c>
      <c r="E799" s="62">
        <v>41354</v>
      </c>
      <c r="G799">
        <v>9.1663694647075233E-4</v>
      </c>
    </row>
    <row r="800" spans="1:7">
      <c r="A800" s="61">
        <v>41355</v>
      </c>
      <c r="C800">
        <v>-5.0560910096383652E-3</v>
      </c>
      <c r="E800" s="62">
        <v>41355</v>
      </c>
      <c r="G800">
        <v>-1.923124396114697E-2</v>
      </c>
    </row>
    <row r="801" spans="1:7">
      <c r="A801" s="61">
        <v>41358</v>
      </c>
      <c r="C801">
        <v>1.464542198225097E-3</v>
      </c>
      <c r="E801" s="62">
        <v>41358</v>
      </c>
      <c r="G801">
        <v>8.4024994209969291E-3</v>
      </c>
    </row>
    <row r="802" spans="1:7">
      <c r="A802" s="61">
        <v>41359</v>
      </c>
      <c r="C802">
        <v>-6.4398477693988617E-3</v>
      </c>
      <c r="E802" s="62">
        <v>41359</v>
      </c>
      <c r="G802">
        <v>0</v>
      </c>
    </row>
    <row r="803" spans="1:7">
      <c r="A803" s="61">
        <v>41361</v>
      </c>
      <c r="C803">
        <v>7.1997942915915719E-3</v>
      </c>
      <c r="E803" s="62">
        <v>41361</v>
      </c>
      <c r="G803">
        <v>-8.3324857146044994E-3</v>
      </c>
    </row>
    <row r="804" spans="1:7">
      <c r="A804" s="61">
        <v>41365</v>
      </c>
      <c r="C804">
        <v>8.5392585810745384E-3</v>
      </c>
      <c r="E804" s="62">
        <v>41365</v>
      </c>
      <c r="G804">
        <v>3.0812469906569703E-2</v>
      </c>
    </row>
    <row r="805" spans="1:7">
      <c r="A805" s="61">
        <v>41366</v>
      </c>
      <c r="C805">
        <v>5.3682253432609135E-3</v>
      </c>
      <c r="E805" s="62">
        <v>41366</v>
      </c>
      <c r="G805">
        <v>2.0832169461284057E-2</v>
      </c>
    </row>
    <row r="806" spans="1:7">
      <c r="A806" s="61">
        <v>41367</v>
      </c>
      <c r="C806">
        <v>-1.7017138689679058E-3</v>
      </c>
      <c r="E806" s="62">
        <v>41367</v>
      </c>
      <c r="G806">
        <v>-1.06473192132181E-2</v>
      </c>
    </row>
    <row r="807" spans="1:7">
      <c r="A807" s="61">
        <v>41368</v>
      </c>
      <c r="C807">
        <v>-1.7089631420570173E-2</v>
      </c>
      <c r="E807" s="62">
        <v>41368</v>
      </c>
      <c r="G807">
        <v>-8.96793177854769E-3</v>
      </c>
    </row>
    <row r="808" spans="1:7">
      <c r="A808" s="61">
        <v>41369</v>
      </c>
      <c r="C808">
        <v>-8.1669129423008122E-3</v>
      </c>
      <c r="E808" s="62">
        <v>41369</v>
      </c>
      <c r="G808">
        <v>-5.430520543861935E-3</v>
      </c>
    </row>
    <row r="809" spans="1:7">
      <c r="A809" s="61">
        <v>41372</v>
      </c>
      <c r="C809">
        <v>-1.6414794725854761E-3</v>
      </c>
      <c r="E809" s="62">
        <v>41372</v>
      </c>
      <c r="G809">
        <v>3.6400814019028052E-3</v>
      </c>
    </row>
    <row r="810" spans="1:7">
      <c r="A810" s="61">
        <v>41373</v>
      </c>
      <c r="C810">
        <v>-2.6539183272273011E-3</v>
      </c>
      <c r="E810" s="62">
        <v>41373</v>
      </c>
      <c r="G810">
        <v>-1.9039327017829445E-2</v>
      </c>
    </row>
    <row r="811" spans="1:7">
      <c r="A811" s="61">
        <v>41374</v>
      </c>
      <c r="C811">
        <v>1.8994203184217546E-3</v>
      </c>
      <c r="E811" s="62">
        <v>41374</v>
      </c>
      <c r="G811">
        <v>2.4955042244023253E-2</v>
      </c>
    </row>
    <row r="812" spans="1:7">
      <c r="A812" s="61">
        <v>41375</v>
      </c>
      <c r="C812">
        <v>7.9946344735076797E-3</v>
      </c>
      <c r="E812" s="62">
        <v>41375</v>
      </c>
      <c r="G812">
        <v>-6.3129269126613831E-3</v>
      </c>
    </row>
    <row r="813" spans="1:7">
      <c r="A813" s="61">
        <v>41376</v>
      </c>
      <c r="C813">
        <v>-1.0291077812968371E-2</v>
      </c>
      <c r="E813" s="62">
        <v>41376</v>
      </c>
      <c r="G813">
        <v>1.7241749466964107E-2</v>
      </c>
    </row>
    <row r="814" spans="1:7">
      <c r="A814" s="61">
        <v>41379</v>
      </c>
      <c r="C814">
        <v>2.2499305300333044E-3</v>
      </c>
      <c r="E814" s="62">
        <v>41379</v>
      </c>
      <c r="G814">
        <v>8.0277212400941111E-3</v>
      </c>
    </row>
    <row r="815" spans="1:7">
      <c r="A815" s="61">
        <v>41380</v>
      </c>
      <c r="C815">
        <v>1.3630265629192347E-2</v>
      </c>
      <c r="E815" s="62">
        <v>41380</v>
      </c>
      <c r="G815">
        <v>5.310380390623942E-3</v>
      </c>
    </row>
    <row r="816" spans="1:7">
      <c r="A816" s="61">
        <v>41381</v>
      </c>
      <c r="C816">
        <v>1.2785218910476966E-2</v>
      </c>
      <c r="E816" s="62">
        <v>41381</v>
      </c>
      <c r="G816">
        <v>-7.9235034974810773E-3</v>
      </c>
    </row>
    <row r="817" spans="1:7">
      <c r="A817" s="61">
        <v>41382</v>
      </c>
      <c r="C817">
        <v>5.9852068686130121E-3</v>
      </c>
      <c r="E817" s="62">
        <v>41382</v>
      </c>
      <c r="G817">
        <v>1.1536569585046334E-2</v>
      </c>
    </row>
    <row r="818" spans="1:7">
      <c r="A818" s="61">
        <v>41386</v>
      </c>
      <c r="C818">
        <v>1.3951675759937677E-2</v>
      </c>
      <c r="E818" s="62">
        <v>41386</v>
      </c>
      <c r="G818">
        <v>1.5789678538581899E-2</v>
      </c>
    </row>
    <row r="819" spans="1:7">
      <c r="A819" s="61">
        <v>41387</v>
      </c>
      <c r="C819">
        <v>5.1417394795055483E-3</v>
      </c>
      <c r="E819" s="62">
        <v>41387</v>
      </c>
      <c r="G819">
        <v>2.5891148565998644E-3</v>
      </c>
    </row>
    <row r="820" spans="1:7">
      <c r="A820" s="61">
        <v>41389</v>
      </c>
      <c r="C820">
        <v>6.5769907293323129E-3</v>
      </c>
      <c r="E820" s="62">
        <v>41389</v>
      </c>
      <c r="G820">
        <v>-2.7562407571886764E-2</v>
      </c>
    </row>
    <row r="821" spans="1:7">
      <c r="A821" s="61">
        <v>41390</v>
      </c>
      <c r="C821">
        <v>-4.2209409321525949E-5</v>
      </c>
      <c r="E821" s="62">
        <v>41390</v>
      </c>
      <c r="G821">
        <v>-5.3131372148052403E-3</v>
      </c>
    </row>
    <row r="822" spans="1:7">
      <c r="A822" s="61">
        <v>41393</v>
      </c>
      <c r="C822">
        <v>1.241009016310312E-3</v>
      </c>
      <c r="E822" s="62">
        <v>41393</v>
      </c>
      <c r="G822">
        <v>4.0070769119497154E-2</v>
      </c>
    </row>
    <row r="823" spans="1:7">
      <c r="A823" s="61">
        <v>41394</v>
      </c>
      <c r="C823">
        <v>7.4368249310701531E-3</v>
      </c>
      <c r="E823" s="62">
        <v>41394</v>
      </c>
      <c r="G823">
        <v>-2.56847430935521E-2</v>
      </c>
    </row>
    <row r="824" spans="1:7">
      <c r="A824" s="61">
        <v>41396</v>
      </c>
      <c r="C824">
        <v>4.7622634561144839E-3</v>
      </c>
      <c r="E824" s="62">
        <v>41396</v>
      </c>
      <c r="G824">
        <v>7.0289223806126178E-3</v>
      </c>
    </row>
    <row r="825" spans="1:7">
      <c r="A825" s="61">
        <v>41397</v>
      </c>
      <c r="C825">
        <v>2.9571012078300706E-3</v>
      </c>
      <c r="E825" s="62">
        <v>41397</v>
      </c>
      <c r="G825">
        <v>-8.7253256971615602E-3</v>
      </c>
    </row>
    <row r="826" spans="1:7">
      <c r="A826" s="61">
        <v>41400</v>
      </c>
      <c r="C826">
        <v>-9.717204435032372E-4</v>
      </c>
      <c r="E826" s="62">
        <v>41400</v>
      </c>
      <c r="G826">
        <v>-1.7606731750443828E-3</v>
      </c>
    </row>
    <row r="827" spans="1:7">
      <c r="A827" s="61">
        <v>41401</v>
      </c>
      <c r="C827">
        <v>9.4356876828943868E-3</v>
      </c>
      <c r="E827" s="62">
        <v>41401</v>
      </c>
      <c r="G827">
        <v>3.4392219030493679E-2</v>
      </c>
    </row>
    <row r="828" spans="1:7">
      <c r="A828" s="61">
        <v>41402</v>
      </c>
      <c r="C828">
        <v>7.9968375019560025E-3</v>
      </c>
      <c r="E828" s="62">
        <v>41402</v>
      </c>
      <c r="G828">
        <v>6.8192100218050179E-3</v>
      </c>
    </row>
    <row r="829" spans="1:7">
      <c r="A829" s="61">
        <v>41403</v>
      </c>
      <c r="C829">
        <v>-1.1520172557478606E-3</v>
      </c>
      <c r="E829" s="62">
        <v>41403</v>
      </c>
      <c r="G829">
        <v>-8.466758604829731E-3</v>
      </c>
    </row>
    <row r="830" spans="1:7">
      <c r="A830" s="61">
        <v>41404</v>
      </c>
      <c r="C830">
        <v>7.9343656188402153E-4</v>
      </c>
      <c r="E830" s="62">
        <v>41404</v>
      </c>
      <c r="G830">
        <v>-3.4163211984099091E-3</v>
      </c>
    </row>
    <row r="831" spans="1:7">
      <c r="A831" s="61">
        <v>41407</v>
      </c>
      <c r="C831">
        <v>-8.7732148379643295E-3</v>
      </c>
      <c r="E831" s="62">
        <v>41407</v>
      </c>
      <c r="G831">
        <v>-2.313559213456642E-2</v>
      </c>
    </row>
    <row r="832" spans="1:7">
      <c r="A832" s="61">
        <v>41408</v>
      </c>
      <c r="C832">
        <v>-7.093829025583585E-3</v>
      </c>
      <c r="E832" s="62">
        <v>41408</v>
      </c>
      <c r="G832">
        <v>-6.1412609801282892E-3</v>
      </c>
    </row>
    <row r="833" spans="1:7">
      <c r="A833" s="61">
        <v>41409</v>
      </c>
      <c r="C833">
        <v>1.4636324546025864E-2</v>
      </c>
      <c r="E833" s="62">
        <v>41409</v>
      </c>
      <c r="G833">
        <v>1.323909695770133E-2</v>
      </c>
    </row>
    <row r="834" spans="1:7">
      <c r="A834" s="61">
        <v>41410</v>
      </c>
      <c r="C834">
        <v>1.0888168082019733E-2</v>
      </c>
      <c r="E834" s="62">
        <v>41410</v>
      </c>
      <c r="G834">
        <v>3.4847502028753936E-3</v>
      </c>
    </row>
    <row r="835" spans="1:7">
      <c r="A835" s="61">
        <v>41411</v>
      </c>
      <c r="C835">
        <v>5.2725777584289859E-3</v>
      </c>
      <c r="E835" s="62">
        <v>41411</v>
      </c>
      <c r="G835">
        <v>-1.0416095259308752E-2</v>
      </c>
    </row>
    <row r="836" spans="1:7">
      <c r="A836" s="61">
        <v>41414</v>
      </c>
      <c r="C836">
        <v>-3.2881018830401015E-4</v>
      </c>
      <c r="E836" s="62">
        <v>41414</v>
      </c>
      <c r="G836">
        <v>-7.8957747167792934E-3</v>
      </c>
    </row>
    <row r="837" spans="1:7">
      <c r="A837" s="61">
        <v>41415</v>
      </c>
      <c r="C837">
        <v>-7.468853037681235E-3</v>
      </c>
      <c r="E837" s="62">
        <v>41415</v>
      </c>
      <c r="G837">
        <v>-1.5915420261800199E-2</v>
      </c>
    </row>
    <row r="838" spans="1:7">
      <c r="A838" s="61">
        <v>41416</v>
      </c>
      <c r="C838">
        <v>-4.2434529582929198E-3</v>
      </c>
      <c r="E838" s="62">
        <v>41416</v>
      </c>
      <c r="G838">
        <v>-1.3476844108428861E-2</v>
      </c>
    </row>
    <row r="839" spans="1:7">
      <c r="A839" s="61">
        <v>41417</v>
      </c>
      <c r="C839">
        <v>-1.6672754576078544E-2</v>
      </c>
      <c r="E839" s="62">
        <v>41417</v>
      </c>
      <c r="G839">
        <v>-1.0928548219161404E-2</v>
      </c>
    </row>
    <row r="840" spans="1:7">
      <c r="A840" s="61">
        <v>41418</v>
      </c>
      <c r="C840">
        <v>-2.2865916576551891E-3</v>
      </c>
      <c r="E840" s="62">
        <v>41418</v>
      </c>
      <c r="G840">
        <v>-1.3811975552504057E-2</v>
      </c>
    </row>
    <row r="841" spans="1:7">
      <c r="A841" s="61">
        <v>41421</v>
      </c>
      <c r="C841">
        <v>7.0244241461477064E-3</v>
      </c>
      <c r="E841" s="62">
        <v>41421</v>
      </c>
      <c r="G841">
        <v>-6.5368376229791459E-3</v>
      </c>
    </row>
    <row r="842" spans="1:7">
      <c r="A842" s="61">
        <v>41422</v>
      </c>
      <c r="C842">
        <v>9.7360183382218836E-3</v>
      </c>
      <c r="E842" s="62">
        <v>41422</v>
      </c>
      <c r="G842">
        <v>5.6398676429500272E-3</v>
      </c>
    </row>
    <row r="843" spans="1:7">
      <c r="A843" s="61">
        <v>41423</v>
      </c>
      <c r="C843">
        <v>1.3669872577260079E-3</v>
      </c>
      <c r="E843" s="62">
        <v>41423</v>
      </c>
      <c r="G843">
        <v>-1.3083881496986416E-2</v>
      </c>
    </row>
    <row r="844" spans="1:7">
      <c r="A844" s="61">
        <v>41424</v>
      </c>
      <c r="C844">
        <v>-3.0958997611038276E-3</v>
      </c>
      <c r="E844" s="62">
        <v>41424</v>
      </c>
      <c r="G844">
        <v>-9.4710150937190967E-4</v>
      </c>
    </row>
    <row r="845" spans="1:7">
      <c r="A845" s="61">
        <v>41425</v>
      </c>
      <c r="C845">
        <v>-8.2487671679505013E-3</v>
      </c>
      <c r="E845" s="62">
        <v>41425</v>
      </c>
      <c r="G845">
        <v>-2.7487563057453254E-2</v>
      </c>
    </row>
    <row r="846" spans="1:7">
      <c r="A846" s="61">
        <v>41428</v>
      </c>
      <c r="C846">
        <v>-1.0347406573356427E-2</v>
      </c>
      <c r="E846" s="62">
        <v>41428</v>
      </c>
      <c r="G846">
        <v>6.8214154581733117E-3</v>
      </c>
    </row>
    <row r="847" spans="1:7">
      <c r="A847" s="61">
        <v>41429</v>
      </c>
      <c r="C847">
        <v>-3.8782865779725703E-3</v>
      </c>
      <c r="E847" s="62">
        <v>41429</v>
      </c>
      <c r="G847">
        <v>1.9363154451536651E-3</v>
      </c>
    </row>
    <row r="848" spans="1:7">
      <c r="A848" s="61">
        <v>41430</v>
      </c>
      <c r="C848">
        <v>-1.4589777151575278E-3</v>
      </c>
      <c r="E848" s="62">
        <v>41430</v>
      </c>
      <c r="G848">
        <v>-6.7622753961564851E-3</v>
      </c>
    </row>
    <row r="849" spans="1:7">
      <c r="A849" s="61">
        <v>41431</v>
      </c>
      <c r="C849">
        <v>-1.4444110476573063E-3</v>
      </c>
      <c r="E849" s="62">
        <v>41431</v>
      </c>
      <c r="G849">
        <v>-9.7274783178125741E-4</v>
      </c>
    </row>
    <row r="850" spans="1:7">
      <c r="A850" s="61">
        <v>41432</v>
      </c>
      <c r="C850">
        <v>-3.0936713517671554E-3</v>
      </c>
      <c r="E850" s="62">
        <v>41432</v>
      </c>
      <c r="G850">
        <v>-2.142233889120284E-2</v>
      </c>
    </row>
    <row r="851" spans="1:7">
      <c r="A851" s="61">
        <v>41435</v>
      </c>
      <c r="C851">
        <v>-1.8451886705414104E-3</v>
      </c>
      <c r="E851" s="62">
        <v>41435</v>
      </c>
      <c r="G851">
        <v>-5.1741680683101574E-2</v>
      </c>
    </row>
    <row r="852" spans="1:7">
      <c r="A852" s="61">
        <v>41436</v>
      </c>
      <c r="C852">
        <v>-1.4057760337453713E-2</v>
      </c>
      <c r="E852" s="62">
        <v>41436</v>
      </c>
      <c r="G852">
        <v>-1.469026718549714E-2</v>
      </c>
    </row>
    <row r="853" spans="1:7">
      <c r="A853" s="61">
        <v>41437</v>
      </c>
      <c r="C853">
        <v>-1.0227040294538607E-2</v>
      </c>
      <c r="E853" s="62">
        <v>41437</v>
      </c>
      <c r="G853">
        <v>-1.277897209745712E-2</v>
      </c>
    </row>
    <row r="854" spans="1:7">
      <c r="A854" s="61">
        <v>41438</v>
      </c>
      <c r="C854">
        <v>-1.1917062754012506E-2</v>
      </c>
      <c r="E854" s="62">
        <v>41438</v>
      </c>
      <c r="G854">
        <v>7.5499185714494764E-3</v>
      </c>
    </row>
    <row r="855" spans="1:7">
      <c r="A855" s="61">
        <v>41439</v>
      </c>
      <c r="C855">
        <v>1.1398494143892853E-2</v>
      </c>
      <c r="E855" s="62">
        <v>41439</v>
      </c>
      <c r="G855">
        <v>2.3555461535560498E-2</v>
      </c>
    </row>
    <row r="856" spans="1:7">
      <c r="A856" s="61">
        <v>41442</v>
      </c>
      <c r="C856">
        <v>9.7794244356367403E-3</v>
      </c>
      <c r="E856" s="62">
        <v>41442</v>
      </c>
      <c r="G856">
        <v>0</v>
      </c>
    </row>
    <row r="857" spans="1:7">
      <c r="A857" s="61">
        <v>41443</v>
      </c>
      <c r="C857">
        <v>3.242459149280492E-4</v>
      </c>
      <c r="E857" s="62">
        <v>41443</v>
      </c>
      <c r="G857">
        <v>1.1505535488189052E-2</v>
      </c>
    </row>
    <row r="858" spans="1:7">
      <c r="A858" s="61">
        <v>41444</v>
      </c>
      <c r="C858">
        <v>-7.677019269318366E-4</v>
      </c>
      <c r="E858" s="62">
        <v>41444</v>
      </c>
      <c r="G858">
        <v>3.8263304810040991E-2</v>
      </c>
    </row>
    <row r="859" spans="1:7">
      <c r="A859" s="61">
        <v>41445</v>
      </c>
      <c r="C859">
        <v>-1.7551198108294867E-2</v>
      </c>
      <c r="E859" s="62">
        <v>41445</v>
      </c>
      <c r="G859">
        <v>-1.5936049327084031E-2</v>
      </c>
    </row>
    <row r="860" spans="1:7">
      <c r="A860" s="61">
        <v>41446</v>
      </c>
      <c r="C860">
        <v>-1.1069886259959982E-2</v>
      </c>
      <c r="E860" s="62">
        <v>41446</v>
      </c>
      <c r="G860">
        <v>4.5546054612705278E-2</v>
      </c>
    </row>
    <row r="861" spans="1:7">
      <c r="A861" s="61">
        <v>41449</v>
      </c>
      <c r="C861">
        <v>-9.8582762953266095E-3</v>
      </c>
      <c r="E861" s="62">
        <v>41449</v>
      </c>
      <c r="G861">
        <v>-4.9371180127740395E-2</v>
      </c>
    </row>
    <row r="862" spans="1:7">
      <c r="A862" s="61">
        <v>41450</v>
      </c>
      <c r="C862">
        <v>-3.8601130525062503E-3</v>
      </c>
      <c r="E862" s="62">
        <v>41450</v>
      </c>
      <c r="G862">
        <v>-2.2401924686657179E-2</v>
      </c>
    </row>
    <row r="863" spans="1:7">
      <c r="A863" s="61">
        <v>41451</v>
      </c>
      <c r="C863">
        <v>-2.2270524515393385E-4</v>
      </c>
      <c r="E863" s="62">
        <v>41451</v>
      </c>
      <c r="G863">
        <v>1.2499584292362077E-2</v>
      </c>
    </row>
    <row r="864" spans="1:7">
      <c r="A864" s="61">
        <v>41452</v>
      </c>
      <c r="C864">
        <v>8.8300024057524542E-3</v>
      </c>
      <c r="E864" s="62">
        <v>41452</v>
      </c>
      <c r="G864">
        <v>-2.2634615075748373E-2</v>
      </c>
    </row>
    <row r="865" spans="1:7">
      <c r="A865" s="61">
        <v>41453</v>
      </c>
      <c r="C865">
        <v>2.1488756602073736E-2</v>
      </c>
      <c r="E865" s="62">
        <v>41453</v>
      </c>
      <c r="G865">
        <v>1.0527630432684955E-2</v>
      </c>
    </row>
    <row r="866" spans="1:7">
      <c r="A866" s="61">
        <v>41456</v>
      </c>
      <c r="C866">
        <v>1.4214690242531794E-2</v>
      </c>
      <c r="E866" s="62">
        <v>41456</v>
      </c>
      <c r="G866">
        <v>2.4998825024692861E-2</v>
      </c>
    </row>
    <row r="867" spans="1:7">
      <c r="A867" s="61">
        <v>41457</v>
      </c>
      <c r="C867">
        <v>2.5831422262763766E-3</v>
      </c>
      <c r="E867" s="62">
        <v>41457</v>
      </c>
      <c r="G867">
        <v>-6.0961808750558625E-3</v>
      </c>
    </row>
    <row r="868" spans="1:7">
      <c r="A868" s="61">
        <v>41458</v>
      </c>
      <c r="C868">
        <v>-1.379228244417618E-2</v>
      </c>
      <c r="E868" s="62">
        <v>41458</v>
      </c>
      <c r="G868">
        <v>-1.3294322684363305E-2</v>
      </c>
    </row>
    <row r="869" spans="1:7">
      <c r="A869" s="61">
        <v>41459</v>
      </c>
      <c r="C869">
        <v>3.1815830315572906E-3</v>
      </c>
      <c r="E869" s="62">
        <v>41459</v>
      </c>
      <c r="G869">
        <v>9.3278278115314743E-3</v>
      </c>
    </row>
    <row r="870" spans="1:7">
      <c r="A870" s="61">
        <v>41460</v>
      </c>
      <c r="C870">
        <v>9.5660469793465569E-3</v>
      </c>
      <c r="E870" s="62">
        <v>41460</v>
      </c>
      <c r="G870">
        <v>7.1856242816277695E-3</v>
      </c>
    </row>
    <row r="871" spans="1:7">
      <c r="A871" s="61">
        <v>41463</v>
      </c>
      <c r="C871">
        <v>-9.1093289744768515E-3</v>
      </c>
      <c r="E871" s="62">
        <v>41463</v>
      </c>
      <c r="G871">
        <v>2.2426893004758031E-2</v>
      </c>
    </row>
    <row r="872" spans="1:7">
      <c r="A872" s="61">
        <v>41464</v>
      </c>
      <c r="C872">
        <v>5.3182349302357233E-3</v>
      </c>
      <c r="E872" s="62">
        <v>41464</v>
      </c>
      <c r="G872">
        <v>1.9943184514849381E-3</v>
      </c>
    </row>
    <row r="873" spans="1:7">
      <c r="A873" s="61">
        <v>41465</v>
      </c>
      <c r="C873">
        <v>-8.5462050576441529E-5</v>
      </c>
      <c r="E873" s="62">
        <v>41465</v>
      </c>
      <c r="G873">
        <v>-8.9543063567994446E-3</v>
      </c>
    </row>
    <row r="874" spans="1:7">
      <c r="A874" s="61">
        <v>41466</v>
      </c>
      <c r="C874">
        <v>1.0281963402022297E-2</v>
      </c>
      <c r="E874" s="62">
        <v>41466</v>
      </c>
      <c r="G874">
        <v>1.3051786662495167E-2</v>
      </c>
    </row>
    <row r="875" spans="1:7">
      <c r="A875" s="61">
        <v>41467</v>
      </c>
      <c r="C875">
        <v>1.2579946533112153E-2</v>
      </c>
      <c r="E875" s="62">
        <v>41467</v>
      </c>
      <c r="G875">
        <v>1.4866089912615191E-2</v>
      </c>
    </row>
    <row r="876" spans="1:7">
      <c r="A876" s="61">
        <v>41470</v>
      </c>
      <c r="C876">
        <v>1.9800987542922116E-3</v>
      </c>
      <c r="E876" s="62">
        <v>41470</v>
      </c>
      <c r="G876">
        <v>1.171812444560681E-2</v>
      </c>
    </row>
    <row r="877" spans="1:7">
      <c r="A877" s="61">
        <v>41471</v>
      </c>
      <c r="C877">
        <v>-1.0456273764258374E-2</v>
      </c>
      <c r="E877" s="62">
        <v>41471</v>
      </c>
      <c r="G877">
        <v>8.6863705449998132E-3</v>
      </c>
    </row>
    <row r="878" spans="1:7">
      <c r="A878" s="61">
        <v>41472</v>
      </c>
      <c r="C878">
        <v>3.0587997370948371E-3</v>
      </c>
      <c r="E878" s="62">
        <v>41472</v>
      </c>
      <c r="G878">
        <v>-2.4226830544302833E-2</v>
      </c>
    </row>
    <row r="879" spans="1:7">
      <c r="A879" s="61">
        <v>41473</v>
      </c>
      <c r="C879">
        <v>5.5444945689155471E-3</v>
      </c>
      <c r="E879" s="62">
        <v>41473</v>
      </c>
      <c r="G879">
        <v>1.2960729110042373E-2</v>
      </c>
    </row>
    <row r="880" spans="1:7">
      <c r="A880" s="61">
        <v>41474</v>
      </c>
      <c r="C880">
        <v>4.7035431130269994E-3</v>
      </c>
      <c r="E880" s="62">
        <v>41474</v>
      </c>
      <c r="G880">
        <v>-3.4449244690365706E-2</v>
      </c>
    </row>
    <row r="881" spans="1:7">
      <c r="A881" s="61">
        <v>41477</v>
      </c>
      <c r="C881">
        <v>-4.8644603359387995E-3</v>
      </c>
      <c r="E881" s="62">
        <v>41477</v>
      </c>
      <c r="G881">
        <v>-1.732939643656245E-2</v>
      </c>
    </row>
    <row r="882" spans="1:7">
      <c r="A882" s="61">
        <v>41478</v>
      </c>
      <c r="C882">
        <v>7.4869438061416641E-3</v>
      </c>
      <c r="E882" s="62">
        <v>41478</v>
      </c>
      <c r="G882">
        <v>5.1874589998956678E-3</v>
      </c>
    </row>
    <row r="883" spans="1:7">
      <c r="A883" s="61">
        <v>41479</v>
      </c>
      <c r="C883">
        <v>-1.0441980244005576E-2</v>
      </c>
      <c r="E883" s="62">
        <v>41479</v>
      </c>
      <c r="G883">
        <v>-2.3734661263843073E-2</v>
      </c>
    </row>
    <row r="884" spans="1:7">
      <c r="A884" s="61">
        <v>41480</v>
      </c>
      <c r="C884">
        <v>-1.2345782486254616E-2</v>
      </c>
      <c r="E884" s="62">
        <v>41480</v>
      </c>
      <c r="G884">
        <v>1.5856081871141903E-2</v>
      </c>
    </row>
    <row r="885" spans="1:7">
      <c r="A885" s="61">
        <v>41481</v>
      </c>
      <c r="C885">
        <v>-5.074720593352039E-3</v>
      </c>
      <c r="E885" s="62">
        <v>41481</v>
      </c>
      <c r="G885">
        <v>-2.0813179818569227E-3</v>
      </c>
    </row>
    <row r="886" spans="1:7">
      <c r="A886" s="61">
        <v>41484</v>
      </c>
      <c r="C886">
        <v>-1.153180201465333E-2</v>
      </c>
      <c r="E886" s="62">
        <v>41484</v>
      </c>
      <c r="G886">
        <v>-1.0429061300812104E-2</v>
      </c>
    </row>
    <row r="887" spans="1:7">
      <c r="A887" s="61">
        <v>41485</v>
      </c>
      <c r="C887">
        <v>-1.1200372770496155E-2</v>
      </c>
      <c r="E887" s="62">
        <v>41485</v>
      </c>
      <c r="G887">
        <v>-5.1633261729484167E-2</v>
      </c>
    </row>
    <row r="888" spans="1:7">
      <c r="A888" s="61">
        <v>41486</v>
      </c>
      <c r="C888">
        <v>-1.0533113420774502E-2</v>
      </c>
      <c r="E888" s="62">
        <v>41486</v>
      </c>
      <c r="G888">
        <v>-1.6666534094102896E-2</v>
      </c>
    </row>
    <row r="889" spans="1:7">
      <c r="A889" s="61">
        <v>41487</v>
      </c>
      <c r="C889">
        <v>5.203556057290108E-4</v>
      </c>
      <c r="E889" s="62">
        <v>41487</v>
      </c>
      <c r="G889">
        <v>-3.8418362997867654E-2</v>
      </c>
    </row>
    <row r="890" spans="1:7">
      <c r="A890" s="61">
        <v>41488</v>
      </c>
      <c r="C890">
        <v>-8.1803196318855527E-3</v>
      </c>
      <c r="E890" s="62">
        <v>41488</v>
      </c>
      <c r="G890">
        <v>-5.1703212192871655E-2</v>
      </c>
    </row>
    <row r="891" spans="1:7">
      <c r="A891" s="61">
        <v>41491</v>
      </c>
      <c r="C891">
        <v>-4.7104830467048836E-3</v>
      </c>
      <c r="E891" s="62">
        <v>41491</v>
      </c>
      <c r="G891">
        <v>-1.3629963149078642E-2</v>
      </c>
    </row>
    <row r="892" spans="1:7">
      <c r="A892" s="61">
        <v>41492</v>
      </c>
      <c r="C892">
        <v>-1.4412644550609425E-2</v>
      </c>
      <c r="E892" s="62">
        <v>41492</v>
      </c>
      <c r="G892">
        <v>-3.2664933735884596E-2</v>
      </c>
    </row>
    <row r="893" spans="1:7">
      <c r="A893" s="61">
        <v>41493</v>
      </c>
      <c r="C893">
        <v>-1.0636852071649222E-2</v>
      </c>
      <c r="E893" s="62">
        <v>41493</v>
      </c>
      <c r="G893">
        <v>3.5066943649430089E-2</v>
      </c>
    </row>
    <row r="894" spans="1:7">
      <c r="A894" s="61">
        <v>41494</v>
      </c>
      <c r="C894">
        <v>2.8022747877687612E-3</v>
      </c>
      <c r="E894" s="62">
        <v>41494</v>
      </c>
      <c r="G894">
        <v>6.1480517136172363E-2</v>
      </c>
    </row>
    <row r="895" spans="1:7">
      <c r="A895" s="61">
        <v>41498</v>
      </c>
      <c r="C895">
        <v>1.3488214934750713E-2</v>
      </c>
      <c r="E895" s="62">
        <v>41498</v>
      </c>
      <c r="G895">
        <v>1.1819434557121762E-2</v>
      </c>
    </row>
    <row r="896" spans="1:7">
      <c r="A896" s="61">
        <v>41499</v>
      </c>
      <c r="C896">
        <v>8.3888989007028618E-3</v>
      </c>
      <c r="E896" s="62">
        <v>41499</v>
      </c>
      <c r="G896">
        <v>0</v>
      </c>
    </row>
    <row r="897" spans="1:7">
      <c r="A897" s="61">
        <v>41500</v>
      </c>
      <c r="C897">
        <v>1.3903905782273445E-2</v>
      </c>
      <c r="E897" s="62">
        <v>41500</v>
      </c>
      <c r="G897">
        <v>3.1543628502166507E-2</v>
      </c>
    </row>
    <row r="898" spans="1:7">
      <c r="A898" s="61">
        <v>41502</v>
      </c>
      <c r="C898">
        <v>-2.0966448394687569E-2</v>
      </c>
      <c r="E898" s="62">
        <v>41502</v>
      </c>
      <c r="G898">
        <v>-4.5301155807888197E-2</v>
      </c>
    </row>
    <row r="899" spans="1:7">
      <c r="A899" s="61">
        <v>41505</v>
      </c>
      <c r="C899">
        <v>-2.7149647126602203E-2</v>
      </c>
      <c r="E899" s="62">
        <v>41505</v>
      </c>
      <c r="G899">
        <v>-1.4234259058286288E-2</v>
      </c>
    </row>
    <row r="900" spans="1:7">
      <c r="A900" s="61">
        <v>41506</v>
      </c>
      <c r="C900">
        <v>-1.4795691761048323E-2</v>
      </c>
      <c r="E900" s="62">
        <v>41506</v>
      </c>
      <c r="G900">
        <v>3.1286564950674084E-2</v>
      </c>
    </row>
    <row r="901" spans="1:7">
      <c r="A901" s="61">
        <v>41507</v>
      </c>
      <c r="C901">
        <v>3.3060024607178091E-3</v>
      </c>
      <c r="E901" s="62">
        <v>41507</v>
      </c>
      <c r="G901">
        <v>-4.5506079474948655E-2</v>
      </c>
    </row>
    <row r="902" spans="1:7">
      <c r="A902" s="61">
        <v>41508</v>
      </c>
      <c r="C902">
        <v>-1.0446992745143961E-2</v>
      </c>
      <c r="E902" s="62">
        <v>41508</v>
      </c>
      <c r="G902">
        <v>1.8337220354646532E-2</v>
      </c>
    </row>
    <row r="903" spans="1:7">
      <c r="A903" s="61">
        <v>41509</v>
      </c>
      <c r="C903">
        <v>1.8834725520059822E-2</v>
      </c>
      <c r="E903" s="62">
        <v>41509</v>
      </c>
      <c r="G903">
        <v>3.5991973765443523E-3</v>
      </c>
    </row>
    <row r="904" spans="1:7">
      <c r="A904" s="61">
        <v>41512</v>
      </c>
      <c r="C904">
        <v>7.4187558031570521E-3</v>
      </c>
      <c r="E904" s="62">
        <v>41512</v>
      </c>
      <c r="G904">
        <v>1.3159826891972013E-2</v>
      </c>
    </row>
    <row r="905" spans="1:7">
      <c r="A905" s="61">
        <v>41513</v>
      </c>
      <c r="C905">
        <v>-2.222140296223948E-2</v>
      </c>
      <c r="E905" s="62">
        <v>41513</v>
      </c>
      <c r="G905">
        <v>-1.8890255094538049E-2</v>
      </c>
    </row>
    <row r="906" spans="1:7">
      <c r="A906" s="61">
        <v>41514</v>
      </c>
      <c r="C906">
        <v>-1.940841565492778E-2</v>
      </c>
      <c r="E906" s="62">
        <v>41514</v>
      </c>
      <c r="G906">
        <v>4.2118398652279558E-2</v>
      </c>
    </row>
    <row r="907" spans="1:7">
      <c r="A907" s="61">
        <v>41515</v>
      </c>
      <c r="C907">
        <v>1.718751501985016E-2</v>
      </c>
      <c r="E907" s="62">
        <v>41515</v>
      </c>
      <c r="G907">
        <v>4.0413563339492475E-2</v>
      </c>
    </row>
    <row r="908" spans="1:7">
      <c r="A908" s="61">
        <v>41516</v>
      </c>
      <c r="C908">
        <v>1.3863556895394948E-2</v>
      </c>
      <c r="E908" s="62">
        <v>41516</v>
      </c>
      <c r="G908">
        <v>-1.1099969773400835E-3</v>
      </c>
    </row>
    <row r="909" spans="1:7">
      <c r="A909" s="61">
        <v>41519</v>
      </c>
      <c r="C909">
        <v>1.3618060475000795E-2</v>
      </c>
      <c r="E909" s="62">
        <v>41519</v>
      </c>
      <c r="G909">
        <v>-1.3332794712234027E-2</v>
      </c>
    </row>
    <row r="910" spans="1:7">
      <c r="A910" s="61">
        <v>41520</v>
      </c>
      <c r="C910">
        <v>-9.0486918938803129E-3</v>
      </c>
      <c r="E910" s="62">
        <v>41520</v>
      </c>
      <c r="G910">
        <v>6.7576004951674928E-3</v>
      </c>
    </row>
    <row r="911" spans="1:7">
      <c r="A911" s="61">
        <v>41521</v>
      </c>
      <c r="C911">
        <v>-9.8829817837622156E-3</v>
      </c>
      <c r="E911" s="62">
        <v>41521</v>
      </c>
      <c r="G911">
        <v>1.1188803541942081E-3</v>
      </c>
    </row>
    <row r="912" spans="1:7">
      <c r="A912" s="61">
        <v>41522</v>
      </c>
      <c r="C912">
        <v>2.9504386293769492E-2</v>
      </c>
      <c r="E912" s="62">
        <v>41522</v>
      </c>
      <c r="G912">
        <v>3.9106315624868528E-2</v>
      </c>
    </row>
    <row r="913" spans="1:7">
      <c r="A913" s="61">
        <v>41523</v>
      </c>
      <c r="C913">
        <v>1.2626998288481746E-2</v>
      </c>
      <c r="E913" s="62">
        <v>41523</v>
      </c>
      <c r="G913">
        <v>-8.6030351171703448E-3</v>
      </c>
    </row>
    <row r="914" spans="1:7">
      <c r="A914" s="61">
        <v>41527</v>
      </c>
      <c r="C914">
        <v>2.7348490978234385E-2</v>
      </c>
      <c r="E914" s="62">
        <v>41527</v>
      </c>
      <c r="G914">
        <v>1.6268577292361936E-2</v>
      </c>
    </row>
    <row r="915" spans="1:7">
      <c r="A915" s="61">
        <v>41528</v>
      </c>
      <c r="C915">
        <v>1.4421604403489826E-2</v>
      </c>
      <c r="E915" s="62">
        <v>41528</v>
      </c>
      <c r="G915">
        <v>6.4041915289292702E-3</v>
      </c>
    </row>
    <row r="916" spans="1:7">
      <c r="A916" s="61">
        <v>41529</v>
      </c>
      <c r="C916">
        <v>-3.0192976251051847E-4</v>
      </c>
      <c r="E916" s="62">
        <v>41529</v>
      </c>
      <c r="G916">
        <v>3.1818111656574089E-3</v>
      </c>
    </row>
    <row r="917" spans="1:7">
      <c r="A917" s="61">
        <v>41530</v>
      </c>
      <c r="C917">
        <v>-7.8784322523860594E-3</v>
      </c>
      <c r="E917" s="62">
        <v>41530</v>
      </c>
      <c r="G917">
        <v>1.7970607165608797E-2</v>
      </c>
    </row>
    <row r="918" spans="1:7">
      <c r="A918" s="61">
        <v>41533</v>
      </c>
      <c r="C918">
        <v>7.9931810077149817E-3</v>
      </c>
      <c r="E918" s="62">
        <v>41533</v>
      </c>
      <c r="G918">
        <v>3.1135717595382525E-3</v>
      </c>
    </row>
    <row r="919" spans="1:7">
      <c r="A919" s="61">
        <v>41534</v>
      </c>
      <c r="C919">
        <v>-8.6718669105719116E-3</v>
      </c>
      <c r="E919" s="62">
        <v>41534</v>
      </c>
      <c r="G919">
        <v>-2.2772936894355941E-2</v>
      </c>
    </row>
    <row r="920" spans="1:7">
      <c r="A920" s="61">
        <v>41535</v>
      </c>
      <c r="C920">
        <v>7.1635607161819239E-3</v>
      </c>
      <c r="E920" s="62">
        <v>41535</v>
      </c>
      <c r="G920">
        <v>-1.6949133126153943E-2</v>
      </c>
    </row>
    <row r="921" spans="1:7">
      <c r="A921" s="61">
        <v>41536</v>
      </c>
      <c r="C921">
        <v>3.1864143116411781E-2</v>
      </c>
      <c r="E921" s="62">
        <v>41536</v>
      </c>
      <c r="G921">
        <v>7.5417093985061905E-3</v>
      </c>
    </row>
    <row r="922" spans="1:7">
      <c r="A922" s="61">
        <v>41537</v>
      </c>
      <c r="C922">
        <v>-2.31999128956345E-3</v>
      </c>
      <c r="E922" s="62">
        <v>41537</v>
      </c>
      <c r="G922">
        <v>-8.555075976200123E-3</v>
      </c>
    </row>
    <row r="923" spans="1:7">
      <c r="A923" s="61">
        <v>41540</v>
      </c>
      <c r="C923">
        <v>-2.1281061114842174E-2</v>
      </c>
      <c r="E923" s="62">
        <v>41540</v>
      </c>
      <c r="G923">
        <v>-9.7100228980435029E-3</v>
      </c>
    </row>
    <row r="924" spans="1:7">
      <c r="A924" s="61">
        <v>41541</v>
      </c>
      <c r="C924">
        <v>-6.4502294463267768E-3</v>
      </c>
      <c r="E924" s="62">
        <v>41541</v>
      </c>
      <c r="G924">
        <v>-1.1981711633307669E-2</v>
      </c>
    </row>
    <row r="925" spans="1:7">
      <c r="A925" s="61">
        <v>41542</v>
      </c>
      <c r="C925">
        <v>2.8316628249290868E-3</v>
      </c>
      <c r="E925" s="62">
        <v>41542</v>
      </c>
      <c r="G925">
        <v>1.9845991023443872E-2</v>
      </c>
    </row>
    <row r="926" spans="1:7">
      <c r="A926" s="61">
        <v>41543</v>
      </c>
      <c r="C926">
        <v>-1.0502664405436341E-3</v>
      </c>
      <c r="E926" s="62">
        <v>41543</v>
      </c>
      <c r="G926">
        <v>5.8379002380519691E-2</v>
      </c>
    </row>
    <row r="927" spans="1:7">
      <c r="A927" s="61">
        <v>41544</v>
      </c>
      <c r="C927">
        <v>-8.5316143710316829E-4</v>
      </c>
      <c r="E927" s="62">
        <v>41544</v>
      </c>
      <c r="G927">
        <v>-2.5537429255480186E-2</v>
      </c>
    </row>
    <row r="928" spans="1:7">
      <c r="A928" s="61">
        <v>41547</v>
      </c>
      <c r="C928">
        <v>-1.5128514749008077E-2</v>
      </c>
      <c r="E928" s="62">
        <v>41547</v>
      </c>
      <c r="G928">
        <v>5.241830328817189E-3</v>
      </c>
    </row>
    <row r="929" spans="1:7">
      <c r="A929" s="61">
        <v>41548</v>
      </c>
      <c r="C929">
        <v>2.4521394917058765E-4</v>
      </c>
      <c r="E929" s="62">
        <v>41548</v>
      </c>
      <c r="G929">
        <v>-1.3555486072934256E-2</v>
      </c>
    </row>
    <row r="930" spans="1:7">
      <c r="A930" s="61">
        <v>41550</v>
      </c>
      <c r="C930">
        <v>1.5611045931322001E-2</v>
      </c>
      <c r="E930" s="62">
        <v>41550</v>
      </c>
      <c r="G930">
        <v>1.7970607165608797E-2</v>
      </c>
    </row>
    <row r="931" spans="1:7">
      <c r="A931" s="61">
        <v>41551</v>
      </c>
      <c r="C931">
        <v>6.1467106907936641E-3</v>
      </c>
      <c r="E931" s="62">
        <v>41551</v>
      </c>
      <c r="G931">
        <v>1.8689583208825706E-2</v>
      </c>
    </row>
    <row r="932" spans="1:7">
      <c r="A932" s="61">
        <v>41554</v>
      </c>
      <c r="C932">
        <v>1.1224402364834671E-3</v>
      </c>
      <c r="E932" s="62">
        <v>41554</v>
      </c>
      <c r="G932">
        <v>-5.0953808089113373E-3</v>
      </c>
    </row>
    <row r="933" spans="1:7">
      <c r="A933" s="61">
        <v>41555</v>
      </c>
      <c r="C933">
        <v>8.6699018324048159E-3</v>
      </c>
      <c r="E933" s="62">
        <v>41555</v>
      </c>
      <c r="G933">
        <v>-8.1978994220638854E-3</v>
      </c>
    </row>
    <row r="934" spans="1:7">
      <c r="A934" s="61">
        <v>41556</v>
      </c>
      <c r="C934">
        <v>-2.6303731735879683E-4</v>
      </c>
      <c r="E934" s="62">
        <v>41556</v>
      </c>
      <c r="G934">
        <v>-4.1326514926458098E-3</v>
      </c>
    </row>
    <row r="935" spans="1:7">
      <c r="A935" s="61">
        <v>41557</v>
      </c>
      <c r="C935">
        <v>1.040543866647432E-2</v>
      </c>
      <c r="E935" s="62">
        <v>41557</v>
      </c>
      <c r="G935">
        <v>-3.1102811743091525E-3</v>
      </c>
    </row>
    <row r="936" spans="1:7">
      <c r="A936" s="61">
        <v>41558</v>
      </c>
      <c r="C936">
        <v>1.3036648774874119E-2</v>
      </c>
      <c r="E936" s="62">
        <v>41558</v>
      </c>
      <c r="G936">
        <v>5.2015732575473308E-3</v>
      </c>
    </row>
    <row r="937" spans="1:7">
      <c r="A937" s="61">
        <v>41561</v>
      </c>
      <c r="C937">
        <v>4.7263289690804622E-4</v>
      </c>
      <c r="E937" s="62">
        <v>41561</v>
      </c>
      <c r="G937">
        <v>1.0352403536233647E-3</v>
      </c>
    </row>
    <row r="938" spans="1:7">
      <c r="A938" s="61">
        <v>41562</v>
      </c>
      <c r="C938">
        <v>1.4752440783040572E-3</v>
      </c>
      <c r="E938" s="62">
        <v>41562</v>
      </c>
      <c r="G938">
        <v>7.2397920638442841E-3</v>
      </c>
    </row>
    <row r="939" spans="1:7">
      <c r="A939" s="61">
        <v>41564</v>
      </c>
      <c r="C939">
        <v>-7.7956900261512072E-3</v>
      </c>
      <c r="E939" s="62">
        <v>41564</v>
      </c>
      <c r="G939">
        <v>3.2854076440765614E-2</v>
      </c>
    </row>
    <row r="940" spans="1:7">
      <c r="A940" s="61">
        <v>41565</v>
      </c>
      <c r="C940">
        <v>8.4991742706056715E-3</v>
      </c>
      <c r="E940" s="62">
        <v>41565</v>
      </c>
      <c r="G940">
        <v>-1.2921989278640331E-2</v>
      </c>
    </row>
    <row r="941" spans="1:7">
      <c r="A941" s="61">
        <v>41568</v>
      </c>
      <c r="C941">
        <v>1.2116149628245103E-2</v>
      </c>
      <c r="E941" s="62">
        <v>41568</v>
      </c>
      <c r="G941">
        <v>7.0481089696418312E-3</v>
      </c>
    </row>
    <row r="942" spans="1:7">
      <c r="A942" s="61">
        <v>41569</v>
      </c>
      <c r="C942">
        <v>1.1113108565266783E-3</v>
      </c>
      <c r="E942" s="62">
        <v>41569</v>
      </c>
      <c r="G942">
        <v>-9.9991666676219181E-3</v>
      </c>
    </row>
    <row r="943" spans="1:7">
      <c r="A943" s="61">
        <v>41570</v>
      </c>
      <c r="C943">
        <v>4.815776156192612E-4</v>
      </c>
      <c r="E943" s="62">
        <v>41570</v>
      </c>
      <c r="G943">
        <v>7.0695788376963107E-3</v>
      </c>
    </row>
    <row r="944" spans="1:7">
      <c r="A944" s="61">
        <v>41571</v>
      </c>
      <c r="C944">
        <v>-4.5279139777928256E-3</v>
      </c>
      <c r="E944" s="62">
        <v>41571</v>
      </c>
      <c r="G944">
        <v>-2.1061826311336223E-2</v>
      </c>
    </row>
    <row r="945" spans="1:7">
      <c r="A945" s="61">
        <v>41572</v>
      </c>
      <c r="C945">
        <v>-3.1798587093706892E-3</v>
      </c>
      <c r="E945" s="62">
        <v>41572</v>
      </c>
      <c r="G945">
        <v>-1.1272039685472243E-2</v>
      </c>
    </row>
    <row r="946" spans="1:7">
      <c r="A946" s="61">
        <v>41575</v>
      </c>
      <c r="C946">
        <v>-4.513689056976195E-3</v>
      </c>
      <c r="E946" s="62">
        <v>41575</v>
      </c>
      <c r="G946">
        <v>0</v>
      </c>
    </row>
    <row r="947" spans="1:7">
      <c r="A947" s="61">
        <v>41576</v>
      </c>
      <c r="C947">
        <v>5.046208736300674E-3</v>
      </c>
      <c r="E947" s="62">
        <v>41576</v>
      </c>
      <c r="G947">
        <v>2.0729632594152351E-3</v>
      </c>
    </row>
    <row r="948" spans="1:7">
      <c r="A948" s="61">
        <v>41577</v>
      </c>
      <c r="C948">
        <v>1.2416592709463116E-2</v>
      </c>
      <c r="E948" s="62">
        <v>41577</v>
      </c>
      <c r="G948">
        <v>3.3091955488876432E-2</v>
      </c>
    </row>
    <row r="949" spans="1:7">
      <c r="A949" s="61">
        <v>41578</v>
      </c>
      <c r="C949">
        <v>4.6670941454347702E-3</v>
      </c>
      <c r="E949" s="62">
        <v>41578</v>
      </c>
      <c r="G949">
        <v>-1.6016021022125043E-2</v>
      </c>
    </row>
    <row r="950" spans="1:7">
      <c r="A950" s="61">
        <v>41579</v>
      </c>
      <c r="C950">
        <v>6.212735704244814E-3</v>
      </c>
      <c r="E950" s="62">
        <v>41579</v>
      </c>
      <c r="G950">
        <v>3.8658012034534166E-2</v>
      </c>
    </row>
    <row r="951" spans="1:7">
      <c r="A951" s="61">
        <v>41583</v>
      </c>
      <c r="C951">
        <v>-7.0410729253982136E-3</v>
      </c>
      <c r="E951" s="62">
        <v>41583</v>
      </c>
      <c r="G951">
        <v>2.8402965210085302E-2</v>
      </c>
    </row>
    <row r="952" spans="1:7">
      <c r="A952" s="61">
        <v>41584</v>
      </c>
      <c r="C952">
        <v>-3.4651037521203497E-3</v>
      </c>
      <c r="E952" s="62">
        <v>41584</v>
      </c>
      <c r="G952">
        <v>1.9048150481927567E-2</v>
      </c>
    </row>
    <row r="953" spans="1:7">
      <c r="A953" s="61">
        <v>41585</v>
      </c>
      <c r="C953">
        <v>-5.7441590293017238E-3</v>
      </c>
      <c r="E953" s="62">
        <v>41585</v>
      </c>
      <c r="G953">
        <v>-2.6167651150808605E-2</v>
      </c>
    </row>
    <row r="954" spans="1:7">
      <c r="A954" s="61">
        <v>41586</v>
      </c>
      <c r="C954">
        <v>-8.34956183057446E-3</v>
      </c>
      <c r="E954" s="62">
        <v>41586</v>
      </c>
      <c r="G954">
        <v>-2.4953159145492603E-2</v>
      </c>
    </row>
    <row r="955" spans="1:7">
      <c r="A955" s="61">
        <v>41589</v>
      </c>
      <c r="C955">
        <v>-8.2152997684332534E-3</v>
      </c>
      <c r="E955" s="62">
        <v>41589</v>
      </c>
      <c r="G955">
        <v>-3.8384544700153664E-2</v>
      </c>
    </row>
    <row r="956" spans="1:7">
      <c r="A956" s="61">
        <v>41590</v>
      </c>
      <c r="C956">
        <v>-6.9055417591393836E-3</v>
      </c>
      <c r="E956" s="62">
        <v>41590</v>
      </c>
      <c r="G956">
        <v>-2.3542477702455936E-2</v>
      </c>
    </row>
    <row r="957" spans="1:7">
      <c r="A957" s="61">
        <v>41591</v>
      </c>
      <c r="C957">
        <v>-9.4375675002077233E-3</v>
      </c>
      <c r="E957" s="62">
        <v>41591</v>
      </c>
      <c r="G957">
        <v>-1.2578098483783882E-2</v>
      </c>
    </row>
    <row r="958" spans="1:7">
      <c r="A958" s="61">
        <v>41592</v>
      </c>
      <c r="C958">
        <v>8.864921079557905E-3</v>
      </c>
      <c r="E958" s="62">
        <v>41592</v>
      </c>
      <c r="G958">
        <v>2.1235971079019093E-3</v>
      </c>
    </row>
    <row r="959" spans="1:7">
      <c r="A959" s="61">
        <v>41596</v>
      </c>
      <c r="C959">
        <v>1.6435144773923147E-2</v>
      </c>
      <c r="E959" s="62">
        <v>41596</v>
      </c>
      <c r="G959">
        <v>1.0592231616578145E-2</v>
      </c>
    </row>
    <row r="960" spans="1:7">
      <c r="A960" s="61">
        <v>41597</v>
      </c>
      <c r="C960">
        <v>7.4753819478523787E-3</v>
      </c>
      <c r="E960" s="62">
        <v>41597</v>
      </c>
      <c r="G960">
        <v>-4.1933871816478493E-3</v>
      </c>
    </row>
    <row r="961" spans="1:7">
      <c r="A961" s="61">
        <v>41598</v>
      </c>
      <c r="C961">
        <v>-6.2915036287769311E-3</v>
      </c>
      <c r="E961" s="62">
        <v>41598</v>
      </c>
      <c r="G961">
        <v>-7.367343647394377E-3</v>
      </c>
    </row>
    <row r="962" spans="1:7">
      <c r="A962" s="61">
        <v>41599</v>
      </c>
      <c r="C962">
        <v>-1.637161273456595E-2</v>
      </c>
      <c r="E962" s="62">
        <v>41599</v>
      </c>
      <c r="G962">
        <v>-4.2422084685502731E-3</v>
      </c>
    </row>
    <row r="963" spans="1:7">
      <c r="A963" s="61">
        <v>41600</v>
      </c>
      <c r="C963">
        <v>-5.4566746675746378E-3</v>
      </c>
      <c r="E963" s="62">
        <v>41600</v>
      </c>
      <c r="G963">
        <v>-8.5185590568715077E-3</v>
      </c>
    </row>
    <row r="964" spans="1:7">
      <c r="A964" s="61">
        <v>41603</v>
      </c>
      <c r="C964">
        <v>1.0021211564478145E-2</v>
      </c>
      <c r="E964" s="62">
        <v>41603</v>
      </c>
      <c r="G964">
        <v>1.3963162105548089E-2</v>
      </c>
    </row>
    <row r="965" spans="1:7">
      <c r="A965" s="61">
        <v>41604</v>
      </c>
      <c r="C965">
        <v>9.0949680022489371E-4</v>
      </c>
      <c r="E965" s="62">
        <v>41604</v>
      </c>
      <c r="G965">
        <v>5.084719317821771E-2</v>
      </c>
    </row>
    <row r="966" spans="1:7">
      <c r="A966" s="61">
        <v>41605</v>
      </c>
      <c r="C966">
        <v>-2.5525376685170196E-3</v>
      </c>
      <c r="E966" s="62">
        <v>41605</v>
      </c>
      <c r="G966">
        <v>-3.8307150481023886E-2</v>
      </c>
    </row>
    <row r="967" spans="1:7">
      <c r="A967" s="61">
        <v>41606</v>
      </c>
      <c r="C967">
        <v>5.3914382966035214E-3</v>
      </c>
      <c r="E967" s="62">
        <v>41606</v>
      </c>
      <c r="G967">
        <v>1.3626428275944409E-2</v>
      </c>
    </row>
    <row r="968" spans="1:7">
      <c r="A968" s="61">
        <v>41607</v>
      </c>
      <c r="C968">
        <v>7.7843127563880796E-3</v>
      </c>
      <c r="E968" s="62">
        <v>41607</v>
      </c>
      <c r="G968">
        <v>-7.2376449057712849E-3</v>
      </c>
    </row>
    <row r="969" spans="1:7">
      <c r="A969" s="61">
        <v>41610</v>
      </c>
      <c r="C969">
        <v>9.1545899642807519E-3</v>
      </c>
      <c r="E969" s="62">
        <v>41610</v>
      </c>
      <c r="G969">
        <v>1.8750225996929437E-2</v>
      </c>
    </row>
    <row r="970" spans="1:7">
      <c r="A970" s="61">
        <v>41611</v>
      </c>
      <c r="C970">
        <v>1.4660262588793553E-3</v>
      </c>
      <c r="E970" s="62">
        <v>41611</v>
      </c>
      <c r="G970">
        <v>1.3292045310674742E-2</v>
      </c>
    </row>
    <row r="971" spans="1:7">
      <c r="A971" s="61">
        <v>41612</v>
      </c>
      <c r="C971">
        <v>-4.642360324803585E-3</v>
      </c>
      <c r="E971" s="62">
        <v>41612</v>
      </c>
      <c r="G971">
        <v>3.0276095511789732E-3</v>
      </c>
    </row>
    <row r="972" spans="1:7">
      <c r="A972" s="61">
        <v>41613</v>
      </c>
      <c r="C972">
        <v>1.0912488827496488E-2</v>
      </c>
      <c r="E972" s="62">
        <v>41613</v>
      </c>
      <c r="G972">
        <v>-1.106791484232959E-2</v>
      </c>
    </row>
    <row r="973" spans="1:7">
      <c r="A973" s="61">
        <v>41614</v>
      </c>
      <c r="C973">
        <v>-1.0047181564627492E-3</v>
      </c>
      <c r="E973" s="62">
        <v>41614</v>
      </c>
      <c r="G973">
        <v>2.1363877937607814E-2</v>
      </c>
    </row>
    <row r="974" spans="1:7">
      <c r="A974" s="61">
        <v>41617</v>
      </c>
      <c r="C974">
        <v>2.0927201338825984E-2</v>
      </c>
      <c r="E974" s="62">
        <v>41617</v>
      </c>
      <c r="G974">
        <v>4.6812582161048402E-2</v>
      </c>
    </row>
    <row r="975" spans="1:7">
      <c r="A975" s="61">
        <v>41618</v>
      </c>
      <c r="C975">
        <v>-7.1164561151872323E-3</v>
      </c>
      <c r="E975" s="62">
        <v>41618</v>
      </c>
      <c r="G975">
        <v>4.5670615402952433E-2</v>
      </c>
    </row>
    <row r="976" spans="1:7">
      <c r="A976" s="61">
        <v>41619</v>
      </c>
      <c r="C976">
        <v>-5.6911085358691228E-3</v>
      </c>
      <c r="E976" s="62">
        <v>41619</v>
      </c>
      <c r="G976">
        <v>-2.1837059431231043E-2</v>
      </c>
    </row>
    <row r="977" spans="1:7">
      <c r="A977" s="61">
        <v>41620</v>
      </c>
      <c r="C977">
        <v>-7.3841093965785632E-3</v>
      </c>
      <c r="E977" s="62">
        <v>41620</v>
      </c>
      <c r="G977">
        <v>9.3051199949043288E-4</v>
      </c>
    </row>
    <row r="978" spans="1:7">
      <c r="A978" s="61">
        <v>41621</v>
      </c>
      <c r="C978">
        <v>-1.1017821527375522E-2</v>
      </c>
      <c r="E978" s="62">
        <v>41621</v>
      </c>
      <c r="G978">
        <v>-1.8590526979973235E-3</v>
      </c>
    </row>
    <row r="979" spans="1:7">
      <c r="A979" s="61">
        <v>41624</v>
      </c>
      <c r="C979">
        <v>-2.7810756745328871E-3</v>
      </c>
      <c r="E979" s="62">
        <v>41624</v>
      </c>
      <c r="G979">
        <v>6.890043637043046E-2</v>
      </c>
    </row>
    <row r="980" spans="1:7">
      <c r="A980" s="61">
        <v>41625</v>
      </c>
      <c r="C980">
        <v>7.2574858112072177E-4</v>
      </c>
      <c r="E980" s="62">
        <v>41625</v>
      </c>
      <c r="G980">
        <v>5.6620140428391592E-2</v>
      </c>
    </row>
    <row r="981" spans="1:7">
      <c r="A981" s="61">
        <v>41626</v>
      </c>
      <c r="C981">
        <v>3.0231174778563054E-3</v>
      </c>
      <c r="E981" s="62">
        <v>41626</v>
      </c>
      <c r="G981">
        <v>-2.9678813614157657E-2</v>
      </c>
    </row>
    <row r="982" spans="1:7">
      <c r="A982" s="61">
        <v>41627</v>
      </c>
      <c r="C982">
        <v>6.4667078282909154E-3</v>
      </c>
      <c r="E982" s="62">
        <v>41627</v>
      </c>
      <c r="G982">
        <v>-1.0194922682050063E-2</v>
      </c>
    </row>
    <row r="983" spans="1:7">
      <c r="A983" s="61">
        <v>41628</v>
      </c>
      <c r="C983">
        <v>3.4466615007103778E-3</v>
      </c>
      <c r="E983" s="62">
        <v>41628</v>
      </c>
      <c r="G983">
        <v>-3.4338977787220369E-3</v>
      </c>
    </row>
    <row r="984" spans="1:7">
      <c r="A984" s="61">
        <v>41631</v>
      </c>
      <c r="C984">
        <v>8.7036962554800888E-3</v>
      </c>
      <c r="E984" s="62">
        <v>41631</v>
      </c>
      <c r="G984">
        <v>8.6143344732786259E-3</v>
      </c>
    </row>
    <row r="985" spans="1:7">
      <c r="A985" s="61">
        <v>41632</v>
      </c>
      <c r="C985">
        <v>2.3684777147777785E-3</v>
      </c>
      <c r="E985" s="62">
        <v>41632</v>
      </c>
      <c r="G985">
        <v>1.7932130518072457E-2</v>
      </c>
    </row>
    <row r="986" spans="1:7">
      <c r="A986" s="61">
        <v>41634</v>
      </c>
      <c r="C986">
        <v>-7.9558292360812764E-5</v>
      </c>
      <c r="E986" s="62">
        <v>41634</v>
      </c>
      <c r="G986">
        <v>3.3561185490221133E-3</v>
      </c>
    </row>
    <row r="987" spans="1:7">
      <c r="A987" s="61">
        <v>41635</v>
      </c>
      <c r="C987">
        <v>4.7340950319849787E-3</v>
      </c>
      <c r="E987" s="62">
        <v>41635</v>
      </c>
      <c r="G987">
        <v>3.9297457341211914E-2</v>
      </c>
    </row>
    <row r="988" spans="1:7">
      <c r="A988" s="61">
        <v>41638</v>
      </c>
      <c r="C988">
        <v>1.694660236460507E-3</v>
      </c>
      <c r="E988" s="62">
        <v>41638</v>
      </c>
      <c r="G988">
        <v>-3.5397750742891025E-2</v>
      </c>
    </row>
    <row r="989" spans="1:7">
      <c r="A989" s="61">
        <v>41639</v>
      </c>
      <c r="C989">
        <v>-5.692014577880918E-4</v>
      </c>
      <c r="E989" s="62">
        <v>41639</v>
      </c>
      <c r="G989">
        <v>3.0025473392249279E-2</v>
      </c>
    </row>
    <row r="990" spans="1:7">
      <c r="A990" s="61">
        <v>41640</v>
      </c>
      <c r="C990">
        <v>1.8114079148242488E-3</v>
      </c>
      <c r="E990" s="62">
        <v>41640</v>
      </c>
      <c r="G990">
        <v>-1.2955507277074764E-2</v>
      </c>
    </row>
    <row r="991" spans="1:7">
      <c r="A991" s="61">
        <v>41641</v>
      </c>
      <c r="C991">
        <v>-8.1326490327674698E-3</v>
      </c>
      <c r="E991" s="62">
        <v>41641</v>
      </c>
      <c r="G991">
        <v>-3.0353286237018131E-2</v>
      </c>
    </row>
    <row r="992" spans="1:7">
      <c r="A992" s="61">
        <v>41642</v>
      </c>
      <c r="C992">
        <v>-9.25807992357899E-3</v>
      </c>
      <c r="E992" s="62">
        <v>41642</v>
      </c>
      <c r="G992">
        <v>5.9231078845545706E-3</v>
      </c>
    </row>
    <row r="993" spans="1:7">
      <c r="A993" s="61">
        <v>41645</v>
      </c>
      <c r="C993">
        <v>1.9042721582553739E-3</v>
      </c>
      <c r="E993" s="62">
        <v>41645</v>
      </c>
      <c r="G993">
        <v>5.0450622388539959E-3</v>
      </c>
    </row>
    <row r="994" spans="1:7">
      <c r="A994" s="61">
        <v>41646</v>
      </c>
      <c r="C994">
        <v>-3.5687362663799527E-3</v>
      </c>
      <c r="E994" s="62">
        <v>41646</v>
      </c>
      <c r="G994">
        <v>-7.5305019208864151E-3</v>
      </c>
    </row>
    <row r="995" spans="1:7">
      <c r="A995" s="61">
        <v>41647</v>
      </c>
      <c r="C995">
        <v>-1.0784795048653473E-3</v>
      </c>
      <c r="E995" s="62">
        <v>41647</v>
      </c>
      <c r="G995">
        <v>-1.0960897999559391E-2</v>
      </c>
    </row>
    <row r="996" spans="1:7">
      <c r="A996" s="61">
        <v>41648</v>
      </c>
      <c r="C996">
        <v>-7.0901986061308239E-4</v>
      </c>
      <c r="E996" s="62">
        <v>41648</v>
      </c>
      <c r="G996">
        <v>-1.7053020739424532E-3</v>
      </c>
    </row>
    <row r="997" spans="1:7">
      <c r="A997" s="61">
        <v>41649</v>
      </c>
      <c r="C997">
        <v>-1.4674224160868784E-3</v>
      </c>
      <c r="E997" s="62">
        <v>41649</v>
      </c>
      <c r="G997">
        <v>-1.3663522868984326E-2</v>
      </c>
    </row>
    <row r="998" spans="1:7">
      <c r="A998" s="61">
        <v>41652</v>
      </c>
      <c r="C998">
        <v>5.9509871209980801E-3</v>
      </c>
      <c r="E998" s="62">
        <v>41652</v>
      </c>
      <c r="G998">
        <v>3.5496967924956331E-2</v>
      </c>
    </row>
    <row r="999" spans="1:7">
      <c r="A999" s="61">
        <v>41653</v>
      </c>
      <c r="C999">
        <v>1.918415180363105E-3</v>
      </c>
      <c r="E999" s="62">
        <v>41653</v>
      </c>
      <c r="G999">
        <v>-2.675575988398636E-2</v>
      </c>
    </row>
    <row r="1000" spans="1:7">
      <c r="A1000" s="61">
        <v>41654</v>
      </c>
      <c r="C1000">
        <v>5.9525240143886915E-3</v>
      </c>
      <c r="E1000" s="62">
        <v>41654</v>
      </c>
      <c r="G1000">
        <v>2.2337887325479908E-2</v>
      </c>
    </row>
    <row r="1001" spans="1:7">
      <c r="A1001" s="61">
        <v>41655</v>
      </c>
      <c r="C1001">
        <v>4.0616737281386379E-3</v>
      </c>
      <c r="E1001" s="62">
        <v>41655</v>
      </c>
      <c r="G1001">
        <v>7.5621328843894151E-3</v>
      </c>
    </row>
    <row r="1002" spans="1:7">
      <c r="A1002" s="61">
        <v>41656</v>
      </c>
      <c r="C1002">
        <v>-8.1618731855895299E-3</v>
      </c>
      <c r="E1002" s="62">
        <v>41656</v>
      </c>
      <c r="G1002">
        <v>-3.2527788585329169E-2</v>
      </c>
    </row>
    <row r="1003" spans="1:7">
      <c r="A1003" s="61">
        <v>41659</v>
      </c>
      <c r="C1003">
        <v>-3.9185893078488832E-4</v>
      </c>
      <c r="E1003" s="62">
        <v>41659</v>
      </c>
      <c r="G1003">
        <v>4.3109369655890102E-3</v>
      </c>
    </row>
    <row r="1004" spans="1:7">
      <c r="A1004" s="61">
        <v>41660</v>
      </c>
      <c r="C1004">
        <v>5.8241863739639087E-3</v>
      </c>
      <c r="E1004" s="62">
        <v>41660</v>
      </c>
      <c r="G1004">
        <v>-3.4338977787220369E-3</v>
      </c>
    </row>
    <row r="1005" spans="1:7">
      <c r="A1005" s="61">
        <v>41661</v>
      </c>
      <c r="C1005">
        <v>1.026057077407626E-3</v>
      </c>
      <c r="E1005" s="62">
        <v>41661</v>
      </c>
      <c r="G1005">
        <v>-2.5825231457914911E-3</v>
      </c>
    </row>
    <row r="1006" spans="1:7">
      <c r="A1006" s="61">
        <v>41662</v>
      </c>
      <c r="C1006">
        <v>1.1203546995304334E-3</v>
      </c>
      <c r="E1006" s="62">
        <v>41662</v>
      </c>
      <c r="G1006">
        <v>3.0222875440142759E-2</v>
      </c>
    </row>
    <row r="1007" spans="1:7">
      <c r="A1007" s="61">
        <v>41663</v>
      </c>
      <c r="C1007">
        <v>-8.6591424988491806E-3</v>
      </c>
      <c r="E1007" s="62">
        <v>41663</v>
      </c>
      <c r="G1007">
        <v>2.5150469255518421E-3</v>
      </c>
    </row>
    <row r="1008" spans="1:7">
      <c r="A1008" s="61">
        <v>41666</v>
      </c>
      <c r="C1008">
        <v>-2.0992290017053147E-2</v>
      </c>
      <c r="E1008" s="62">
        <v>41666</v>
      </c>
      <c r="G1008">
        <v>-3.0936952605590203E-2</v>
      </c>
    </row>
    <row r="1009" spans="1:7">
      <c r="A1009" s="61">
        <v>41667</v>
      </c>
      <c r="C1009">
        <v>-6.48506309238566E-3</v>
      </c>
      <c r="E1009" s="62">
        <v>41667</v>
      </c>
      <c r="G1009">
        <v>0</v>
      </c>
    </row>
    <row r="1010" spans="1:7">
      <c r="A1010" s="61">
        <v>41668</v>
      </c>
      <c r="C1010">
        <v>2.3541419728699284E-3</v>
      </c>
      <c r="E1010" s="62">
        <v>41668</v>
      </c>
      <c r="G1010">
        <v>-4.3127535499180077E-3</v>
      </c>
    </row>
    <row r="1011" spans="1:7">
      <c r="A1011" s="61">
        <v>41669</v>
      </c>
      <c r="C1011">
        <v>-1.1940151428055368E-2</v>
      </c>
      <c r="E1011" s="62">
        <v>41669</v>
      </c>
      <c r="G1011">
        <v>-1.2131482326115254E-2</v>
      </c>
    </row>
    <row r="1012" spans="1:7">
      <c r="A1012" s="61">
        <v>41670</v>
      </c>
      <c r="C1012">
        <v>4.0392287234042859E-3</v>
      </c>
      <c r="E1012" s="62">
        <v>41670</v>
      </c>
      <c r="G1012">
        <v>1.6665088509929302E-2</v>
      </c>
    </row>
    <row r="1013" spans="1:7">
      <c r="A1013" s="61">
        <v>41673</v>
      </c>
      <c r="C1013">
        <v>-6.5559657632899629E-3</v>
      </c>
      <c r="E1013" s="62">
        <v>41673</v>
      </c>
      <c r="G1013">
        <v>-2.5869803324180931E-3</v>
      </c>
    </row>
    <row r="1014" spans="1:7">
      <c r="A1014" s="61">
        <v>41674</v>
      </c>
      <c r="C1014">
        <v>-8.6573233122802032E-3</v>
      </c>
      <c r="E1014" s="62">
        <v>41674</v>
      </c>
      <c r="G1014">
        <v>-3.4606296431226092E-3</v>
      </c>
    </row>
    <row r="1015" spans="1:7">
      <c r="A1015" s="61">
        <v>41675</v>
      </c>
      <c r="C1015">
        <v>7.1695734397982155E-3</v>
      </c>
      <c r="E1015" s="62">
        <v>41675</v>
      </c>
      <c r="G1015">
        <v>1.7363893049143803E-3</v>
      </c>
    </row>
    <row r="1016" spans="1:7">
      <c r="A1016" s="61">
        <v>41676</v>
      </c>
      <c r="C1016">
        <v>3.6886203558434364E-3</v>
      </c>
      <c r="E1016" s="62">
        <v>41676</v>
      </c>
      <c r="G1016">
        <v>5.1980955859443848E-3</v>
      </c>
    </row>
    <row r="1017" spans="1:7">
      <c r="A1017" s="61">
        <v>41677</v>
      </c>
      <c r="C1017">
        <v>5.8451816745655003E-3</v>
      </c>
      <c r="E1017" s="62">
        <v>41677</v>
      </c>
      <c r="G1017">
        <v>-2.5847498898830218E-3</v>
      </c>
    </row>
    <row r="1018" spans="1:7">
      <c r="A1018" s="61">
        <v>41680</v>
      </c>
      <c r="C1018">
        <v>-1.3308754846121486E-3</v>
      </c>
      <c r="E1018" s="62">
        <v>41680</v>
      </c>
      <c r="G1018">
        <v>-8.6441422972152022E-4</v>
      </c>
    </row>
    <row r="1019" spans="1:7">
      <c r="A1019" s="61">
        <v>41681</v>
      </c>
      <c r="C1019">
        <v>2.8142899711946129E-4</v>
      </c>
      <c r="E1019" s="62">
        <v>41681</v>
      </c>
      <c r="G1019">
        <v>3.8926961774960522E-2</v>
      </c>
    </row>
    <row r="1020" spans="1:7">
      <c r="A1020" s="61">
        <v>41682</v>
      </c>
      <c r="C1020">
        <v>2.5735233272098671E-3</v>
      </c>
      <c r="E1020" s="62">
        <v>41682</v>
      </c>
      <c r="G1020">
        <v>1.4154878153251243E-2</v>
      </c>
    </row>
    <row r="1021" spans="1:7">
      <c r="A1021" s="61">
        <v>41683</v>
      </c>
      <c r="C1021">
        <v>-6.8918840842873289E-3</v>
      </c>
      <c r="E1021" s="62">
        <v>41683</v>
      </c>
      <c r="G1021">
        <v>-1.0672769088715266E-2</v>
      </c>
    </row>
    <row r="1022" spans="1:7">
      <c r="A1022" s="61">
        <v>41684</v>
      </c>
      <c r="C1022">
        <v>-2.1941124648860101E-3</v>
      </c>
      <c r="E1022" s="62">
        <v>41684</v>
      </c>
      <c r="G1022">
        <v>1.0787905917523781E-2</v>
      </c>
    </row>
    <row r="1023" spans="1:7">
      <c r="A1023" s="61">
        <v>41687</v>
      </c>
      <c r="C1023">
        <v>3.9814089856570235E-3</v>
      </c>
      <c r="E1023" s="62">
        <v>41687</v>
      </c>
      <c r="G1023">
        <v>-9.0324409968163787E-3</v>
      </c>
    </row>
    <row r="1024" spans="1:7">
      <c r="A1024" s="61">
        <v>41688</v>
      </c>
      <c r="C1024">
        <v>5.0856175748323551E-3</v>
      </c>
      <c r="E1024" s="62">
        <v>41688</v>
      </c>
      <c r="G1024">
        <v>-4.9697621598592204E-3</v>
      </c>
    </row>
    <row r="1025" spans="1:7">
      <c r="A1025" s="61">
        <v>41689</v>
      </c>
      <c r="C1025">
        <v>6.9336106777605939E-3</v>
      </c>
      <c r="E1025" s="62">
        <v>41689</v>
      </c>
      <c r="G1025">
        <v>1.0823984902164399E-2</v>
      </c>
    </row>
    <row r="1026" spans="1:7">
      <c r="A1026" s="61">
        <v>41690</v>
      </c>
      <c r="C1026">
        <v>-4.500405774291243E-3</v>
      </c>
      <c r="E1026" s="62">
        <v>41690</v>
      </c>
      <c r="G1026">
        <v>0.12438274310269269</v>
      </c>
    </row>
    <row r="1027" spans="1:7">
      <c r="A1027" s="61">
        <v>41691</v>
      </c>
      <c r="C1027">
        <v>4.3148880105401549E-3</v>
      </c>
      <c r="E1027" s="62">
        <v>41691</v>
      </c>
      <c r="G1027">
        <v>1.4653883987518069E-3</v>
      </c>
    </row>
    <row r="1028" spans="1:7">
      <c r="A1028" s="61">
        <v>41694</v>
      </c>
      <c r="C1028">
        <v>4.8702895936505557E-3</v>
      </c>
      <c r="E1028" s="62">
        <v>41694</v>
      </c>
      <c r="G1028">
        <v>4.0964634911527589E-2</v>
      </c>
    </row>
    <row r="1029" spans="1:7">
      <c r="A1029" s="61">
        <v>41695</v>
      </c>
      <c r="C1029">
        <v>5.6463062386788894E-3</v>
      </c>
      <c r="E1029" s="62">
        <v>41695</v>
      </c>
      <c r="G1029">
        <v>-2.2487457124078892E-2</v>
      </c>
    </row>
    <row r="1030" spans="1:7">
      <c r="A1030" s="61">
        <v>41696</v>
      </c>
      <c r="C1030">
        <v>2.3772819472616044E-3</v>
      </c>
      <c r="E1030" s="62">
        <v>41696</v>
      </c>
      <c r="G1030">
        <v>-1.4382163716285641E-3</v>
      </c>
    </row>
    <row r="1031" spans="1:7">
      <c r="A1031" s="61">
        <v>41698</v>
      </c>
      <c r="C1031">
        <v>5.5446281861376203E-3</v>
      </c>
      <c r="E1031" s="62">
        <v>41698</v>
      </c>
      <c r="G1031">
        <v>-3.5985551716746053E-3</v>
      </c>
    </row>
    <row r="1032" spans="1:7">
      <c r="A1032" s="61">
        <v>41701</v>
      </c>
      <c r="C1032">
        <v>-5.8762919792633482E-4</v>
      </c>
      <c r="E1032" s="62">
        <v>41701</v>
      </c>
      <c r="G1032">
        <v>-7.9490045284648595E-3</v>
      </c>
    </row>
    <row r="1033" spans="1:7">
      <c r="A1033" s="61">
        <v>41702</v>
      </c>
      <c r="C1033">
        <v>2.8432201683379062E-3</v>
      </c>
      <c r="E1033" s="62">
        <v>41702</v>
      </c>
      <c r="G1033">
        <v>4.8798482886133102E-2</v>
      </c>
    </row>
    <row r="1034" spans="1:7">
      <c r="A1034" s="61">
        <v>41703</v>
      </c>
      <c r="C1034">
        <v>1.1324573521380154E-2</v>
      </c>
      <c r="E1034" s="62">
        <v>41703</v>
      </c>
      <c r="G1034">
        <v>6.9453343520172687E-4</v>
      </c>
    </row>
    <row r="1035" spans="1:7">
      <c r="A1035" s="61">
        <v>41704</v>
      </c>
      <c r="C1035">
        <v>7.608125923219816E-3</v>
      </c>
      <c r="E1035" s="62">
        <v>41704</v>
      </c>
      <c r="G1035">
        <v>-6.9405139330332936E-4</v>
      </c>
    </row>
    <row r="1036" spans="1:7">
      <c r="A1036" s="61">
        <v>41705</v>
      </c>
      <c r="C1036">
        <v>1.3942747249282881E-2</v>
      </c>
      <c r="E1036" s="62">
        <v>41705</v>
      </c>
      <c r="G1036">
        <v>-8.3329743663964097E-3</v>
      </c>
    </row>
    <row r="1037" spans="1:7">
      <c r="A1037" s="61">
        <v>41708</v>
      </c>
      <c r="C1037">
        <v>5.7056240040421029E-3</v>
      </c>
      <c r="E1037" s="62">
        <v>41708</v>
      </c>
      <c r="G1037">
        <v>-1.9607471027058277E-2</v>
      </c>
    </row>
    <row r="1038" spans="1:7">
      <c r="A1038" s="61">
        <v>41709</v>
      </c>
      <c r="C1038">
        <v>1.7236182069733953E-3</v>
      </c>
      <c r="E1038" s="62">
        <v>41709</v>
      </c>
      <c r="G1038">
        <v>-1.4287534358002302E-3</v>
      </c>
    </row>
    <row r="1039" spans="1:7">
      <c r="A1039" s="61">
        <v>41710</v>
      </c>
      <c r="C1039">
        <v>-3.0863721238869771E-3</v>
      </c>
      <c r="E1039" s="62">
        <v>41710</v>
      </c>
      <c r="G1039">
        <v>3.0042342384949652E-2</v>
      </c>
    </row>
    <row r="1040" spans="1:7">
      <c r="A1040" s="61">
        <v>41711</v>
      </c>
      <c r="C1040">
        <v>-2.1903685701459164E-3</v>
      </c>
      <c r="E1040" s="62">
        <v>41711</v>
      </c>
      <c r="G1040">
        <v>-4.2360817103672184E-2</v>
      </c>
    </row>
    <row r="1041" spans="1:7">
      <c r="A1041" s="61">
        <v>41712</v>
      </c>
      <c r="C1041">
        <v>-3.188048309403748E-3</v>
      </c>
      <c r="E1041" s="62">
        <v>41712</v>
      </c>
      <c r="G1041">
        <v>1.4504489969325216E-3</v>
      </c>
    </row>
    <row r="1042" spans="1:7">
      <c r="A1042" s="61">
        <v>41716</v>
      </c>
      <c r="C1042">
        <v>8.0695365269088885E-3</v>
      </c>
      <c r="E1042" s="62">
        <v>41716</v>
      </c>
      <c r="G1042">
        <v>9.4133708822208371E-3</v>
      </c>
    </row>
    <row r="1043" spans="1:7">
      <c r="A1043" s="61">
        <v>41717</v>
      </c>
      <c r="C1043">
        <v>2.107375815353682E-3</v>
      </c>
      <c r="E1043" s="62">
        <v>41717</v>
      </c>
      <c r="G1043">
        <v>-2.1523554100025778E-3</v>
      </c>
    </row>
    <row r="1044" spans="1:7">
      <c r="A1044" s="61">
        <v>41718</v>
      </c>
      <c r="C1044">
        <v>-4.6680737648090824E-3</v>
      </c>
      <c r="E1044" s="62">
        <v>41718</v>
      </c>
      <c r="G1044">
        <v>2.8758729928905105E-3</v>
      </c>
    </row>
    <row r="1045" spans="1:7">
      <c r="A1045" s="61">
        <v>41719</v>
      </c>
      <c r="C1045">
        <v>1.7103674581307111E-3</v>
      </c>
      <c r="E1045" s="62">
        <v>41719</v>
      </c>
      <c r="G1045">
        <v>1.4337370625040785E-2</v>
      </c>
    </row>
    <row r="1046" spans="1:7">
      <c r="A1046" s="61">
        <v>41722</v>
      </c>
      <c r="C1046">
        <v>6.8449759730529044E-3</v>
      </c>
      <c r="E1046" s="62">
        <v>41722</v>
      </c>
      <c r="G1046">
        <v>-9.8939236377667723E-3</v>
      </c>
    </row>
    <row r="1047" spans="1:7">
      <c r="A1047" s="61">
        <v>41723</v>
      </c>
      <c r="C1047">
        <v>3.2227371781099411E-3</v>
      </c>
      <c r="E1047" s="62">
        <v>41723</v>
      </c>
      <c r="G1047">
        <v>-7.8524880376141248E-3</v>
      </c>
    </row>
    <row r="1048" spans="1:7">
      <c r="A1048" s="61">
        <v>41724</v>
      </c>
      <c r="C1048">
        <v>6.2029615125740786E-3</v>
      </c>
      <c r="E1048" s="62">
        <v>41724</v>
      </c>
      <c r="G1048">
        <v>1.0071756399964068E-2</v>
      </c>
    </row>
    <row r="1049" spans="1:7">
      <c r="A1049" s="61">
        <v>41725</v>
      </c>
      <c r="C1049">
        <v>2.9721409296490854E-3</v>
      </c>
      <c r="E1049" s="62">
        <v>41725</v>
      </c>
      <c r="G1049">
        <v>1.1395888817062031E-2</v>
      </c>
    </row>
    <row r="1050" spans="1:7">
      <c r="A1050" s="61">
        <v>41726</v>
      </c>
      <c r="C1050">
        <v>1.0011671441347384E-2</v>
      </c>
      <c r="E1050" s="62">
        <v>41726</v>
      </c>
      <c r="G1050">
        <v>2.8173702684951862E-3</v>
      </c>
    </row>
    <row r="1051" spans="1:7">
      <c r="A1051" s="61">
        <v>41729</v>
      </c>
      <c r="C1051">
        <v>6.9034344586431746E-3</v>
      </c>
      <c r="E1051" s="62">
        <v>41729</v>
      </c>
      <c r="G1051">
        <v>2.1067335607811065E-2</v>
      </c>
    </row>
    <row r="1052" spans="1:7">
      <c r="A1052" s="61">
        <v>41730</v>
      </c>
      <c r="C1052">
        <v>2.2580428804578143E-3</v>
      </c>
      <c r="E1052" s="62">
        <v>41730</v>
      </c>
      <c r="G1052">
        <v>-1.0316382275288308E-2</v>
      </c>
    </row>
    <row r="1053" spans="1:7">
      <c r="A1053" s="61">
        <v>41731</v>
      </c>
      <c r="C1053">
        <v>5.1230574763922697E-3</v>
      </c>
      <c r="E1053" s="62">
        <v>41731</v>
      </c>
      <c r="G1053">
        <v>1.042391941275711E-2</v>
      </c>
    </row>
    <row r="1054" spans="1:7">
      <c r="A1054" s="61">
        <v>41732</v>
      </c>
      <c r="C1054">
        <v>-1.2575917857055523E-4</v>
      </c>
      <c r="E1054" s="62">
        <v>41732</v>
      </c>
      <c r="G1054">
        <v>4.1268236336726646E-3</v>
      </c>
    </row>
    <row r="1055" spans="1:7">
      <c r="A1055" s="61">
        <v>41733</v>
      </c>
      <c r="C1055">
        <v>-4.6018851452331814E-3</v>
      </c>
      <c r="E1055" s="62">
        <v>41733</v>
      </c>
      <c r="G1055">
        <v>2.945171923180917E-2</v>
      </c>
    </row>
    <row r="1056" spans="1:7">
      <c r="A1056" s="61">
        <v>41736</v>
      </c>
      <c r="C1056">
        <v>-2.5494276795004663E-3</v>
      </c>
      <c r="E1056" s="62">
        <v>41736</v>
      </c>
      <c r="G1056">
        <v>7.3195914518528506E-3</v>
      </c>
    </row>
    <row r="1057" spans="1:7">
      <c r="A1057" s="61">
        <v>41738</v>
      </c>
      <c r="C1057">
        <v>9.4711506218468772E-3</v>
      </c>
      <c r="E1057" s="62">
        <v>41738</v>
      </c>
      <c r="G1057">
        <v>-1.9818440389368455E-3</v>
      </c>
    </row>
    <row r="1058" spans="1:7">
      <c r="A1058" s="61">
        <v>41739</v>
      </c>
      <c r="C1058">
        <v>7.3522898396670942E-3</v>
      </c>
      <c r="E1058" s="62">
        <v>41739</v>
      </c>
      <c r="G1058">
        <v>-2.6474770385473542E-3</v>
      </c>
    </row>
    <row r="1059" spans="1:7">
      <c r="A1059" s="61">
        <v>41740</v>
      </c>
      <c r="C1059">
        <v>-3.3635244460078445E-3</v>
      </c>
      <c r="E1059" s="62">
        <v>41740</v>
      </c>
      <c r="G1059">
        <v>-2.1234330370456751E-2</v>
      </c>
    </row>
    <row r="1060" spans="1:7">
      <c r="A1060" s="61">
        <v>41744</v>
      </c>
      <c r="C1060">
        <v>-1.3970074629609205E-3</v>
      </c>
      <c r="E1060" s="62">
        <v>41744</v>
      </c>
      <c r="G1060">
        <v>2.3729050754243322E-2</v>
      </c>
    </row>
    <row r="1061" spans="1:7">
      <c r="A1061" s="61">
        <v>41745</v>
      </c>
      <c r="C1061">
        <v>-9.7485550196958828E-3</v>
      </c>
      <c r="E1061" s="62">
        <v>41745</v>
      </c>
      <c r="G1061">
        <v>-1.125835615530295E-2</v>
      </c>
    </row>
    <row r="1062" spans="1:7">
      <c r="A1062" s="61">
        <v>41746</v>
      </c>
      <c r="C1062">
        <v>5.1007130588664193E-3</v>
      </c>
      <c r="E1062" s="62">
        <v>41746</v>
      </c>
      <c r="G1062">
        <v>-2.009619547910044E-3</v>
      </c>
    </row>
    <row r="1063" spans="1:7">
      <c r="A1063" s="61">
        <v>41750</v>
      </c>
      <c r="C1063">
        <v>1.0208837302203776E-2</v>
      </c>
      <c r="E1063" s="62">
        <v>41750</v>
      </c>
      <c r="G1063">
        <v>0</v>
      </c>
    </row>
    <row r="1064" spans="1:7">
      <c r="A1064" s="61">
        <v>41751</v>
      </c>
      <c r="C1064">
        <v>2.768074869834521E-3</v>
      </c>
      <c r="E1064" s="62">
        <v>41751</v>
      </c>
      <c r="G1064">
        <v>2.6851109060162825E-3</v>
      </c>
    </row>
    <row r="1065" spans="1:7">
      <c r="A1065" s="61">
        <v>41752</v>
      </c>
      <c r="C1065">
        <v>1.3437032168546856E-3</v>
      </c>
      <c r="E1065" s="62">
        <v>41752</v>
      </c>
      <c r="G1065">
        <v>-9.3707380730902127E-3</v>
      </c>
    </row>
    <row r="1066" spans="1:7">
      <c r="A1066" s="61">
        <v>41754</v>
      </c>
      <c r="C1066">
        <v>-1.2762636833697869E-3</v>
      </c>
      <c r="E1066" s="62">
        <v>41754</v>
      </c>
      <c r="G1066">
        <v>5.4047208572639057E-3</v>
      </c>
    </row>
    <row r="1067" spans="1:7">
      <c r="A1067" s="61">
        <v>41757</v>
      </c>
      <c r="C1067">
        <v>-5.1846010047902789E-3</v>
      </c>
      <c r="E1067" s="62">
        <v>41757</v>
      </c>
      <c r="G1067">
        <v>-1.5456106966703843E-2</v>
      </c>
    </row>
    <row r="1068" spans="1:7">
      <c r="A1068" s="61">
        <v>41758</v>
      </c>
      <c r="C1068">
        <v>-3.4279254811574733E-3</v>
      </c>
      <c r="E1068" s="62">
        <v>41758</v>
      </c>
      <c r="G1068">
        <v>-2.0481455412372481E-3</v>
      </c>
    </row>
    <row r="1069" spans="1:7">
      <c r="A1069" s="61">
        <v>41759</v>
      </c>
      <c r="C1069">
        <v>-6.1134148946356626E-3</v>
      </c>
      <c r="E1069" s="62">
        <v>41759</v>
      </c>
      <c r="G1069">
        <v>-1.5732447166136018E-2</v>
      </c>
    </row>
    <row r="1070" spans="1:7">
      <c r="A1070" s="61">
        <v>41761</v>
      </c>
      <c r="C1070">
        <v>-1.5636926862165575E-3</v>
      </c>
      <c r="E1070" s="62">
        <v>41761</v>
      </c>
      <c r="G1070">
        <v>-1.3899000096297237E-2</v>
      </c>
    </row>
    <row r="1071" spans="1:7">
      <c r="A1071" s="61">
        <v>41764</v>
      </c>
      <c r="C1071">
        <v>-1.6106764841232507E-3</v>
      </c>
      <c r="E1071" s="62">
        <v>41764</v>
      </c>
      <c r="G1071">
        <v>-1.7617183507952525E-2</v>
      </c>
    </row>
    <row r="1072" spans="1:7">
      <c r="A1072" s="61">
        <v>41765</v>
      </c>
      <c r="C1072">
        <v>3.5536655539777462E-3</v>
      </c>
      <c r="E1072" s="62">
        <v>41765</v>
      </c>
      <c r="G1072">
        <v>3.5871193802750351E-3</v>
      </c>
    </row>
    <row r="1073" spans="1:7">
      <c r="A1073" s="61">
        <v>41766</v>
      </c>
      <c r="C1073">
        <v>-4.911584078466761E-3</v>
      </c>
      <c r="E1073" s="62">
        <v>41766</v>
      </c>
      <c r="G1073">
        <v>1.4297593739539319E-3</v>
      </c>
    </row>
    <row r="1074" spans="1:7">
      <c r="A1074" s="61">
        <v>41767</v>
      </c>
      <c r="C1074">
        <v>-2.2631845388762584E-3</v>
      </c>
      <c r="E1074" s="62">
        <v>41767</v>
      </c>
      <c r="G1074">
        <v>-6.4247545193421513E-3</v>
      </c>
    </row>
    <row r="1075" spans="1:7">
      <c r="A1075" s="61">
        <v>41768</v>
      </c>
      <c r="C1075">
        <v>1.2363826294582953E-2</v>
      </c>
      <c r="E1075" s="62">
        <v>41768</v>
      </c>
      <c r="G1075">
        <v>2.8739158024567836E-3</v>
      </c>
    </row>
    <row r="1076" spans="1:7">
      <c r="A1076" s="61">
        <v>41771</v>
      </c>
      <c r="C1076">
        <v>2.4867884755706539E-2</v>
      </c>
      <c r="E1076" s="62">
        <v>41771</v>
      </c>
      <c r="G1076">
        <v>2.5788409450647861E-2</v>
      </c>
    </row>
    <row r="1077" spans="1:7">
      <c r="A1077" s="61">
        <v>41772</v>
      </c>
      <c r="C1077">
        <v>2.1711458385772101E-2</v>
      </c>
      <c r="E1077" s="62">
        <v>41772</v>
      </c>
      <c r="G1077">
        <v>9.0779333199758304E-3</v>
      </c>
    </row>
    <row r="1078" spans="1:7">
      <c r="A1078" s="61">
        <v>41773</v>
      </c>
      <c r="C1078">
        <v>5.1805448018582643E-3</v>
      </c>
      <c r="E1078" s="62">
        <v>41773</v>
      </c>
      <c r="G1078">
        <v>1.1072415815530255E-2</v>
      </c>
    </row>
    <row r="1079" spans="1:7">
      <c r="A1079" s="61">
        <v>41774</v>
      </c>
      <c r="C1079">
        <v>1.5405515174431172E-3</v>
      </c>
      <c r="E1079" s="62">
        <v>41774</v>
      </c>
      <c r="G1079">
        <v>8.2133144999374224E-3</v>
      </c>
    </row>
    <row r="1080" spans="1:7">
      <c r="A1080" s="61">
        <v>41775</v>
      </c>
      <c r="C1080">
        <v>1.6325703019031634E-2</v>
      </c>
      <c r="E1080" s="62">
        <v>41775</v>
      </c>
      <c r="G1080">
        <v>4.0738267843285873E-3</v>
      </c>
    </row>
    <row r="1081" spans="1:7">
      <c r="A1081" s="61">
        <v>41778</v>
      </c>
      <c r="C1081">
        <v>9.7481442752869688E-3</v>
      </c>
      <c r="E1081" s="62">
        <v>41778</v>
      </c>
      <c r="G1081">
        <v>8.3163649828933012E-2</v>
      </c>
    </row>
    <row r="1082" spans="1:7">
      <c r="A1082" s="61">
        <v>41779</v>
      </c>
      <c r="C1082">
        <v>7.9030917439943324E-3</v>
      </c>
      <c r="E1082" s="62">
        <v>41779</v>
      </c>
      <c r="G1082">
        <v>7.0536959605476984E-2</v>
      </c>
    </row>
    <row r="1083" spans="1:7">
      <c r="A1083" s="61">
        <v>41780</v>
      </c>
      <c r="C1083">
        <v>-1.91296353877971E-3</v>
      </c>
      <c r="E1083" s="62">
        <v>41780</v>
      </c>
      <c r="G1083">
        <v>2.9737608770584401E-2</v>
      </c>
    </row>
    <row r="1084" spans="1:7">
      <c r="A1084" s="61">
        <v>41781</v>
      </c>
      <c r="C1084">
        <v>5.2419491381937378E-3</v>
      </c>
      <c r="E1084" s="62">
        <v>41781</v>
      </c>
      <c r="G1084">
        <v>3.3408457819191613E-2</v>
      </c>
    </row>
    <row r="1085" spans="1:7">
      <c r="A1085" s="61">
        <v>41782</v>
      </c>
      <c r="C1085">
        <v>9.6813964925992046E-3</v>
      </c>
      <c r="E1085" s="62">
        <v>41782</v>
      </c>
      <c r="G1085">
        <v>-1.3150050910862255E-2</v>
      </c>
    </row>
    <row r="1086" spans="1:7">
      <c r="A1086" s="61">
        <v>41785</v>
      </c>
      <c r="C1086">
        <v>6.1254720883990423E-3</v>
      </c>
      <c r="E1086" s="62">
        <v>41785</v>
      </c>
      <c r="G1086">
        <v>9.9944876501241609E-3</v>
      </c>
    </row>
    <row r="1087" spans="1:7">
      <c r="A1087" s="61">
        <v>41786</v>
      </c>
      <c r="C1087">
        <v>-1.0153597198641909E-2</v>
      </c>
      <c r="E1087" s="62">
        <v>41786</v>
      </c>
      <c r="G1087">
        <v>-1.4844051293731014E-2</v>
      </c>
    </row>
    <row r="1088" spans="1:7">
      <c r="A1088" s="61">
        <v>41787</v>
      </c>
      <c r="C1088">
        <v>-1.8760091924450431E-3</v>
      </c>
      <c r="E1088" s="62">
        <v>41787</v>
      </c>
      <c r="G1088">
        <v>9.4867638615834093E-3</v>
      </c>
    </row>
    <row r="1089" spans="1:7">
      <c r="A1089" s="61">
        <v>41788</v>
      </c>
      <c r="C1089">
        <v>-5.9742369422647063E-3</v>
      </c>
      <c r="E1089" s="62">
        <v>41788</v>
      </c>
      <c r="G1089">
        <v>-1.5477891267379633E-2</v>
      </c>
    </row>
    <row r="1090" spans="1:7">
      <c r="A1090" s="61">
        <v>41789</v>
      </c>
      <c r="C1090">
        <v>-3.3629788699580149E-3</v>
      </c>
      <c r="E1090" s="62">
        <v>41789</v>
      </c>
      <c r="G1090">
        <v>5.6143155544104636E-3</v>
      </c>
    </row>
    <row r="1091" spans="1:7">
      <c r="A1091" s="61">
        <v>41792</v>
      </c>
      <c r="C1091">
        <v>1.0400785987735882E-2</v>
      </c>
      <c r="E1091" s="62">
        <v>41792</v>
      </c>
      <c r="G1091">
        <v>1.1725725643792479E-2</v>
      </c>
    </row>
    <row r="1092" spans="1:7">
      <c r="A1092" s="61">
        <v>41793</v>
      </c>
      <c r="C1092">
        <v>1.1815987124463568E-2</v>
      </c>
      <c r="E1092" s="62">
        <v>41793</v>
      </c>
      <c r="G1092">
        <v>5.5739804489795021E-2</v>
      </c>
    </row>
    <row r="1093" spans="1:7">
      <c r="A1093" s="61">
        <v>41794</v>
      </c>
      <c r="C1093">
        <v>3.4397741281265914E-3</v>
      </c>
      <c r="E1093" s="62">
        <v>41794</v>
      </c>
      <c r="G1093">
        <v>-6.2726881934779648E-3</v>
      </c>
    </row>
    <row r="1094" spans="1:7">
      <c r="A1094" s="61">
        <v>41795</v>
      </c>
      <c r="C1094">
        <v>6.1228129272593249E-3</v>
      </c>
      <c r="E1094" s="62">
        <v>41795</v>
      </c>
      <c r="G1094">
        <v>9.4689082989316675E-3</v>
      </c>
    </row>
    <row r="1095" spans="1:7">
      <c r="A1095" s="61">
        <v>41796</v>
      </c>
      <c r="C1095">
        <v>1.5932724121632314E-2</v>
      </c>
      <c r="E1095" s="62">
        <v>41796</v>
      </c>
      <c r="G1095">
        <v>8.3376678795355208E-3</v>
      </c>
    </row>
    <row r="1096" spans="1:7">
      <c r="A1096" s="61">
        <v>41799</v>
      </c>
      <c r="C1096">
        <v>1.2135310652321363E-2</v>
      </c>
      <c r="E1096" s="62">
        <v>41799</v>
      </c>
      <c r="G1096">
        <v>7.2349130906184953E-3</v>
      </c>
    </row>
    <row r="1097" spans="1:7">
      <c r="A1097" s="61">
        <v>41800</v>
      </c>
      <c r="C1097">
        <v>3.6071581339819836E-3</v>
      </c>
      <c r="E1097" s="62">
        <v>41800</v>
      </c>
      <c r="G1097">
        <v>2.6167421807036642E-2</v>
      </c>
    </row>
    <row r="1098" spans="1:7">
      <c r="A1098" s="61">
        <v>41801</v>
      </c>
      <c r="C1098">
        <v>-3.8422880698227484E-3</v>
      </c>
      <c r="E1098" s="62">
        <v>41801</v>
      </c>
      <c r="G1098">
        <v>1.2999614175961087E-2</v>
      </c>
    </row>
    <row r="1099" spans="1:7">
      <c r="A1099" s="61">
        <v>41802</v>
      </c>
      <c r="C1099">
        <v>-2.0690447909881373E-3</v>
      </c>
      <c r="E1099" s="62">
        <v>41802</v>
      </c>
      <c r="G1099">
        <v>2.0236466329311358E-2</v>
      </c>
    </row>
    <row r="1100" spans="1:7">
      <c r="A1100" s="61">
        <v>41803</v>
      </c>
      <c r="C1100">
        <v>-6.7703333973250955E-3</v>
      </c>
      <c r="E1100" s="62">
        <v>41803</v>
      </c>
      <c r="G1100">
        <v>-1.4505920093331294E-3</v>
      </c>
    </row>
    <row r="1101" spans="1:7">
      <c r="A1101" s="61">
        <v>41806</v>
      </c>
      <c r="C1101">
        <v>-1.0701492152668747E-2</v>
      </c>
      <c r="E1101" s="62">
        <v>41806</v>
      </c>
      <c r="G1101">
        <v>-1.2597489882592343E-2</v>
      </c>
    </row>
    <row r="1102" spans="1:7">
      <c r="A1102" s="61">
        <v>41807</v>
      </c>
      <c r="C1102">
        <v>6.42783179529933E-3</v>
      </c>
      <c r="E1102" s="62">
        <v>41807</v>
      </c>
      <c r="G1102">
        <v>-1.0304426281481325E-2</v>
      </c>
    </row>
    <row r="1103" spans="1:7">
      <c r="A1103" s="61">
        <v>41808</v>
      </c>
      <c r="C1103">
        <v>2.8407252585125639E-3</v>
      </c>
      <c r="E1103" s="62">
        <v>41808</v>
      </c>
      <c r="G1103">
        <v>1.9832155993759096E-3</v>
      </c>
    </row>
    <row r="1104" spans="1:7">
      <c r="A1104" s="61">
        <v>41809</v>
      </c>
      <c r="C1104">
        <v>-5.2717500016131891E-3</v>
      </c>
      <c r="E1104" s="62">
        <v>41809</v>
      </c>
      <c r="G1104">
        <v>-1.2864375249911377E-2</v>
      </c>
    </row>
    <row r="1105" spans="1:7">
      <c r="A1105" s="61">
        <v>41810</v>
      </c>
      <c r="C1105">
        <v>-4.9688635184223237E-3</v>
      </c>
      <c r="E1105" s="62">
        <v>41810</v>
      </c>
      <c r="G1105">
        <v>-1.5040274116701351E-3</v>
      </c>
    </row>
    <row r="1106" spans="1:7">
      <c r="A1106" s="61">
        <v>41813</v>
      </c>
      <c r="C1106">
        <v>-2.0470161805547448E-3</v>
      </c>
      <c r="E1106" s="62">
        <v>41813</v>
      </c>
      <c r="G1106">
        <v>2.6606716064507142E-2</v>
      </c>
    </row>
    <row r="1107" spans="1:7">
      <c r="A1107" s="61">
        <v>41814</v>
      </c>
      <c r="C1107">
        <v>6.7807682257642584E-3</v>
      </c>
      <c r="E1107" s="62">
        <v>41814</v>
      </c>
      <c r="G1107">
        <v>3.3251956940761863E-2</v>
      </c>
    </row>
    <row r="1108" spans="1:7">
      <c r="A1108" s="61">
        <v>41815</v>
      </c>
      <c r="C1108">
        <v>5.2427360853372802E-3</v>
      </c>
      <c r="E1108" s="62">
        <v>41815</v>
      </c>
      <c r="G1108">
        <v>5.0170293570387145E-2</v>
      </c>
    </row>
    <row r="1109" spans="1:7">
      <c r="A1109" s="61">
        <v>41816</v>
      </c>
      <c r="C1109">
        <v>-5.6994952428902242E-3</v>
      </c>
      <c r="E1109" s="62">
        <v>41816</v>
      </c>
      <c r="G1109">
        <v>-3.1097115608809352E-2</v>
      </c>
    </row>
    <row r="1110" spans="1:7">
      <c r="A1110" s="61">
        <v>41817</v>
      </c>
      <c r="C1110">
        <v>-8.439202040988555E-4</v>
      </c>
      <c r="E1110" s="62">
        <v>41817</v>
      </c>
      <c r="G1110">
        <v>-4.8374381317691721E-2</v>
      </c>
    </row>
    <row r="1111" spans="1:7">
      <c r="A1111" s="61">
        <v>41820</v>
      </c>
      <c r="C1111">
        <v>9.0115844665493317E-3</v>
      </c>
      <c r="E1111" s="62">
        <v>41820</v>
      </c>
      <c r="G1111">
        <v>1.7595609731903068E-2</v>
      </c>
    </row>
    <row r="1112" spans="1:7">
      <c r="A1112" s="61">
        <v>41821</v>
      </c>
      <c r="C1112">
        <v>9.0470057952350292E-3</v>
      </c>
      <c r="E1112" s="62">
        <v>41821</v>
      </c>
      <c r="G1112">
        <v>-9.6065303201897205E-3</v>
      </c>
    </row>
    <row r="1113" spans="1:7">
      <c r="A1113" s="61">
        <v>41822</v>
      </c>
      <c r="C1113">
        <v>1.0152834944641111E-2</v>
      </c>
      <c r="E1113" s="62">
        <v>41822</v>
      </c>
      <c r="G1113">
        <v>2.3763457280429345E-2</v>
      </c>
    </row>
    <row r="1114" spans="1:7">
      <c r="A1114" s="61">
        <v>41823</v>
      </c>
      <c r="C1114">
        <v>3.291302370243227E-3</v>
      </c>
      <c r="E1114" s="62">
        <v>41823</v>
      </c>
      <c r="G1114">
        <v>3.6000436086893267E-2</v>
      </c>
    </row>
    <row r="1115" spans="1:7">
      <c r="A1115" s="61">
        <v>41824</v>
      </c>
      <c r="C1115">
        <v>1.0641178211399168E-3</v>
      </c>
      <c r="E1115" s="62">
        <v>41824</v>
      </c>
      <c r="G1115">
        <v>-2.1487555722163609E-2</v>
      </c>
    </row>
    <row r="1116" spans="1:7">
      <c r="A1116" s="61">
        <v>41827</v>
      </c>
      <c r="C1116">
        <v>5.667165662385505E-3</v>
      </c>
      <c r="E1116" s="62">
        <v>41827</v>
      </c>
      <c r="G1116">
        <v>-6.0765016316722976E-3</v>
      </c>
    </row>
    <row r="1117" spans="1:7">
      <c r="A1117" s="61">
        <v>41828</v>
      </c>
      <c r="C1117">
        <v>-1.1658233627499511E-2</v>
      </c>
      <c r="E1117" s="62">
        <v>41828</v>
      </c>
      <c r="G1117">
        <v>5.1692130180721434E-3</v>
      </c>
    </row>
    <row r="1118" spans="1:7">
      <c r="A1118" s="61">
        <v>41829</v>
      </c>
      <c r="C1118">
        <v>-1.7048151218493488E-2</v>
      </c>
      <c r="E1118" s="62">
        <v>41829</v>
      </c>
      <c r="G1118">
        <v>4.6987159328312506E-4</v>
      </c>
    </row>
    <row r="1119" spans="1:7">
      <c r="A1119" s="61">
        <v>41830</v>
      </c>
      <c r="C1119">
        <v>-4.3005491569506832E-3</v>
      </c>
      <c r="E1119" s="62">
        <v>41830</v>
      </c>
      <c r="G1119">
        <v>8.8818907720459063E-3</v>
      </c>
    </row>
    <row r="1120" spans="1:7">
      <c r="A1120" s="61">
        <v>41831</v>
      </c>
      <c r="C1120">
        <v>-8.3343570777377387E-3</v>
      </c>
      <c r="E1120" s="62">
        <v>41831</v>
      </c>
      <c r="G1120">
        <v>-3.9387678153199296E-2</v>
      </c>
    </row>
    <row r="1121" spans="1:7">
      <c r="A1121" s="61">
        <v>41834</v>
      </c>
      <c r="C1121">
        <v>-9.4671778421094276E-3</v>
      </c>
      <c r="E1121" s="62">
        <v>41834</v>
      </c>
      <c r="G1121">
        <v>-2.7495864076517391E-2</v>
      </c>
    </row>
    <row r="1122" spans="1:7">
      <c r="A1122" s="61">
        <v>41835</v>
      </c>
      <c r="C1122">
        <v>8.4189046866771748E-3</v>
      </c>
      <c r="E1122" s="62">
        <v>41835</v>
      </c>
      <c r="G1122">
        <v>3.1745830123356432E-2</v>
      </c>
    </row>
    <row r="1123" spans="1:7">
      <c r="A1123" s="61">
        <v>41836</v>
      </c>
      <c r="C1123">
        <v>1.2349950064948252E-2</v>
      </c>
      <c r="E1123" s="62">
        <v>41836</v>
      </c>
      <c r="G1123">
        <v>-1.8750241366734303E-2</v>
      </c>
    </row>
    <row r="1124" spans="1:7">
      <c r="A1124" s="61">
        <v>41837</v>
      </c>
      <c r="C1124">
        <v>5.5515793953227694E-3</v>
      </c>
      <c r="E1124" s="62">
        <v>41837</v>
      </c>
      <c r="G1124">
        <v>-1.8618830262437571E-2</v>
      </c>
    </row>
    <row r="1125" spans="1:7">
      <c r="A1125" s="61">
        <v>41838</v>
      </c>
      <c r="C1125">
        <v>2.4494716322970471E-3</v>
      </c>
      <c r="E1125" s="62">
        <v>41838</v>
      </c>
      <c r="G1125">
        <v>-6.6399522250269835E-2</v>
      </c>
    </row>
    <row r="1126" spans="1:7">
      <c r="A1126" s="61">
        <v>41841</v>
      </c>
      <c r="C1126">
        <v>4.8549899573988795E-3</v>
      </c>
      <c r="E1126" s="62">
        <v>41841</v>
      </c>
      <c r="G1126">
        <v>2.2459379240361971E-2</v>
      </c>
    </row>
    <row r="1127" spans="1:7">
      <c r="A1127" s="61">
        <v>41842</v>
      </c>
      <c r="C1127">
        <v>4.6914884813454918E-3</v>
      </c>
      <c r="E1127" s="62">
        <v>41842</v>
      </c>
      <c r="G1127">
        <v>-6.7988796221375818E-3</v>
      </c>
    </row>
    <row r="1128" spans="1:7">
      <c r="A1128" s="61">
        <v>41843</v>
      </c>
      <c r="C1128">
        <v>5.5882911993917969E-3</v>
      </c>
      <c r="E1128" s="62">
        <v>41843</v>
      </c>
      <c r="G1128">
        <v>-7.8989006500909276E-3</v>
      </c>
    </row>
    <row r="1129" spans="1:7">
      <c r="A1129" s="61">
        <v>41844</v>
      </c>
      <c r="C1129">
        <v>9.7031100357878642E-4</v>
      </c>
      <c r="E1129" s="62">
        <v>41844</v>
      </c>
      <c r="G1129">
        <v>8.4926433898994142E-3</v>
      </c>
    </row>
    <row r="1130" spans="1:7">
      <c r="A1130" s="61">
        <v>41845</v>
      </c>
      <c r="C1130">
        <v>-2.0961061523548834E-3</v>
      </c>
      <c r="E1130" s="62">
        <v>41845</v>
      </c>
      <c r="G1130">
        <v>1.3157331716673003E-2</v>
      </c>
    </row>
    <row r="1131" spans="1:7">
      <c r="A1131" s="61">
        <v>41848</v>
      </c>
      <c r="C1131">
        <v>-5.6076652810454495E-3</v>
      </c>
      <c r="E1131" s="62">
        <v>41848</v>
      </c>
      <c r="G1131">
        <v>-7.7921393584409618E-3</v>
      </c>
    </row>
    <row r="1132" spans="1:7">
      <c r="A1132" s="61">
        <v>41850</v>
      </c>
      <c r="C1132">
        <v>1.3955494658833128E-4</v>
      </c>
      <c r="E1132" s="62">
        <v>41850</v>
      </c>
      <c r="G1132">
        <v>-5.7587451968701122E-3</v>
      </c>
    </row>
    <row r="1133" spans="1:7">
      <c r="A1133" s="61">
        <v>41851</v>
      </c>
      <c r="C1133">
        <v>-7.2304745474597047E-4</v>
      </c>
      <c r="E1133" s="62">
        <v>41851</v>
      </c>
      <c r="G1133">
        <v>-6.8456713770002724E-3</v>
      </c>
    </row>
    <row r="1134" spans="1:7">
      <c r="A1134" s="61">
        <v>41852</v>
      </c>
      <c r="C1134">
        <v>-1.3639941098811913E-2</v>
      </c>
      <c r="E1134" s="62">
        <v>41852</v>
      </c>
      <c r="G1134">
        <v>-5.3027891941814925E-3</v>
      </c>
    </row>
    <row r="1135" spans="1:7">
      <c r="A1135" s="61">
        <v>41855</v>
      </c>
      <c r="C1135">
        <v>4.4979826644274213E-3</v>
      </c>
      <c r="E1135" s="62">
        <v>41855</v>
      </c>
      <c r="G1135">
        <v>-2.8251913222433096E-2</v>
      </c>
    </row>
    <row r="1136" spans="1:7">
      <c r="A1136" s="61">
        <v>41856</v>
      </c>
      <c r="C1136">
        <v>8.4688216678838659E-3</v>
      </c>
      <c r="E1136" s="62">
        <v>41856</v>
      </c>
      <c r="G1136">
        <v>-3.2905029676112444E-3</v>
      </c>
    </row>
    <row r="1137" spans="1:7">
      <c r="A1137" s="61">
        <v>41857</v>
      </c>
      <c r="C1137">
        <v>-3.1634312430125701E-3</v>
      </c>
      <c r="E1137" s="62">
        <v>41857</v>
      </c>
      <c r="G1137">
        <v>-2.0363647946538162E-2</v>
      </c>
    </row>
    <row r="1138" spans="1:7">
      <c r="A1138" s="61">
        <v>41858</v>
      </c>
      <c r="C1138">
        <v>-5.7989115889018911E-3</v>
      </c>
      <c r="E1138" s="62">
        <v>41858</v>
      </c>
      <c r="G1138">
        <v>-6.1794253766718479E-3</v>
      </c>
    </row>
    <row r="1139" spans="1:7">
      <c r="A1139" s="61">
        <v>41859</v>
      </c>
      <c r="C1139">
        <v>-1.0575838375551226E-2</v>
      </c>
      <c r="E1139" s="62">
        <v>41859</v>
      </c>
      <c r="G1139">
        <v>-2.7133750745996124E-2</v>
      </c>
    </row>
    <row r="1140" spans="1:7">
      <c r="A1140" s="61">
        <v>41862</v>
      </c>
      <c r="C1140">
        <v>5.0917948252855024E-3</v>
      </c>
      <c r="E1140" s="62">
        <v>41862</v>
      </c>
      <c r="G1140">
        <v>1.4525916780088655E-2</v>
      </c>
    </row>
    <row r="1141" spans="1:7">
      <c r="A1141" s="61">
        <v>41863</v>
      </c>
      <c r="C1141">
        <v>9.7903990925026947E-3</v>
      </c>
      <c r="E1141" s="62">
        <v>41863</v>
      </c>
      <c r="G1141">
        <v>-6.6437809801949257E-2</v>
      </c>
    </row>
    <row r="1142" spans="1:7">
      <c r="A1142" s="61">
        <v>41864</v>
      </c>
      <c r="C1142">
        <v>7.659362613375685E-4</v>
      </c>
      <c r="E1142" s="62">
        <v>41864</v>
      </c>
      <c r="G1142">
        <v>2.392679848986223E-2</v>
      </c>
    </row>
    <row r="1143" spans="1:7">
      <c r="A1143" s="61">
        <v>41865</v>
      </c>
      <c r="C1143">
        <v>4.6048561460797438E-3</v>
      </c>
      <c r="E1143" s="62">
        <v>41865</v>
      </c>
      <c r="G1143">
        <v>-1.9772270436062157E-2</v>
      </c>
    </row>
    <row r="1144" spans="1:7">
      <c r="A1144" s="61">
        <v>41869</v>
      </c>
      <c r="C1144">
        <v>8.3167738535866887E-3</v>
      </c>
      <c r="E1144" s="62">
        <v>41869</v>
      </c>
      <c r="G1144">
        <v>-1.405939419955006E-2</v>
      </c>
    </row>
    <row r="1145" spans="1:7">
      <c r="A1145" s="61">
        <v>41870</v>
      </c>
      <c r="C1145">
        <v>1.0703739382834981E-2</v>
      </c>
      <c r="E1145" s="62">
        <v>41870</v>
      </c>
      <c r="G1145">
        <v>5.7037680880442754E-2</v>
      </c>
    </row>
    <row r="1146" spans="1:7">
      <c r="A1146" s="61">
        <v>41871</v>
      </c>
      <c r="C1146">
        <v>9.406751680444774E-4</v>
      </c>
      <c r="E1146" s="62">
        <v>41871</v>
      </c>
      <c r="G1146">
        <v>1.2315712228007295E-2</v>
      </c>
    </row>
    <row r="1147" spans="1:7">
      <c r="A1147" s="61">
        <v>41872</v>
      </c>
      <c r="C1147">
        <v>-2.6139885731349866E-4</v>
      </c>
      <c r="E1147" s="62">
        <v>41872</v>
      </c>
      <c r="G1147">
        <v>3.4183856936774087E-2</v>
      </c>
    </row>
    <row r="1148" spans="1:7">
      <c r="A1148" s="61">
        <v>41873</v>
      </c>
      <c r="C1148">
        <v>3.1376064545045705E-3</v>
      </c>
      <c r="E1148" s="62">
        <v>41873</v>
      </c>
      <c r="G1148">
        <v>7.282693240530512E-3</v>
      </c>
    </row>
    <row r="1149" spans="1:7">
      <c r="A1149" s="61">
        <v>41876</v>
      </c>
      <c r="C1149">
        <v>-2.4823751365306328E-4</v>
      </c>
      <c r="E1149" s="62">
        <v>41876</v>
      </c>
      <c r="G1149">
        <v>2.4471341035233768E-2</v>
      </c>
    </row>
    <row r="1150" spans="1:7">
      <c r="A1150" s="61">
        <v>41877</v>
      </c>
      <c r="C1150">
        <v>-4.3762725331479369E-3</v>
      </c>
      <c r="E1150" s="62">
        <v>41877</v>
      </c>
      <c r="G1150">
        <v>-1.2485811377837826E-2</v>
      </c>
    </row>
    <row r="1151" spans="1:7">
      <c r="A1151" s="61">
        <v>41878</v>
      </c>
      <c r="C1151">
        <v>5.5863483611924732E-3</v>
      </c>
      <c r="E1151" s="62">
        <v>41878</v>
      </c>
      <c r="G1151">
        <v>2.3638993189994476E-2</v>
      </c>
    </row>
    <row r="1152" spans="1:7">
      <c r="A1152" s="61">
        <v>41879</v>
      </c>
      <c r="C1152">
        <v>1.1470236286867509E-3</v>
      </c>
      <c r="E1152" s="62">
        <v>41879</v>
      </c>
      <c r="G1152">
        <v>3.7057307442019585E-2</v>
      </c>
    </row>
    <row r="1153" spans="1:7">
      <c r="A1153" s="61">
        <v>41883</v>
      </c>
      <c r="C1153">
        <v>7.9270709472849775E-3</v>
      </c>
      <c r="E1153" s="62">
        <v>41883</v>
      </c>
      <c r="G1153">
        <v>-1.6053769376632242E-2</v>
      </c>
    </row>
    <row r="1154" spans="1:7">
      <c r="A1154" s="61">
        <v>41884</v>
      </c>
      <c r="C1154">
        <v>8.0429119150608169E-3</v>
      </c>
      <c r="E1154" s="62">
        <v>41884</v>
      </c>
      <c r="G1154">
        <v>-2.578958953545819E-2</v>
      </c>
    </row>
    <row r="1155" spans="1:7">
      <c r="A1155" s="61">
        <v>41885</v>
      </c>
      <c r="C1155">
        <v>7.0034926033610339E-3</v>
      </c>
      <c r="E1155" s="62">
        <v>41885</v>
      </c>
      <c r="G1155">
        <v>3.0793659414261265E-2</v>
      </c>
    </row>
    <row r="1156" spans="1:7">
      <c r="A1156" s="61">
        <v>41886</v>
      </c>
      <c r="C1156">
        <v>-5.5686701773482777E-4</v>
      </c>
      <c r="E1156" s="62">
        <v>41886</v>
      </c>
      <c r="G1156">
        <v>1.2579300046876771E-2</v>
      </c>
    </row>
    <row r="1157" spans="1:7">
      <c r="A1157" s="61">
        <v>41887</v>
      </c>
      <c r="C1157">
        <v>-9.3266633559039311E-4</v>
      </c>
      <c r="E1157" s="62">
        <v>41887</v>
      </c>
      <c r="G1157">
        <v>3.9336995993692878E-2</v>
      </c>
    </row>
    <row r="1158" spans="1:7">
      <c r="A1158" s="61">
        <v>41890</v>
      </c>
      <c r="C1158">
        <v>7.6865255449673417E-3</v>
      </c>
      <c r="E1158" s="62">
        <v>41890</v>
      </c>
      <c r="G1158">
        <v>-1.543825255299996E-2</v>
      </c>
    </row>
    <row r="1159" spans="1:7">
      <c r="A1159" s="61">
        <v>41891</v>
      </c>
      <c r="C1159">
        <v>2.1836950767601467E-3</v>
      </c>
      <c r="E1159" s="62">
        <v>41891</v>
      </c>
      <c r="G1159">
        <v>1.2139092185177443E-2</v>
      </c>
    </row>
    <row r="1160" spans="1:7">
      <c r="A1160" s="61">
        <v>41892</v>
      </c>
      <c r="C1160">
        <v>-4.2258171013536691E-3</v>
      </c>
      <c r="E1160" s="62">
        <v>41892</v>
      </c>
      <c r="G1160">
        <v>-1.9989418531452662E-2</v>
      </c>
    </row>
    <row r="1161" spans="1:7">
      <c r="A1161" s="61">
        <v>41893</v>
      </c>
      <c r="C1161">
        <v>-1.4467330958288608E-4</v>
      </c>
      <c r="E1161" s="62">
        <v>41893</v>
      </c>
      <c r="G1161">
        <v>3.0086337925500202E-2</v>
      </c>
    </row>
    <row r="1162" spans="1:7">
      <c r="A1162" s="61">
        <v>41894</v>
      </c>
      <c r="C1162">
        <v>7.3552906847078488E-4</v>
      </c>
      <c r="E1162" s="62">
        <v>41894</v>
      </c>
      <c r="G1162">
        <v>-2.3762437490134798E-2</v>
      </c>
    </row>
    <row r="1163" spans="1:7">
      <c r="A1163" s="61">
        <v>41897</v>
      </c>
      <c r="C1163">
        <v>-3.9098976438198584E-3</v>
      </c>
      <c r="E1163" s="62">
        <v>41897</v>
      </c>
      <c r="G1163">
        <v>-3.0418901167535953E-3</v>
      </c>
    </row>
    <row r="1164" spans="1:7">
      <c r="A1164" s="61">
        <v>41898</v>
      </c>
      <c r="C1164">
        <v>-1.0396758195234041E-2</v>
      </c>
      <c r="E1164" s="62">
        <v>41898</v>
      </c>
      <c r="G1164">
        <v>-2.0346353811509531E-2</v>
      </c>
    </row>
    <row r="1165" spans="1:7">
      <c r="A1165" s="61">
        <v>41899</v>
      </c>
      <c r="C1165">
        <v>-3.7281278075552648E-3</v>
      </c>
      <c r="E1165" s="62">
        <v>41899</v>
      </c>
      <c r="G1165">
        <v>-3.3229459152261089E-2</v>
      </c>
    </row>
    <row r="1166" spans="1:7">
      <c r="A1166" s="61">
        <v>41900</v>
      </c>
      <c r="C1166">
        <v>7.6375213942616255E-3</v>
      </c>
      <c r="E1166" s="62">
        <v>41900</v>
      </c>
      <c r="G1166">
        <v>7.7336126359215454E-2</v>
      </c>
    </row>
    <row r="1167" spans="1:7">
      <c r="A1167" s="61">
        <v>41901</v>
      </c>
      <c r="C1167">
        <v>1.111070524060004E-2</v>
      </c>
      <c r="E1167" s="62">
        <v>41901</v>
      </c>
      <c r="G1167">
        <v>-1.8942536280358833E-2</v>
      </c>
    </row>
    <row r="1168" spans="1:7">
      <c r="A1168" s="61">
        <v>41904</v>
      </c>
      <c r="C1168">
        <v>-2.3542729150233047E-3</v>
      </c>
      <c r="E1168" s="62">
        <v>41904</v>
      </c>
      <c r="G1168">
        <v>-1.7784721586258191E-2</v>
      </c>
    </row>
    <row r="1169" spans="1:7">
      <c r="A1169" s="61">
        <v>41905</v>
      </c>
      <c r="C1169">
        <v>-5.0878145935179713E-3</v>
      </c>
      <c r="E1169" s="62">
        <v>41905</v>
      </c>
      <c r="G1169">
        <v>3.6207358498532975E-3</v>
      </c>
    </row>
    <row r="1170" spans="1:7">
      <c r="A1170" s="61">
        <v>41906</v>
      </c>
      <c r="C1170">
        <v>-1.037325520027662E-2</v>
      </c>
      <c r="E1170" s="62">
        <v>41906</v>
      </c>
      <c r="G1170">
        <v>-2.0617945945825472E-2</v>
      </c>
    </row>
    <row r="1171" spans="1:7">
      <c r="A1171" s="61">
        <v>41907</v>
      </c>
      <c r="C1171">
        <v>-8.3672005737508957E-3</v>
      </c>
      <c r="E1171" s="62">
        <v>41907</v>
      </c>
      <c r="G1171">
        <v>-5.7903606349410794E-3</v>
      </c>
    </row>
    <row r="1172" spans="1:7">
      <c r="A1172" s="61">
        <v>41908</v>
      </c>
      <c r="C1172">
        <v>-4.3827114704646942E-3</v>
      </c>
      <c r="E1172" s="62">
        <v>41908</v>
      </c>
      <c r="G1172">
        <v>-4.2343413398447296E-3</v>
      </c>
    </row>
    <row r="1173" spans="1:7">
      <c r="A1173" s="61">
        <v>41911</v>
      </c>
      <c r="C1173">
        <v>7.0655581977239401E-3</v>
      </c>
      <c r="E1173" s="62">
        <v>41911</v>
      </c>
      <c r="G1173">
        <v>1.7543814059742591E-2</v>
      </c>
    </row>
    <row r="1174" spans="1:7">
      <c r="A1174" s="61">
        <v>41912</v>
      </c>
      <c r="C1174">
        <v>-8.199702837837677E-4</v>
      </c>
      <c r="E1174" s="62">
        <v>41912</v>
      </c>
      <c r="G1174">
        <v>1.9331636169424904E-2</v>
      </c>
    </row>
    <row r="1175" spans="1:7">
      <c r="A1175" s="61">
        <v>41913</v>
      </c>
      <c r="C1175">
        <v>-4.9361996199126295E-4</v>
      </c>
      <c r="E1175" s="62">
        <v>41913</v>
      </c>
      <c r="G1175">
        <v>-1.5377681390689613E-2</v>
      </c>
    </row>
    <row r="1176" spans="1:7">
      <c r="A1176" s="61">
        <v>41919</v>
      </c>
      <c r="C1176">
        <v>-9.4883571622589782E-3</v>
      </c>
      <c r="E1176" s="62">
        <v>41919</v>
      </c>
      <c r="G1176">
        <v>-2.0821875401129713E-2</v>
      </c>
    </row>
    <row r="1177" spans="1:7">
      <c r="A1177" s="61">
        <v>41920</v>
      </c>
      <c r="C1177">
        <v>-5.3411945079805618E-3</v>
      </c>
      <c r="E1177" s="62">
        <v>41920</v>
      </c>
      <c r="G1177">
        <v>5.3159198361138141E-3</v>
      </c>
    </row>
    <row r="1178" spans="1:7">
      <c r="A1178" s="61">
        <v>41921</v>
      </c>
      <c r="C1178">
        <v>1.1353810293620106E-2</v>
      </c>
      <c r="E1178" s="62">
        <v>41921</v>
      </c>
      <c r="G1178">
        <v>1.6393188562534303E-2</v>
      </c>
    </row>
    <row r="1179" spans="1:7">
      <c r="A1179" s="61">
        <v>41922</v>
      </c>
      <c r="C1179">
        <v>-4.6094940708523617E-3</v>
      </c>
      <c r="E1179" s="62">
        <v>41922</v>
      </c>
      <c r="G1179">
        <v>-1.0406151385259042E-3</v>
      </c>
    </row>
    <row r="1180" spans="1:7">
      <c r="A1180" s="61">
        <v>41925</v>
      </c>
      <c r="C1180">
        <v>-3.7967907781553821E-3</v>
      </c>
      <c r="E1180" s="62">
        <v>41925</v>
      </c>
      <c r="G1180">
        <v>5.2088899951292843E-4</v>
      </c>
    </row>
    <row r="1181" spans="1:7">
      <c r="A1181" s="61">
        <v>41926</v>
      </c>
      <c r="C1181">
        <v>4.8796641091644307E-3</v>
      </c>
      <c r="E1181" s="62">
        <v>41926</v>
      </c>
      <c r="G1181">
        <v>0</v>
      </c>
    </row>
    <row r="1182" spans="1:7">
      <c r="A1182" s="61">
        <v>41928</v>
      </c>
      <c r="C1182">
        <v>-1.3840443192628289E-2</v>
      </c>
      <c r="E1182" s="62">
        <v>41927</v>
      </c>
      <c r="G1182">
        <v>0</v>
      </c>
    </row>
    <row r="1183" spans="1:7">
      <c r="A1183" s="61">
        <v>41929</v>
      </c>
      <c r="C1183">
        <v>-4.7791081099824891E-3</v>
      </c>
      <c r="E1183" s="62">
        <v>41928</v>
      </c>
      <c r="G1183">
        <v>0</v>
      </c>
    </row>
    <row r="1184" spans="1:7">
      <c r="A1184" s="61">
        <v>41932</v>
      </c>
      <c r="C1184">
        <v>1.7320350461516879E-2</v>
      </c>
      <c r="E1184" s="62">
        <v>41929</v>
      </c>
      <c r="G1184">
        <v>-1.8739449174619633E-2</v>
      </c>
    </row>
    <row r="1185" spans="1:7">
      <c r="A1185" s="61">
        <v>41933</v>
      </c>
      <c r="C1185">
        <v>4.3404345416389488E-3</v>
      </c>
      <c r="E1185" s="62">
        <v>41932</v>
      </c>
      <c r="G1185">
        <v>2.0689037565180445E-2</v>
      </c>
    </row>
    <row r="1186" spans="1:7">
      <c r="A1186" s="61">
        <v>41934</v>
      </c>
      <c r="C1186">
        <v>1.0714285714285669E-2</v>
      </c>
      <c r="E1186" s="62">
        <v>41933</v>
      </c>
      <c r="G1186">
        <v>2.0790517577812143E-2</v>
      </c>
    </row>
    <row r="1187" spans="1:7">
      <c r="A1187" s="61">
        <v>41935</v>
      </c>
      <c r="C1187">
        <v>4.2635944248135063E-3</v>
      </c>
      <c r="E1187" s="62">
        <v>41934</v>
      </c>
      <c r="G1187">
        <v>2.3421431529485295E-2</v>
      </c>
    </row>
    <row r="1188" spans="1:7">
      <c r="A1188" s="61">
        <v>41939</v>
      </c>
      <c r="C1188">
        <v>3.8484328326304903E-4</v>
      </c>
      <c r="E1188" s="62">
        <v>41939</v>
      </c>
      <c r="G1188">
        <v>1.0945716066015153E-2</v>
      </c>
    </row>
    <row r="1189" spans="1:7">
      <c r="A1189" s="61">
        <v>41940</v>
      </c>
      <c r="C1189">
        <v>-2.1738333964315157E-3</v>
      </c>
      <c r="E1189" s="62">
        <v>41940</v>
      </c>
      <c r="G1189">
        <v>3.0511485749916755E-2</v>
      </c>
    </row>
    <row r="1190" spans="1:7">
      <c r="A1190" s="61">
        <v>41941</v>
      </c>
      <c r="C1190">
        <v>8.3348632274644809E-3</v>
      </c>
      <c r="E1190" s="62">
        <v>41941</v>
      </c>
      <c r="G1190">
        <v>4.7752608944324976E-3</v>
      </c>
    </row>
    <row r="1191" spans="1:7">
      <c r="A1191" s="61">
        <v>41942</v>
      </c>
      <c r="C1191">
        <v>5.0069186512273723E-3</v>
      </c>
      <c r="E1191" s="62">
        <v>41942</v>
      </c>
      <c r="G1191">
        <v>-3.8017301436581753E-3</v>
      </c>
    </row>
    <row r="1192" spans="1:7">
      <c r="A1192" s="61">
        <v>41943</v>
      </c>
      <c r="C1192">
        <v>1.6093286714131294E-2</v>
      </c>
      <c r="E1192" s="62">
        <v>41943</v>
      </c>
      <c r="G1192">
        <v>-1.4315421552336064E-3</v>
      </c>
    </row>
    <row r="1193" spans="1:7">
      <c r="A1193" s="61">
        <v>41946</v>
      </c>
      <c r="C1193">
        <v>9.5089800430279182E-3</v>
      </c>
      <c r="E1193" s="62">
        <v>41946</v>
      </c>
      <c r="G1193">
        <v>4.2996258602979332E-3</v>
      </c>
    </row>
    <row r="1194" spans="1:7">
      <c r="A1194" s="61">
        <v>41948</v>
      </c>
      <c r="C1194">
        <v>1.9839634526853784E-3</v>
      </c>
      <c r="E1194" s="62">
        <v>41948</v>
      </c>
      <c r="G1194">
        <v>3.3299898212977914E-2</v>
      </c>
    </row>
    <row r="1195" spans="1:7">
      <c r="A1195" s="61">
        <v>41950</v>
      </c>
      <c r="C1195">
        <v>-4.7003801432440846E-4</v>
      </c>
      <c r="E1195" s="62">
        <v>41950</v>
      </c>
      <c r="G1195">
        <v>-1.9795252722134695E-2</v>
      </c>
    </row>
    <row r="1196" spans="1:7">
      <c r="A1196" s="61">
        <v>41953</v>
      </c>
      <c r="C1196">
        <v>1.351994780124501E-3</v>
      </c>
      <c r="E1196" s="62">
        <v>41953</v>
      </c>
      <c r="G1196">
        <v>-7.5152494264510003E-3</v>
      </c>
    </row>
    <row r="1197" spans="1:7">
      <c r="A1197" s="61">
        <v>41954</v>
      </c>
      <c r="C1197">
        <v>2.7766526366456881E-3</v>
      </c>
      <c r="E1197" s="62">
        <v>41954</v>
      </c>
      <c r="G1197">
        <v>3.3124497930471335E-3</v>
      </c>
    </row>
    <row r="1198" spans="1:7">
      <c r="A1198" s="61">
        <v>41955</v>
      </c>
      <c r="C1198">
        <v>4.0978328318366491E-3</v>
      </c>
      <c r="E1198" s="62">
        <v>41955</v>
      </c>
      <c r="G1198">
        <v>4.7174829043146243E-3</v>
      </c>
    </row>
    <row r="1199" spans="1:7">
      <c r="A1199" s="61">
        <v>41956</v>
      </c>
      <c r="C1199">
        <v>5.2471403085339722E-4</v>
      </c>
      <c r="E1199" s="62">
        <v>41956</v>
      </c>
      <c r="G1199">
        <v>-3.286793850908229E-3</v>
      </c>
    </row>
    <row r="1200" spans="1:7">
      <c r="A1200" s="61">
        <v>41957</v>
      </c>
      <c r="C1200">
        <v>-3.9624268699154323E-4</v>
      </c>
      <c r="E1200" s="62">
        <v>41957</v>
      </c>
      <c r="G1200">
        <v>6.5942462250867138E-3</v>
      </c>
    </row>
    <row r="1201" spans="1:7">
      <c r="A1201" s="61">
        <v>41960</v>
      </c>
      <c r="C1201">
        <v>4.3953737816537714E-3</v>
      </c>
      <c r="E1201" s="62">
        <v>41960</v>
      </c>
      <c r="G1201">
        <v>1.3106172695366184E-2</v>
      </c>
    </row>
    <row r="1202" spans="1:7">
      <c r="A1202" s="61">
        <v>41961</v>
      </c>
      <c r="C1202">
        <v>4.6315105224666343E-3</v>
      </c>
      <c r="E1202" s="62">
        <v>41961</v>
      </c>
      <c r="G1202">
        <v>-1.8555671374699094E-3</v>
      </c>
    </row>
    <row r="1203" spans="1:7">
      <c r="A1203" s="61">
        <v>41962</v>
      </c>
      <c r="C1203">
        <v>-1.9353422378333412E-3</v>
      </c>
      <c r="E1203" s="62">
        <v>41962</v>
      </c>
      <c r="G1203">
        <v>-9.2464623636923909E-3</v>
      </c>
    </row>
    <row r="1204" spans="1:7">
      <c r="A1204" s="61">
        <v>41963</v>
      </c>
      <c r="C1204">
        <v>-1.7770214342355678E-3</v>
      </c>
      <c r="E1204" s="62">
        <v>41963</v>
      </c>
      <c r="G1204">
        <v>-1.3081702001373714E-2</v>
      </c>
    </row>
    <row r="1205" spans="1:7">
      <c r="A1205" s="61">
        <v>41964</v>
      </c>
      <c r="C1205">
        <v>3.2530413907475931E-3</v>
      </c>
      <c r="E1205" s="62">
        <v>41964</v>
      </c>
      <c r="G1205">
        <v>1.8928916223186903E-2</v>
      </c>
    </row>
    <row r="1206" spans="1:7">
      <c r="A1206" s="61">
        <v>41967</v>
      </c>
      <c r="C1206">
        <v>6.7855388261134266E-3</v>
      </c>
      <c r="E1206" s="62">
        <v>41967</v>
      </c>
      <c r="G1206">
        <v>-3.1118544356295783E-2</v>
      </c>
    </row>
    <row r="1207" spans="1:7">
      <c r="A1207" s="61">
        <v>41968</v>
      </c>
      <c r="C1207">
        <v>-3.1632307436176899E-3</v>
      </c>
      <c r="E1207" s="62">
        <v>41968</v>
      </c>
      <c r="G1207">
        <v>1.4860986711024156E-2</v>
      </c>
    </row>
    <row r="1208" spans="1:7">
      <c r="A1208" s="61">
        <v>41969</v>
      </c>
      <c r="C1208">
        <v>-5.0277013096211238E-3</v>
      </c>
      <c r="E1208" s="62">
        <v>41969</v>
      </c>
      <c r="G1208">
        <v>-4.7250887192874921E-4</v>
      </c>
    </row>
    <row r="1209" spans="1:7">
      <c r="A1209" s="61">
        <v>41970</v>
      </c>
      <c r="C1209">
        <v>3.3282204150146153E-3</v>
      </c>
      <c r="E1209" s="62">
        <v>41970</v>
      </c>
      <c r="G1209">
        <v>5.6718567726584653E-3</v>
      </c>
    </row>
    <row r="1210" spans="1:7">
      <c r="A1210" s="61">
        <v>41971</v>
      </c>
      <c r="C1210">
        <v>8.4515980154609444E-3</v>
      </c>
      <c r="E1210" s="62">
        <v>41971</v>
      </c>
      <c r="G1210">
        <v>4.6523676253477614E-2</v>
      </c>
    </row>
    <row r="1211" spans="1:7">
      <c r="A1211" s="61">
        <v>41974</v>
      </c>
      <c r="C1211">
        <v>3.7298704270471148E-3</v>
      </c>
      <c r="E1211" s="62">
        <v>41974</v>
      </c>
      <c r="G1211">
        <v>3.2779875103409531E-2</v>
      </c>
    </row>
    <row r="1212" spans="1:7">
      <c r="A1212" s="61">
        <v>41975</v>
      </c>
      <c r="C1212">
        <v>-4.046575514228351E-3</v>
      </c>
      <c r="E1212" s="62">
        <v>41975</v>
      </c>
      <c r="G1212">
        <v>2.0431945338327206E-2</v>
      </c>
    </row>
    <row r="1213" spans="1:7">
      <c r="A1213" s="61">
        <v>41976</v>
      </c>
      <c r="C1213">
        <v>3.6281023422432327E-3</v>
      </c>
      <c r="E1213" s="62">
        <v>41976</v>
      </c>
      <c r="G1213">
        <v>4.3032170673191983E-2</v>
      </c>
    </row>
    <row r="1214" spans="1:7">
      <c r="A1214" s="61">
        <v>41977</v>
      </c>
      <c r="C1214">
        <v>6.0439842400260013E-3</v>
      </c>
      <c r="E1214" s="62">
        <v>41977</v>
      </c>
      <c r="G1214">
        <v>9.8034597211409946E-3</v>
      </c>
    </row>
    <row r="1215" spans="1:7">
      <c r="A1215" s="61">
        <v>41978</v>
      </c>
      <c r="C1215">
        <v>-1.4905832544587503E-3</v>
      </c>
      <c r="E1215" s="62">
        <v>41978</v>
      </c>
      <c r="G1215">
        <v>8.4978848423860331E-3</v>
      </c>
    </row>
    <row r="1216" spans="1:7">
      <c r="A1216" s="61">
        <v>41981</v>
      </c>
      <c r="C1216">
        <v>-8.7695398971494726E-3</v>
      </c>
      <c r="E1216" s="62">
        <v>41981</v>
      </c>
      <c r="G1216">
        <v>-2.6470701604254909E-2</v>
      </c>
    </row>
    <row r="1217" spans="1:7">
      <c r="A1217" s="61">
        <v>41982</v>
      </c>
      <c r="C1217">
        <v>-1.2763910601089222E-2</v>
      </c>
      <c r="E1217" s="62">
        <v>41982</v>
      </c>
      <c r="G1217">
        <v>-4.5346471191680393E-3</v>
      </c>
    </row>
    <row r="1218" spans="1:7">
      <c r="A1218" s="61">
        <v>41983</v>
      </c>
      <c r="C1218">
        <v>-5.7133245168325556E-3</v>
      </c>
      <c r="E1218" s="62">
        <v>41983</v>
      </c>
      <c r="G1218">
        <v>6.209433310454952E-3</v>
      </c>
    </row>
    <row r="1219" spans="1:7">
      <c r="A1219" s="61">
        <v>41984</v>
      </c>
      <c r="C1219">
        <v>-1.6684264871454472E-3</v>
      </c>
      <c r="E1219" s="62">
        <v>41984</v>
      </c>
      <c r="G1219">
        <v>-3.0029237334293392E-2</v>
      </c>
    </row>
    <row r="1220" spans="1:7">
      <c r="A1220" s="61">
        <v>41985</v>
      </c>
      <c r="C1220">
        <v>-6.7257630030445421E-3</v>
      </c>
      <c r="E1220" s="62">
        <v>41985</v>
      </c>
      <c r="G1220">
        <v>-2.5466583145634207E-3</v>
      </c>
    </row>
    <row r="1221" spans="1:7">
      <c r="A1221" s="61">
        <v>41988</v>
      </c>
      <c r="C1221">
        <v>-9.9128142979844919E-3</v>
      </c>
      <c r="E1221" s="62">
        <v>41988</v>
      </c>
      <c r="G1221">
        <v>-1.8708116444577469E-2</v>
      </c>
    </row>
    <row r="1222" spans="1:7">
      <c r="A1222" s="61">
        <v>41989</v>
      </c>
      <c r="C1222">
        <v>-1.0392342109485104E-2</v>
      </c>
      <c r="E1222" s="62">
        <v>41989</v>
      </c>
      <c r="G1222">
        <v>-2.0796375465232594E-2</v>
      </c>
    </row>
    <row r="1223" spans="1:7">
      <c r="A1223" s="61">
        <v>41990</v>
      </c>
      <c r="C1223">
        <v>-1.1606263659725681E-2</v>
      </c>
      <c r="E1223" s="62">
        <v>41990</v>
      </c>
      <c r="G1223">
        <v>-5.3046939995076139E-3</v>
      </c>
    </row>
    <row r="1224" spans="1:7">
      <c r="A1224" s="61">
        <v>41991</v>
      </c>
      <c r="C1224">
        <v>1.6480879628223387E-2</v>
      </c>
      <c r="E1224" s="62">
        <v>41991</v>
      </c>
      <c r="G1224">
        <v>1.5124440170235601E-2</v>
      </c>
    </row>
    <row r="1225" spans="1:7">
      <c r="A1225" s="61">
        <v>41992</v>
      </c>
      <c r="C1225">
        <v>1.1157726142665947E-2</v>
      </c>
      <c r="E1225" s="62">
        <v>41992</v>
      </c>
      <c r="G1225">
        <v>1.5330124928528985E-2</v>
      </c>
    </row>
    <row r="1226" spans="1:7">
      <c r="A1226" s="61">
        <v>41995</v>
      </c>
      <c r="C1226">
        <v>6.1822157865184281E-3</v>
      </c>
      <c r="E1226" s="62">
        <v>41995</v>
      </c>
      <c r="G1226">
        <v>1.1658238238064033E-2</v>
      </c>
    </row>
    <row r="1227" spans="1:7">
      <c r="A1227" s="61">
        <v>41996</v>
      </c>
      <c r="C1227">
        <v>1.1101908470933239E-3</v>
      </c>
      <c r="E1227" s="62">
        <v>41996</v>
      </c>
      <c r="G1227">
        <v>2.345818750066898E-2</v>
      </c>
    </row>
    <row r="1228" spans="1:7">
      <c r="A1228" s="61">
        <v>41997</v>
      </c>
      <c r="C1228">
        <v>-7.6864401807193571E-3</v>
      </c>
      <c r="E1228" s="62">
        <v>41997</v>
      </c>
      <c r="G1228">
        <v>-1.4172847466087326E-2</v>
      </c>
    </row>
    <row r="1229" spans="1:7">
      <c r="A1229" s="61">
        <v>41999</v>
      </c>
      <c r="C1229">
        <v>-1.1234626300851466E-3</v>
      </c>
      <c r="E1229" s="62">
        <v>41999</v>
      </c>
      <c r="G1229">
        <v>1.4801167111246015E-2</v>
      </c>
    </row>
    <row r="1230" spans="1:7">
      <c r="A1230" s="61">
        <v>42002</v>
      </c>
      <c r="C1230">
        <v>4.5344225418811664E-3</v>
      </c>
      <c r="E1230" s="62">
        <v>42002</v>
      </c>
      <c r="G1230">
        <v>1.9170972894788165E-2</v>
      </c>
    </row>
    <row r="1231" spans="1:7">
      <c r="A1231" s="61">
        <v>42003</v>
      </c>
      <c r="C1231">
        <v>3.9777013011502924E-3</v>
      </c>
      <c r="E1231" s="62">
        <v>42003</v>
      </c>
      <c r="G1231">
        <v>1.634676656114176E-2</v>
      </c>
    </row>
    <row r="1232" spans="1:7">
      <c r="A1232" s="61">
        <v>42004</v>
      </c>
      <c r="C1232">
        <v>2.5356428030594625E-3</v>
      </c>
      <c r="E1232" s="62">
        <v>42004</v>
      </c>
      <c r="G1232">
        <v>8.8541345718035069E-3</v>
      </c>
    </row>
    <row r="1233" spans="1:7">
      <c r="A1233" s="61">
        <v>42005</v>
      </c>
      <c r="C1233">
        <v>3.1439728810382182E-3</v>
      </c>
      <c r="E1233" s="62">
        <v>42005</v>
      </c>
      <c r="G1233">
        <v>-6.782630329766305E-3</v>
      </c>
    </row>
    <row r="1234" spans="1:7">
      <c r="A1234" s="61">
        <v>42006</v>
      </c>
      <c r="C1234">
        <v>7.7389984825492319E-3</v>
      </c>
      <c r="E1234" s="62">
        <v>42006</v>
      </c>
      <c r="G1234">
        <v>-2.9306023616858218E-2</v>
      </c>
    </row>
    <row r="1235" spans="1:7">
      <c r="A1235" s="61">
        <v>42009</v>
      </c>
      <c r="C1235">
        <v>5.6351568924978236E-3</v>
      </c>
      <c r="E1235" s="62">
        <v>42009</v>
      </c>
      <c r="G1235">
        <v>-2.0592874791081884E-3</v>
      </c>
    </row>
    <row r="1236" spans="1:7">
      <c r="A1236" s="61">
        <v>42010</v>
      </c>
      <c r="C1236">
        <v>-1.942535951024844E-2</v>
      </c>
      <c r="E1236" s="62">
        <v>42010</v>
      </c>
      <c r="G1236">
        <v>-2.2796102038186442E-2</v>
      </c>
    </row>
    <row r="1237" spans="1:7">
      <c r="A1237" s="61">
        <v>42011</v>
      </c>
      <c r="C1237">
        <v>-1.3196997638988236E-2</v>
      </c>
      <c r="E1237" s="62">
        <v>42011</v>
      </c>
      <c r="G1237">
        <v>-2.5448596417950071E-2</v>
      </c>
    </row>
    <row r="1238" spans="1:7">
      <c r="A1238" s="61">
        <v>42012</v>
      </c>
      <c r="C1238">
        <v>1.3141370916384412E-2</v>
      </c>
      <c r="E1238" s="62">
        <v>42012</v>
      </c>
      <c r="G1238">
        <v>7.4024634564578131E-3</v>
      </c>
    </row>
    <row r="1239" spans="1:7">
      <c r="A1239" s="61">
        <v>42013</v>
      </c>
      <c r="C1239">
        <v>8.2360612593772274E-3</v>
      </c>
      <c r="E1239" s="62">
        <v>42013</v>
      </c>
      <c r="G1239">
        <v>2.8939817428617769E-2</v>
      </c>
    </row>
    <row r="1240" spans="1:7">
      <c r="A1240" s="61">
        <v>42016</v>
      </c>
      <c r="C1240">
        <v>1.8994458978376931E-3</v>
      </c>
      <c r="E1240" s="62">
        <v>42016</v>
      </c>
      <c r="G1240">
        <v>-2.5210641411957291E-3</v>
      </c>
    </row>
    <row r="1241" spans="1:7">
      <c r="A1241" s="61">
        <v>42017</v>
      </c>
      <c r="C1241">
        <v>2.1400947922421139E-3</v>
      </c>
      <c r="E1241" s="62">
        <v>42017</v>
      </c>
      <c r="G1241">
        <v>-1.2591757073840289E-3</v>
      </c>
    </row>
    <row r="1242" spans="1:7">
      <c r="A1242" s="61">
        <v>42018</v>
      </c>
      <c r="C1242">
        <v>-2.9131340563941393E-3</v>
      </c>
      <c r="E1242" s="62">
        <v>42018</v>
      </c>
      <c r="G1242">
        <v>-2.3180347226893272E-2</v>
      </c>
    </row>
    <row r="1243" spans="1:7">
      <c r="A1243" s="61">
        <v>42019</v>
      </c>
      <c r="C1243">
        <v>1.8408692767473298E-2</v>
      </c>
      <c r="E1243" s="62">
        <v>42019</v>
      </c>
      <c r="G1243">
        <v>3.8812822539793673E-3</v>
      </c>
    </row>
    <row r="1244" spans="1:7">
      <c r="A1244" s="61">
        <v>42020</v>
      </c>
      <c r="C1244">
        <v>5.6405157042927973E-3</v>
      </c>
      <c r="E1244" s="62">
        <v>42020</v>
      </c>
      <c r="G1244">
        <v>-9.8815864226720479E-3</v>
      </c>
    </row>
    <row r="1245" spans="1:7">
      <c r="A1245" s="61">
        <v>42023</v>
      </c>
      <c r="C1245">
        <v>5.3190582539169627E-3</v>
      </c>
      <c r="E1245" s="62">
        <v>42023</v>
      </c>
      <c r="G1245">
        <v>1.1288107532789029E-2</v>
      </c>
    </row>
    <row r="1246" spans="1:7">
      <c r="A1246" s="61">
        <v>42024</v>
      </c>
      <c r="C1246">
        <v>8.2811872904970611E-3</v>
      </c>
      <c r="E1246" s="62">
        <v>42024</v>
      </c>
      <c r="G1246">
        <v>1.5445270614428805E-2</v>
      </c>
    </row>
    <row r="1247" spans="1:7">
      <c r="A1247" s="61">
        <v>42025</v>
      </c>
      <c r="C1247">
        <v>8.2075662099433469E-3</v>
      </c>
      <c r="E1247" s="62">
        <v>42025</v>
      </c>
      <c r="G1247">
        <v>1.3105792208939746E-2</v>
      </c>
    </row>
    <row r="1248" spans="1:7">
      <c r="A1248" s="61">
        <v>42026</v>
      </c>
      <c r="C1248">
        <v>2.546764830178769E-3</v>
      </c>
      <c r="E1248" s="62">
        <v>42026</v>
      </c>
      <c r="G1248">
        <v>-1.2936252373371929E-2</v>
      </c>
    </row>
    <row r="1249" spans="1:7">
      <c r="A1249" s="61">
        <v>42027</v>
      </c>
      <c r="C1249">
        <v>8.4694998169654607E-3</v>
      </c>
      <c r="E1249" s="62">
        <v>42027</v>
      </c>
      <c r="G1249">
        <v>2.5381194403050018E-3</v>
      </c>
    </row>
    <row r="1250" spans="1:7">
      <c r="A1250" s="61">
        <v>42031</v>
      </c>
      <c r="C1250">
        <v>6.1819041804852832E-3</v>
      </c>
      <c r="E1250" s="62">
        <v>42031</v>
      </c>
      <c r="G1250">
        <v>-7.1715820719474282E-3</v>
      </c>
    </row>
    <row r="1251" spans="1:7">
      <c r="A1251" s="61">
        <v>42032</v>
      </c>
      <c r="C1251">
        <v>2.7221296017930475E-3</v>
      </c>
      <c r="E1251" s="62">
        <v>42032</v>
      </c>
      <c r="G1251">
        <v>3.4029228479640862E-3</v>
      </c>
    </row>
    <row r="1252" spans="1:7">
      <c r="A1252" s="61">
        <v>42033</v>
      </c>
      <c r="C1252">
        <v>1.8752419007535951E-3</v>
      </c>
      <c r="E1252" s="62">
        <v>42033</v>
      </c>
      <c r="G1252">
        <v>1.3963575579646323E-2</v>
      </c>
    </row>
    <row r="1253" spans="1:7">
      <c r="A1253" s="61">
        <v>42034</v>
      </c>
      <c r="C1253">
        <v>-2.2689308819447019E-3</v>
      </c>
      <c r="E1253" s="62">
        <v>42034</v>
      </c>
      <c r="G1253">
        <v>1.0016135614954255E-2</v>
      </c>
    </row>
    <row r="1254" spans="1:7">
      <c r="A1254" s="61">
        <v>42037</v>
      </c>
      <c r="C1254">
        <v>-9.1072694551998686E-3</v>
      </c>
      <c r="E1254" s="62">
        <v>42037</v>
      </c>
      <c r="G1254">
        <v>5.7842681551572225E-3</v>
      </c>
    </row>
    <row r="1255" spans="1:7">
      <c r="A1255" s="61">
        <v>42038</v>
      </c>
      <c r="C1255">
        <v>-6.8794716565767752E-4</v>
      </c>
      <c r="E1255" s="62">
        <v>42038</v>
      </c>
      <c r="G1255">
        <v>8.2518456357056345E-4</v>
      </c>
    </row>
    <row r="1256" spans="1:7">
      <c r="A1256" s="61">
        <v>42039</v>
      </c>
      <c r="C1256">
        <v>-4.5050254715683826E-3</v>
      </c>
      <c r="E1256" s="62">
        <v>42039</v>
      </c>
      <c r="G1256">
        <v>1.0667609565988789E-2</v>
      </c>
    </row>
    <row r="1257" spans="1:7">
      <c r="A1257" s="61">
        <v>42040</v>
      </c>
      <c r="C1257">
        <v>-5.4824986030968959E-3</v>
      </c>
      <c r="E1257" s="62">
        <v>42040</v>
      </c>
      <c r="G1257">
        <v>-4.8695353551424722E-3</v>
      </c>
    </row>
    <row r="1258" spans="1:7">
      <c r="A1258" s="61">
        <v>42041</v>
      </c>
      <c r="C1258">
        <v>-6.2692611506067388E-3</v>
      </c>
      <c r="E1258" s="62">
        <v>42041</v>
      </c>
      <c r="G1258">
        <v>-1.3066387282128956E-2</v>
      </c>
    </row>
    <row r="1259" spans="1:7">
      <c r="A1259" s="61">
        <v>42044</v>
      </c>
      <c r="C1259">
        <v>-1.4599275634100219E-2</v>
      </c>
      <c r="E1259" s="62">
        <v>42044</v>
      </c>
      <c r="G1259">
        <v>-7.0263094514662304E-3</v>
      </c>
    </row>
    <row r="1260" spans="1:7">
      <c r="A1260" s="61">
        <v>42045</v>
      </c>
      <c r="C1260">
        <v>-3.5334685367916499E-3</v>
      </c>
      <c r="E1260" s="62">
        <v>42045</v>
      </c>
      <c r="G1260">
        <v>-1.7080167153265009E-2</v>
      </c>
    </row>
    <row r="1261" spans="1:7">
      <c r="A1261" s="61">
        <v>42046</v>
      </c>
      <c r="C1261">
        <v>1.244519950515627E-2</v>
      </c>
      <c r="E1261" s="62">
        <v>42046</v>
      </c>
      <c r="G1261">
        <v>-8.4667035018370449E-3</v>
      </c>
    </row>
    <row r="1262" spans="1:7">
      <c r="A1262" s="61">
        <v>42047</v>
      </c>
      <c r="C1262">
        <v>1.0946439028785164E-2</v>
      </c>
      <c r="E1262" s="62">
        <v>42047</v>
      </c>
      <c r="G1262">
        <v>-7.2695547565236242E-3</v>
      </c>
    </row>
    <row r="1263" spans="1:7">
      <c r="A1263" s="61">
        <v>42048</v>
      </c>
      <c r="C1263">
        <v>9.2627662418680885E-3</v>
      </c>
      <c r="E1263" s="62">
        <v>42048</v>
      </c>
      <c r="G1263">
        <v>-1.2483693120696774E-2</v>
      </c>
    </row>
    <row r="1264" spans="1:7">
      <c r="A1264" s="61">
        <v>42051</v>
      </c>
      <c r="C1264">
        <v>4.7075314985179622E-3</v>
      </c>
      <c r="E1264" s="62">
        <v>42051</v>
      </c>
      <c r="G1264">
        <v>-2.8338490632522056E-2</v>
      </c>
    </row>
    <row r="1265" spans="1:7">
      <c r="A1265" s="61">
        <v>42053</v>
      </c>
      <c r="C1265">
        <v>2.1806956254259427E-3</v>
      </c>
      <c r="E1265" s="62">
        <v>42053</v>
      </c>
      <c r="G1265">
        <v>2.7372149169483998E-2</v>
      </c>
    </row>
    <row r="1266" spans="1:7">
      <c r="A1266" s="61">
        <v>42054</v>
      </c>
      <c r="C1266">
        <v>5.3275161826042937E-3</v>
      </c>
      <c r="E1266" s="62">
        <v>42054</v>
      </c>
      <c r="G1266">
        <v>3.7990622658923223E-2</v>
      </c>
    </row>
    <row r="1267" spans="1:7">
      <c r="A1267" s="61">
        <v>42055</v>
      </c>
      <c r="C1267">
        <v>-2.2080350668680251E-3</v>
      </c>
      <c r="E1267" s="62">
        <v>42055</v>
      </c>
      <c r="G1267">
        <v>-1.1777514904110742E-2</v>
      </c>
    </row>
    <row r="1268" spans="1:7">
      <c r="A1268" s="61">
        <v>42058</v>
      </c>
      <c r="C1268">
        <v>-5.7590593172180482E-3</v>
      </c>
      <c r="E1268" s="62">
        <v>42058</v>
      </c>
      <c r="G1268">
        <v>-3.7891544177951861E-2</v>
      </c>
    </row>
    <row r="1269" spans="1:7">
      <c r="A1269" s="61">
        <v>42059</v>
      </c>
      <c r="C1269">
        <v>-4.8196876270870138E-3</v>
      </c>
      <c r="E1269" s="62">
        <v>42059</v>
      </c>
      <c r="G1269">
        <v>-8.8878262389776241E-4</v>
      </c>
    </row>
    <row r="1270" spans="1:7">
      <c r="A1270" s="61">
        <v>42060</v>
      </c>
      <c r="C1270">
        <v>1.3087776458569583E-3</v>
      </c>
      <c r="E1270" s="62">
        <v>42060</v>
      </c>
      <c r="G1270">
        <v>-2.6566432268314205E-2</v>
      </c>
    </row>
    <row r="1271" spans="1:7">
      <c r="A1271" s="61">
        <v>42061</v>
      </c>
      <c r="C1271">
        <v>-6.3864285635498877E-3</v>
      </c>
      <c r="E1271" s="62">
        <v>42061</v>
      </c>
      <c r="G1271">
        <v>-2.2749254165237544E-3</v>
      </c>
    </row>
    <row r="1272" spans="1:7">
      <c r="A1272" s="61">
        <v>42062</v>
      </c>
      <c r="C1272">
        <v>6.4718811749294274E-3</v>
      </c>
      <c r="E1272" s="62">
        <v>42062</v>
      </c>
      <c r="G1272">
        <v>3.5568271742497139E-2</v>
      </c>
    </row>
    <row r="1273" spans="1:7">
      <c r="A1273" s="61">
        <v>42065</v>
      </c>
      <c r="C1273">
        <v>5.661065477842917E-3</v>
      </c>
      <c r="E1273" s="62">
        <v>42065</v>
      </c>
      <c r="G1273">
        <v>-1.5855930843452607E-2</v>
      </c>
    </row>
    <row r="1274" spans="1:7">
      <c r="A1274" s="61">
        <v>42066</v>
      </c>
      <c r="C1274">
        <v>4.2706128789560789E-3</v>
      </c>
      <c r="E1274" s="62">
        <v>42066</v>
      </c>
      <c r="G1274">
        <v>-1.6551329314912454E-2</v>
      </c>
    </row>
    <row r="1275" spans="1:7">
      <c r="A1275" s="61">
        <v>42067</v>
      </c>
      <c r="C1275">
        <v>3.5140670475367623E-3</v>
      </c>
      <c r="E1275" s="62">
        <v>42067</v>
      </c>
      <c r="G1275">
        <v>-2.4569044932005617E-2</v>
      </c>
    </row>
    <row r="1276" spans="1:7">
      <c r="A1276" s="61">
        <v>42068</v>
      </c>
      <c r="C1276">
        <v>-8.0830540517315471E-3</v>
      </c>
      <c r="E1276" s="62">
        <v>42068</v>
      </c>
      <c r="G1276">
        <v>-7.4626005954917555E-3</v>
      </c>
    </row>
    <row r="1277" spans="1:7">
      <c r="A1277" s="61">
        <v>42072</v>
      </c>
      <c r="C1277">
        <v>-1.1051129749251359E-2</v>
      </c>
      <c r="E1277" s="62">
        <v>42072</v>
      </c>
      <c r="G1277">
        <v>2.8196149871056047E-2</v>
      </c>
    </row>
    <row r="1278" spans="1:7">
      <c r="A1278" s="61">
        <v>42073</v>
      </c>
      <c r="C1278">
        <v>-8.3002091477502142E-3</v>
      </c>
      <c r="E1278" s="62">
        <v>42073</v>
      </c>
      <c r="G1278">
        <v>-2.1477769161460943E-2</v>
      </c>
    </row>
    <row r="1279" spans="1:7">
      <c r="A1279" s="61">
        <v>42074</v>
      </c>
      <c r="C1279">
        <v>-3.0364931264837409E-3</v>
      </c>
      <c r="E1279" s="62">
        <v>42074</v>
      </c>
      <c r="G1279">
        <v>-2.2890367176557486E-2</v>
      </c>
    </row>
    <row r="1280" spans="1:7">
      <c r="A1280" s="61">
        <v>42075</v>
      </c>
      <c r="C1280">
        <v>5.4491084283974671E-3</v>
      </c>
      <c r="E1280" s="62">
        <v>42075</v>
      </c>
      <c r="G1280">
        <v>5.7358887923078996E-3</v>
      </c>
    </row>
    <row r="1281" spans="1:7">
      <c r="A1281" s="61">
        <v>42076</v>
      </c>
      <c r="C1281">
        <v>-7.2150866911934873E-4</v>
      </c>
      <c r="E1281" s="62">
        <v>42076</v>
      </c>
      <c r="G1281">
        <v>5.7031040522443066E-3</v>
      </c>
    </row>
    <row r="1282" spans="1:7">
      <c r="A1282" s="61">
        <v>42079</v>
      </c>
      <c r="C1282">
        <v>-1.1563497268964459E-2</v>
      </c>
      <c r="E1282" s="62">
        <v>42079</v>
      </c>
      <c r="G1282">
        <v>-2.457386893572688E-2</v>
      </c>
    </row>
    <row r="1283" spans="1:7">
      <c r="A1283" s="61">
        <v>42080</v>
      </c>
      <c r="C1283">
        <v>6.6133214375330273E-3</v>
      </c>
      <c r="E1283" s="62">
        <v>42080</v>
      </c>
      <c r="G1283">
        <v>1.88946996883507E-2</v>
      </c>
    </row>
    <row r="1284" spans="1:7">
      <c r="A1284" s="61">
        <v>42081</v>
      </c>
      <c r="C1284">
        <v>2.1659529916186232E-3</v>
      </c>
      <c r="E1284" s="62">
        <v>42081</v>
      </c>
      <c r="G1284">
        <v>-1.4267884187024889E-3</v>
      </c>
    </row>
    <row r="1285" spans="1:7">
      <c r="A1285" s="61">
        <v>42082</v>
      </c>
      <c r="C1285">
        <v>-1.8351463695054555E-3</v>
      </c>
      <c r="E1285" s="62">
        <v>42082</v>
      </c>
      <c r="G1285">
        <v>8.2377755741792458E-2</v>
      </c>
    </row>
    <row r="1286" spans="1:7">
      <c r="A1286" s="61">
        <v>42083</v>
      </c>
      <c r="C1286">
        <v>-1.1097574482224025E-2</v>
      </c>
      <c r="E1286" s="62">
        <v>42083</v>
      </c>
      <c r="G1286">
        <v>-4.0907412502304924E-2</v>
      </c>
    </row>
    <row r="1287" spans="1:7">
      <c r="A1287" s="61">
        <v>42086</v>
      </c>
      <c r="C1287">
        <v>-5.1126691156703945E-3</v>
      </c>
      <c r="E1287" s="62">
        <v>42086</v>
      </c>
      <c r="G1287">
        <v>-3.6702114149970731E-2</v>
      </c>
    </row>
    <row r="1288" spans="1:7">
      <c r="A1288" s="61">
        <v>42087</v>
      </c>
      <c r="C1288">
        <v>-4.4184776796521294E-3</v>
      </c>
      <c r="E1288" s="62">
        <v>42087</v>
      </c>
      <c r="G1288">
        <v>1.9051507993256582E-3</v>
      </c>
    </row>
    <row r="1289" spans="1:7">
      <c r="A1289" s="61">
        <v>42088</v>
      </c>
      <c r="C1289">
        <v>5.0317167765340047E-4</v>
      </c>
      <c r="E1289" s="62">
        <v>42088</v>
      </c>
      <c r="G1289">
        <v>4.515607554994356E-2</v>
      </c>
    </row>
    <row r="1290" spans="1:7">
      <c r="A1290" s="61">
        <v>42089</v>
      </c>
      <c r="C1290">
        <v>-1.4465973882136014E-2</v>
      </c>
      <c r="E1290" s="62">
        <v>42089</v>
      </c>
      <c r="G1290">
        <v>9.0360791373377057E-4</v>
      </c>
    </row>
    <row r="1291" spans="1:7">
      <c r="A1291" s="61">
        <v>42090</v>
      </c>
      <c r="C1291">
        <v>-3.5491694714089145E-3</v>
      </c>
      <c r="E1291" s="62">
        <v>42090</v>
      </c>
      <c r="G1291">
        <v>2.2719805463146518E-3</v>
      </c>
    </row>
    <row r="1292" spans="1:7">
      <c r="A1292" s="61">
        <v>42093</v>
      </c>
      <c r="C1292">
        <v>8.5333855041774629E-3</v>
      </c>
      <c r="E1292" s="62">
        <v>42093</v>
      </c>
      <c r="G1292">
        <v>3.7170521509024647E-2</v>
      </c>
    </row>
    <row r="1293" spans="1:7">
      <c r="A1293" s="61">
        <v>42094</v>
      </c>
      <c r="C1293">
        <v>8.1302668439159932E-3</v>
      </c>
      <c r="E1293" s="62">
        <v>42094</v>
      </c>
      <c r="G1293">
        <v>2.1856106529867636E-2</v>
      </c>
    </row>
    <row r="1294" spans="1:7">
      <c r="A1294" s="61">
        <v>42095</v>
      </c>
      <c r="C1294">
        <v>3.4975324851724385E-3</v>
      </c>
      <c r="E1294" s="62">
        <v>42095</v>
      </c>
      <c r="G1294">
        <v>-2.0099753392190594E-2</v>
      </c>
    </row>
    <row r="1295" spans="1:7">
      <c r="A1295" s="61">
        <v>42100</v>
      </c>
      <c r="C1295">
        <v>1.2424286858341656E-2</v>
      </c>
      <c r="E1295" s="62">
        <v>42100</v>
      </c>
      <c r="G1295">
        <v>-2.1827066135987282E-3</v>
      </c>
    </row>
    <row r="1296" spans="1:7">
      <c r="A1296" s="61">
        <v>42101</v>
      </c>
      <c r="C1296">
        <v>5.3142599308142304E-3</v>
      </c>
      <c r="E1296" s="62">
        <v>42101</v>
      </c>
      <c r="G1296">
        <v>-1.0937595438812956E-2</v>
      </c>
    </row>
    <row r="1297" spans="1:7">
      <c r="A1297" s="61">
        <v>42102</v>
      </c>
      <c r="C1297">
        <v>5.2141341268127396E-3</v>
      </c>
      <c r="E1297" s="62">
        <v>42102</v>
      </c>
      <c r="G1297">
        <v>2.1672780502669658E-2</v>
      </c>
    </row>
    <row r="1298" spans="1:7">
      <c r="A1298" s="61">
        <v>42103</v>
      </c>
      <c r="C1298">
        <v>6.5486296386126205E-3</v>
      </c>
      <c r="E1298" s="62">
        <v>42103</v>
      </c>
      <c r="G1298">
        <v>6.4943596638838202E-3</v>
      </c>
    </row>
    <row r="1299" spans="1:7">
      <c r="A1299" s="61">
        <v>42104</v>
      </c>
      <c r="C1299">
        <v>1.2212486308871453E-3</v>
      </c>
      <c r="E1299" s="62">
        <v>42104</v>
      </c>
      <c r="G1299">
        <v>-3.7850650046939285E-2</v>
      </c>
    </row>
    <row r="1300" spans="1:7">
      <c r="A1300" s="61">
        <v>42107</v>
      </c>
      <c r="C1300">
        <v>4.9282639492843998E-3</v>
      </c>
      <c r="E1300" s="62">
        <v>42107</v>
      </c>
      <c r="G1300">
        <v>4.4892058296904837E-4</v>
      </c>
    </row>
    <row r="1301" spans="1:7">
      <c r="A1301" s="61">
        <v>42109</v>
      </c>
      <c r="C1301">
        <v>-2.0356621889356563E-3</v>
      </c>
      <c r="E1301" s="62">
        <v>42109</v>
      </c>
      <c r="G1301">
        <v>-2.05585693242617E-2</v>
      </c>
    </row>
    <row r="1302" spans="1:7">
      <c r="A1302" s="61">
        <v>42110</v>
      </c>
      <c r="C1302">
        <v>-7.5374965912188216E-3</v>
      </c>
      <c r="E1302" s="62">
        <v>42110</v>
      </c>
      <c r="G1302">
        <v>-2.3719918907477867E-2</v>
      </c>
    </row>
    <row r="1303" spans="1:7">
      <c r="A1303" s="61">
        <v>42111</v>
      </c>
      <c r="C1303">
        <v>-9.9303174184474374E-3</v>
      </c>
      <c r="E1303" s="62">
        <v>42111</v>
      </c>
      <c r="G1303">
        <v>-4.6926881981262627E-4</v>
      </c>
    </row>
    <row r="1304" spans="1:7">
      <c r="A1304" s="61">
        <v>42114</v>
      </c>
      <c r="C1304">
        <v>-1.4825628188120546E-2</v>
      </c>
      <c r="E1304" s="62">
        <v>42114</v>
      </c>
      <c r="G1304">
        <v>-1.8700848776135637E-2</v>
      </c>
    </row>
    <row r="1305" spans="1:7">
      <c r="A1305" s="61">
        <v>42115</v>
      </c>
      <c r="C1305">
        <v>-1.5409318834863937E-2</v>
      </c>
      <c r="E1305" s="62">
        <v>42115</v>
      </c>
      <c r="G1305">
        <v>2.6683055692862417E-2</v>
      </c>
    </row>
    <row r="1306" spans="1:7">
      <c r="A1306" s="61">
        <v>42116</v>
      </c>
      <c r="C1306">
        <v>1.3332951846872999E-3</v>
      </c>
      <c r="E1306" s="62">
        <v>42116</v>
      </c>
      <c r="G1306">
        <v>2.2738701020981932E-2</v>
      </c>
    </row>
    <row r="1307" spans="1:7">
      <c r="A1307" s="61">
        <v>42117</v>
      </c>
      <c r="C1307">
        <v>2.560175554894943E-3</v>
      </c>
      <c r="E1307" s="62">
        <v>42117</v>
      </c>
      <c r="G1307">
        <v>-3.040325938936771E-2</v>
      </c>
    </row>
    <row r="1308" spans="1:7">
      <c r="A1308" s="61">
        <v>42118</v>
      </c>
      <c r="C1308">
        <v>-9.9067466198497264E-3</v>
      </c>
      <c r="E1308" s="62">
        <v>42118</v>
      </c>
      <c r="G1308">
        <v>-2.4333319137235562E-2</v>
      </c>
    </row>
    <row r="1309" spans="1:7">
      <c r="A1309" s="61">
        <v>42121</v>
      </c>
      <c r="C1309">
        <v>-1.2590818547133779E-2</v>
      </c>
      <c r="E1309" s="62">
        <v>42121</v>
      </c>
      <c r="G1309">
        <v>7.1940262445860659E-3</v>
      </c>
    </row>
    <row r="1310" spans="1:7">
      <c r="A1310" s="61">
        <v>42122</v>
      </c>
      <c r="C1310">
        <v>-3.626589548192075E-3</v>
      </c>
      <c r="E1310" s="62">
        <v>42122</v>
      </c>
      <c r="G1310">
        <v>3.8100482404343917E-2</v>
      </c>
    </row>
    <row r="1311" spans="1:7">
      <c r="A1311" s="61">
        <v>42123</v>
      </c>
      <c r="C1311">
        <v>3.5929755572329295E-3</v>
      </c>
      <c r="E1311" s="62">
        <v>42123</v>
      </c>
      <c r="G1311">
        <v>1.0087115328599287E-2</v>
      </c>
    </row>
    <row r="1312" spans="1:7">
      <c r="A1312" s="61">
        <v>42124</v>
      </c>
      <c r="C1312">
        <v>-4.7812574707145859E-3</v>
      </c>
      <c r="E1312" s="62">
        <v>42124</v>
      </c>
      <c r="G1312">
        <v>-8.1717205183538602E-3</v>
      </c>
    </row>
    <row r="1313" spans="1:7">
      <c r="A1313" s="61">
        <v>42128</v>
      </c>
      <c r="C1313">
        <v>1.0545865727693815E-2</v>
      </c>
      <c r="E1313" s="62">
        <v>42128</v>
      </c>
      <c r="G1313">
        <v>1.7397575679288329E-2</v>
      </c>
    </row>
    <row r="1314" spans="1:7">
      <c r="A1314" s="61">
        <v>42129</v>
      </c>
      <c r="C1314">
        <v>6.9803980682155032E-3</v>
      </c>
      <c r="E1314" s="62">
        <v>42129</v>
      </c>
      <c r="G1314">
        <v>-3.9155188187463164E-2</v>
      </c>
    </row>
    <row r="1315" spans="1:7">
      <c r="A1315" s="61">
        <v>42130</v>
      </c>
      <c r="C1315">
        <v>-1.5383995347953544E-2</v>
      </c>
      <c r="E1315" s="62">
        <v>42130</v>
      </c>
      <c r="G1315">
        <v>-2.810271956851507E-2</v>
      </c>
    </row>
    <row r="1316" spans="1:7">
      <c r="A1316" s="61">
        <v>42131</v>
      </c>
      <c r="C1316">
        <v>-1.9676636552349209E-2</v>
      </c>
      <c r="E1316" s="62">
        <v>42131</v>
      </c>
      <c r="G1316">
        <v>1.9281034487088685E-3</v>
      </c>
    </row>
    <row r="1317" spans="1:7">
      <c r="A1317" s="61">
        <v>42132</v>
      </c>
      <c r="C1317">
        <v>9.5794810617356729E-3</v>
      </c>
      <c r="E1317" s="62">
        <v>42132</v>
      </c>
      <c r="G1317">
        <v>1.0581238328005858E-2</v>
      </c>
    </row>
    <row r="1318" spans="1:7">
      <c r="A1318" s="61">
        <v>42135</v>
      </c>
      <c r="C1318">
        <v>1.5916717871153844E-2</v>
      </c>
      <c r="E1318" s="62">
        <v>42135</v>
      </c>
      <c r="G1318">
        <v>1.4281467923624364E-3</v>
      </c>
    </row>
    <row r="1319" spans="1:7">
      <c r="A1319" s="61">
        <v>42136</v>
      </c>
      <c r="C1319">
        <v>-5.7051468450130009E-3</v>
      </c>
      <c r="E1319" s="62">
        <v>42136</v>
      </c>
      <c r="G1319">
        <v>-1.3783154209774032E-2</v>
      </c>
    </row>
    <row r="1320" spans="1:7">
      <c r="A1320" s="61">
        <v>42137</v>
      </c>
      <c r="C1320">
        <v>-1.1288596178256238E-3</v>
      </c>
      <c r="E1320" s="62">
        <v>42137</v>
      </c>
      <c r="G1320">
        <v>8.1929022357575196E-3</v>
      </c>
    </row>
    <row r="1321" spans="1:7">
      <c r="A1321" s="61">
        <v>42138</v>
      </c>
      <c r="C1321">
        <v>4.5029746568605346E-3</v>
      </c>
      <c r="E1321" s="62">
        <v>42138</v>
      </c>
      <c r="G1321">
        <v>-5.7359715002493787E-3</v>
      </c>
    </row>
    <row r="1322" spans="1:7">
      <c r="A1322" s="61">
        <v>42139</v>
      </c>
      <c r="C1322">
        <v>4.7742574834592358E-3</v>
      </c>
      <c r="E1322" s="62">
        <v>42139</v>
      </c>
      <c r="G1322">
        <v>1.2980534002934448E-2</v>
      </c>
    </row>
    <row r="1323" spans="1:7">
      <c r="A1323" s="61">
        <v>42142</v>
      </c>
      <c r="C1323">
        <v>8.8127451207909678E-3</v>
      </c>
      <c r="E1323" s="62">
        <v>42142</v>
      </c>
      <c r="G1323">
        <v>-1.0916394771909657E-2</v>
      </c>
    </row>
    <row r="1324" spans="1:7">
      <c r="A1324" s="61">
        <v>42143</v>
      </c>
      <c r="C1324">
        <v>3.8876715952679982E-3</v>
      </c>
      <c r="E1324" s="62">
        <v>42143</v>
      </c>
      <c r="G1324">
        <v>5.7589377056210013E-3</v>
      </c>
    </row>
    <row r="1325" spans="1:7">
      <c r="A1325" s="61">
        <v>42144</v>
      </c>
      <c r="C1325">
        <v>5.0412754426869995E-3</v>
      </c>
      <c r="E1325" s="62">
        <v>42144</v>
      </c>
      <c r="G1325">
        <v>-1.4791095731848263E-2</v>
      </c>
    </row>
    <row r="1326" spans="1:7">
      <c r="A1326" s="61">
        <v>42145</v>
      </c>
      <c r="C1326">
        <v>1.1741972993461285E-3</v>
      </c>
      <c r="E1326" s="62">
        <v>42145</v>
      </c>
      <c r="G1326">
        <v>7.7492220545677011E-3</v>
      </c>
    </row>
    <row r="1327" spans="1:7">
      <c r="A1327" s="61">
        <v>42146</v>
      </c>
      <c r="C1327">
        <v>1.6510575308149962E-3</v>
      </c>
      <c r="E1327" s="62">
        <v>42146</v>
      </c>
      <c r="G1327">
        <v>9.6015966188041087E-4</v>
      </c>
    </row>
    <row r="1328" spans="1:7">
      <c r="A1328" s="61">
        <v>42149</v>
      </c>
      <c r="C1328">
        <v>-3.978742149089152E-3</v>
      </c>
      <c r="E1328" s="62">
        <v>42149</v>
      </c>
      <c r="G1328">
        <v>-3.3604688789703088E-2</v>
      </c>
    </row>
    <row r="1329" spans="1:7">
      <c r="A1329" s="61">
        <v>42150</v>
      </c>
      <c r="C1329">
        <v>-3.8919165691785732E-3</v>
      </c>
      <c r="E1329" s="62">
        <v>42150</v>
      </c>
      <c r="G1329">
        <v>-6.4578270856041732E-3</v>
      </c>
    </row>
    <row r="1330" spans="1:7">
      <c r="A1330" s="61">
        <v>42151</v>
      </c>
      <c r="C1330">
        <v>-4.8924968347721217E-3</v>
      </c>
      <c r="E1330" s="62">
        <v>42151</v>
      </c>
      <c r="G1330">
        <v>1.9999393114943149E-2</v>
      </c>
    </row>
    <row r="1331" spans="1:7">
      <c r="A1331" s="61">
        <v>42152</v>
      </c>
      <c r="C1331">
        <v>1.3989717845237606E-3</v>
      </c>
      <c r="E1331" s="62">
        <v>42152</v>
      </c>
      <c r="G1331">
        <v>-1.2254468473041302E-2</v>
      </c>
    </row>
    <row r="1332" spans="1:7">
      <c r="A1332" s="61">
        <v>42153</v>
      </c>
      <c r="C1332">
        <v>5.6398109714733751E-3</v>
      </c>
      <c r="E1332" s="62">
        <v>42153</v>
      </c>
      <c r="G1332">
        <v>1.2903005872341482E-2</v>
      </c>
    </row>
    <row r="1333" spans="1:7">
      <c r="A1333" s="61">
        <v>42156</v>
      </c>
      <c r="C1333">
        <v>4.7849625263685783E-3</v>
      </c>
      <c r="E1333" s="62">
        <v>42156</v>
      </c>
      <c r="G1333">
        <v>-1.9602226609992963E-3</v>
      </c>
    </row>
    <row r="1334" spans="1:7">
      <c r="A1334" s="61">
        <v>42157</v>
      </c>
      <c r="C1334">
        <v>-1.0087619481110564E-2</v>
      </c>
      <c r="E1334" s="62">
        <v>42157</v>
      </c>
      <c r="G1334">
        <v>-1.8654188587098608E-2</v>
      </c>
    </row>
    <row r="1335" spans="1:7">
      <c r="A1335" s="61">
        <v>42158</v>
      </c>
      <c r="C1335">
        <v>-1.9196836545259128E-2</v>
      </c>
      <c r="E1335" s="62">
        <v>42158</v>
      </c>
      <c r="G1335">
        <v>-3.0516013876793271E-2</v>
      </c>
    </row>
    <row r="1336" spans="1:7">
      <c r="A1336" s="61">
        <v>42159</v>
      </c>
      <c r="C1336">
        <v>-5.4439867094060517E-3</v>
      </c>
      <c r="E1336" s="62">
        <v>42159</v>
      </c>
      <c r="G1336">
        <v>2.0640330840435497E-2</v>
      </c>
    </row>
    <row r="1337" spans="1:7">
      <c r="A1337" s="61">
        <v>42160</v>
      </c>
      <c r="C1337">
        <v>-2.5218303303125933E-3</v>
      </c>
      <c r="E1337" s="62">
        <v>42160</v>
      </c>
      <c r="G1337">
        <v>1.2132865942706095E-2</v>
      </c>
    </row>
    <row r="1338" spans="1:7">
      <c r="A1338" s="61">
        <v>42163</v>
      </c>
      <c r="C1338">
        <v>-4.0699391576585415E-3</v>
      </c>
      <c r="E1338" s="62">
        <v>42163</v>
      </c>
      <c r="G1338">
        <v>-1.0988305571277307E-2</v>
      </c>
    </row>
    <row r="1339" spans="1:7">
      <c r="A1339" s="61">
        <v>42164</v>
      </c>
      <c r="C1339">
        <v>-8.262109951898227E-3</v>
      </c>
      <c r="E1339" s="62">
        <v>42164</v>
      </c>
      <c r="G1339">
        <v>-7.0705728576068074E-3</v>
      </c>
    </row>
    <row r="1340" spans="1:7">
      <c r="A1340" s="61">
        <v>42165</v>
      </c>
      <c r="C1340">
        <v>5.9985168173771154E-3</v>
      </c>
      <c r="E1340" s="62">
        <v>42165</v>
      </c>
      <c r="G1340">
        <v>1.0174238509941484E-3</v>
      </c>
    </row>
    <row r="1341" spans="1:7">
      <c r="A1341" s="61">
        <v>42166</v>
      </c>
      <c r="C1341">
        <v>-1.3851650605486939E-3</v>
      </c>
      <c r="E1341" s="62">
        <v>42166</v>
      </c>
      <c r="G1341">
        <v>-2.5406512765376827E-2</v>
      </c>
    </row>
    <row r="1342" spans="1:7">
      <c r="A1342" s="61">
        <v>42167</v>
      </c>
      <c r="C1342">
        <v>-1.1537225112812563E-2</v>
      </c>
      <c r="E1342" s="62">
        <v>42167</v>
      </c>
      <c r="G1342">
        <v>-8.3420042210468077E-3</v>
      </c>
    </row>
    <row r="1343" spans="1:7">
      <c r="A1343" s="61">
        <v>42170</v>
      </c>
      <c r="C1343">
        <v>3.6256323777401284E-3</v>
      </c>
      <c r="E1343" s="62">
        <v>42170</v>
      </c>
      <c r="G1343">
        <v>-5.784100582536594E-3</v>
      </c>
    </row>
    <row r="1344" spans="1:7">
      <c r="A1344" s="61">
        <v>42171</v>
      </c>
      <c r="C1344">
        <v>3.2404795909796837E-3</v>
      </c>
      <c r="E1344" s="62">
        <v>42171</v>
      </c>
      <c r="G1344">
        <v>-1.6922340160561326E-2</v>
      </c>
    </row>
    <row r="1345" spans="1:7">
      <c r="A1345" s="61">
        <v>42172</v>
      </c>
      <c r="C1345">
        <v>8.7329975715086765E-3</v>
      </c>
      <c r="E1345" s="62">
        <v>42172</v>
      </c>
      <c r="G1345">
        <v>5.9171429452310235E-2</v>
      </c>
    </row>
    <row r="1346" spans="1:7">
      <c r="A1346" s="61">
        <v>42173</v>
      </c>
      <c r="C1346">
        <v>7.6671291849007327E-3</v>
      </c>
      <c r="E1346" s="62">
        <v>42173</v>
      </c>
      <c r="G1346">
        <v>-2.5386647493596502E-3</v>
      </c>
    </row>
    <row r="1347" spans="1:7">
      <c r="A1347" s="61">
        <v>42174</v>
      </c>
      <c r="C1347">
        <v>8.2384441109836122E-3</v>
      </c>
      <c r="E1347" s="62">
        <v>42174</v>
      </c>
      <c r="G1347">
        <v>-2.6476800653195805E-2</v>
      </c>
    </row>
    <row r="1348" spans="1:7">
      <c r="A1348" s="61">
        <v>42177</v>
      </c>
      <c r="C1348">
        <v>1.1095222809116559E-2</v>
      </c>
      <c r="E1348" s="62">
        <v>42177</v>
      </c>
      <c r="G1348">
        <v>-6.2758001279793621E-3</v>
      </c>
    </row>
    <row r="1349" spans="1:7">
      <c r="A1349" s="61">
        <v>42178</v>
      </c>
      <c r="C1349">
        <v>8.4739892401119246E-3</v>
      </c>
      <c r="E1349" s="62">
        <v>42178</v>
      </c>
      <c r="G1349">
        <v>1.0527659369182444E-3</v>
      </c>
    </row>
    <row r="1350" spans="1:7">
      <c r="A1350" s="61">
        <v>42179</v>
      </c>
      <c r="C1350">
        <v>-7.555636963092274E-4</v>
      </c>
      <c r="E1350" s="62">
        <v>42179</v>
      </c>
      <c r="G1350">
        <v>-5.784100582536594E-3</v>
      </c>
    </row>
    <row r="1351" spans="1:7">
      <c r="A1351" s="61">
        <v>42180</v>
      </c>
      <c r="C1351">
        <v>-1.8215979653094007E-3</v>
      </c>
      <c r="E1351" s="62">
        <v>42180</v>
      </c>
      <c r="G1351">
        <v>6.8742928752129851E-3</v>
      </c>
    </row>
    <row r="1352" spans="1:7">
      <c r="A1352" s="61">
        <v>42181</v>
      </c>
      <c r="C1352">
        <v>2.4848783959047866E-3</v>
      </c>
      <c r="E1352" s="62">
        <v>42181</v>
      </c>
      <c r="G1352">
        <v>-2.8360425327886917E-2</v>
      </c>
    </row>
    <row r="1353" spans="1:7">
      <c r="A1353" s="61">
        <v>42184</v>
      </c>
      <c r="C1353">
        <v>-1.3389662653774913E-2</v>
      </c>
      <c r="E1353" s="62">
        <v>42184</v>
      </c>
      <c r="G1353">
        <v>-2.1625083132367474E-3</v>
      </c>
    </row>
    <row r="1354" spans="1:7">
      <c r="A1354" s="61">
        <v>42185</v>
      </c>
      <c r="C1354">
        <v>7.5950982895071481E-3</v>
      </c>
      <c r="E1354" s="62">
        <v>42185</v>
      </c>
      <c r="G1354">
        <v>-1.0292810789582833E-2</v>
      </c>
    </row>
    <row r="1355" spans="1:7">
      <c r="A1355" s="61">
        <v>42186</v>
      </c>
      <c r="C1355">
        <v>9.7606200729023294E-3</v>
      </c>
      <c r="E1355" s="62">
        <v>42186</v>
      </c>
      <c r="G1355">
        <v>4.1051718390960772E-2</v>
      </c>
    </row>
    <row r="1356" spans="1:7">
      <c r="A1356" s="61">
        <v>42187</v>
      </c>
      <c r="C1356">
        <v>6.6152652949495868E-3</v>
      </c>
      <c r="E1356" s="62">
        <v>42187</v>
      </c>
      <c r="G1356">
        <v>-1.5248108588534107E-2</v>
      </c>
    </row>
    <row r="1357" spans="1:7">
      <c r="A1357" s="61">
        <v>42188</v>
      </c>
      <c r="C1357">
        <v>8.101432197243967E-4</v>
      </c>
      <c r="E1357" s="62">
        <v>42188</v>
      </c>
      <c r="G1357">
        <v>-1.9219611849108462E-2</v>
      </c>
    </row>
    <row r="1358" spans="1:7">
      <c r="A1358" s="61">
        <v>42191</v>
      </c>
      <c r="C1358">
        <v>-1.6302963403245258E-3</v>
      </c>
      <c r="E1358" s="62">
        <v>42191</v>
      </c>
      <c r="G1358">
        <v>1.251969209890085E-2</v>
      </c>
    </row>
    <row r="1359" spans="1:7">
      <c r="A1359" s="61">
        <v>42192</v>
      </c>
      <c r="C1359">
        <v>9.3781716534273116E-3</v>
      </c>
      <c r="E1359" s="62">
        <v>42192</v>
      </c>
      <c r="G1359">
        <v>-9.6774519133249939E-3</v>
      </c>
    </row>
    <row r="1360" spans="1:7">
      <c r="A1360" s="61">
        <v>42193</v>
      </c>
      <c r="C1360">
        <v>-1.2638958325141418E-2</v>
      </c>
      <c r="E1360" s="62">
        <v>42193</v>
      </c>
      <c r="G1360">
        <v>1.3572795569054386E-2</v>
      </c>
    </row>
    <row r="1361" spans="1:7">
      <c r="A1361" s="61">
        <v>42194</v>
      </c>
      <c r="C1361">
        <v>-5.3421781750118882E-3</v>
      </c>
      <c r="E1361" s="62">
        <v>42194</v>
      </c>
      <c r="G1361">
        <v>-6.962831504600202E-3</v>
      </c>
    </row>
    <row r="1362" spans="1:7">
      <c r="A1362" s="61">
        <v>42195</v>
      </c>
      <c r="C1362">
        <v>1.3727464079802327E-3</v>
      </c>
      <c r="E1362" s="62">
        <v>42195</v>
      </c>
      <c r="G1362">
        <v>1.8337858381841085E-2</v>
      </c>
    </row>
    <row r="1363" spans="1:7">
      <c r="A1363" s="61">
        <v>42198</v>
      </c>
      <c r="C1363">
        <v>7.2427344178396845E-3</v>
      </c>
      <c r="E1363" s="62">
        <v>42198</v>
      </c>
      <c r="G1363">
        <v>7.4161721158160273E-3</v>
      </c>
    </row>
    <row r="1364" spans="1:7">
      <c r="A1364" s="61">
        <v>42199</v>
      </c>
      <c r="C1364">
        <v>4.7011455143473662E-3</v>
      </c>
      <c r="E1364" s="62">
        <v>42199</v>
      </c>
      <c r="G1364">
        <v>9.9885297053069599E-3</v>
      </c>
    </row>
    <row r="1365" spans="1:7">
      <c r="A1365" s="61">
        <v>42200</v>
      </c>
      <c r="C1365">
        <v>3.2398444423122246E-3</v>
      </c>
      <c r="E1365" s="62">
        <v>42200</v>
      </c>
      <c r="G1365">
        <v>1.5617847676263516E-2</v>
      </c>
    </row>
    <row r="1366" spans="1:7">
      <c r="A1366" s="61">
        <v>42201</v>
      </c>
      <c r="C1366">
        <v>9.2324310943327458E-3</v>
      </c>
      <c r="E1366" s="62">
        <v>42201</v>
      </c>
      <c r="G1366">
        <v>-8.2009038757922745E-3</v>
      </c>
    </row>
    <row r="1367" spans="1:7">
      <c r="A1367" s="61">
        <v>42202</v>
      </c>
      <c r="C1367">
        <v>5.4408419925968052E-3</v>
      </c>
      <c r="E1367" s="62">
        <v>42202</v>
      </c>
      <c r="G1367">
        <v>5.1557634756087777E-4</v>
      </c>
    </row>
    <row r="1368" spans="1:7">
      <c r="A1368" s="61">
        <v>42205</v>
      </c>
      <c r="C1368">
        <v>2.2177866489324418E-5</v>
      </c>
      <c r="E1368" s="62">
        <v>42205</v>
      </c>
      <c r="G1368">
        <v>-1.5485908285961503E-3</v>
      </c>
    </row>
    <row r="1369" spans="1:7">
      <c r="A1369" s="61">
        <v>42206</v>
      </c>
      <c r="C1369">
        <v>-6.2318422745116231E-3</v>
      </c>
      <c r="E1369" s="62">
        <v>42206</v>
      </c>
      <c r="G1369">
        <v>-3.1044469189793708E-3</v>
      </c>
    </row>
    <row r="1370" spans="1:7">
      <c r="A1370" s="61">
        <v>42207</v>
      </c>
      <c r="C1370">
        <v>-5.8580673956706093E-4</v>
      </c>
      <c r="E1370" s="62">
        <v>42207</v>
      </c>
      <c r="G1370">
        <v>2.8023371762946357E-2</v>
      </c>
    </row>
    <row r="1371" spans="1:7">
      <c r="A1371" s="61">
        <v>42208</v>
      </c>
      <c r="C1371">
        <v>5.8615011025204451E-3</v>
      </c>
      <c r="E1371" s="62">
        <v>42208</v>
      </c>
      <c r="G1371">
        <v>1.0096326263095974E-3</v>
      </c>
    </row>
    <row r="1372" spans="1:7">
      <c r="A1372" s="61">
        <v>42209</v>
      </c>
      <c r="C1372">
        <v>-6.6043233343508062E-3</v>
      </c>
      <c r="E1372" s="62">
        <v>42209</v>
      </c>
      <c r="G1372">
        <v>-1.008614296408581E-3</v>
      </c>
    </row>
    <row r="1373" spans="1:7">
      <c r="A1373" s="61">
        <v>42212</v>
      </c>
      <c r="C1373">
        <v>-1.4251794742869832E-2</v>
      </c>
      <c r="E1373" s="62">
        <v>42212</v>
      </c>
      <c r="G1373">
        <v>-1.4638952508006182E-2</v>
      </c>
    </row>
    <row r="1374" spans="1:7">
      <c r="A1374" s="61">
        <v>42213</v>
      </c>
      <c r="C1374">
        <v>-8.0875518578132841E-3</v>
      </c>
      <c r="E1374" s="62">
        <v>42213</v>
      </c>
      <c r="G1374">
        <v>-2.5102402276909134E-2</v>
      </c>
    </row>
    <row r="1375" spans="1:7">
      <c r="A1375" s="61">
        <v>42214</v>
      </c>
      <c r="C1375">
        <v>2.0340881171544583E-3</v>
      </c>
      <c r="E1375" s="62">
        <v>42214</v>
      </c>
      <c r="G1375">
        <v>-1.2086697227436707E-2</v>
      </c>
    </row>
    <row r="1376" spans="1:7">
      <c r="A1376" s="61">
        <v>42215</v>
      </c>
      <c r="C1376">
        <v>6.4377070586691112E-3</v>
      </c>
      <c r="E1376" s="62">
        <v>42215</v>
      </c>
      <c r="G1376">
        <v>4.2548743476990549E-3</v>
      </c>
    </row>
    <row r="1377" spans="1:7">
      <c r="A1377" s="61">
        <v>42216</v>
      </c>
      <c r="C1377">
        <v>8.7647732037031151E-3</v>
      </c>
      <c r="E1377" s="62">
        <v>42216</v>
      </c>
      <c r="G1377">
        <v>2.6486337167616783E-3</v>
      </c>
    </row>
    <row r="1378" spans="1:7">
      <c r="A1378" s="61">
        <v>42219</v>
      </c>
      <c r="C1378">
        <v>5.1165690343668614E-3</v>
      </c>
      <c r="E1378" s="62">
        <v>42219</v>
      </c>
      <c r="G1378">
        <v>-1.5847719668786741E-2</v>
      </c>
    </row>
    <row r="1379" spans="1:7">
      <c r="A1379" s="61">
        <v>42220</v>
      </c>
      <c r="C1379">
        <v>3.5818059901653186E-3</v>
      </c>
      <c r="E1379" s="62">
        <v>42220</v>
      </c>
      <c r="G1379">
        <v>1.3418739096326002E-2</v>
      </c>
    </row>
    <row r="1380" spans="1:7">
      <c r="A1380" s="61">
        <v>42221</v>
      </c>
      <c r="C1380">
        <v>4.2204664784718862E-3</v>
      </c>
      <c r="E1380" s="62">
        <v>42221</v>
      </c>
      <c r="G1380">
        <v>-3.1773088376631266E-3</v>
      </c>
    </row>
    <row r="1381" spans="1:7">
      <c r="A1381" s="61">
        <v>42222</v>
      </c>
      <c r="C1381">
        <v>3.4264993706995088E-3</v>
      </c>
      <c r="E1381" s="62">
        <v>42222</v>
      </c>
      <c r="G1381">
        <v>-1.8597417930545392E-2</v>
      </c>
    </row>
    <row r="1382" spans="1:7">
      <c r="A1382" s="61">
        <v>42223</v>
      </c>
      <c r="C1382">
        <v>-1.5858368742989843E-3</v>
      </c>
      <c r="E1382" s="62">
        <v>42223</v>
      </c>
      <c r="G1382">
        <v>1.5159444862252505E-2</v>
      </c>
    </row>
    <row r="1383" spans="1:7">
      <c r="A1383" s="61">
        <v>42226</v>
      </c>
      <c r="C1383">
        <v>-2.2303392550777172E-3</v>
      </c>
      <c r="E1383" s="62">
        <v>42226</v>
      </c>
      <c r="G1383">
        <v>-2.1332884852329068E-2</v>
      </c>
    </row>
    <row r="1384" spans="1:7">
      <c r="A1384" s="61">
        <v>42227</v>
      </c>
      <c r="C1384">
        <v>-5.2083622224562958E-3</v>
      </c>
      <c r="E1384" s="62">
        <v>42227</v>
      </c>
      <c r="G1384">
        <v>2.7240476025718252E-3</v>
      </c>
    </row>
    <row r="1385" spans="1:7">
      <c r="A1385" s="61">
        <v>42228</v>
      </c>
      <c r="C1385">
        <v>-1.4240471039543312E-2</v>
      </c>
      <c r="E1385" s="62">
        <v>42228</v>
      </c>
      <c r="G1385">
        <v>7.6096381014874176E-3</v>
      </c>
    </row>
    <row r="1386" spans="1:7">
      <c r="A1386" s="61">
        <v>42229</v>
      </c>
      <c r="C1386">
        <v>-4.8304806724210917E-3</v>
      </c>
      <c r="E1386" s="62">
        <v>42229</v>
      </c>
      <c r="G1386">
        <v>1.0778130208823917E-3</v>
      </c>
    </row>
    <row r="1387" spans="1:7">
      <c r="A1387" s="61">
        <v>42230</v>
      </c>
      <c r="C1387">
        <v>1.0230760486529499E-2</v>
      </c>
      <c r="E1387" s="62">
        <v>42230</v>
      </c>
      <c r="G1387">
        <v>-4.8485840763394291E-3</v>
      </c>
    </row>
    <row r="1388" spans="1:7">
      <c r="A1388" s="61">
        <v>42233</v>
      </c>
      <c r="C1388">
        <v>6.5545178350399462E-3</v>
      </c>
      <c r="E1388" s="62">
        <v>42233</v>
      </c>
      <c r="G1388">
        <v>-4.8722893525622261E-3</v>
      </c>
    </row>
    <row r="1389" spans="1:7">
      <c r="A1389" s="61">
        <v>42234</v>
      </c>
      <c r="C1389">
        <v>-1.3414940890424834E-4</v>
      </c>
      <c r="E1389" s="62">
        <v>42234</v>
      </c>
      <c r="G1389">
        <v>-4.3531825176458486E-3</v>
      </c>
    </row>
    <row r="1390" spans="1:7">
      <c r="A1390" s="61">
        <v>42235</v>
      </c>
      <c r="C1390">
        <v>-5.7021148137572416E-4</v>
      </c>
      <c r="E1390" s="62">
        <v>42235</v>
      </c>
      <c r="G1390">
        <v>1.530035530884729E-2</v>
      </c>
    </row>
    <row r="1391" spans="1:7">
      <c r="A1391" s="61">
        <v>42236</v>
      </c>
      <c r="C1391">
        <v>-7.4505394928937041E-3</v>
      </c>
      <c r="E1391" s="62">
        <v>42236</v>
      </c>
      <c r="G1391">
        <v>9.6878801511631456E-3</v>
      </c>
    </row>
    <row r="1392" spans="1:7">
      <c r="A1392" s="61">
        <v>42237</v>
      </c>
      <c r="C1392">
        <v>-1.4719888191967017E-2</v>
      </c>
      <c r="E1392" s="62">
        <v>42237</v>
      </c>
      <c r="G1392">
        <v>-2.558624553889435E-2</v>
      </c>
    </row>
    <row r="1393" spans="1:7">
      <c r="A1393" s="61">
        <v>42240</v>
      </c>
      <c r="C1393">
        <v>-4.7587725569822978E-2</v>
      </c>
      <c r="E1393" s="62">
        <v>42240</v>
      </c>
      <c r="G1393">
        <v>-4.4310850364590926E-2</v>
      </c>
    </row>
    <row r="1394" spans="1:7">
      <c r="A1394" s="61">
        <v>42241</v>
      </c>
      <c r="C1394">
        <v>-6.9843557637451828E-3</v>
      </c>
      <c r="E1394" s="62">
        <v>42241</v>
      </c>
      <c r="G1394">
        <v>-1.7174374053644484E-3</v>
      </c>
    </row>
    <row r="1395" spans="1:7">
      <c r="A1395" s="61">
        <v>42242</v>
      </c>
      <c r="C1395">
        <v>-5.5034109052201595E-3</v>
      </c>
      <c r="E1395" s="62">
        <v>42242</v>
      </c>
      <c r="G1395">
        <v>1.0321335506911822E-2</v>
      </c>
    </row>
    <row r="1396" spans="1:7">
      <c r="A1396" s="61">
        <v>42243</v>
      </c>
      <c r="C1396">
        <v>1.5543474294888077E-2</v>
      </c>
      <c r="E1396" s="62">
        <v>42243</v>
      </c>
      <c r="G1396">
        <v>1.1351088624943352E-3</v>
      </c>
    </row>
    <row r="1397" spans="1:7">
      <c r="A1397" s="61">
        <v>42244</v>
      </c>
      <c r="C1397">
        <v>1.1574988922022975E-2</v>
      </c>
      <c r="E1397" s="62">
        <v>42244</v>
      </c>
      <c r="G1397">
        <v>-4.5343923631988702E-3</v>
      </c>
    </row>
    <row r="1398" spans="1:7">
      <c r="A1398" s="61">
        <v>42247</v>
      </c>
      <c r="C1398">
        <v>-5.0138814072015854E-3</v>
      </c>
      <c r="E1398" s="62">
        <v>42247</v>
      </c>
      <c r="G1398">
        <v>-9.1115961015440904E-3</v>
      </c>
    </row>
    <row r="1399" spans="1:7">
      <c r="A1399" s="61">
        <v>42248</v>
      </c>
      <c r="C1399">
        <v>-1.7681635372790053E-2</v>
      </c>
      <c r="E1399" s="62">
        <v>42248</v>
      </c>
      <c r="G1399">
        <v>-2.2993299422682466E-3</v>
      </c>
    </row>
    <row r="1400" spans="1:7">
      <c r="A1400" s="61">
        <v>42249</v>
      </c>
      <c r="C1400">
        <v>-6.8377828383154584E-3</v>
      </c>
      <c r="E1400" s="62">
        <v>42249</v>
      </c>
      <c r="G1400">
        <v>4.6077256819793948E-3</v>
      </c>
    </row>
    <row r="1401" spans="1:7">
      <c r="A1401" s="61">
        <v>42250</v>
      </c>
      <c r="C1401">
        <v>1.884341669563175E-3</v>
      </c>
      <c r="E1401" s="62">
        <v>42250</v>
      </c>
      <c r="G1401">
        <v>-5.1599608704279987E-3</v>
      </c>
    </row>
    <row r="1402" spans="1:7">
      <c r="A1402" s="61">
        <v>42251</v>
      </c>
      <c r="C1402">
        <v>-8.7101015265503099E-3</v>
      </c>
      <c r="E1402" s="62">
        <v>42251</v>
      </c>
      <c r="G1402">
        <v>-2.6512793405183765E-2</v>
      </c>
    </row>
    <row r="1403" spans="1:7">
      <c r="A1403" s="61">
        <v>42254</v>
      </c>
      <c r="C1403">
        <v>-1.519700849190425E-2</v>
      </c>
      <c r="E1403" s="62">
        <v>42254</v>
      </c>
      <c r="G1403">
        <v>-8.8808097794871692E-3</v>
      </c>
    </row>
    <row r="1404" spans="1:7">
      <c r="A1404" s="61">
        <v>42255</v>
      </c>
      <c r="C1404">
        <v>-6.0479094185259875E-4</v>
      </c>
      <c r="E1404" s="62">
        <v>42255</v>
      </c>
      <c r="G1404">
        <v>1.254376674168591E-2</v>
      </c>
    </row>
    <row r="1405" spans="1:7">
      <c r="A1405" s="61">
        <v>42256</v>
      </c>
      <c r="C1405">
        <v>2.1885469370948676E-2</v>
      </c>
      <c r="E1405" s="62">
        <v>42256</v>
      </c>
      <c r="G1405">
        <v>3.0088904932986254E-2</v>
      </c>
    </row>
    <row r="1406" spans="1:7">
      <c r="A1406" s="61">
        <v>42257</v>
      </c>
      <c r="C1406">
        <v>-5.9463848544235517E-3</v>
      </c>
      <c r="E1406" s="62">
        <v>42257</v>
      </c>
      <c r="G1406">
        <v>-1.1458079549612045E-3</v>
      </c>
    </row>
    <row r="1407" spans="1:7">
      <c r="A1407" s="61">
        <v>42258</v>
      </c>
      <c r="C1407">
        <v>7.9534218138715054E-3</v>
      </c>
      <c r="E1407" s="62">
        <v>42258</v>
      </c>
      <c r="G1407">
        <v>2.3509800976587461E-2</v>
      </c>
    </row>
    <row r="1408" spans="1:7">
      <c r="A1408" s="61">
        <v>42261</v>
      </c>
      <c r="C1408">
        <v>4.7343984206486027E-3</v>
      </c>
      <c r="E1408" s="62">
        <v>42261</v>
      </c>
      <c r="G1408">
        <v>8.403369490149722E-3</v>
      </c>
    </row>
    <row r="1409" spans="1:7">
      <c r="A1409" s="61">
        <v>42262</v>
      </c>
      <c r="C1409">
        <v>8.7934746353740263E-4</v>
      </c>
      <c r="E1409" s="62">
        <v>42262</v>
      </c>
      <c r="G1409">
        <v>-2.1111491071909166E-2</v>
      </c>
    </row>
    <row r="1410" spans="1:7">
      <c r="A1410" s="61">
        <v>42263</v>
      </c>
      <c r="C1410">
        <v>3.1568104701889571E-3</v>
      </c>
      <c r="E1410" s="62">
        <v>42263</v>
      </c>
      <c r="G1410">
        <v>1.1918612369277886E-2</v>
      </c>
    </row>
    <row r="1411" spans="1:7">
      <c r="A1411" s="61">
        <v>42265</v>
      </c>
      <c r="C1411">
        <v>8.1540942613296617E-3</v>
      </c>
      <c r="E1411" s="62">
        <v>42265</v>
      </c>
      <c r="G1411">
        <v>-8.9736352996864482E-3</v>
      </c>
    </row>
    <row r="1412" spans="1:7">
      <c r="A1412" s="61">
        <v>42268</v>
      </c>
      <c r="C1412">
        <v>-3.0375469561620921E-3</v>
      </c>
      <c r="E1412" s="62">
        <v>42268</v>
      </c>
      <c r="G1412">
        <v>-9.6209796024230194E-3</v>
      </c>
    </row>
    <row r="1413" spans="1:7">
      <c r="A1413" s="61">
        <v>42269</v>
      </c>
      <c r="C1413">
        <v>-2.2715800100960859E-3</v>
      </c>
      <c r="E1413" s="62">
        <v>42269</v>
      </c>
      <c r="G1413">
        <v>4.5142754874458645E-2</v>
      </c>
    </row>
    <row r="1414" spans="1:7">
      <c r="A1414" s="61">
        <v>42270</v>
      </c>
      <c r="C1414">
        <v>-1.4991627817329685E-2</v>
      </c>
      <c r="E1414" s="62">
        <v>42270</v>
      </c>
      <c r="G1414">
        <v>-5.467057650659011E-3</v>
      </c>
    </row>
    <row r="1415" spans="1:7">
      <c r="A1415" s="61">
        <v>42271</v>
      </c>
      <c r="C1415">
        <v>7.9064676495226929E-3</v>
      </c>
      <c r="E1415" s="62">
        <v>42271</v>
      </c>
      <c r="G1415">
        <v>-9.8955863347111525E-3</v>
      </c>
    </row>
    <row r="1416" spans="1:7">
      <c r="A1416" s="61">
        <v>42275</v>
      </c>
      <c r="C1416">
        <v>-9.3429594127291478E-4</v>
      </c>
      <c r="E1416" s="62">
        <v>42275</v>
      </c>
      <c r="G1416">
        <v>-1.0549889744596187E-2</v>
      </c>
    </row>
    <row r="1417" spans="1:7">
      <c r="A1417" s="61">
        <v>42276</v>
      </c>
      <c r="C1417">
        <v>-7.7667662561634867E-3</v>
      </c>
      <c r="E1417" s="62">
        <v>42276</v>
      </c>
      <c r="G1417">
        <v>-2.0202178105584619E-2</v>
      </c>
    </row>
    <row r="1418" spans="1:7">
      <c r="A1418" s="61">
        <v>42277</v>
      </c>
      <c r="C1418">
        <v>1.9461801624264828E-2</v>
      </c>
      <c r="E1418" s="62">
        <v>42277</v>
      </c>
      <c r="G1418">
        <v>-1.4317935638540549E-2</v>
      </c>
    </row>
    <row r="1419" spans="1:7">
      <c r="A1419" s="61">
        <v>42278</v>
      </c>
      <c r="C1419">
        <v>5.919184521272357E-3</v>
      </c>
      <c r="E1419" s="62">
        <v>42278</v>
      </c>
      <c r="G1419">
        <v>-1.7433950373225285E-3</v>
      </c>
    </row>
    <row r="1420" spans="1:7">
      <c r="A1420" s="61">
        <v>42282</v>
      </c>
      <c r="C1420">
        <v>1.1643381892183967E-2</v>
      </c>
      <c r="E1420" s="62">
        <v>42282</v>
      </c>
      <c r="G1420">
        <v>2.7357289266037518E-2</v>
      </c>
    </row>
    <row r="1421" spans="1:7">
      <c r="A1421" s="61">
        <v>42283</v>
      </c>
      <c r="C1421">
        <v>1.2659721320952754E-2</v>
      </c>
      <c r="E1421" s="62">
        <v>42283</v>
      </c>
      <c r="G1421">
        <v>2.2663828451610817E-3</v>
      </c>
    </row>
    <row r="1422" spans="1:7">
      <c r="A1422" s="61">
        <v>42284</v>
      </c>
      <c r="C1422">
        <v>-4.6021204706987387E-4</v>
      </c>
      <c r="E1422" s="62">
        <v>42284</v>
      </c>
      <c r="G1422">
        <v>3.1655716505308927E-2</v>
      </c>
    </row>
    <row r="1423" spans="1:7">
      <c r="A1423" s="61">
        <v>42285</v>
      </c>
      <c r="C1423">
        <v>-9.091915771558941E-4</v>
      </c>
      <c r="E1423" s="62">
        <v>42285</v>
      </c>
      <c r="G1423">
        <v>-3.1232206411282153E-2</v>
      </c>
    </row>
    <row r="1424" spans="1:7">
      <c r="A1424" s="61">
        <v>42286</v>
      </c>
      <c r="C1424">
        <v>1.8433717369111008E-3</v>
      </c>
      <c r="E1424" s="62">
        <v>42286</v>
      </c>
      <c r="G1424">
        <v>2.2623752047744878E-2</v>
      </c>
    </row>
    <row r="1425" spans="1:7">
      <c r="A1425" s="61">
        <v>42289</v>
      </c>
      <c r="C1425">
        <v>-4.134132210711796E-4</v>
      </c>
      <c r="E1425" s="62">
        <v>42289</v>
      </c>
      <c r="G1425">
        <v>-3.0972798631991445E-2</v>
      </c>
    </row>
    <row r="1426" spans="1:7">
      <c r="A1426" s="61">
        <v>42290</v>
      </c>
      <c r="C1426">
        <v>-5.8659055163975699E-3</v>
      </c>
      <c r="E1426" s="62">
        <v>42290</v>
      </c>
      <c r="G1426">
        <v>-7.4200514290129159E-3</v>
      </c>
    </row>
    <row r="1427" spans="1:7">
      <c r="A1427" s="61">
        <v>42291</v>
      </c>
      <c r="C1427">
        <v>-2.226610337331679E-3</v>
      </c>
      <c r="E1427" s="62">
        <v>42291</v>
      </c>
      <c r="G1427">
        <v>1.2075096923592899E-2</v>
      </c>
    </row>
    <row r="1428" spans="1:7">
      <c r="A1428" s="61">
        <v>42292</v>
      </c>
      <c r="C1428">
        <v>5.8021059060504735E-3</v>
      </c>
      <c r="E1428" s="62">
        <v>42292</v>
      </c>
      <c r="G1428">
        <v>-2.8400329263863935E-3</v>
      </c>
    </row>
    <row r="1429" spans="1:7">
      <c r="A1429" s="61">
        <v>42293</v>
      </c>
      <c r="C1429">
        <v>5.978828873539681E-3</v>
      </c>
      <c r="E1429" s="62">
        <v>42293</v>
      </c>
      <c r="G1429">
        <v>-5.6987943807206513E-3</v>
      </c>
    </row>
    <row r="1430" spans="1:7">
      <c r="A1430" s="61">
        <v>42296</v>
      </c>
      <c r="C1430">
        <v>5.8852549406541955E-3</v>
      </c>
      <c r="E1430" s="62">
        <v>42296</v>
      </c>
      <c r="G1430">
        <v>8.0228620209893964E-3</v>
      </c>
    </row>
    <row r="1431" spans="1:7">
      <c r="A1431" s="61">
        <v>42297</v>
      </c>
      <c r="C1431">
        <v>1.4194300353702659E-3</v>
      </c>
      <c r="E1431" s="62">
        <v>42297</v>
      </c>
      <c r="G1431">
        <v>2.2172077343261831E-2</v>
      </c>
    </row>
    <row r="1432" spans="1:7">
      <c r="A1432" s="61">
        <v>42298</v>
      </c>
      <c r="C1432">
        <v>-1.8437959148396761E-3</v>
      </c>
      <c r="E1432" s="62">
        <v>42298</v>
      </c>
      <c r="G1432">
        <v>7.2300511127607161E-3</v>
      </c>
    </row>
    <row r="1433" spans="1:7">
      <c r="A1433" s="61">
        <v>42300</v>
      </c>
      <c r="C1433">
        <v>4.1100239558980994E-3</v>
      </c>
      <c r="E1433" s="62">
        <v>42300</v>
      </c>
      <c r="G1433">
        <v>7.1780452179958402E-3</v>
      </c>
    </row>
    <row r="1434" spans="1:7">
      <c r="A1434" s="61">
        <v>42303</v>
      </c>
      <c r="C1434">
        <v>-2.0293537686766239E-3</v>
      </c>
      <c r="E1434" s="62">
        <v>42303</v>
      </c>
      <c r="G1434">
        <v>3.8383787695872398E-3</v>
      </c>
    </row>
    <row r="1435" spans="1:7">
      <c r="A1435" s="61">
        <v>42304</v>
      </c>
      <c r="C1435">
        <v>-6.7917093908776479E-3</v>
      </c>
      <c r="E1435" s="62">
        <v>42304</v>
      </c>
      <c r="G1435">
        <v>-4.3698269674107533E-3</v>
      </c>
    </row>
    <row r="1436" spans="1:7">
      <c r="A1436" s="61">
        <v>42305</v>
      </c>
      <c r="C1436">
        <v>-4.8951657338399479E-3</v>
      </c>
      <c r="E1436" s="62">
        <v>42305</v>
      </c>
      <c r="G1436">
        <v>3.2365061687661886E-2</v>
      </c>
    </row>
    <row r="1437" spans="1:7">
      <c r="A1437" s="61">
        <v>42306</v>
      </c>
      <c r="C1437">
        <v>-4.254798305074867E-3</v>
      </c>
      <c r="E1437" s="62">
        <v>42306</v>
      </c>
      <c r="G1437">
        <v>9.5644119752375991E-3</v>
      </c>
    </row>
    <row r="1438" spans="1:7">
      <c r="A1438" s="61">
        <v>42307</v>
      </c>
      <c r="C1438">
        <v>-5.4319513465736725E-3</v>
      </c>
      <c r="E1438" s="62">
        <v>42307</v>
      </c>
      <c r="G1438">
        <v>4.3684265519262216E-2</v>
      </c>
    </row>
    <row r="1439" spans="1:7">
      <c r="A1439" s="61">
        <v>42310</v>
      </c>
      <c r="C1439">
        <v>-4.3257431744478858E-3</v>
      </c>
      <c r="E1439" s="62">
        <v>42310</v>
      </c>
      <c r="G1439">
        <v>-2.8744853041550888E-2</v>
      </c>
    </row>
    <row r="1440" spans="1:7">
      <c r="A1440" s="61">
        <v>42311</v>
      </c>
      <c r="C1440">
        <v>2.9140904845781144E-3</v>
      </c>
      <c r="E1440" s="62">
        <v>42311</v>
      </c>
      <c r="G1440">
        <v>5.1918748920977756E-4</v>
      </c>
    </row>
    <row r="1441" spans="1:7">
      <c r="A1441" s="61">
        <v>42312</v>
      </c>
      <c r="C1441">
        <v>2.3575036393962435E-4</v>
      </c>
      <c r="E1441" s="62">
        <v>42312</v>
      </c>
      <c r="G1441">
        <v>1.2455268373150079E-2</v>
      </c>
    </row>
    <row r="1442" spans="1:7">
      <c r="A1442" s="61">
        <v>42313</v>
      </c>
      <c r="C1442">
        <v>-9.9698899894524878E-3</v>
      </c>
      <c r="E1442" s="62">
        <v>42313</v>
      </c>
      <c r="G1442">
        <v>-2.6653214737779506E-2</v>
      </c>
    </row>
    <row r="1443" spans="1:7">
      <c r="A1443" s="61">
        <v>42314</v>
      </c>
      <c r="C1443">
        <v>-5.7374463602331552E-3</v>
      </c>
      <c r="E1443" s="62">
        <v>42314</v>
      </c>
      <c r="G1443">
        <v>-5.2683103167685446E-4</v>
      </c>
    </row>
    <row r="1444" spans="1:7">
      <c r="A1444" s="61">
        <v>42317</v>
      </c>
      <c r="C1444">
        <v>-1.1948160785370001E-2</v>
      </c>
      <c r="E1444" s="62">
        <v>42317</v>
      </c>
      <c r="G1444">
        <v>4.7944833183539259E-2</v>
      </c>
    </row>
    <row r="1445" spans="1:7">
      <c r="A1445" s="61">
        <v>42318</v>
      </c>
      <c r="C1445">
        <v>-1.1147529065365386E-3</v>
      </c>
      <c r="E1445" s="62">
        <v>42318</v>
      </c>
      <c r="G1445">
        <v>-2.4635459059486584E-2</v>
      </c>
    </row>
    <row r="1446" spans="1:7">
      <c r="A1446" s="61">
        <v>42321</v>
      </c>
      <c r="C1446">
        <v>-8.497433193325632E-3</v>
      </c>
      <c r="E1446" s="62">
        <v>42321</v>
      </c>
      <c r="G1446">
        <v>-2.5257693944595712E-2</v>
      </c>
    </row>
    <row r="1447" spans="1:7">
      <c r="A1447" s="61">
        <v>42324</v>
      </c>
      <c r="C1447">
        <v>-6.1128804503959194E-4</v>
      </c>
      <c r="E1447" s="62">
        <v>42324</v>
      </c>
      <c r="G1447">
        <v>-1.6393543122126708E-2</v>
      </c>
    </row>
    <row r="1448" spans="1:7">
      <c r="A1448" s="61">
        <v>42325</v>
      </c>
      <c r="C1448">
        <v>8.5877337313212398E-3</v>
      </c>
      <c r="E1448" s="62">
        <v>42325</v>
      </c>
      <c r="G1448">
        <v>-6.4513361560919842E-3</v>
      </c>
    </row>
    <row r="1449" spans="1:7">
      <c r="A1449" s="61">
        <v>42326</v>
      </c>
      <c r="C1449">
        <v>-6.7680253255140337E-3</v>
      </c>
      <c r="E1449" s="62">
        <v>42326</v>
      </c>
      <c r="G1449">
        <v>7.0345146003051957E-3</v>
      </c>
    </row>
    <row r="1450" spans="1:7">
      <c r="A1450" s="61">
        <v>42327</v>
      </c>
      <c r="C1450">
        <v>5.0434432185226582E-3</v>
      </c>
      <c r="E1450" s="62">
        <v>42327</v>
      </c>
      <c r="G1450">
        <v>-1.1821989092400887E-2</v>
      </c>
    </row>
    <row r="1451" spans="1:7">
      <c r="A1451" s="61">
        <v>42328</v>
      </c>
      <c r="C1451">
        <v>5.1882407975554186E-3</v>
      </c>
      <c r="E1451" s="62">
        <v>42328</v>
      </c>
      <c r="G1451">
        <v>-1.1418506588650753E-2</v>
      </c>
    </row>
    <row r="1452" spans="1:7">
      <c r="A1452" s="61">
        <v>42331</v>
      </c>
      <c r="C1452">
        <v>2.1757918975927278E-3</v>
      </c>
      <c r="E1452" s="62">
        <v>42331</v>
      </c>
      <c r="G1452">
        <v>-1.375188349392458E-2</v>
      </c>
    </row>
    <row r="1453" spans="1:7">
      <c r="A1453" s="61">
        <v>42332</v>
      </c>
      <c r="C1453">
        <v>-2.3821441709838942E-3</v>
      </c>
      <c r="E1453" s="62">
        <v>42332</v>
      </c>
      <c r="G1453">
        <v>2.1193933969743319E-2</v>
      </c>
    </row>
    <row r="1454" spans="1:7">
      <c r="A1454" s="61">
        <v>42334</v>
      </c>
      <c r="C1454">
        <v>3.3127395388765049E-3</v>
      </c>
      <c r="E1454" s="62">
        <v>42334</v>
      </c>
      <c r="G1454">
        <v>9.284420546642011E-3</v>
      </c>
    </row>
    <row r="1455" spans="1:7">
      <c r="A1455" s="61">
        <v>42335</v>
      </c>
      <c r="C1455">
        <v>7.2181719587879082E-3</v>
      </c>
      <c r="E1455" s="62">
        <v>42335</v>
      </c>
      <c r="G1455">
        <v>8.116986187781474E-3</v>
      </c>
    </row>
    <row r="1456" spans="1:7">
      <c r="A1456" s="61">
        <v>42338</v>
      </c>
      <c r="C1456">
        <v>9.2721094946401211E-4</v>
      </c>
      <c r="E1456" s="62">
        <v>42338</v>
      </c>
      <c r="G1456">
        <v>5.903945218026947E-3</v>
      </c>
    </row>
    <row r="1457" spans="1:7">
      <c r="A1457" s="61">
        <v>42339</v>
      </c>
      <c r="C1457">
        <v>3.3767025453763076E-3</v>
      </c>
      <c r="E1457" s="62">
        <v>42339</v>
      </c>
      <c r="G1457">
        <v>3.2021880937711644E-3</v>
      </c>
    </row>
    <row r="1458" spans="1:7">
      <c r="A1458" s="61">
        <v>42340</v>
      </c>
      <c r="C1458">
        <v>6.4328600019034315E-4</v>
      </c>
      <c r="E1458" s="62">
        <v>42340</v>
      </c>
      <c r="G1458">
        <v>0.10744744398993172</v>
      </c>
    </row>
    <row r="1459" spans="1:7">
      <c r="A1459" s="61">
        <v>42341</v>
      </c>
      <c r="C1459">
        <v>-8.1192409343080474E-3</v>
      </c>
      <c r="E1459" s="62">
        <v>42341</v>
      </c>
      <c r="G1459">
        <v>5.5234336807336651E-2</v>
      </c>
    </row>
    <row r="1460" spans="1:7">
      <c r="A1460" s="61">
        <v>42342</v>
      </c>
      <c r="C1460">
        <v>-1.026213452398099E-2</v>
      </c>
      <c r="E1460" s="62">
        <v>42342</v>
      </c>
      <c r="G1460">
        <v>-2.3665849302871578E-2</v>
      </c>
    </row>
    <row r="1461" spans="1:7">
      <c r="A1461" s="61">
        <v>42345</v>
      </c>
      <c r="C1461">
        <v>-5.6390293593308572E-4</v>
      </c>
      <c r="E1461" s="62">
        <v>42345</v>
      </c>
      <c r="G1461">
        <v>-2.0515596600703619E-2</v>
      </c>
    </row>
    <row r="1462" spans="1:7">
      <c r="A1462" s="61">
        <v>42346</v>
      </c>
      <c r="C1462">
        <v>-9.1670761819826717E-3</v>
      </c>
      <c r="E1462" s="62">
        <v>42346</v>
      </c>
      <c r="G1462">
        <v>2.3325344167647328E-2</v>
      </c>
    </row>
    <row r="1463" spans="1:7">
      <c r="A1463" s="61">
        <v>42347</v>
      </c>
      <c r="C1463">
        <v>-9.8948064512177809E-3</v>
      </c>
      <c r="E1463" s="62">
        <v>42347</v>
      </c>
      <c r="G1463">
        <v>-2.3258918850921632E-2</v>
      </c>
    </row>
    <row r="1464" spans="1:7">
      <c r="A1464" s="61">
        <v>42348</v>
      </c>
      <c r="C1464">
        <v>4.2671086319276424E-4</v>
      </c>
      <c r="E1464" s="62">
        <v>42348</v>
      </c>
      <c r="G1464">
        <v>1.9528490883316596E-2</v>
      </c>
    </row>
    <row r="1465" spans="1:7">
      <c r="A1465" s="61">
        <v>42349</v>
      </c>
      <c r="C1465">
        <v>-1.0075971589469739E-3</v>
      </c>
      <c r="E1465" s="62">
        <v>42349</v>
      </c>
      <c r="G1465">
        <v>6.9970400293220113E-3</v>
      </c>
    </row>
    <row r="1466" spans="1:7">
      <c r="A1466" s="61">
        <v>42352</v>
      </c>
      <c r="C1466">
        <v>-6.3301321716746246E-3</v>
      </c>
      <c r="E1466" s="62">
        <v>42352</v>
      </c>
      <c r="G1466">
        <v>-9.2718016999010569E-3</v>
      </c>
    </row>
    <row r="1467" spans="1:7">
      <c r="A1467" s="61">
        <v>42353</v>
      </c>
      <c r="C1467">
        <v>9.6086184886508257E-3</v>
      </c>
      <c r="E1467" s="62">
        <v>42353</v>
      </c>
      <c r="G1467">
        <v>2.6687051655415982E-2</v>
      </c>
    </row>
    <row r="1468" spans="1:7">
      <c r="A1468" s="61">
        <v>42354</v>
      </c>
      <c r="C1468">
        <v>7.3522155334057497E-3</v>
      </c>
      <c r="E1468" s="62">
        <v>42354</v>
      </c>
      <c r="G1468">
        <v>-1.9606606477892891E-2</v>
      </c>
    </row>
    <row r="1469" spans="1:7">
      <c r="A1469" s="61">
        <v>42355</v>
      </c>
      <c r="C1469">
        <v>9.8640705363702268E-3</v>
      </c>
      <c r="E1469" s="62">
        <v>42355</v>
      </c>
      <c r="G1469">
        <v>3.9530029043482497E-2</v>
      </c>
    </row>
    <row r="1470" spans="1:7">
      <c r="A1470" s="61">
        <v>42356</v>
      </c>
      <c r="C1470">
        <v>-8.3065039319455357E-4</v>
      </c>
      <c r="E1470" s="62">
        <v>42356</v>
      </c>
      <c r="G1470">
        <v>-7.6014462909087576E-3</v>
      </c>
    </row>
    <row r="1471" spans="1:7">
      <c r="A1471" s="61">
        <v>42359</v>
      </c>
      <c r="C1471">
        <v>4.2477274658057933E-4</v>
      </c>
      <c r="E1471" s="62">
        <v>42359</v>
      </c>
      <c r="G1471">
        <v>2.0734296106735318E-2</v>
      </c>
    </row>
    <row r="1472" spans="1:7">
      <c r="A1472" s="61">
        <v>42360</v>
      </c>
      <c r="C1472">
        <v>2.395914208074534E-3</v>
      </c>
      <c r="E1472" s="62">
        <v>42360</v>
      </c>
      <c r="G1472">
        <v>-1.0600204046173185E-2</v>
      </c>
    </row>
    <row r="1473" spans="1:7">
      <c r="A1473" s="61">
        <v>42361</v>
      </c>
      <c r="C1473">
        <v>4.5806884950288385E-3</v>
      </c>
      <c r="E1473" s="62">
        <v>42361</v>
      </c>
      <c r="G1473">
        <v>3.2589734170251933E-2</v>
      </c>
    </row>
    <row r="1474" spans="1:7">
      <c r="A1474" s="61">
        <v>42362</v>
      </c>
      <c r="C1474">
        <v>3.5237567463377029E-3</v>
      </c>
      <c r="E1474" s="62">
        <v>42362</v>
      </c>
      <c r="G1474">
        <v>2.1619833465633093E-2</v>
      </c>
    </row>
    <row r="1475" spans="1:7">
      <c r="A1475" s="61">
        <v>42366</v>
      </c>
      <c r="C1475">
        <v>2.3949436077815535E-3</v>
      </c>
      <c r="E1475" s="62">
        <v>42366</v>
      </c>
      <c r="G1475">
        <v>-2.0737251309177026E-2</v>
      </c>
    </row>
    <row r="1476" spans="1:7">
      <c r="A1476" s="61">
        <v>42367</v>
      </c>
      <c r="C1476">
        <v>4.0958083832336204E-3</v>
      </c>
      <c r="E1476" s="62">
        <v>42367</v>
      </c>
      <c r="G1476">
        <v>-1.3400280541131302E-2</v>
      </c>
    </row>
    <row r="1477" spans="1:7">
      <c r="A1477" s="61">
        <v>42368</v>
      </c>
      <c r="C1477">
        <v>-9.3628491686770145E-4</v>
      </c>
      <c r="E1477" s="62">
        <v>42368</v>
      </c>
      <c r="G1477">
        <v>1.1831862336772733E-2</v>
      </c>
    </row>
    <row r="1478" spans="1:7">
      <c r="A1478" s="61">
        <v>42369</v>
      </c>
      <c r="C1478">
        <v>6.8645651148791778E-4</v>
      </c>
      <c r="E1478" s="62">
        <v>42369</v>
      </c>
      <c r="G1478">
        <v>1.0823889080051243E-2</v>
      </c>
    </row>
    <row r="1479" spans="1:7">
      <c r="A1479" s="61">
        <v>42370</v>
      </c>
      <c r="C1479">
        <v>4.3843428257832979E-3</v>
      </c>
      <c r="E1479" s="62">
        <v>42370</v>
      </c>
      <c r="G1479">
        <v>3.1684749552977863E-2</v>
      </c>
    </row>
    <row r="1480" spans="1:7">
      <c r="A1480" s="61">
        <v>42373</v>
      </c>
      <c r="C1480">
        <v>-9.2946186236837584E-3</v>
      </c>
      <c r="E1480" s="62">
        <v>42373</v>
      </c>
      <c r="G1480">
        <v>-5.810559304467439E-3</v>
      </c>
    </row>
    <row r="1481" spans="1:7">
      <c r="A1481" s="61">
        <v>42374</v>
      </c>
      <c r="C1481">
        <v>-5.0056350862046125E-3</v>
      </c>
      <c r="E1481" s="62">
        <v>42374</v>
      </c>
      <c r="G1481">
        <v>-5.8444469856417632E-3</v>
      </c>
    </row>
    <row r="1482" spans="1:7">
      <c r="A1482" s="61">
        <v>42375</v>
      </c>
      <c r="C1482">
        <v>-4.0126041559976492E-3</v>
      </c>
      <c r="E1482" s="62">
        <v>42375</v>
      </c>
      <c r="G1482">
        <v>-7.5573259733556098E-3</v>
      </c>
    </row>
    <row r="1483" spans="1:7">
      <c r="A1483" s="61">
        <v>42376</v>
      </c>
      <c r="C1483">
        <v>-1.941189636503305E-2</v>
      </c>
      <c r="E1483" s="62">
        <v>42376</v>
      </c>
      <c r="G1483">
        <v>-8.5003994561691932E-4</v>
      </c>
    </row>
    <row r="1484" spans="1:7">
      <c r="A1484" s="61">
        <v>42377</v>
      </c>
      <c r="C1484">
        <v>-1.8938692921741081E-3</v>
      </c>
      <c r="E1484" s="62">
        <v>42377</v>
      </c>
      <c r="G1484">
        <v>8.0466974346751364E-3</v>
      </c>
    </row>
    <row r="1485" spans="1:7">
      <c r="A1485" s="61">
        <v>42380</v>
      </c>
      <c r="C1485">
        <v>-7.5033221051331285E-3</v>
      </c>
      <c r="E1485" s="62">
        <v>42380</v>
      </c>
      <c r="G1485">
        <v>3.2351936663064587E-2</v>
      </c>
    </row>
    <row r="1486" spans="1:7">
      <c r="A1486" s="61">
        <v>42381</v>
      </c>
      <c r="C1486">
        <v>-5.8537435935744695E-4</v>
      </c>
      <c r="E1486" s="62">
        <v>42381</v>
      </c>
      <c r="G1486">
        <v>-1.5055945807679475E-2</v>
      </c>
    </row>
    <row r="1487" spans="1:7">
      <c r="A1487" s="61">
        <v>42382</v>
      </c>
      <c r="C1487">
        <v>-3.1155171446908471E-5</v>
      </c>
      <c r="E1487" s="62">
        <v>42382</v>
      </c>
      <c r="G1487">
        <v>-1.1983179989649031E-2</v>
      </c>
    </row>
    <row r="1488" spans="1:7">
      <c r="A1488" s="61">
        <v>42383</v>
      </c>
      <c r="C1488">
        <v>-1.0418613925549328E-2</v>
      </c>
      <c r="E1488" s="62">
        <v>42383</v>
      </c>
      <c r="G1488">
        <v>-2.1745793535435771E-2</v>
      </c>
    </row>
    <row r="1489" spans="1:7">
      <c r="A1489" s="61">
        <v>42384</v>
      </c>
      <c r="C1489">
        <v>-3.0854480196461178E-3</v>
      </c>
      <c r="E1489" s="62">
        <v>42384</v>
      </c>
      <c r="G1489">
        <v>-3.2918876444475637E-2</v>
      </c>
    </row>
    <row r="1490" spans="1:7">
      <c r="A1490" s="61">
        <v>42387</v>
      </c>
      <c r="C1490">
        <v>-1.9378473976755892E-2</v>
      </c>
      <c r="E1490" s="62">
        <v>42387</v>
      </c>
      <c r="G1490">
        <v>-4.5092968709154579E-2</v>
      </c>
    </row>
    <row r="1491" spans="1:7">
      <c r="A1491" s="61">
        <v>42388</v>
      </c>
      <c r="C1491">
        <v>1.2882281709736428E-3</v>
      </c>
      <c r="E1491" s="62">
        <v>42388</v>
      </c>
      <c r="G1491">
        <v>-6.0251168661198014E-3</v>
      </c>
    </row>
    <row r="1492" spans="1:7">
      <c r="A1492" s="61">
        <v>42389</v>
      </c>
      <c r="C1492">
        <v>-9.8165350075909083E-3</v>
      </c>
      <c r="E1492" s="62">
        <v>42389</v>
      </c>
      <c r="G1492">
        <v>2.0026547788578288E-2</v>
      </c>
    </row>
    <row r="1493" spans="1:7">
      <c r="A1493" s="61">
        <v>42390</v>
      </c>
      <c r="C1493">
        <v>-1.266842508737847E-3</v>
      </c>
      <c r="E1493" s="62">
        <v>42390</v>
      </c>
      <c r="G1493">
        <v>-1.9174801334803711E-2</v>
      </c>
    </row>
    <row r="1494" spans="1:7">
      <c r="A1494" s="61">
        <v>42391</v>
      </c>
      <c r="C1494">
        <v>8.5994366783536773E-3</v>
      </c>
      <c r="E1494" s="62">
        <v>42391</v>
      </c>
      <c r="G1494">
        <v>2.0952633079542805E-2</v>
      </c>
    </row>
    <row r="1495" spans="1:7">
      <c r="A1495" s="61">
        <v>42394</v>
      </c>
      <c r="C1495">
        <v>9.2355517145750639E-3</v>
      </c>
      <c r="E1495" s="62">
        <v>42394</v>
      </c>
      <c r="G1495">
        <v>1.8242063774705358E-2</v>
      </c>
    </row>
    <row r="1496" spans="1:7">
      <c r="A1496" s="61">
        <v>42396</v>
      </c>
      <c r="C1496">
        <v>5.1123110841294693E-4</v>
      </c>
      <c r="E1496" s="62">
        <v>42396</v>
      </c>
      <c r="G1496">
        <v>-1.1197035292874183E-2</v>
      </c>
    </row>
    <row r="1497" spans="1:7">
      <c r="A1497" s="61">
        <v>42397</v>
      </c>
      <c r="C1497">
        <v>-3.6534346756938478E-3</v>
      </c>
      <c r="E1497" s="62">
        <v>42397</v>
      </c>
      <c r="G1497">
        <v>1.0414117024767428E-2</v>
      </c>
    </row>
    <row r="1498" spans="1:7">
      <c r="A1498" s="61">
        <v>42398</v>
      </c>
      <c r="C1498">
        <v>8.3785810901771708E-3</v>
      </c>
      <c r="E1498" s="62">
        <v>42398</v>
      </c>
      <c r="G1498">
        <v>3.5824278017733582E-3</v>
      </c>
    </row>
    <row r="1499" spans="1:7">
      <c r="A1499" s="61">
        <v>42401</v>
      </c>
      <c r="C1499">
        <v>1.147488874761602E-2</v>
      </c>
      <c r="E1499" s="62">
        <v>42401</v>
      </c>
      <c r="G1499">
        <v>-1.6073198360749819E-2</v>
      </c>
    </row>
    <row r="1500" spans="1:7">
      <c r="A1500" s="61">
        <v>42402</v>
      </c>
      <c r="C1500">
        <v>-8.40954086923725E-3</v>
      </c>
      <c r="E1500" s="62">
        <v>42402</v>
      </c>
      <c r="G1500">
        <v>7.7120684822900645E-3</v>
      </c>
    </row>
    <row r="1501" spans="1:7">
      <c r="A1501" s="61">
        <v>42403</v>
      </c>
      <c r="C1501">
        <v>-1.8850583455348801E-2</v>
      </c>
      <c r="E1501" s="62">
        <v>42403</v>
      </c>
      <c r="G1501">
        <v>-9.0103627676968463E-3</v>
      </c>
    </row>
    <row r="1502" spans="1:7">
      <c r="A1502" s="61">
        <v>42404</v>
      </c>
      <c r="C1502">
        <v>3.6564960947846714E-3</v>
      </c>
      <c r="E1502" s="62">
        <v>42404</v>
      </c>
      <c r="G1502">
        <v>1.5454857794647434E-2</v>
      </c>
    </row>
    <row r="1503" spans="1:7">
      <c r="A1503" s="61">
        <v>42405</v>
      </c>
      <c r="C1503">
        <v>6.4367046646799878E-3</v>
      </c>
      <c r="E1503" s="62">
        <v>42405</v>
      </c>
      <c r="G1503">
        <v>2.6880268222379696E-3</v>
      </c>
    </row>
    <row r="1504" spans="1:7">
      <c r="A1504" s="61">
        <v>42408</v>
      </c>
      <c r="C1504">
        <v>7.3548692432159315E-4</v>
      </c>
      <c r="E1504" s="62">
        <v>42408</v>
      </c>
      <c r="G1504">
        <v>2.2772748709100257E-2</v>
      </c>
    </row>
    <row r="1505" spans="1:7">
      <c r="A1505" s="61">
        <v>42409</v>
      </c>
      <c r="C1505">
        <v>-1.8054117616984406E-2</v>
      </c>
      <c r="E1505" s="62">
        <v>42409</v>
      </c>
      <c r="G1505">
        <v>-3.0119940865046976E-2</v>
      </c>
    </row>
    <row r="1506" spans="1:7">
      <c r="A1506" s="61">
        <v>42410</v>
      </c>
      <c r="C1506">
        <v>-9.6258355082037405E-3</v>
      </c>
      <c r="E1506" s="62">
        <v>42410</v>
      </c>
      <c r="G1506">
        <v>-9.0391280800491026E-4</v>
      </c>
    </row>
    <row r="1507" spans="1:7">
      <c r="A1507" s="61">
        <v>42411</v>
      </c>
      <c r="C1507">
        <v>-2.1548268384044257E-2</v>
      </c>
      <c r="E1507" s="62">
        <v>42411</v>
      </c>
      <c r="G1507">
        <v>-3.5578909801617473E-2</v>
      </c>
    </row>
    <row r="1508" spans="1:7">
      <c r="A1508" s="61">
        <v>42412</v>
      </c>
      <c r="C1508">
        <v>-1.3546822843556624E-2</v>
      </c>
      <c r="E1508" s="62">
        <v>42412</v>
      </c>
      <c r="G1508">
        <v>-3.8770834680455904E-2</v>
      </c>
    </row>
    <row r="1509" spans="1:7">
      <c r="A1509" s="61">
        <v>42415</v>
      </c>
      <c r="C1509">
        <v>1.6531176382477572E-2</v>
      </c>
      <c r="E1509" s="62">
        <v>42415</v>
      </c>
      <c r="G1509">
        <v>1.6034945591593477E-2</v>
      </c>
    </row>
    <row r="1510" spans="1:7">
      <c r="A1510" s="61">
        <v>42416</v>
      </c>
      <c r="C1510">
        <v>1.1453296004071307E-3</v>
      </c>
      <c r="E1510" s="62">
        <v>42416</v>
      </c>
      <c r="G1510">
        <v>-1.5303582659883278E-2</v>
      </c>
    </row>
    <row r="1511" spans="1:7">
      <c r="A1511" s="61">
        <v>42417</v>
      </c>
      <c r="C1511">
        <v>-7.2521458724986885E-3</v>
      </c>
      <c r="E1511" s="62">
        <v>42417</v>
      </c>
      <c r="G1511">
        <v>-1.3112769288571285E-2</v>
      </c>
    </row>
    <row r="1512" spans="1:7">
      <c r="A1512" s="61">
        <v>42418</v>
      </c>
      <c r="C1512">
        <v>1.3120918666478023E-2</v>
      </c>
      <c r="E1512" s="62">
        <v>42418</v>
      </c>
      <c r="G1512">
        <v>-9.84291226795137E-3</v>
      </c>
    </row>
    <row r="1513" spans="1:7">
      <c r="A1513" s="61">
        <v>42419</v>
      </c>
      <c r="C1513">
        <v>5.9865900383117561E-5</v>
      </c>
      <c r="E1513" s="62">
        <v>42419</v>
      </c>
      <c r="G1513">
        <v>8.4495246799725175E-3</v>
      </c>
    </row>
    <row r="1514" spans="1:7">
      <c r="A1514" s="61">
        <v>42422</v>
      </c>
      <c r="C1514">
        <v>4.988526389304599E-3</v>
      </c>
      <c r="E1514" s="62">
        <v>42422</v>
      </c>
      <c r="G1514">
        <v>-1.4292639609746329E-2</v>
      </c>
    </row>
    <row r="1515" spans="1:7">
      <c r="A1515" s="61">
        <v>42423</v>
      </c>
      <c r="C1515">
        <v>-5.9631357755055006E-3</v>
      </c>
      <c r="E1515" s="62">
        <v>42423</v>
      </c>
      <c r="G1515">
        <v>-5.0006377051291023E-4</v>
      </c>
    </row>
    <row r="1516" spans="1:7">
      <c r="A1516" s="61">
        <v>42424</v>
      </c>
      <c r="C1516">
        <v>-1.7091228677576929E-2</v>
      </c>
      <c r="E1516" s="62">
        <v>42424</v>
      </c>
      <c r="G1516">
        <v>0</v>
      </c>
    </row>
    <row r="1517" spans="1:7">
      <c r="A1517" s="61">
        <v>42425</v>
      </c>
      <c r="C1517">
        <v>-6.8280192647685901E-3</v>
      </c>
      <c r="E1517" s="62">
        <v>42425</v>
      </c>
      <c r="G1517">
        <v>-6.5041247500538905E-3</v>
      </c>
    </row>
    <row r="1518" spans="1:7">
      <c r="A1518" s="61">
        <v>42426</v>
      </c>
      <c r="C1518">
        <v>3.880806716728242E-3</v>
      </c>
      <c r="E1518" s="62">
        <v>42426</v>
      </c>
      <c r="G1518">
        <v>-5.0358936746669101E-4</v>
      </c>
    </row>
    <row r="1519" spans="1:7">
      <c r="A1519" s="61">
        <v>42429</v>
      </c>
      <c r="C1519">
        <v>-1.7664483517678073E-3</v>
      </c>
      <c r="E1519" s="62">
        <v>42429</v>
      </c>
      <c r="G1519">
        <v>-1.1082412570114946E-2</v>
      </c>
    </row>
    <row r="1520" spans="1:7">
      <c r="A1520" s="61">
        <v>42430</v>
      </c>
      <c r="C1520">
        <v>1.6028258738974191E-2</v>
      </c>
      <c r="E1520" s="62">
        <v>42430</v>
      </c>
      <c r="G1520">
        <v>1.9357393652749764E-2</v>
      </c>
    </row>
    <row r="1521" spans="1:7">
      <c r="A1521" s="61">
        <v>42431</v>
      </c>
      <c r="C1521">
        <v>2.9527809596538192E-2</v>
      </c>
      <c r="E1521" s="62">
        <v>42431</v>
      </c>
      <c r="G1521">
        <v>-4.9874430854792611E-4</v>
      </c>
    </row>
    <row r="1522" spans="1:7">
      <c r="A1522" s="61">
        <v>42432</v>
      </c>
      <c r="C1522">
        <v>1.3891509587418912E-2</v>
      </c>
      <c r="E1522" s="62">
        <v>42432</v>
      </c>
      <c r="G1522">
        <v>4.9899317855573507E-4</v>
      </c>
    </row>
    <row r="1523" spans="1:7">
      <c r="A1523" s="61">
        <v>42433</v>
      </c>
      <c r="C1523">
        <v>6.199222209387417E-3</v>
      </c>
      <c r="E1523" s="62">
        <v>42433</v>
      </c>
      <c r="G1523">
        <v>-2.9977188633143396E-3</v>
      </c>
    </row>
    <row r="1524" spans="1:7">
      <c r="A1524" s="61">
        <v>42437</v>
      </c>
      <c r="C1524">
        <v>-1.1480177560074955E-4</v>
      </c>
      <c r="E1524" s="62">
        <v>42437</v>
      </c>
      <c r="G1524">
        <v>-1.7042789158682792E-2</v>
      </c>
    </row>
    <row r="1525" spans="1:7">
      <c r="A1525" s="61">
        <v>42438</v>
      </c>
      <c r="C1525">
        <v>-3.12551826195763E-4</v>
      </c>
      <c r="E1525" s="62">
        <v>42438</v>
      </c>
      <c r="G1525">
        <v>7.139080373933091E-3</v>
      </c>
    </row>
    <row r="1526" spans="1:7">
      <c r="A1526" s="61">
        <v>42439</v>
      </c>
      <c r="C1526">
        <v>3.8219811772213404E-3</v>
      </c>
      <c r="E1526" s="62">
        <v>42439</v>
      </c>
      <c r="G1526">
        <v>1.519170946280755E-3</v>
      </c>
    </row>
    <row r="1527" spans="1:7">
      <c r="A1527" s="61">
        <v>42440</v>
      </c>
      <c r="C1527">
        <v>-2.7014314408483012E-3</v>
      </c>
      <c r="E1527" s="62">
        <v>42440</v>
      </c>
      <c r="G1527">
        <v>-9.6058411428862449E-3</v>
      </c>
    </row>
    <row r="1528" spans="1:7">
      <c r="A1528" s="61">
        <v>42443</v>
      </c>
      <c r="C1528">
        <v>5.6150772152786417E-3</v>
      </c>
      <c r="E1528" s="62">
        <v>42443</v>
      </c>
      <c r="G1528">
        <v>-1.0209615461197509E-2</v>
      </c>
    </row>
    <row r="1529" spans="1:7">
      <c r="A1529" s="61">
        <v>42444</v>
      </c>
      <c r="C1529">
        <v>-5.2921789833945999E-3</v>
      </c>
      <c r="E1529" s="62">
        <v>42444</v>
      </c>
      <c r="G1529">
        <v>-3.1459227009193347E-2</v>
      </c>
    </row>
    <row r="1530" spans="1:7">
      <c r="A1530" s="61">
        <v>42445</v>
      </c>
      <c r="C1530">
        <v>-3.6254738921277924E-3</v>
      </c>
      <c r="E1530" s="62">
        <v>42445</v>
      </c>
      <c r="G1530">
        <v>-9.584878973207733E-3</v>
      </c>
    </row>
    <row r="1531" spans="1:7">
      <c r="A1531" s="61">
        <v>42446</v>
      </c>
      <c r="C1531">
        <v>6.9575893999078674E-3</v>
      </c>
      <c r="E1531" s="62">
        <v>42446</v>
      </c>
      <c r="G1531">
        <v>1.1828532964374455E-2</v>
      </c>
    </row>
    <row r="1532" spans="1:7">
      <c r="A1532" s="61">
        <v>42447</v>
      </c>
      <c r="C1532">
        <v>4.4200579180003283E-3</v>
      </c>
      <c r="E1532" s="62">
        <v>42447</v>
      </c>
      <c r="G1532">
        <v>1.5408751969041363E-2</v>
      </c>
    </row>
    <row r="1533" spans="1:7">
      <c r="A1533" s="61">
        <v>42450</v>
      </c>
      <c r="C1533">
        <v>1.2152250885179612E-2</v>
      </c>
      <c r="E1533" s="62">
        <v>42450</v>
      </c>
      <c r="G1533">
        <v>2.4071105062929768E-2</v>
      </c>
    </row>
    <row r="1534" spans="1:7">
      <c r="A1534" s="61">
        <v>42451</v>
      </c>
      <c r="C1534">
        <v>6.4342024712334923E-3</v>
      </c>
      <c r="E1534" s="62">
        <v>42451</v>
      </c>
      <c r="G1534">
        <v>-1.7373735734963123E-2</v>
      </c>
    </row>
    <row r="1535" spans="1:7">
      <c r="A1535" s="61">
        <v>42452</v>
      </c>
      <c r="C1535">
        <v>1.5330949898206779E-3</v>
      </c>
      <c r="E1535" s="62">
        <v>42452</v>
      </c>
      <c r="G1535">
        <v>2.4960986964755426E-2</v>
      </c>
    </row>
    <row r="1536" spans="1:7">
      <c r="A1536" s="61">
        <v>42457</v>
      </c>
      <c r="C1536">
        <v>-5.4908619909642704E-3</v>
      </c>
      <c r="E1536" s="62">
        <v>42457</v>
      </c>
      <c r="G1536">
        <v>-3.2978062340154442E-2</v>
      </c>
    </row>
    <row r="1537" spans="1:7">
      <c r="A1537" s="61">
        <v>42458</v>
      </c>
      <c r="C1537">
        <v>-9.8521246564841781E-3</v>
      </c>
      <c r="E1537" s="62">
        <v>42458</v>
      </c>
      <c r="G1537">
        <v>5.4040123438788418E-2</v>
      </c>
    </row>
    <row r="1538" spans="1:7">
      <c r="A1538" s="61">
        <v>42459</v>
      </c>
      <c r="C1538">
        <v>1.2058505148150853E-2</v>
      </c>
      <c r="E1538" s="62">
        <v>42459</v>
      </c>
      <c r="G1538">
        <v>1.9910961213482702E-2</v>
      </c>
    </row>
    <row r="1539" spans="1:7">
      <c r="A1539" s="61">
        <v>42460</v>
      </c>
      <c r="C1539">
        <v>6.4673399333366501E-3</v>
      </c>
      <c r="E1539" s="62">
        <v>42460</v>
      </c>
      <c r="G1539">
        <v>-3.4163245838423693E-2</v>
      </c>
    </row>
    <row r="1540" spans="1:7">
      <c r="A1540" s="61">
        <v>42461</v>
      </c>
      <c r="C1540">
        <v>-8.7736641787360538E-4</v>
      </c>
      <c r="E1540" s="62">
        <v>42461</v>
      </c>
      <c r="G1540">
        <v>1.616968462980627E-2</v>
      </c>
    </row>
    <row r="1541" spans="1:7">
      <c r="A1541" s="61">
        <v>42464</v>
      </c>
      <c r="C1541">
        <v>4.2546349547945717E-3</v>
      </c>
      <c r="E1541" s="62">
        <v>42464</v>
      </c>
      <c r="G1541">
        <v>-4.4760221075380727E-3</v>
      </c>
    </row>
    <row r="1542" spans="1:7">
      <c r="A1542" s="61">
        <v>42465</v>
      </c>
      <c r="C1542">
        <v>-9.9203172531005072E-3</v>
      </c>
      <c r="E1542" s="62">
        <v>42465</v>
      </c>
      <c r="G1542">
        <v>-4.9945448902220194E-3</v>
      </c>
    </row>
    <row r="1543" spans="1:7">
      <c r="A1543" s="61">
        <v>42466</v>
      </c>
      <c r="C1543">
        <v>-5.2057742423016681E-3</v>
      </c>
      <c r="E1543" s="62">
        <v>42466</v>
      </c>
      <c r="G1543">
        <v>2.5100499149467246E-2</v>
      </c>
    </row>
    <row r="1544" spans="1:7">
      <c r="A1544" s="61">
        <v>42467</v>
      </c>
      <c r="C1544">
        <v>-3.5136858689808264E-3</v>
      </c>
      <c r="E1544" s="62">
        <v>42467</v>
      </c>
      <c r="G1544">
        <v>-1.518111413143498E-2</v>
      </c>
    </row>
    <row r="1545" spans="1:7">
      <c r="A1545" s="61">
        <v>42468</v>
      </c>
      <c r="C1545">
        <v>-4.3479897605781803E-3</v>
      </c>
      <c r="E1545" s="62">
        <v>42468</v>
      </c>
      <c r="G1545">
        <v>1.6409790264813266E-2</v>
      </c>
    </row>
    <row r="1546" spans="1:7">
      <c r="A1546" s="61">
        <v>42471</v>
      </c>
      <c r="C1546">
        <v>9.6665847464569282E-3</v>
      </c>
      <c r="E1546" s="62">
        <v>42471</v>
      </c>
      <c r="G1546">
        <v>-4.893046111958589E-3</v>
      </c>
    </row>
    <row r="1547" spans="1:7">
      <c r="A1547" s="61">
        <v>42472</v>
      </c>
      <c r="C1547">
        <v>8.5379934467155107E-3</v>
      </c>
      <c r="E1547" s="62">
        <v>42472</v>
      </c>
      <c r="G1547">
        <v>1.9174537863835498E-2</v>
      </c>
    </row>
    <row r="1548" spans="1:7">
      <c r="A1548" s="61">
        <v>42473</v>
      </c>
      <c r="C1548">
        <v>1.5359576219266969E-2</v>
      </c>
      <c r="E1548" s="62">
        <v>42473</v>
      </c>
      <c r="G1548">
        <v>1.447156671349145E-2</v>
      </c>
    </row>
    <row r="1549" spans="1:7">
      <c r="A1549" s="61">
        <v>42478</v>
      </c>
      <c r="C1549">
        <v>1.1427700746609782E-2</v>
      </c>
      <c r="E1549" s="62">
        <v>42478</v>
      </c>
      <c r="G1549">
        <v>3.233089413291225E-2</v>
      </c>
    </row>
    <row r="1550" spans="1:7">
      <c r="A1550" s="61">
        <v>42480</v>
      </c>
      <c r="C1550">
        <v>4.0614642964749295E-3</v>
      </c>
      <c r="E1550" s="62">
        <v>42480</v>
      </c>
      <c r="G1550">
        <v>-3.1778942378447785E-2</v>
      </c>
    </row>
    <row r="1551" spans="1:7">
      <c r="A1551" s="61">
        <v>42481</v>
      </c>
      <c r="C1551">
        <v>2.5206452851912623E-4</v>
      </c>
      <c r="E1551" s="62">
        <v>42481</v>
      </c>
      <c r="G1551">
        <v>-2.2359581111806567E-2</v>
      </c>
    </row>
    <row r="1552" spans="1:7">
      <c r="A1552" s="61">
        <v>42482</v>
      </c>
      <c r="C1552">
        <v>-4.4880179520717647E-3</v>
      </c>
      <c r="E1552" s="62">
        <v>42482</v>
      </c>
      <c r="G1552">
        <v>2.2870966338763551E-2</v>
      </c>
    </row>
    <row r="1553" spans="1:7">
      <c r="A1553" s="61">
        <v>42485</v>
      </c>
      <c r="C1553">
        <v>-2.1818006485131648E-3</v>
      </c>
      <c r="E1553" s="62">
        <v>42485</v>
      </c>
      <c r="G1553">
        <v>0</v>
      </c>
    </row>
    <row r="1554" spans="1:7">
      <c r="A1554" s="61">
        <v>42486</v>
      </c>
      <c r="C1554">
        <v>2.210732320181603E-3</v>
      </c>
      <c r="E1554" s="62">
        <v>42486</v>
      </c>
      <c r="G1554">
        <v>0</v>
      </c>
    </row>
    <row r="1555" spans="1:7">
      <c r="A1555" s="61">
        <v>42487</v>
      </c>
      <c r="C1555">
        <v>7.7988452405347982E-3</v>
      </c>
      <c r="E1555" s="62">
        <v>42487</v>
      </c>
      <c r="G1555">
        <v>-4.758806943948258E-4</v>
      </c>
    </row>
    <row r="1556" spans="1:7">
      <c r="A1556" s="61">
        <v>42488</v>
      </c>
      <c r="C1556">
        <v>-6.2733231269733658E-3</v>
      </c>
      <c r="E1556" s="62">
        <v>42488</v>
      </c>
      <c r="G1556">
        <v>4.7603108748817758E-3</v>
      </c>
    </row>
    <row r="1557" spans="1:7">
      <c r="A1557" s="61">
        <v>42489</v>
      </c>
      <c r="C1557">
        <v>-7.0711994559689946E-3</v>
      </c>
      <c r="E1557" s="62">
        <v>42489</v>
      </c>
      <c r="G1557">
        <v>-3.3163770965613688E-3</v>
      </c>
    </row>
    <row r="1558" spans="1:7">
      <c r="A1558" s="61">
        <v>42492</v>
      </c>
      <c r="C1558">
        <v>-1.8910007757952341E-3</v>
      </c>
      <c r="E1558" s="62">
        <v>42492</v>
      </c>
      <c r="G1558">
        <v>-1.2832390159002574E-2</v>
      </c>
    </row>
    <row r="1559" spans="1:7">
      <c r="A1559" s="61">
        <v>42493</v>
      </c>
      <c r="C1559">
        <v>-1.9249453485545962E-3</v>
      </c>
      <c r="E1559" s="62">
        <v>42493</v>
      </c>
      <c r="G1559">
        <v>1.0109987503796044E-2</v>
      </c>
    </row>
    <row r="1560" spans="1:7">
      <c r="A1560" s="61">
        <v>42494</v>
      </c>
      <c r="C1560">
        <v>-1.032470811557361E-2</v>
      </c>
      <c r="E1560" s="62">
        <v>42494</v>
      </c>
      <c r="G1560">
        <v>1.9543025620275725E-2</v>
      </c>
    </row>
    <row r="1561" spans="1:7">
      <c r="A1561" s="61">
        <v>42495</v>
      </c>
      <c r="C1561">
        <v>6.0246148549795845E-4</v>
      </c>
      <c r="E1561" s="62">
        <v>42495</v>
      </c>
      <c r="G1561">
        <v>-1.3557631282917084E-2</v>
      </c>
    </row>
    <row r="1562" spans="1:7">
      <c r="A1562" s="61">
        <v>42496</v>
      </c>
      <c r="C1562">
        <v>-6.5739352682415812E-4</v>
      </c>
      <c r="E1562" s="62">
        <v>42496</v>
      </c>
      <c r="G1562">
        <v>-9.9528844083976026E-3</v>
      </c>
    </row>
    <row r="1563" spans="1:7">
      <c r="A1563" s="61">
        <v>42499</v>
      </c>
      <c r="C1563">
        <v>1.0568250982127901E-2</v>
      </c>
      <c r="E1563" s="62">
        <v>42499</v>
      </c>
      <c r="G1563">
        <v>4.3078601146657302E-3</v>
      </c>
    </row>
    <row r="1564" spans="1:7">
      <c r="A1564" s="61">
        <v>42500</v>
      </c>
      <c r="C1564">
        <v>7.7079378984769298E-3</v>
      </c>
      <c r="E1564" s="62">
        <v>42500</v>
      </c>
      <c r="G1564">
        <v>4.7671907899993491E-3</v>
      </c>
    </row>
    <row r="1565" spans="1:7">
      <c r="A1565" s="61">
        <v>42501</v>
      </c>
      <c r="C1565">
        <v>-6.7011585156028317E-3</v>
      </c>
      <c r="E1565" s="62">
        <v>42501</v>
      </c>
      <c r="G1565">
        <v>-1.4234035583580941E-3</v>
      </c>
    </row>
    <row r="1566" spans="1:7">
      <c r="A1566" s="61">
        <v>42502</v>
      </c>
      <c r="C1566">
        <v>8.2171965502359449E-3</v>
      </c>
      <c r="E1566" s="62">
        <v>42502</v>
      </c>
      <c r="G1566">
        <v>1.1401805974604263E-2</v>
      </c>
    </row>
    <row r="1567" spans="1:7">
      <c r="A1567" s="61">
        <v>42503</v>
      </c>
      <c r="C1567">
        <v>-3.8038400096451486E-3</v>
      </c>
      <c r="E1567" s="62">
        <v>42503</v>
      </c>
      <c r="G1567">
        <v>5.6360926859225828E-2</v>
      </c>
    </row>
    <row r="1568" spans="1:7">
      <c r="A1568" s="61">
        <v>42506</v>
      </c>
      <c r="C1568">
        <v>-5.1435971292676725E-4</v>
      </c>
      <c r="E1568" s="62">
        <v>42506</v>
      </c>
      <c r="G1568">
        <v>2.9798883554275873E-2</v>
      </c>
    </row>
    <row r="1569" spans="1:7">
      <c r="A1569" s="61">
        <v>42507</v>
      </c>
      <c r="C1569">
        <v>5.1462441499312821E-3</v>
      </c>
      <c r="E1569" s="62">
        <v>42507</v>
      </c>
      <c r="G1569">
        <v>-3.8939513048070131E-3</v>
      </c>
    </row>
    <row r="1570" spans="1:7">
      <c r="A1570" s="61">
        <v>42508</v>
      </c>
      <c r="C1570">
        <v>-3.8429336401257026E-3</v>
      </c>
      <c r="E1570" s="62">
        <v>42508</v>
      </c>
      <c r="G1570">
        <v>-7.364304613483268E-3</v>
      </c>
    </row>
    <row r="1571" spans="1:7">
      <c r="A1571" s="61">
        <v>42509</v>
      </c>
      <c r="C1571">
        <v>-3.9000852576777261E-3</v>
      </c>
      <c r="E1571" s="62">
        <v>42509</v>
      </c>
      <c r="G1571">
        <v>-1.310217267046432E-2</v>
      </c>
    </row>
    <row r="1572" spans="1:7">
      <c r="A1572" s="61">
        <v>42510</v>
      </c>
      <c r="C1572">
        <v>-7.6728826728825411E-3</v>
      </c>
      <c r="E1572" s="62">
        <v>42510</v>
      </c>
      <c r="G1572">
        <v>-1.76823452316057E-3</v>
      </c>
    </row>
    <row r="1573" spans="1:7">
      <c r="A1573" s="61">
        <v>42513</v>
      </c>
      <c r="C1573">
        <v>-5.9337378878344471E-4</v>
      </c>
      <c r="E1573" s="62">
        <v>42513</v>
      </c>
      <c r="G1573">
        <v>1.9949386208093049E-2</v>
      </c>
    </row>
    <row r="1574" spans="1:7">
      <c r="A1574" s="61">
        <v>42514</v>
      </c>
      <c r="C1574">
        <v>-4.0887528691659842E-3</v>
      </c>
      <c r="E1574" s="62">
        <v>42514</v>
      </c>
      <c r="G1574">
        <v>-8.6929064826607571E-3</v>
      </c>
    </row>
    <row r="1575" spans="1:7">
      <c r="A1575" s="61">
        <v>42515</v>
      </c>
      <c r="C1575">
        <v>1.4387825969380453E-2</v>
      </c>
      <c r="E1575" s="62">
        <v>42515</v>
      </c>
      <c r="G1575">
        <v>1.1392428503835351E-2</v>
      </c>
    </row>
    <row r="1576" spans="1:7">
      <c r="A1576" s="61">
        <v>42516</v>
      </c>
      <c r="C1576">
        <v>1.6540642722117204E-2</v>
      </c>
      <c r="E1576" s="62">
        <v>42516</v>
      </c>
      <c r="G1576">
        <v>-2.1675921715581564E-3</v>
      </c>
    </row>
    <row r="1577" spans="1:7">
      <c r="A1577" s="61">
        <v>42517</v>
      </c>
      <c r="C1577">
        <v>1.2147003778802899E-2</v>
      </c>
      <c r="E1577" s="62">
        <v>42517</v>
      </c>
      <c r="G1577">
        <v>1.0861560541593695E-2</v>
      </c>
    </row>
    <row r="1578" spans="1:7">
      <c r="A1578" s="61">
        <v>42520</v>
      </c>
      <c r="C1578">
        <v>7.2078013850285878E-3</v>
      </c>
      <c r="E1578" s="62">
        <v>42520</v>
      </c>
      <c r="G1578">
        <v>1.4611288802863512E-2</v>
      </c>
    </row>
    <row r="1579" spans="1:7">
      <c r="A1579" s="61">
        <v>42521</v>
      </c>
      <c r="C1579">
        <v>1.1517773620204098E-3</v>
      </c>
      <c r="E1579" s="62">
        <v>42521</v>
      </c>
      <c r="G1579">
        <v>-3.8106716761705625E-3</v>
      </c>
    </row>
    <row r="1580" spans="1:7">
      <c r="A1580" s="61">
        <v>42522</v>
      </c>
      <c r="C1580">
        <v>-1.05117468771352E-3</v>
      </c>
      <c r="E1580" s="62">
        <v>42522</v>
      </c>
      <c r="G1580">
        <v>1.6582066009340819E-2</v>
      </c>
    </row>
    <row r="1581" spans="1:7">
      <c r="A1581" s="61">
        <v>42523</v>
      </c>
      <c r="C1581">
        <v>9.5874474590349759E-4</v>
      </c>
      <c r="E1581" s="62">
        <v>42523</v>
      </c>
      <c r="G1581">
        <v>4.0148678560640416E-2</v>
      </c>
    </row>
    <row r="1582" spans="1:7">
      <c r="A1582" s="61">
        <v>42524</v>
      </c>
      <c r="C1582">
        <v>5.1337160745470161E-3</v>
      </c>
      <c r="E1582" s="62">
        <v>42524</v>
      </c>
      <c r="G1582">
        <v>-1.6884883106796113E-2</v>
      </c>
    </row>
    <row r="1583" spans="1:7">
      <c r="A1583" s="61">
        <v>42527</v>
      </c>
      <c r="C1583">
        <v>-2.5915165601393692E-3</v>
      </c>
      <c r="E1583" s="62">
        <v>42527</v>
      </c>
      <c r="G1583">
        <v>7.3593431026819766E-3</v>
      </c>
    </row>
    <row r="1584" spans="1:7">
      <c r="A1584" s="61">
        <v>42528</v>
      </c>
      <c r="C1584">
        <v>4.0721451291550331E-3</v>
      </c>
      <c r="E1584" s="62">
        <v>42528</v>
      </c>
      <c r="G1584">
        <v>3.2537088926947325E-3</v>
      </c>
    </row>
    <row r="1585" spans="1:7">
      <c r="A1585" s="61">
        <v>42529</v>
      </c>
      <c r="C1585">
        <v>3.8757665953014614E-3</v>
      </c>
      <c r="E1585" s="62">
        <v>42529</v>
      </c>
      <c r="G1585">
        <v>2.0635256768322448E-2</v>
      </c>
    </row>
    <row r="1586" spans="1:7">
      <c r="A1586" s="61">
        <v>42530</v>
      </c>
      <c r="C1586">
        <v>-3.3637535328079884E-3</v>
      </c>
      <c r="E1586" s="62">
        <v>42530</v>
      </c>
      <c r="G1586">
        <v>-8.3296446015559463E-3</v>
      </c>
    </row>
    <row r="1587" spans="1:7">
      <c r="A1587" s="61">
        <v>42531</v>
      </c>
      <c r="C1587">
        <v>-6.8835936186132114E-3</v>
      </c>
      <c r="E1587" s="62">
        <v>42531</v>
      </c>
      <c r="G1587">
        <v>3.6059420832311767E-3</v>
      </c>
    </row>
    <row r="1588" spans="1:7">
      <c r="A1588" s="61">
        <v>42534</v>
      </c>
      <c r="C1588">
        <v>-8.6889496181063956E-3</v>
      </c>
      <c r="E1588" s="62">
        <v>42534</v>
      </c>
      <c r="G1588">
        <v>-1.7530387287090325E-2</v>
      </c>
    </row>
    <row r="1589" spans="1:7">
      <c r="A1589" s="61">
        <v>42535</v>
      </c>
      <c r="C1589">
        <v>2.3621026837255567E-3</v>
      </c>
      <c r="E1589" s="62">
        <v>42535</v>
      </c>
      <c r="G1589">
        <v>1.0537824530383549E-2</v>
      </c>
    </row>
    <row r="1590" spans="1:7">
      <c r="A1590" s="61">
        <v>42536</v>
      </c>
      <c r="C1590">
        <v>6.2997678723592234E-3</v>
      </c>
      <c r="E1590" s="62">
        <v>42536</v>
      </c>
      <c r="G1590">
        <v>2.4080180518490812E-2</v>
      </c>
    </row>
    <row r="1591" spans="1:7">
      <c r="A1591" s="61">
        <v>42537</v>
      </c>
      <c r="C1591">
        <v>-1.1329327189802119E-3</v>
      </c>
      <c r="E1591" s="62">
        <v>42537</v>
      </c>
      <c r="G1591">
        <v>1.9595052923976747E-2</v>
      </c>
    </row>
    <row r="1592" spans="1:7">
      <c r="A1592" s="61">
        <v>42538</v>
      </c>
      <c r="C1592">
        <v>1.5668574568967612E-3</v>
      </c>
      <c r="E1592" s="62">
        <v>42538</v>
      </c>
      <c r="G1592">
        <v>2.8819482599229184E-2</v>
      </c>
    </row>
    <row r="1593" spans="1:7">
      <c r="A1593" s="61">
        <v>42541</v>
      </c>
      <c r="C1593">
        <v>-2.9186683867352364E-4</v>
      </c>
      <c r="E1593" s="62">
        <v>42541</v>
      </c>
      <c r="G1593">
        <v>-7.8472913816947792E-3</v>
      </c>
    </row>
    <row r="1594" spans="1:7">
      <c r="A1594" s="61">
        <v>42542</v>
      </c>
      <c r="C1594">
        <v>7.649143704637951E-3</v>
      </c>
      <c r="E1594" s="62">
        <v>42542</v>
      </c>
      <c r="G1594">
        <v>-2.0324385891806761E-2</v>
      </c>
    </row>
    <row r="1595" spans="1:7">
      <c r="A1595" s="61">
        <v>42543</v>
      </c>
      <c r="C1595">
        <v>-2.8220268758943909E-3</v>
      </c>
      <c r="E1595" s="62">
        <v>42543</v>
      </c>
      <c r="G1595">
        <v>6.143313333899632E-3</v>
      </c>
    </row>
    <row r="1596" spans="1:7">
      <c r="A1596" s="61">
        <v>42544</v>
      </c>
      <c r="C1596">
        <v>2.3651240092046376E-3</v>
      </c>
      <c r="E1596" s="62">
        <v>42544</v>
      </c>
      <c r="G1596">
        <v>8.0241596442708583E-3</v>
      </c>
    </row>
    <row r="1597" spans="1:7">
      <c r="A1597" s="61">
        <v>42545</v>
      </c>
      <c r="C1597">
        <v>-2.0772098254401638E-2</v>
      </c>
      <c r="E1597" s="62">
        <v>42545</v>
      </c>
      <c r="G1597">
        <v>-1.1369454381370192E-2</v>
      </c>
    </row>
    <row r="1598" spans="1:7">
      <c r="A1598" s="61">
        <v>42548</v>
      </c>
      <c r="C1598">
        <v>2.8595448409784777E-3</v>
      </c>
      <c r="E1598" s="62">
        <v>42548</v>
      </c>
      <c r="G1598">
        <v>3.0633961272187159E-3</v>
      </c>
    </row>
    <row r="1599" spans="1:7">
      <c r="A1599" s="61">
        <v>42549</v>
      </c>
      <c r="C1599">
        <v>6.9011930976262889E-3</v>
      </c>
      <c r="E1599" s="62">
        <v>42549</v>
      </c>
      <c r="G1599">
        <v>-2.2538230815096157E-2</v>
      </c>
    </row>
    <row r="1600" spans="1:7">
      <c r="A1600" s="61">
        <v>42550</v>
      </c>
      <c r="C1600">
        <v>9.4101782363977485E-3</v>
      </c>
      <c r="E1600" s="62">
        <v>42550</v>
      </c>
      <c r="G1600">
        <v>1.6416274076755191E-2</v>
      </c>
    </row>
    <row r="1601" spans="1:7">
      <c r="A1601" s="61">
        <v>42551</v>
      </c>
      <c r="C1601">
        <v>1.0681613568379256E-2</v>
      </c>
      <c r="E1601" s="62">
        <v>42551</v>
      </c>
      <c r="G1601">
        <v>-1.7309942464205027E-2</v>
      </c>
    </row>
    <row r="1602" spans="1:7">
      <c r="A1602" s="61">
        <v>42552</v>
      </c>
      <c r="C1602">
        <v>7.0113330728029232E-3</v>
      </c>
      <c r="E1602" s="62">
        <v>42552</v>
      </c>
      <c r="G1602">
        <v>1.291416836951478E-2</v>
      </c>
    </row>
    <row r="1603" spans="1:7">
      <c r="A1603" s="61">
        <v>42555</v>
      </c>
      <c r="C1603">
        <v>7.5845774551430061E-3</v>
      </c>
      <c r="E1603" s="62">
        <v>42555</v>
      </c>
      <c r="G1603">
        <v>1.2369830242140551E-2</v>
      </c>
    </row>
    <row r="1604" spans="1:7">
      <c r="A1604" s="61">
        <v>42556</v>
      </c>
      <c r="C1604">
        <v>-9.7421170979823213E-4</v>
      </c>
      <c r="E1604" s="62">
        <v>42556</v>
      </c>
      <c r="G1604">
        <v>-2.0995163313196955E-2</v>
      </c>
    </row>
    <row r="1605" spans="1:7">
      <c r="A1605" s="61">
        <v>42558</v>
      </c>
      <c r="C1605">
        <v>-1.6271593879157672E-3</v>
      </c>
      <c r="E1605" s="62">
        <v>42558</v>
      </c>
      <c r="G1605">
        <v>3.5075311489992664E-3</v>
      </c>
    </row>
    <row r="1606" spans="1:7">
      <c r="A1606" s="61">
        <v>42559</v>
      </c>
      <c r="C1606">
        <v>-4.3158767476473827E-4</v>
      </c>
      <c r="E1606" s="62">
        <v>42559</v>
      </c>
      <c r="G1606">
        <v>-2.7147744551444162E-3</v>
      </c>
    </row>
    <row r="1607" spans="1:7">
      <c r="A1607" s="61">
        <v>42562</v>
      </c>
      <c r="C1607">
        <v>1.2140803781431486E-2</v>
      </c>
      <c r="E1607" s="62">
        <v>42562</v>
      </c>
      <c r="G1607">
        <v>1.9472109421831554E-2</v>
      </c>
    </row>
    <row r="1608" spans="1:7">
      <c r="A1608" s="61">
        <v>42563</v>
      </c>
      <c r="C1608">
        <v>8.1670455502231201E-3</v>
      </c>
      <c r="E1608" s="62">
        <v>42563</v>
      </c>
      <c r="G1608">
        <v>-3.4378440048561409E-3</v>
      </c>
    </row>
    <row r="1609" spans="1:7">
      <c r="A1609" s="61">
        <v>42564</v>
      </c>
      <c r="C1609">
        <v>1.4698513445800042E-3</v>
      </c>
      <c r="E1609" s="62">
        <v>42564</v>
      </c>
      <c r="G1609">
        <v>-1.9174860753019944E-3</v>
      </c>
    </row>
    <row r="1610" spans="1:7">
      <c r="A1610" s="61">
        <v>42565</v>
      </c>
      <c r="C1610">
        <v>6.4489587155445169E-4</v>
      </c>
      <c r="E1610" s="62">
        <v>42565</v>
      </c>
      <c r="G1610">
        <v>2.1132370273152033E-2</v>
      </c>
    </row>
    <row r="1611" spans="1:7">
      <c r="A1611" s="61">
        <v>42566</v>
      </c>
      <c r="C1611">
        <v>1.8112117339851405E-3</v>
      </c>
      <c r="E1611" s="62">
        <v>42566</v>
      </c>
      <c r="G1611">
        <v>-7.903380363392401E-3</v>
      </c>
    </row>
    <row r="1612" spans="1:7">
      <c r="A1612" s="61">
        <v>42569</v>
      </c>
      <c r="C1612">
        <v>-2.6564475698217472E-3</v>
      </c>
      <c r="E1612" s="62">
        <v>42569</v>
      </c>
      <c r="G1612">
        <v>-7.2044993519540992E-3</v>
      </c>
    </row>
    <row r="1613" spans="1:7">
      <c r="A1613" s="61">
        <v>42570</v>
      </c>
      <c r="C1613">
        <v>-2.0907822083332229E-3</v>
      </c>
      <c r="E1613" s="62">
        <v>42570</v>
      </c>
      <c r="G1613">
        <v>1.4138092267240686E-2</v>
      </c>
    </row>
    <row r="1614" spans="1:7">
      <c r="A1614" s="61">
        <v>42571</v>
      </c>
      <c r="C1614">
        <v>3.2151832431559354E-3</v>
      </c>
      <c r="E1614" s="62">
        <v>42571</v>
      </c>
      <c r="G1614">
        <v>1.5438135801410091E-2</v>
      </c>
    </row>
    <row r="1615" spans="1:7">
      <c r="A1615" s="61">
        <v>42572</v>
      </c>
      <c r="C1615">
        <v>1.7551850164966387E-3</v>
      </c>
      <c r="E1615" s="62">
        <v>42572</v>
      </c>
      <c r="G1615">
        <v>-9.6388738722322231E-3</v>
      </c>
    </row>
    <row r="1616" spans="1:7">
      <c r="A1616" s="61">
        <v>42573</v>
      </c>
      <c r="C1616">
        <v>-6.0436696718683556E-4</v>
      </c>
      <c r="E1616" s="62">
        <v>42573</v>
      </c>
      <c r="G1616">
        <v>-3.7458238529380614E-3</v>
      </c>
    </row>
    <row r="1617" spans="1:7">
      <c r="A1617" s="61">
        <v>42576</v>
      </c>
      <c r="C1617">
        <v>6.9571971483259705E-3</v>
      </c>
      <c r="E1617" s="62">
        <v>42576</v>
      </c>
      <c r="G1617">
        <v>3.6959586786357014E-4</v>
      </c>
    </row>
    <row r="1618" spans="1:7">
      <c r="A1618" s="61">
        <v>42577</v>
      </c>
      <c r="C1618">
        <v>3.6914803938313707E-3</v>
      </c>
      <c r="E1618" s="62">
        <v>42577</v>
      </c>
      <c r="G1618">
        <v>-1.2022350533077738E-2</v>
      </c>
    </row>
    <row r="1619" spans="1:7">
      <c r="A1619" s="61">
        <v>42578</v>
      </c>
      <c r="C1619">
        <v>3.8425857308163824E-5</v>
      </c>
      <c r="E1619" s="62">
        <v>42578</v>
      </c>
      <c r="G1619">
        <v>2.8531700891700752E-2</v>
      </c>
    </row>
    <row r="1620" spans="1:7">
      <c r="A1620" s="61">
        <v>42579</v>
      </c>
      <c r="C1620">
        <v>5.0335938872301715E-3</v>
      </c>
      <c r="E1620" s="62">
        <v>42579</v>
      </c>
      <c r="G1620">
        <v>1.1459697167357752E-2</v>
      </c>
    </row>
    <row r="1621" spans="1:7">
      <c r="A1621" s="61">
        <v>42580</v>
      </c>
      <c r="C1621">
        <v>1.2124985663022117E-3</v>
      </c>
      <c r="E1621" s="62">
        <v>42580</v>
      </c>
      <c r="G1621">
        <v>-1.7182303090886291E-2</v>
      </c>
    </row>
    <row r="1622" spans="1:7">
      <c r="A1622" s="61">
        <v>42583</v>
      </c>
      <c r="C1622">
        <v>5.5096418732774428E-4</v>
      </c>
      <c r="E1622" s="62">
        <v>42583</v>
      </c>
      <c r="G1622">
        <v>-1.0049115735876357E-2</v>
      </c>
    </row>
    <row r="1623" spans="1:7">
      <c r="A1623" s="61">
        <v>42584</v>
      </c>
      <c r="C1623">
        <v>-1.7010511623848025E-3</v>
      </c>
      <c r="E1623" s="62">
        <v>42584</v>
      </c>
      <c r="G1623">
        <v>7.5170373446187067E-3</v>
      </c>
    </row>
    <row r="1624" spans="1:7">
      <c r="A1624" s="61">
        <v>42585</v>
      </c>
      <c r="C1624">
        <v>-6.7502621461028797E-3</v>
      </c>
      <c r="E1624" s="62">
        <v>42585</v>
      </c>
      <c r="G1624">
        <v>-3.7469739718297266E-4</v>
      </c>
    </row>
    <row r="1625" spans="1:7">
      <c r="A1625" s="61">
        <v>42586</v>
      </c>
      <c r="C1625">
        <v>-1.8474937867025635E-3</v>
      </c>
      <c r="E1625" s="62">
        <v>42586</v>
      </c>
      <c r="G1625">
        <v>-1.529416216623042E-2</v>
      </c>
    </row>
    <row r="1626" spans="1:7">
      <c r="A1626" s="61">
        <v>42587</v>
      </c>
      <c r="C1626">
        <v>8.5494568450743894E-3</v>
      </c>
      <c r="E1626" s="62">
        <v>42587</v>
      </c>
      <c r="G1626">
        <v>1.2883676406931548E-2</v>
      </c>
    </row>
    <row r="1627" spans="1:7">
      <c r="A1627" s="61">
        <v>42590</v>
      </c>
      <c r="C1627">
        <v>9.2143496974064956E-3</v>
      </c>
      <c r="E1627" s="62">
        <v>42590</v>
      </c>
      <c r="G1627">
        <v>-2.0203004564915552E-2</v>
      </c>
    </row>
    <row r="1628" spans="1:7">
      <c r="A1628" s="61">
        <v>42591</v>
      </c>
      <c r="C1628">
        <v>-5.5744678548036615E-4</v>
      </c>
      <c r="E1628" s="62">
        <v>42591</v>
      </c>
      <c r="G1628">
        <v>-1.1072845525151984E-2</v>
      </c>
    </row>
    <row r="1629" spans="1:7">
      <c r="A1629" s="61">
        <v>42592</v>
      </c>
      <c r="C1629">
        <v>-8.6533671237030395E-3</v>
      </c>
      <c r="E1629" s="62">
        <v>42592</v>
      </c>
      <c r="G1629">
        <v>-1.7764580589490098E-2</v>
      </c>
    </row>
    <row r="1630" spans="1:7">
      <c r="A1630" s="61">
        <v>42593</v>
      </c>
      <c r="C1630">
        <v>-5.9430818812475708E-3</v>
      </c>
      <c r="E1630" s="62">
        <v>42593</v>
      </c>
      <c r="G1630">
        <v>9.0472190648005109E-3</v>
      </c>
    </row>
    <row r="1631" spans="1:7">
      <c r="A1631" s="61">
        <v>42594</v>
      </c>
      <c r="C1631">
        <v>6.1984152278796402E-3</v>
      </c>
      <c r="E1631" s="62">
        <v>42594</v>
      </c>
      <c r="G1631">
        <v>-7.653233064621871E-3</v>
      </c>
    </row>
    <row r="1632" spans="1:7">
      <c r="A1632" s="61">
        <v>42598</v>
      </c>
      <c r="C1632">
        <v>2.9927366064116056E-3</v>
      </c>
      <c r="E1632" s="62">
        <v>42598</v>
      </c>
      <c r="G1632">
        <v>3.5406968600301871E-3</v>
      </c>
    </row>
    <row r="1633" spans="1:7">
      <c r="A1633" s="61">
        <v>42599</v>
      </c>
      <c r="C1633">
        <v>-7.7317622973158606E-4</v>
      </c>
      <c r="E1633" s="62">
        <v>42599</v>
      </c>
      <c r="G1633">
        <v>4.667128240920268E-2</v>
      </c>
    </row>
    <row r="1634" spans="1:7">
      <c r="A1634" s="61">
        <v>42600</v>
      </c>
      <c r="C1634">
        <v>4.4028858519149783E-3</v>
      </c>
      <c r="E1634" s="62">
        <v>42600</v>
      </c>
      <c r="G1634">
        <v>-5.9972105839379434E-3</v>
      </c>
    </row>
    <row r="1635" spans="1:7">
      <c r="A1635" s="61">
        <v>42601</v>
      </c>
      <c r="C1635">
        <v>3.1574835615544956E-3</v>
      </c>
      <c r="E1635" s="62">
        <v>42601</v>
      </c>
      <c r="G1635">
        <v>2.2240388503952546E-2</v>
      </c>
    </row>
    <row r="1636" spans="1:7">
      <c r="A1636" s="61">
        <v>42604</v>
      </c>
      <c r="C1636">
        <v>-3.3206061458253286E-3</v>
      </c>
      <c r="E1636" s="62">
        <v>42604</v>
      </c>
      <c r="G1636">
        <v>-4.2401757842851891E-2</v>
      </c>
    </row>
    <row r="1637" spans="1:7">
      <c r="A1637" s="61">
        <v>42605</v>
      </c>
      <c r="C1637">
        <v>-2.8812970720379712E-3</v>
      </c>
      <c r="E1637" s="62">
        <v>42605</v>
      </c>
      <c r="G1637">
        <v>-2.6991470695925447E-3</v>
      </c>
    </row>
    <row r="1638" spans="1:7">
      <c r="A1638" s="61">
        <v>42606</v>
      </c>
      <c r="C1638">
        <v>2.4161818884312482E-3</v>
      </c>
      <c r="E1638" s="62">
        <v>42606</v>
      </c>
      <c r="G1638">
        <v>8.1109018245889355E-3</v>
      </c>
    </row>
    <row r="1639" spans="1:7">
      <c r="A1639" s="61">
        <v>42607</v>
      </c>
      <c r="C1639">
        <v>-1.1563204038977917E-3</v>
      </c>
      <c r="E1639" s="62">
        <v>42607</v>
      </c>
      <c r="G1639">
        <v>8.422062531781618E-3</v>
      </c>
    </row>
    <row r="1640" spans="1:7">
      <c r="A1640" s="61">
        <v>42608</v>
      </c>
      <c r="C1640">
        <v>-3.4892821427018961E-3</v>
      </c>
      <c r="E1640" s="62">
        <v>42608</v>
      </c>
      <c r="G1640">
        <v>-1.5567138565936363E-2</v>
      </c>
    </row>
    <row r="1641" spans="1:7">
      <c r="A1641" s="61">
        <v>42611</v>
      </c>
      <c r="C1641">
        <v>5.4540496318516497E-4</v>
      </c>
      <c r="E1641" s="62">
        <v>42611</v>
      </c>
      <c r="G1641">
        <v>-3.091838182101955E-3</v>
      </c>
    </row>
    <row r="1642" spans="1:7">
      <c r="A1642" s="61">
        <v>42612</v>
      </c>
      <c r="C1642">
        <v>1.0591441809757388E-2</v>
      </c>
      <c r="E1642" s="62">
        <v>42612</v>
      </c>
      <c r="G1642">
        <v>1.6259318185273524E-2</v>
      </c>
    </row>
    <row r="1643" spans="1:7">
      <c r="A1643" s="61">
        <v>42613</v>
      </c>
      <c r="C1643">
        <v>7.6540106692268763E-3</v>
      </c>
      <c r="E1643" s="62">
        <v>42613</v>
      </c>
      <c r="G1643">
        <v>-9.1388255595233423E-3</v>
      </c>
    </row>
    <row r="1644" spans="1:7">
      <c r="A1644" s="61">
        <v>42614</v>
      </c>
      <c r="C1644">
        <v>8.0294627754105743E-4</v>
      </c>
      <c r="E1644" s="62">
        <v>42614</v>
      </c>
      <c r="G1644">
        <v>-1.3452975626053987E-2</v>
      </c>
    </row>
    <row r="1645" spans="1:7">
      <c r="A1645" s="61">
        <v>42615</v>
      </c>
      <c r="C1645">
        <v>1.7490185171320574E-3</v>
      </c>
      <c r="E1645" s="62">
        <v>42615</v>
      </c>
      <c r="G1645">
        <v>-1.6749857806117187E-2</v>
      </c>
    </row>
    <row r="1646" spans="1:7">
      <c r="A1646" s="61">
        <v>42619</v>
      </c>
      <c r="C1646">
        <v>1.0854882027241282E-2</v>
      </c>
      <c r="E1646" s="62">
        <v>42619</v>
      </c>
      <c r="G1646">
        <v>5.942860974118163E-2</v>
      </c>
    </row>
    <row r="1647" spans="1:7">
      <c r="A1647" s="61">
        <v>42620</v>
      </c>
      <c r="C1647">
        <v>5.9105650690357073E-3</v>
      </c>
      <c r="E1647" s="62">
        <v>42620</v>
      </c>
      <c r="G1647">
        <v>1.0469333702055625E-2</v>
      </c>
    </row>
    <row r="1648" spans="1:7">
      <c r="A1648" s="61">
        <v>42621</v>
      </c>
      <c r="C1648">
        <v>6.3011641400786999E-5</v>
      </c>
      <c r="E1648" s="62">
        <v>42621</v>
      </c>
      <c r="G1648">
        <v>-8.1463551266357081E-3</v>
      </c>
    </row>
    <row r="1649" spans="1:7">
      <c r="A1649" s="61">
        <v>42622</v>
      </c>
      <c r="C1649">
        <v>-3.2763989015661514E-3</v>
      </c>
      <c r="E1649" s="62">
        <v>42622</v>
      </c>
      <c r="G1649">
        <v>-2.9472014761127589E-2</v>
      </c>
    </row>
    <row r="1650" spans="1:7">
      <c r="A1650" s="61">
        <v>42625</v>
      </c>
      <c r="C1650">
        <v>-2.1666868602795299E-2</v>
      </c>
      <c r="E1650" s="62">
        <v>42625</v>
      </c>
      <c r="G1650">
        <v>-2.9989067562345328E-2</v>
      </c>
    </row>
    <row r="1651" spans="1:7">
      <c r="A1651" s="61">
        <v>42627</v>
      </c>
      <c r="C1651">
        <v>-2.3692088996089822E-4</v>
      </c>
      <c r="E1651" s="62">
        <v>42627</v>
      </c>
      <c r="G1651">
        <v>0</v>
      </c>
    </row>
    <row r="1652" spans="1:7">
      <c r="A1652" s="61">
        <v>42628</v>
      </c>
      <c r="C1652">
        <v>3.3661510620879831E-3</v>
      </c>
      <c r="E1652" s="62">
        <v>42628</v>
      </c>
      <c r="G1652">
        <v>8.7158267238443051E-3</v>
      </c>
    </row>
    <row r="1653" spans="1:7">
      <c r="A1653" s="61">
        <v>42629</v>
      </c>
      <c r="C1653">
        <v>3.7252344374841149E-3</v>
      </c>
      <c r="E1653" s="62">
        <v>42629</v>
      </c>
      <c r="G1653">
        <v>3.9297790278870291E-3</v>
      </c>
    </row>
    <row r="1654" spans="1:7">
      <c r="A1654" s="61">
        <v>42632</v>
      </c>
      <c r="C1654">
        <v>1.8503564342670067E-3</v>
      </c>
      <c r="E1654" s="62">
        <v>42632</v>
      </c>
      <c r="G1654">
        <v>-1.2914188544817259E-2</v>
      </c>
    </row>
    <row r="1655" spans="1:7">
      <c r="A1655" s="61">
        <v>42633</v>
      </c>
      <c r="C1655">
        <v>-1.1209745005002656E-4</v>
      </c>
      <c r="E1655" s="62">
        <v>42633</v>
      </c>
      <c r="G1655">
        <v>-7.9655722214911674E-4</v>
      </c>
    </row>
    <row r="1656" spans="1:7">
      <c r="A1656" s="61">
        <v>42634</v>
      </c>
      <c r="C1656">
        <v>-1.3186273463023496E-3</v>
      </c>
      <c r="E1656" s="62">
        <v>42634</v>
      </c>
      <c r="G1656">
        <v>8.3361666588160216E-3</v>
      </c>
    </row>
    <row r="1657" spans="1:7">
      <c r="A1657" s="61">
        <v>42635</v>
      </c>
      <c r="C1657">
        <v>9.9749290368793611E-3</v>
      </c>
      <c r="E1657" s="62">
        <v>42635</v>
      </c>
      <c r="G1657">
        <v>1.6921364576892847E-2</v>
      </c>
    </row>
    <row r="1658" spans="1:7">
      <c r="A1658" s="61">
        <v>42636</v>
      </c>
      <c r="C1658">
        <v>-1.8524889512266124E-4</v>
      </c>
      <c r="E1658" s="62">
        <v>42636</v>
      </c>
      <c r="G1658">
        <v>2.670465099042962E-2</v>
      </c>
    </row>
    <row r="1659" spans="1:7">
      <c r="A1659" s="61">
        <v>42639</v>
      </c>
      <c r="C1659">
        <v>-8.4595023822127725E-3</v>
      </c>
      <c r="E1659" s="62">
        <v>42639</v>
      </c>
      <c r="G1659">
        <v>-2.0355365031058104E-2</v>
      </c>
    </row>
    <row r="1660" spans="1:7">
      <c r="A1660" s="61">
        <v>42640</v>
      </c>
      <c r="C1660">
        <v>-3.3795688246788221E-3</v>
      </c>
      <c r="E1660" s="62">
        <v>42640</v>
      </c>
      <c r="G1660">
        <v>-7.6459957905095966E-4</v>
      </c>
    </row>
    <row r="1661" spans="1:7">
      <c r="A1661" s="61">
        <v>42641</v>
      </c>
      <c r="C1661">
        <v>9.7498781265218585E-4</v>
      </c>
      <c r="E1661" s="62">
        <v>42641</v>
      </c>
      <c r="G1661">
        <v>5.3898622381047985E-3</v>
      </c>
    </row>
    <row r="1662" spans="1:7">
      <c r="A1662" s="61">
        <v>42642</v>
      </c>
      <c r="C1662">
        <v>-6.1546365820894728E-3</v>
      </c>
      <c r="E1662" s="62">
        <v>42642</v>
      </c>
      <c r="G1662">
        <v>-1.8006380930298112E-2</v>
      </c>
    </row>
    <row r="1663" spans="1:7">
      <c r="A1663" s="61">
        <v>42643</v>
      </c>
      <c r="C1663">
        <v>-1.1373121307908794E-2</v>
      </c>
      <c r="E1663" s="62">
        <v>42643</v>
      </c>
      <c r="G1663">
        <v>1.7553053047814147E-2</v>
      </c>
    </row>
    <row r="1664" spans="1:7">
      <c r="A1664" s="61">
        <v>42646</v>
      </c>
      <c r="C1664">
        <v>1.6319060510161205E-2</v>
      </c>
      <c r="E1664" s="62">
        <v>42646</v>
      </c>
      <c r="G1664">
        <v>6.5199934475501879E-3</v>
      </c>
    </row>
    <row r="1665" spans="1:7">
      <c r="A1665" s="61">
        <v>42647</v>
      </c>
      <c r="C1665">
        <v>9.6095613259372017E-3</v>
      </c>
      <c r="E1665" s="62">
        <v>42647</v>
      </c>
      <c r="G1665">
        <v>-1.1474170566966127E-3</v>
      </c>
    </row>
    <row r="1666" spans="1:7">
      <c r="A1666" s="61">
        <v>42648</v>
      </c>
      <c r="C1666">
        <v>1.9322850863687808E-3</v>
      </c>
      <c r="E1666" s="62">
        <v>42648</v>
      </c>
      <c r="G1666">
        <v>-1.4868826076076978E-2</v>
      </c>
    </row>
    <row r="1667" spans="1:7">
      <c r="A1667" s="61">
        <v>42649</v>
      </c>
      <c r="C1667">
        <v>-2.972311409225215E-3</v>
      </c>
      <c r="E1667" s="62">
        <v>42649</v>
      </c>
      <c r="G1667">
        <v>1.4324147848479797E-2</v>
      </c>
    </row>
    <row r="1668" spans="1:7">
      <c r="A1668" s="61">
        <v>42650</v>
      </c>
      <c r="C1668">
        <v>-3.1459073976648597E-3</v>
      </c>
      <c r="E1668" s="62">
        <v>42650</v>
      </c>
      <c r="G1668">
        <v>-2.5569295559374584E-2</v>
      </c>
    </row>
    <row r="1669" spans="1:7">
      <c r="A1669" s="61">
        <v>42653</v>
      </c>
      <c r="C1669">
        <v>8.5825927959520777E-4</v>
      </c>
      <c r="E1669" s="62">
        <v>42653</v>
      </c>
      <c r="G1669">
        <v>1.5730238198758456E-3</v>
      </c>
    </row>
    <row r="1670" spans="1:7">
      <c r="A1670" s="61">
        <v>42656</v>
      </c>
      <c r="C1670">
        <v>-1.1227696404793569E-2</v>
      </c>
      <c r="E1670" s="62">
        <v>42656</v>
      </c>
      <c r="G1670">
        <v>-4.695061892752957E-3</v>
      </c>
    </row>
    <row r="1671" spans="1:7">
      <c r="A1671" s="61">
        <v>42657</v>
      </c>
      <c r="C1671">
        <v>-3.4798159899161927E-3</v>
      </c>
      <c r="E1671" s="62">
        <v>42657</v>
      </c>
      <c r="G1671">
        <v>8.645505790827384E-3</v>
      </c>
    </row>
    <row r="1672" spans="1:7">
      <c r="A1672" s="61">
        <v>42660</v>
      </c>
      <c r="C1672">
        <v>-2.4054574152954662E-3</v>
      </c>
      <c r="E1672" s="62">
        <v>42660</v>
      </c>
      <c r="G1672">
        <v>5.833448638471051E-3</v>
      </c>
    </row>
    <row r="1673" spans="1:7">
      <c r="A1673" s="61">
        <v>42661</v>
      </c>
      <c r="C1673">
        <v>5.5431831851359744E-3</v>
      </c>
      <c r="E1673" s="62">
        <v>42661</v>
      </c>
      <c r="G1673">
        <v>1.9360482170187705E-3</v>
      </c>
    </row>
    <row r="1674" spans="1:7">
      <c r="A1674" s="61">
        <v>42662</v>
      </c>
      <c r="C1674">
        <v>7.5818810824790691E-3</v>
      </c>
      <c r="E1674" s="62">
        <v>42662</v>
      </c>
      <c r="G1674">
        <v>-5.4086527991139745E-3</v>
      </c>
    </row>
    <row r="1675" spans="1:7">
      <c r="A1675" s="61">
        <v>42663</v>
      </c>
      <c r="C1675">
        <v>2.1820398864057264E-3</v>
      </c>
      <c r="E1675" s="62">
        <v>42663</v>
      </c>
      <c r="G1675">
        <v>9.3235700631352347E-3</v>
      </c>
    </row>
    <row r="1676" spans="1:7">
      <c r="A1676" s="61">
        <v>42664</v>
      </c>
      <c r="C1676">
        <v>7.2042649248355017E-4</v>
      </c>
      <c r="E1676" s="62">
        <v>42664</v>
      </c>
      <c r="G1676">
        <v>2.1559663691926755E-2</v>
      </c>
    </row>
    <row r="1677" spans="1:7">
      <c r="A1677" s="61">
        <v>42667</v>
      </c>
      <c r="C1677">
        <v>1.0078709925128418E-3</v>
      </c>
      <c r="E1677" s="62">
        <v>42667</v>
      </c>
      <c r="G1677">
        <v>-2.5243333937960393E-2</v>
      </c>
    </row>
    <row r="1678" spans="1:7">
      <c r="A1678" s="61">
        <v>42668</v>
      </c>
      <c r="C1678">
        <v>-6.6591019268777342E-4</v>
      </c>
      <c r="E1678" s="62">
        <v>42668</v>
      </c>
      <c r="G1678">
        <v>-2.9763161331889425E-2</v>
      </c>
    </row>
    <row r="1679" spans="1:7">
      <c r="A1679" s="61">
        <v>42669</v>
      </c>
      <c r="C1679">
        <v>-7.3618781585175251E-3</v>
      </c>
      <c r="E1679" s="62">
        <v>42669</v>
      </c>
      <c r="G1679">
        <v>-4.6614382464633682E-2</v>
      </c>
    </row>
    <row r="1680" spans="1:7">
      <c r="A1680" s="61">
        <v>42670</v>
      </c>
      <c r="C1680">
        <v>-5.0857379153308267E-3</v>
      </c>
      <c r="E1680" s="62">
        <v>42670</v>
      </c>
      <c r="G1680">
        <v>-3.9284456175546663E-2</v>
      </c>
    </row>
    <row r="1681" spans="1:7">
      <c r="A1681" s="61">
        <v>42671</v>
      </c>
      <c r="C1681">
        <v>2.6773183633811153E-3</v>
      </c>
      <c r="E1681" s="62">
        <v>42671</v>
      </c>
      <c r="G1681">
        <v>4.3502011286499958E-3</v>
      </c>
    </row>
    <row r="1682" spans="1:7">
      <c r="A1682" s="61">
        <v>42675</v>
      </c>
      <c r="C1682">
        <v>-3.8605691122284009E-4</v>
      </c>
      <c r="E1682" s="62">
        <v>42675</v>
      </c>
      <c r="G1682">
        <v>1.385511595782116E-2</v>
      </c>
    </row>
    <row r="1683" spans="1:7">
      <c r="A1683" s="61">
        <v>42676</v>
      </c>
      <c r="C1683">
        <v>-1.3485026471203591E-2</v>
      </c>
      <c r="E1683" s="62">
        <v>42676</v>
      </c>
      <c r="G1683">
        <v>-2.0503233625372392E-2</v>
      </c>
    </row>
    <row r="1684" spans="1:7">
      <c r="A1684" s="61">
        <v>42677</v>
      </c>
      <c r="C1684">
        <v>-6.3833836283066336E-3</v>
      </c>
      <c r="E1684" s="62">
        <v>42677</v>
      </c>
      <c r="G1684">
        <v>-4.8845217184050979E-2</v>
      </c>
    </row>
    <row r="1685" spans="1:7">
      <c r="A1685" s="61">
        <v>42678</v>
      </c>
      <c r="C1685">
        <v>-5.4175034611827671E-3</v>
      </c>
      <c r="E1685" s="62">
        <v>42678</v>
      </c>
      <c r="G1685">
        <v>3.4853042306374357E-2</v>
      </c>
    </row>
    <row r="1686" spans="1:7">
      <c r="A1686" s="61">
        <v>42681</v>
      </c>
      <c r="C1686">
        <v>4.5501812919874294E-3</v>
      </c>
      <c r="E1686" s="62">
        <v>42681</v>
      </c>
      <c r="G1686">
        <v>8.4174819942257426E-3</v>
      </c>
    </row>
    <row r="1687" spans="1:7">
      <c r="A1687" s="61">
        <v>42682</v>
      </c>
      <c r="C1687">
        <v>2.8097580212292431E-3</v>
      </c>
      <c r="E1687" s="62">
        <v>42682</v>
      </c>
      <c r="G1687">
        <v>5.7087569474812763E-3</v>
      </c>
    </row>
    <row r="1688" spans="1:7">
      <c r="A1688" s="61">
        <v>42683</v>
      </c>
      <c r="C1688">
        <v>-3.6375354331998844E-2</v>
      </c>
      <c r="E1688" s="62">
        <v>42683</v>
      </c>
      <c r="G1688">
        <v>-4.7614129495137929E-2</v>
      </c>
    </row>
    <row r="1689" spans="1:7">
      <c r="A1689" s="61">
        <v>42684</v>
      </c>
      <c r="C1689">
        <v>3.6688563801146226E-2</v>
      </c>
      <c r="E1689" s="62">
        <v>42684</v>
      </c>
      <c r="G1689">
        <v>-3.7619484179506224E-2</v>
      </c>
    </row>
    <row r="1690" spans="1:7">
      <c r="A1690" s="61">
        <v>42685</v>
      </c>
      <c r="C1690">
        <v>-2.0026899357039916E-2</v>
      </c>
      <c r="E1690" s="62">
        <v>42685</v>
      </c>
      <c r="G1690">
        <v>-6.1010441917458746E-2</v>
      </c>
    </row>
    <row r="1691" spans="1:7">
      <c r="A1691" s="61">
        <v>42689</v>
      </c>
      <c r="C1691">
        <v>-2.4380582567604513E-2</v>
      </c>
      <c r="E1691" s="62">
        <v>42689</v>
      </c>
      <c r="G1691">
        <v>-5.7868140380084629E-2</v>
      </c>
    </row>
    <row r="1692" spans="1:7">
      <c r="A1692" s="61">
        <v>42690</v>
      </c>
      <c r="C1692">
        <v>-6.4561877040788824E-3</v>
      </c>
      <c r="E1692" s="62">
        <v>42690</v>
      </c>
      <c r="G1692">
        <v>1.9935724912034349E-2</v>
      </c>
    </row>
    <row r="1693" spans="1:7">
      <c r="A1693" s="61">
        <v>42691</v>
      </c>
      <c r="C1693">
        <v>-6.9701050983643669E-3</v>
      </c>
      <c r="E1693" s="62">
        <v>42691</v>
      </c>
      <c r="G1693">
        <v>-4.2789249264673639E-2</v>
      </c>
    </row>
    <row r="1694" spans="1:7">
      <c r="A1694" s="61">
        <v>42692</v>
      </c>
      <c r="C1694">
        <v>-9.8533017254701465E-5</v>
      </c>
      <c r="E1694" s="62">
        <v>42692</v>
      </c>
      <c r="G1694">
        <v>6.0703046004844784E-3</v>
      </c>
    </row>
    <row r="1695" spans="1:7">
      <c r="A1695" s="61">
        <v>42695</v>
      </c>
      <c r="C1695">
        <v>-9.2919994898966393E-3</v>
      </c>
      <c r="E1695" s="62">
        <v>42695</v>
      </c>
      <c r="G1695">
        <v>-4.9363920087118068E-3</v>
      </c>
    </row>
    <row r="1696" spans="1:7">
      <c r="A1696" s="61">
        <v>42696</v>
      </c>
      <c r="C1696">
        <v>-2.9372012333903079E-3</v>
      </c>
      <c r="E1696" s="62">
        <v>42696</v>
      </c>
      <c r="G1696">
        <v>4.465272067842628E-2</v>
      </c>
    </row>
    <row r="1697" spans="1:7">
      <c r="A1697" s="61">
        <v>42697</v>
      </c>
      <c r="C1697">
        <v>7.9984038401727173E-3</v>
      </c>
      <c r="E1697" s="62">
        <v>42697</v>
      </c>
      <c r="G1697">
        <v>1.4775376583280975E-2</v>
      </c>
    </row>
    <row r="1698" spans="1:7">
      <c r="A1698" s="61">
        <v>42698</v>
      </c>
      <c r="C1698">
        <v>-5.3442935984909807E-3</v>
      </c>
      <c r="E1698" s="62">
        <v>42698</v>
      </c>
      <c r="G1698">
        <v>-1.1439736954126943E-2</v>
      </c>
    </row>
    <row r="1699" spans="1:7">
      <c r="A1699" s="61">
        <v>42699</v>
      </c>
      <c r="C1699">
        <v>9.6807800812390363E-3</v>
      </c>
      <c r="E1699" s="62">
        <v>42699</v>
      </c>
      <c r="G1699">
        <v>2.2619275554684584E-2</v>
      </c>
    </row>
    <row r="1700" spans="1:7">
      <c r="A1700" s="61">
        <v>42702</v>
      </c>
      <c r="C1700">
        <v>6.1678298977435346E-3</v>
      </c>
      <c r="E1700" s="62">
        <v>42702</v>
      </c>
      <c r="G1700">
        <v>4.1666606553607891E-2</v>
      </c>
    </row>
    <row r="1701" spans="1:7">
      <c r="A1701" s="61">
        <v>42703</v>
      </c>
      <c r="C1701">
        <v>4.9835226879913607E-3</v>
      </c>
      <c r="E1701" s="62">
        <v>42703</v>
      </c>
      <c r="G1701">
        <v>3.4568306739817575E-2</v>
      </c>
    </row>
    <row r="1702" spans="1:7">
      <c r="A1702" s="61">
        <v>42704</v>
      </c>
      <c r="C1702">
        <v>7.8251747049075809E-3</v>
      </c>
      <c r="E1702" s="62">
        <v>42704</v>
      </c>
      <c r="G1702">
        <v>-2.6730771937929533E-2</v>
      </c>
    </row>
    <row r="1703" spans="1:7">
      <c r="A1703" s="61">
        <v>42705</v>
      </c>
      <c r="C1703">
        <v>1.985187881821678E-3</v>
      </c>
      <c r="E1703" s="62">
        <v>42705</v>
      </c>
      <c r="G1703">
        <v>-1.8146477951791522E-2</v>
      </c>
    </row>
    <row r="1704" spans="1:7">
      <c r="A1704" s="61">
        <v>42706</v>
      </c>
      <c r="C1704">
        <v>-1.3278380480383184E-2</v>
      </c>
      <c r="E1704" s="62">
        <v>42706</v>
      </c>
      <c r="G1704">
        <v>-7.9919415795119703E-3</v>
      </c>
    </row>
    <row r="1705" spans="1:7">
      <c r="A1705" s="61">
        <v>42709</v>
      </c>
      <c r="C1705">
        <v>-1.0816284261155312E-3</v>
      </c>
      <c r="E1705" s="62">
        <v>42709</v>
      </c>
      <c r="G1705">
        <v>-1.3091310488502256E-2</v>
      </c>
    </row>
    <row r="1706" spans="1:7">
      <c r="A1706" s="61">
        <v>42710</v>
      </c>
      <c r="C1706">
        <v>5.4543150716489129E-3</v>
      </c>
      <c r="E1706" s="62">
        <v>42710</v>
      </c>
      <c r="G1706">
        <v>2.0411755431990887E-3</v>
      </c>
    </row>
    <row r="1707" spans="1:7">
      <c r="A1707" s="61">
        <v>42711</v>
      </c>
      <c r="C1707">
        <v>-7.7905264906533991E-4</v>
      </c>
      <c r="E1707" s="62">
        <v>42711</v>
      </c>
      <c r="G1707">
        <v>1.5277302701292592E-3</v>
      </c>
    </row>
    <row r="1708" spans="1:7">
      <c r="A1708" s="61">
        <v>42712</v>
      </c>
      <c r="C1708">
        <v>8.0603089976208075E-3</v>
      </c>
      <c r="E1708" s="62">
        <v>42712</v>
      </c>
      <c r="G1708">
        <v>2.2877181186250171E-2</v>
      </c>
    </row>
    <row r="1709" spans="1:7">
      <c r="A1709" s="61">
        <v>42713</v>
      </c>
      <c r="C1709">
        <v>7.7570077513208786E-3</v>
      </c>
      <c r="E1709" s="62">
        <v>42713</v>
      </c>
      <c r="G1709">
        <v>3.0814894537829027E-2</v>
      </c>
    </row>
    <row r="1710" spans="1:7">
      <c r="A1710" s="61">
        <v>42716</v>
      </c>
      <c r="C1710">
        <v>-7.832736096611434E-3</v>
      </c>
      <c r="E1710" s="62">
        <v>42716</v>
      </c>
      <c r="G1710">
        <v>-1.7840252694663054E-2</v>
      </c>
    </row>
    <row r="1711" spans="1:7">
      <c r="A1711" s="61">
        <v>42717</v>
      </c>
      <c r="C1711">
        <v>-1.291115193638675E-3</v>
      </c>
      <c r="E1711" s="62">
        <v>42717</v>
      </c>
      <c r="G1711">
        <v>0</v>
      </c>
    </row>
    <row r="1712" spans="1:7">
      <c r="A1712" s="61">
        <v>42718</v>
      </c>
      <c r="C1712">
        <v>-1.6117090950511367E-3</v>
      </c>
      <c r="E1712" s="62">
        <v>42718</v>
      </c>
      <c r="G1712">
        <v>-2.650883334757128E-2</v>
      </c>
    </row>
    <row r="1713" spans="1:7">
      <c r="A1713" s="61">
        <v>42719</v>
      </c>
      <c r="C1713">
        <v>-7.9688774549788143E-3</v>
      </c>
      <c r="E1713" s="62">
        <v>42719</v>
      </c>
      <c r="G1713">
        <v>-4.5390915543755328E-3</v>
      </c>
    </row>
    <row r="1714" spans="1:7">
      <c r="A1714" s="61">
        <v>42720</v>
      </c>
      <c r="C1714">
        <v>2.7427979989648145E-3</v>
      </c>
      <c r="E1714" s="62">
        <v>42720</v>
      </c>
      <c r="G1714">
        <v>6.0786874893679803E-3</v>
      </c>
    </row>
    <row r="1715" spans="1:7">
      <c r="A1715" s="61">
        <v>42723</v>
      </c>
      <c r="C1715">
        <v>-5.0921226926316553E-3</v>
      </c>
      <c r="E1715" s="62">
        <v>42723</v>
      </c>
      <c r="G1715">
        <v>-8.559897294137914E-3</v>
      </c>
    </row>
    <row r="1716" spans="1:7">
      <c r="A1716" s="61">
        <v>42724</v>
      </c>
      <c r="C1716">
        <v>-3.994259332906985E-3</v>
      </c>
      <c r="E1716" s="62">
        <v>42724</v>
      </c>
      <c r="G1716">
        <v>-2.3869986294131795E-2</v>
      </c>
    </row>
    <row r="1717" spans="1:7">
      <c r="A1717" s="61">
        <v>42725</v>
      </c>
      <c r="C1717">
        <v>-2.1179820145133007E-3</v>
      </c>
      <c r="E1717" s="62">
        <v>42725</v>
      </c>
      <c r="G1717">
        <v>-5.7228896424915991E-3</v>
      </c>
    </row>
    <row r="1718" spans="1:7">
      <c r="A1718" s="61">
        <v>42726</v>
      </c>
      <c r="C1718">
        <v>-9.2379958246346129E-3</v>
      </c>
      <c r="E1718" s="62">
        <v>42726</v>
      </c>
      <c r="G1718">
        <v>-7.3258291761953845E-3</v>
      </c>
    </row>
    <row r="1719" spans="1:7">
      <c r="A1719" s="61">
        <v>42727</v>
      </c>
      <c r="C1719">
        <v>-5.0337436419720565E-3</v>
      </c>
      <c r="E1719" s="62">
        <v>42727</v>
      </c>
      <c r="G1719">
        <v>4.2165390782173389E-3</v>
      </c>
    </row>
    <row r="1720" spans="1:7">
      <c r="A1720" s="61">
        <v>42730</v>
      </c>
      <c r="C1720">
        <v>-7.3182066863937507E-3</v>
      </c>
      <c r="E1720" s="62">
        <v>42730</v>
      </c>
      <c r="G1720">
        <v>1.6798010813495457E-2</v>
      </c>
    </row>
    <row r="1721" spans="1:7">
      <c r="A1721" s="61">
        <v>42731</v>
      </c>
      <c r="C1721">
        <v>3.5438507078811728E-3</v>
      </c>
      <c r="E1721" s="62">
        <v>42731</v>
      </c>
      <c r="G1721">
        <v>1.8069191678180017E-2</v>
      </c>
    </row>
    <row r="1722" spans="1:7">
      <c r="A1722" s="61">
        <v>42732</v>
      </c>
      <c r="C1722">
        <v>9.7200323607394869E-3</v>
      </c>
      <c r="E1722" s="62">
        <v>42732</v>
      </c>
      <c r="G1722">
        <v>-1.0141030437893364E-2</v>
      </c>
    </row>
    <row r="1723" spans="1:7">
      <c r="A1723" s="61">
        <v>42733</v>
      </c>
      <c r="C1723">
        <v>4.4974179323575168E-3</v>
      </c>
      <c r="E1723" s="62">
        <v>42733</v>
      </c>
      <c r="G1723">
        <v>3.5853903582395413E-3</v>
      </c>
    </row>
    <row r="1724" spans="1:7">
      <c r="A1724" s="61">
        <v>42734</v>
      </c>
      <c r="C1724">
        <v>1.1044737883975196E-2</v>
      </c>
      <c r="E1724" s="62">
        <v>42734</v>
      </c>
      <c r="G1724">
        <v>6.1253091890882926E-3</v>
      </c>
    </row>
    <row r="1725" spans="1:7">
      <c r="A1725" s="61">
        <v>42737</v>
      </c>
      <c r="C1725">
        <v>6.2308166285636917E-3</v>
      </c>
      <c r="E1725" s="62">
        <v>42737</v>
      </c>
      <c r="G1725">
        <v>-2.0285257624852184E-3</v>
      </c>
    </row>
    <row r="1726" spans="1:7">
      <c r="A1726" s="61">
        <v>42738</v>
      </c>
      <c r="C1726">
        <v>1.8256216556500676E-3</v>
      </c>
      <c r="E1726" s="62">
        <v>42738</v>
      </c>
      <c r="G1726">
        <v>-1.2201795057514443E-2</v>
      </c>
    </row>
    <row r="1727" spans="1:7">
      <c r="A1727" s="61">
        <v>42739</v>
      </c>
      <c r="C1727">
        <v>1.2396174894602288E-3</v>
      </c>
      <c r="E1727" s="62">
        <v>42739</v>
      </c>
      <c r="G1727">
        <v>-4.6316834699364094E-3</v>
      </c>
    </row>
    <row r="1728" spans="1:7">
      <c r="A1728" s="61">
        <v>42740</v>
      </c>
      <c r="C1728">
        <v>6.9606495084754468E-3</v>
      </c>
      <c r="E1728" s="62">
        <v>42740</v>
      </c>
      <c r="G1728">
        <v>-1.7580264069962329E-2</v>
      </c>
    </row>
    <row r="1729" spans="1:7">
      <c r="A1729" s="61">
        <v>42741</v>
      </c>
      <c r="C1729">
        <v>2.3117326095949886E-3</v>
      </c>
      <c r="E1729" s="62">
        <v>42741</v>
      </c>
      <c r="G1729">
        <v>7.8947045407038001E-3</v>
      </c>
    </row>
    <row r="1730" spans="1:7">
      <c r="A1730" s="61">
        <v>42744</v>
      </c>
      <c r="C1730">
        <v>-1.4754181764737042E-3</v>
      </c>
      <c r="E1730" s="62">
        <v>42744</v>
      </c>
      <c r="G1730">
        <v>1.6187950128589562E-2</v>
      </c>
    </row>
    <row r="1731" spans="1:7">
      <c r="A1731" s="61">
        <v>42745</v>
      </c>
      <c r="C1731">
        <v>3.781745717229547E-3</v>
      </c>
      <c r="E1731" s="62">
        <v>42745</v>
      </c>
      <c r="G1731">
        <v>5.138429847767091E-4</v>
      </c>
    </row>
    <row r="1732" spans="1:7">
      <c r="A1732" s="61">
        <v>42746</v>
      </c>
      <c r="C1732">
        <v>9.8586624254116007E-3</v>
      </c>
      <c r="E1732" s="62">
        <v>42746</v>
      </c>
      <c r="G1732">
        <v>4.10842215294449E-3</v>
      </c>
    </row>
    <row r="1733" spans="1:7">
      <c r="A1733" s="61">
        <v>42747</v>
      </c>
      <c r="C1733">
        <v>5.7524545667787365E-3</v>
      </c>
      <c r="E1733" s="62">
        <v>42747</v>
      </c>
      <c r="G1733">
        <v>2.7621816316321306E-2</v>
      </c>
    </row>
    <row r="1734" spans="1:7">
      <c r="A1734" s="61">
        <v>42748</v>
      </c>
      <c r="C1734">
        <v>2.9708358321672108E-3</v>
      </c>
      <c r="E1734" s="62">
        <v>42748</v>
      </c>
      <c r="G1734">
        <v>2.0905434751314598E-2</v>
      </c>
    </row>
    <row r="1735" spans="1:7">
      <c r="A1735" s="61">
        <v>42751</v>
      </c>
      <c r="C1735">
        <v>-2.1260221792835446E-3</v>
      </c>
      <c r="E1735" s="62">
        <v>42751</v>
      </c>
      <c r="G1735">
        <v>-6.3380906819883827E-3</v>
      </c>
    </row>
    <row r="1736" spans="1:7">
      <c r="A1736" s="61">
        <v>42752</v>
      </c>
      <c r="C1736">
        <v>1.5590756512330315E-3</v>
      </c>
      <c r="E1736" s="62">
        <v>42752</v>
      </c>
      <c r="G1736">
        <v>8.832293749469821E-3</v>
      </c>
    </row>
    <row r="1737" spans="1:7">
      <c r="A1737" s="61">
        <v>42753</v>
      </c>
      <c r="C1737">
        <v>1.2796649604466389E-3</v>
      </c>
      <c r="E1737" s="62">
        <v>42753</v>
      </c>
      <c r="G1737">
        <v>3.9396906916031038E-2</v>
      </c>
    </row>
    <row r="1738" spans="1:7">
      <c r="A1738" s="61">
        <v>42754</v>
      </c>
      <c r="C1738">
        <v>2.5505264264417018E-3</v>
      </c>
      <c r="E1738" s="62">
        <v>42754</v>
      </c>
      <c r="G1738">
        <v>1.5446279411995953E-2</v>
      </c>
    </row>
    <row r="1739" spans="1:7">
      <c r="A1739" s="61">
        <v>42755</v>
      </c>
      <c r="C1739">
        <v>-6.2855944549910286E-3</v>
      </c>
      <c r="E1739" s="62">
        <v>42755</v>
      </c>
      <c r="G1739">
        <v>-1.3363808720878773E-2</v>
      </c>
    </row>
    <row r="1740" spans="1:7">
      <c r="A1740" s="61">
        <v>42758</v>
      </c>
      <c r="C1740">
        <v>-2.4324009129835177E-3</v>
      </c>
      <c r="E1740" s="62">
        <v>42758</v>
      </c>
      <c r="G1740">
        <v>1.7277810428236257E-2</v>
      </c>
    </row>
    <row r="1741" spans="1:7">
      <c r="A1741" s="61">
        <v>42759</v>
      </c>
      <c r="C1741">
        <v>9.9370375937338218E-3</v>
      </c>
      <c r="E1741" s="62">
        <v>42759</v>
      </c>
      <c r="G1741">
        <v>0</v>
      </c>
    </row>
    <row r="1742" spans="1:7">
      <c r="A1742" s="61">
        <v>42760</v>
      </c>
      <c r="C1742">
        <v>1.2777263306433993E-2</v>
      </c>
      <c r="E1742" s="62">
        <v>42760</v>
      </c>
      <c r="G1742">
        <v>4.5920254995224508E-3</v>
      </c>
    </row>
    <row r="1743" spans="1:7">
      <c r="A1743" s="61">
        <v>42762</v>
      </c>
      <c r="C1743">
        <v>8.4959778810671151E-3</v>
      </c>
      <c r="E1743" s="62">
        <v>42762</v>
      </c>
      <c r="G1743">
        <v>2.1018646936509688E-2</v>
      </c>
    </row>
    <row r="1744" spans="1:7">
      <c r="A1744" s="61">
        <v>42765</v>
      </c>
      <c r="C1744">
        <v>1.50570711568048E-3</v>
      </c>
      <c r="E1744" s="62">
        <v>42765</v>
      </c>
      <c r="G1744">
        <v>-1.5659440314282673E-2</v>
      </c>
    </row>
    <row r="1745" spans="1:7">
      <c r="A1745" s="61">
        <v>42766</v>
      </c>
      <c r="C1745">
        <v>-4.7043228038412118E-3</v>
      </c>
      <c r="E1745" s="62">
        <v>42766</v>
      </c>
      <c r="G1745">
        <v>-1.7288650130138278E-2</v>
      </c>
    </row>
    <row r="1746" spans="1:7">
      <c r="A1746" s="61">
        <v>42767</v>
      </c>
      <c r="C1746">
        <v>4.9268818252202213E-3</v>
      </c>
      <c r="E1746" s="62">
        <v>42767</v>
      </c>
      <c r="G1746">
        <v>2.9153149007237894E-2</v>
      </c>
    </row>
    <row r="1747" spans="1:7">
      <c r="A1747" s="61">
        <v>42768</v>
      </c>
      <c r="C1747">
        <v>1.0850650015354773E-2</v>
      </c>
      <c r="E1747" s="62">
        <v>42768</v>
      </c>
      <c r="G1747">
        <v>-8.984446652071907E-3</v>
      </c>
    </row>
    <row r="1748" spans="1:7">
      <c r="A1748" s="61">
        <v>42769</v>
      </c>
      <c r="C1748">
        <v>2.6702198534309684E-3</v>
      </c>
      <c r="E1748" s="62">
        <v>42769</v>
      </c>
      <c r="G1748">
        <v>-8.1738263047447593E-3</v>
      </c>
    </row>
    <row r="1749" spans="1:7">
      <c r="A1749" s="61">
        <v>42772</v>
      </c>
      <c r="C1749">
        <v>7.0697298619010664E-3</v>
      </c>
      <c r="E1749" s="62">
        <v>42772</v>
      </c>
      <c r="G1749">
        <v>5.1695720108247155E-2</v>
      </c>
    </row>
    <row r="1750" spans="1:7">
      <c r="A1750" s="61">
        <v>42773</v>
      </c>
      <c r="C1750">
        <v>-2.5863525040103336E-4</v>
      </c>
      <c r="E1750" s="62">
        <v>42773</v>
      </c>
      <c r="G1750">
        <v>-7.8268617510923264E-3</v>
      </c>
    </row>
    <row r="1751" spans="1:7">
      <c r="A1751" s="61">
        <v>42774</v>
      </c>
      <c r="C1751">
        <v>-8.2890283886027059E-4</v>
      </c>
      <c r="E1751" s="62">
        <v>42774</v>
      </c>
      <c r="G1751">
        <v>1.3584770762065306E-2</v>
      </c>
    </row>
    <row r="1752" spans="1:7">
      <c r="A1752" s="61">
        <v>42775</v>
      </c>
      <c r="C1752">
        <v>1.9867899603698042E-3</v>
      </c>
      <c r="E1752" s="62">
        <v>42775</v>
      </c>
      <c r="G1752">
        <v>1.7303435003275067E-2</v>
      </c>
    </row>
    <row r="1753" spans="1:7">
      <c r="A1753" s="61">
        <v>42776</v>
      </c>
      <c r="C1753">
        <v>1.7930030691993715E-3</v>
      </c>
      <c r="E1753" s="62">
        <v>42776</v>
      </c>
      <c r="G1753">
        <v>0</v>
      </c>
    </row>
    <row r="1754" spans="1:7">
      <c r="A1754" s="61">
        <v>42779</v>
      </c>
      <c r="C1754">
        <v>2.947895939272578E-4</v>
      </c>
      <c r="E1754" s="62">
        <v>42779</v>
      </c>
      <c r="G1754">
        <v>-1.4455895824766649E-2</v>
      </c>
    </row>
    <row r="1755" spans="1:7">
      <c r="A1755" s="61">
        <v>42780</v>
      </c>
      <c r="C1755">
        <v>-1.7471661176072821E-3</v>
      </c>
      <c r="E1755" s="62">
        <v>42780</v>
      </c>
      <c r="G1755">
        <v>1.2943920687460119E-2</v>
      </c>
    </row>
    <row r="1756" spans="1:7">
      <c r="A1756" s="61">
        <v>42781</v>
      </c>
      <c r="C1756">
        <v>-7.4015498972007723E-3</v>
      </c>
      <c r="E1756" s="62">
        <v>42781</v>
      </c>
      <c r="G1756">
        <v>1.4908250969462951E-2</v>
      </c>
    </row>
    <row r="1757" spans="1:7">
      <c r="A1757" s="61">
        <v>42782</v>
      </c>
      <c r="C1757">
        <v>1.1578131140925461E-3</v>
      </c>
      <c r="E1757" s="62">
        <v>42782</v>
      </c>
      <c r="G1757">
        <v>9.6493327248419001E-3</v>
      </c>
    </row>
    <row r="1758" spans="1:7">
      <c r="A1758" s="61">
        <v>42783</v>
      </c>
      <c r="C1758">
        <v>1.1373763951958462E-2</v>
      </c>
      <c r="E1758" s="62">
        <v>42783</v>
      </c>
      <c r="G1758">
        <v>-3.2837176460507447E-2</v>
      </c>
    </row>
    <row r="1759" spans="1:7">
      <c r="A1759" s="61">
        <v>42786</v>
      </c>
      <c r="C1759">
        <v>9.1267676555735271E-4</v>
      </c>
      <c r="E1759" s="62">
        <v>42786</v>
      </c>
      <c r="G1759">
        <v>3.3952066457987248E-2</v>
      </c>
    </row>
    <row r="1760" spans="1:7">
      <c r="A1760" s="61">
        <v>42787</v>
      </c>
      <c r="C1760">
        <v>6.309545021014426E-3</v>
      </c>
      <c r="E1760" s="62">
        <v>42787</v>
      </c>
      <c r="G1760">
        <v>3.2002206620181516E-2</v>
      </c>
    </row>
    <row r="1761" spans="1:7">
      <c r="A1761" s="61">
        <v>42788</v>
      </c>
      <c r="C1761">
        <v>2.6558903481820172E-3</v>
      </c>
      <c r="E1761" s="62">
        <v>42788</v>
      </c>
      <c r="G1761">
        <v>-1.40976453877243E-2</v>
      </c>
    </row>
    <row r="1762" spans="1:7">
      <c r="A1762" s="61">
        <v>42789</v>
      </c>
      <c r="C1762">
        <v>5.2977105580277804E-4</v>
      </c>
      <c r="E1762" s="62">
        <v>42789</v>
      </c>
      <c r="G1762">
        <v>-3.6752756522837513E-3</v>
      </c>
    </row>
    <row r="1763" spans="1:7">
      <c r="A1763" s="61">
        <v>42793</v>
      </c>
      <c r="C1763">
        <v>-2.5280578079093616E-3</v>
      </c>
      <c r="E1763" s="62">
        <v>42793</v>
      </c>
      <c r="G1763">
        <v>-9.839621604250939E-3</v>
      </c>
    </row>
    <row r="1764" spans="1:7">
      <c r="A1764" s="61">
        <v>42794</v>
      </c>
      <c r="C1764">
        <v>-1.7017866157343492E-3</v>
      </c>
      <c r="E1764" s="62">
        <v>42794</v>
      </c>
      <c r="G1764">
        <v>3.8926744266893652E-2</v>
      </c>
    </row>
    <row r="1765" spans="1:7">
      <c r="A1765" s="61">
        <v>42795</v>
      </c>
      <c r="C1765">
        <v>3.9202602385518537E-3</v>
      </c>
      <c r="E1765" s="62">
        <v>42795</v>
      </c>
      <c r="G1765">
        <v>4.3779264388321042E-3</v>
      </c>
    </row>
    <row r="1766" spans="1:7">
      <c r="A1766" s="61">
        <v>42796</v>
      </c>
      <c r="C1766">
        <v>-3.7387836490513303E-4</v>
      </c>
      <c r="E1766" s="62">
        <v>42796</v>
      </c>
      <c r="G1766">
        <v>-2.0234070439716232E-2</v>
      </c>
    </row>
    <row r="1767" spans="1:7">
      <c r="A1767" s="61">
        <v>42797</v>
      </c>
      <c r="C1767">
        <v>-6.7583011262104774E-3</v>
      </c>
      <c r="E1767" s="62">
        <v>42797</v>
      </c>
      <c r="G1767">
        <v>-2.1058731894581163E-2</v>
      </c>
    </row>
    <row r="1768" spans="1:7">
      <c r="A1768" s="61">
        <v>42800</v>
      </c>
      <c r="C1768">
        <v>5.6641370689790053E-3</v>
      </c>
      <c r="E1768" s="62">
        <v>42800</v>
      </c>
      <c r="G1768">
        <v>-1.1175833074911833E-2</v>
      </c>
    </row>
    <row r="1769" spans="1:7">
      <c r="A1769" s="61">
        <v>42801</v>
      </c>
      <c r="C1769">
        <v>2.1790457963659061E-3</v>
      </c>
      <c r="E1769" s="62">
        <v>42801</v>
      </c>
      <c r="G1769">
        <v>2.4267565540747871E-2</v>
      </c>
    </row>
    <row r="1770" spans="1:7">
      <c r="A1770" s="61">
        <v>42802</v>
      </c>
      <c r="C1770">
        <v>-2.8592927012790819E-3</v>
      </c>
      <c r="E1770" s="62">
        <v>42802</v>
      </c>
      <c r="G1770">
        <v>2.452959855833789E-3</v>
      </c>
    </row>
    <row r="1771" spans="1:7">
      <c r="A1771" s="61">
        <v>42803</v>
      </c>
      <c r="C1771">
        <v>-2.3418716238017422E-3</v>
      </c>
      <c r="E1771" s="62">
        <v>42803</v>
      </c>
      <c r="G1771">
        <v>-1.3445681713534139E-2</v>
      </c>
    </row>
    <row r="1772" spans="1:7">
      <c r="A1772" s="61">
        <v>42804</v>
      </c>
      <c r="C1772">
        <v>1.9248424654674818E-3</v>
      </c>
      <c r="E1772" s="62">
        <v>42804</v>
      </c>
      <c r="G1772">
        <v>-4.1492465502220699E-4</v>
      </c>
    </row>
    <row r="1773" spans="1:7">
      <c r="A1773" s="61">
        <v>42808</v>
      </c>
      <c r="C1773">
        <v>1.5520140779807791E-2</v>
      </c>
      <c r="E1773" s="62">
        <v>42808</v>
      </c>
      <c r="G1773">
        <v>-1.236322249052336E-3</v>
      </c>
    </row>
    <row r="1774" spans="1:7">
      <c r="A1774" s="61">
        <v>42809</v>
      </c>
      <c r="C1774">
        <v>8.5104637690068107E-4</v>
      </c>
      <c r="E1774" s="62">
        <v>42809</v>
      </c>
      <c r="G1774">
        <v>9.5136044271065083E-3</v>
      </c>
    </row>
    <row r="1775" spans="1:7">
      <c r="A1775" s="61">
        <v>42810</v>
      </c>
      <c r="C1775">
        <v>7.7758426390740149E-3</v>
      </c>
      <c r="E1775" s="62">
        <v>42810</v>
      </c>
      <c r="G1775">
        <v>-3.2756297677608739E-3</v>
      </c>
    </row>
    <row r="1776" spans="1:7">
      <c r="A1776" s="61">
        <v>42811</v>
      </c>
      <c r="C1776">
        <v>5.0778192316684014E-3</v>
      </c>
      <c r="E1776" s="62">
        <v>42811</v>
      </c>
      <c r="G1776">
        <v>1.1511221586584582E-2</v>
      </c>
    </row>
    <row r="1777" spans="1:7">
      <c r="A1777" s="61">
        <v>42814</v>
      </c>
      <c r="C1777">
        <v>-2.6600990204161176E-3</v>
      </c>
      <c r="E1777" s="62">
        <v>42814</v>
      </c>
      <c r="G1777">
        <v>-4.8821087970972368E-3</v>
      </c>
    </row>
    <row r="1778" spans="1:7">
      <c r="A1778" s="61">
        <v>42815</v>
      </c>
      <c r="C1778">
        <v>-1.982648026732715E-3</v>
      </c>
      <c r="E1778" s="62">
        <v>42815</v>
      </c>
      <c r="G1778">
        <v>3.6751434576338367E-3</v>
      </c>
    </row>
    <row r="1779" spans="1:7">
      <c r="A1779" s="61">
        <v>42816</v>
      </c>
      <c r="C1779">
        <v>-1.0029468549944185E-2</v>
      </c>
      <c r="E1779" s="62">
        <v>42816</v>
      </c>
      <c r="G1779">
        <v>-6.9147886455457547E-3</v>
      </c>
    </row>
    <row r="1780" spans="1:7">
      <c r="A1780" s="61">
        <v>42817</v>
      </c>
      <c r="C1780">
        <v>3.7876066226662551E-3</v>
      </c>
      <c r="E1780" s="62">
        <v>42817</v>
      </c>
      <c r="G1780">
        <v>1.9259635646810203E-2</v>
      </c>
    </row>
    <row r="1781" spans="1:7">
      <c r="A1781" s="61">
        <v>42818</v>
      </c>
      <c r="C1781">
        <v>4.2794911649213169E-3</v>
      </c>
      <c r="E1781" s="62">
        <v>42818</v>
      </c>
      <c r="G1781">
        <v>-5.2245033809666065E-3</v>
      </c>
    </row>
    <row r="1782" spans="1:7">
      <c r="A1782" s="61">
        <v>42821</v>
      </c>
      <c r="C1782">
        <v>-3.141211988534683E-3</v>
      </c>
      <c r="E1782" s="62">
        <v>42821</v>
      </c>
      <c r="G1782">
        <v>-5.6577864326106102E-3</v>
      </c>
    </row>
    <row r="1783" spans="1:7">
      <c r="A1783" s="61">
        <v>42822</v>
      </c>
      <c r="C1783">
        <v>2.6148597577167519E-3</v>
      </c>
      <c r="E1783" s="62">
        <v>42822</v>
      </c>
      <c r="G1783">
        <v>1.3821275735617755E-2</v>
      </c>
    </row>
    <row r="1784" spans="1:7">
      <c r="A1784" s="61">
        <v>42823</v>
      </c>
      <c r="C1784">
        <v>4.599726970802325E-3</v>
      </c>
      <c r="E1784" s="62">
        <v>42823</v>
      </c>
      <c r="G1784">
        <v>4.4127808597151782E-3</v>
      </c>
    </row>
    <row r="1785" spans="1:7">
      <c r="A1785" s="61">
        <v>42824</v>
      </c>
      <c r="C1785">
        <v>2.3882080326945447E-3</v>
      </c>
      <c r="E1785" s="62">
        <v>42824</v>
      </c>
      <c r="G1785">
        <v>1.0373671479061625E-2</v>
      </c>
    </row>
    <row r="1786" spans="1:7">
      <c r="A1786" s="61">
        <v>42825</v>
      </c>
      <c r="C1786">
        <v>1.8412666295716251E-3</v>
      </c>
      <c r="E1786" s="62">
        <v>42825</v>
      </c>
      <c r="G1786">
        <v>2.7694778539712099E-3</v>
      </c>
    </row>
    <row r="1787" spans="1:7">
      <c r="A1787" s="61">
        <v>42828</v>
      </c>
      <c r="C1787">
        <v>6.4376382198794262E-3</v>
      </c>
      <c r="E1787" s="62">
        <v>42828</v>
      </c>
      <c r="G1787">
        <v>3.149201679210381E-3</v>
      </c>
    </row>
    <row r="1788" spans="1:7">
      <c r="A1788" s="61">
        <v>42830</v>
      </c>
      <c r="C1788">
        <v>5.0920839416241483E-3</v>
      </c>
      <c r="E1788" s="62">
        <v>42830</v>
      </c>
      <c r="G1788">
        <v>2.7497743677473298E-2</v>
      </c>
    </row>
    <row r="1789" spans="1:7">
      <c r="A1789" s="61">
        <v>42831</v>
      </c>
      <c r="C1789">
        <v>-2.0464800543058663E-4</v>
      </c>
      <c r="E1789" s="62">
        <v>42831</v>
      </c>
      <c r="G1789">
        <v>-7.2622746234179587E-3</v>
      </c>
    </row>
    <row r="1790" spans="1:7">
      <c r="A1790" s="61">
        <v>42832</v>
      </c>
      <c r="C1790">
        <v>-3.8741306920019075E-3</v>
      </c>
      <c r="E1790" s="62">
        <v>42832</v>
      </c>
      <c r="G1790">
        <v>3.8510112154667652E-3</v>
      </c>
    </row>
    <row r="1791" spans="1:7">
      <c r="A1791" s="61">
        <v>42835</v>
      </c>
      <c r="C1791">
        <v>5.2123271537192744E-4</v>
      </c>
      <c r="E1791" s="62">
        <v>42835</v>
      </c>
      <c r="G1791">
        <v>-8.4431823321043202E-3</v>
      </c>
    </row>
    <row r="1792" spans="1:7">
      <c r="A1792" s="61">
        <v>42836</v>
      </c>
      <c r="C1792">
        <v>1.828373348828589E-3</v>
      </c>
      <c r="E1792" s="62">
        <v>42836</v>
      </c>
      <c r="G1792">
        <v>0</v>
      </c>
    </row>
    <row r="1793" spans="1:7">
      <c r="A1793" s="61">
        <v>42837</v>
      </c>
      <c r="C1793">
        <v>1.7250345006900138E-3</v>
      </c>
      <c r="E1793" s="62">
        <v>42837</v>
      </c>
      <c r="G1793">
        <v>-8.8953320634284159E-3</v>
      </c>
    </row>
    <row r="1794" spans="1:7">
      <c r="A1794" s="61">
        <v>42838</v>
      </c>
      <c r="C1794">
        <v>-4.417468216690543E-3</v>
      </c>
      <c r="E1794" s="62">
        <v>42838</v>
      </c>
      <c r="G1794">
        <v>7.7576570095671583E-4</v>
      </c>
    </row>
    <row r="1795" spans="1:7">
      <c r="A1795" s="61">
        <v>42842</v>
      </c>
      <c r="C1795">
        <v>-2.9931413444567773E-3</v>
      </c>
      <c r="E1795" s="62">
        <v>42842</v>
      </c>
      <c r="G1795">
        <v>-3.1171493836331301E-3</v>
      </c>
    </row>
    <row r="1796" spans="1:7">
      <c r="A1796" s="61">
        <v>42843</v>
      </c>
      <c r="C1796">
        <v>-1.2169426578631456E-3</v>
      </c>
      <c r="E1796" s="62">
        <v>42843</v>
      </c>
      <c r="G1796">
        <v>6.6551844424894268E-3</v>
      </c>
    </row>
    <row r="1797" spans="1:7">
      <c r="A1797" s="61">
        <v>42844</v>
      </c>
      <c r="C1797">
        <v>-2.5677560329679734E-3</v>
      </c>
      <c r="E1797" s="62">
        <v>42844</v>
      </c>
      <c r="G1797">
        <v>-5.4484522077738766E-3</v>
      </c>
    </row>
    <row r="1798" spans="1:7">
      <c r="A1798" s="61">
        <v>42845</v>
      </c>
      <c r="C1798">
        <v>3.4880140530116825E-3</v>
      </c>
      <c r="E1798" s="62">
        <v>42845</v>
      </c>
      <c r="G1798">
        <v>-1.094000929536324E-2</v>
      </c>
    </row>
    <row r="1799" spans="1:7">
      <c r="A1799" s="61">
        <v>42846</v>
      </c>
      <c r="C1799">
        <v>3.1388645761024486E-3</v>
      </c>
      <c r="E1799" s="62">
        <v>42846</v>
      </c>
      <c r="G1799">
        <v>-7.8514213425247932E-4</v>
      </c>
    </row>
    <row r="1800" spans="1:7">
      <c r="A1800" s="61">
        <v>42849</v>
      </c>
      <c r="C1800">
        <v>3.1892168366578683E-3</v>
      </c>
      <c r="E1800" s="62">
        <v>42849</v>
      </c>
      <c r="G1800">
        <v>-4.3518307495272459E-3</v>
      </c>
    </row>
    <row r="1801" spans="1:7">
      <c r="A1801" s="61">
        <v>42850</v>
      </c>
      <c r="C1801">
        <v>1.2126483319837357E-2</v>
      </c>
      <c r="E1801" s="62">
        <v>42850</v>
      </c>
      <c r="G1801">
        <v>5.5590461367440334E-3</v>
      </c>
    </row>
    <row r="1802" spans="1:7">
      <c r="A1802" s="61">
        <v>42851</v>
      </c>
      <c r="C1802">
        <v>5.274490823966302E-3</v>
      </c>
      <c r="E1802" s="62">
        <v>42851</v>
      </c>
      <c r="G1802">
        <v>1.9749766423218539E-3</v>
      </c>
    </row>
    <row r="1803" spans="1:7">
      <c r="A1803" s="61">
        <v>42852</v>
      </c>
      <c r="C1803">
        <v>-3.0950322276368064E-4</v>
      </c>
      <c r="E1803" s="62">
        <v>42852</v>
      </c>
      <c r="G1803">
        <v>-8.6762331525564902E-3</v>
      </c>
    </row>
    <row r="1804" spans="1:7">
      <c r="A1804" s="61">
        <v>42853</v>
      </c>
      <c r="C1804">
        <v>-1.8821656207462275E-3</v>
      </c>
      <c r="E1804" s="62">
        <v>42853</v>
      </c>
      <c r="G1804">
        <v>2.0682162193442512E-2</v>
      </c>
    </row>
    <row r="1805" spans="1:7">
      <c r="A1805" s="61">
        <v>42857</v>
      </c>
      <c r="C1805">
        <v>1.9349502230363905E-3</v>
      </c>
      <c r="E1805" s="62">
        <v>42857</v>
      </c>
      <c r="G1805">
        <v>5.8441274002057385E-3</v>
      </c>
    </row>
    <row r="1806" spans="1:7">
      <c r="A1806" s="61">
        <v>42858</v>
      </c>
      <c r="C1806">
        <v>5.0123096427977969E-4</v>
      </c>
      <c r="E1806" s="62">
        <v>42858</v>
      </c>
      <c r="G1806">
        <v>-7.7468988048324527E-3</v>
      </c>
    </row>
    <row r="1807" spans="1:7">
      <c r="A1807" s="61">
        <v>42859</v>
      </c>
      <c r="C1807">
        <v>2.5196339900100152E-3</v>
      </c>
      <c r="E1807" s="62">
        <v>42859</v>
      </c>
      <c r="G1807">
        <v>7.8073818015799833E-3</v>
      </c>
    </row>
    <row r="1808" spans="1:7">
      <c r="A1808" s="61">
        <v>42860</v>
      </c>
      <c r="C1808">
        <v>-3.586231223727952E-3</v>
      </c>
      <c r="E1808" s="62">
        <v>42860</v>
      </c>
      <c r="G1808">
        <v>-1.1669708675229079E-3</v>
      </c>
    </row>
    <row r="1809" spans="1:7">
      <c r="A1809" s="61">
        <v>42863</v>
      </c>
      <c r="C1809">
        <v>-1.7848187155205116E-3</v>
      </c>
      <c r="E1809" s="62">
        <v>42863</v>
      </c>
      <c r="G1809">
        <v>0</v>
      </c>
    </row>
    <row r="1810" spans="1:7">
      <c r="A1810" s="61">
        <v>42864</v>
      </c>
      <c r="C1810">
        <v>2.3790876715972038E-3</v>
      </c>
      <c r="E1810" s="62">
        <v>42864</v>
      </c>
      <c r="G1810">
        <v>8.9244095316816912E-3</v>
      </c>
    </row>
    <row r="1811" spans="1:7">
      <c r="A1811" s="61">
        <v>42865</v>
      </c>
      <c r="C1811">
        <v>5.7051036353450357E-3</v>
      </c>
      <c r="E1811" s="62">
        <v>42865</v>
      </c>
      <c r="G1811">
        <v>1.8446352348672458E-2</v>
      </c>
    </row>
    <row r="1812" spans="1:7">
      <c r="A1812" s="61">
        <v>42866</v>
      </c>
      <c r="C1812">
        <v>6.3519053272941377E-3</v>
      </c>
      <c r="E1812" s="62">
        <v>42866</v>
      </c>
      <c r="G1812">
        <v>1.2830235547703073E-2</v>
      </c>
    </row>
    <row r="1813" spans="1:7">
      <c r="A1813" s="61">
        <v>42867</v>
      </c>
      <c r="C1813">
        <v>-2.3645023620747769E-3</v>
      </c>
      <c r="E1813" s="62">
        <v>42867</v>
      </c>
      <c r="G1813">
        <v>-8.2008966027894148E-3</v>
      </c>
    </row>
    <row r="1814" spans="1:7">
      <c r="A1814" s="61">
        <v>42870</v>
      </c>
      <c r="C1814">
        <v>2.2679047674668664E-3</v>
      </c>
      <c r="E1814" s="62">
        <v>42870</v>
      </c>
      <c r="G1814">
        <v>3.042582972372344E-2</v>
      </c>
    </row>
    <row r="1815" spans="1:7">
      <c r="A1815" s="61">
        <v>42871</v>
      </c>
      <c r="C1815">
        <v>4.918860650085911E-3</v>
      </c>
      <c r="E1815" s="62">
        <v>42871</v>
      </c>
      <c r="G1815">
        <v>5.1770370959793026E-2</v>
      </c>
    </row>
    <row r="1816" spans="1:7">
      <c r="A1816" s="61">
        <v>42872</v>
      </c>
      <c r="C1816">
        <v>2.0729144016815955E-3</v>
      </c>
      <c r="E1816" s="62">
        <v>42872</v>
      </c>
      <c r="G1816">
        <v>-6.2369102040400028E-3</v>
      </c>
    </row>
    <row r="1817" spans="1:7">
      <c r="A1817" s="61">
        <v>42873</v>
      </c>
      <c r="C1817">
        <v>-1.0748177294294711E-2</v>
      </c>
      <c r="E1817" s="62">
        <v>42873</v>
      </c>
      <c r="G1817">
        <v>-3.3833332935763891E-2</v>
      </c>
    </row>
    <row r="1818" spans="1:7">
      <c r="A1818" s="61">
        <v>42874</v>
      </c>
      <c r="C1818">
        <v>-1.486680802320197E-3</v>
      </c>
      <c r="E1818" s="62">
        <v>42874</v>
      </c>
      <c r="G1818">
        <v>5.4160257815628809E-3</v>
      </c>
    </row>
    <row r="1819" spans="1:7">
      <c r="A1819" s="61">
        <v>42877</v>
      </c>
      <c r="C1819">
        <v>-1.1471808640468636E-3</v>
      </c>
      <c r="E1819" s="62">
        <v>42877</v>
      </c>
      <c r="G1819">
        <v>1.3282429554157555E-2</v>
      </c>
    </row>
    <row r="1820" spans="1:7">
      <c r="A1820" s="61">
        <v>42878</v>
      </c>
      <c r="C1820">
        <v>-7.404149255919654E-3</v>
      </c>
      <c r="E1820" s="62">
        <v>42878</v>
      </c>
      <c r="G1820">
        <v>-2.9760975441268218E-2</v>
      </c>
    </row>
    <row r="1821" spans="1:7">
      <c r="A1821" s="61">
        <v>42879</v>
      </c>
      <c r="C1821">
        <v>-6.0512063023142023E-3</v>
      </c>
      <c r="E1821" s="62">
        <v>42879</v>
      </c>
      <c r="G1821">
        <v>-4.7532837794600257E-3</v>
      </c>
    </row>
    <row r="1822" spans="1:7">
      <c r="A1822" s="61">
        <v>42880</v>
      </c>
      <c r="C1822">
        <v>5.0725463290914232E-3</v>
      </c>
      <c r="E1822" s="62">
        <v>42880</v>
      </c>
      <c r="G1822">
        <v>4.4074118978793108E-3</v>
      </c>
    </row>
    <row r="1823" spans="1:7">
      <c r="A1823" s="61">
        <v>42881</v>
      </c>
      <c r="C1823">
        <v>1.2001281450996821E-2</v>
      </c>
      <c r="E1823" s="62">
        <v>42881</v>
      </c>
      <c r="G1823">
        <v>4.7472165908770446E-3</v>
      </c>
    </row>
    <row r="1824" spans="1:7">
      <c r="A1824" s="61">
        <v>42884</v>
      </c>
      <c r="C1824">
        <v>2.9610870306335788E-3</v>
      </c>
      <c r="E1824" s="62">
        <v>42884</v>
      </c>
      <c r="G1824">
        <v>-3.7091112094455106E-2</v>
      </c>
    </row>
    <row r="1825" spans="1:7">
      <c r="A1825" s="61">
        <v>42885</v>
      </c>
      <c r="C1825">
        <v>8.0121201526673084E-4</v>
      </c>
      <c r="E1825" s="62">
        <v>42885</v>
      </c>
      <c r="G1825">
        <v>-4.9067199419336738E-3</v>
      </c>
    </row>
    <row r="1826" spans="1:7">
      <c r="A1826" s="61">
        <v>42886</v>
      </c>
      <c r="C1826">
        <v>4.3764525504238526E-3</v>
      </c>
      <c r="E1826" s="62">
        <v>42886</v>
      </c>
      <c r="G1826">
        <v>4.0607624612359706E-2</v>
      </c>
    </row>
    <row r="1827" spans="1:7">
      <c r="A1827" s="61">
        <v>42887</v>
      </c>
      <c r="C1827">
        <v>-1.1593922852112051E-4</v>
      </c>
      <c r="E1827" s="62">
        <v>42887</v>
      </c>
      <c r="G1827">
        <v>-1.9328380857053754E-2</v>
      </c>
    </row>
    <row r="1828" spans="1:7">
      <c r="A1828" s="61">
        <v>42888</v>
      </c>
      <c r="C1828">
        <v>5.5464028099198922E-3</v>
      </c>
      <c r="E1828" s="62">
        <v>42888</v>
      </c>
      <c r="G1828">
        <v>1.300970276028467E-2</v>
      </c>
    </row>
    <row r="1829" spans="1:7">
      <c r="A1829" s="61">
        <v>42891</v>
      </c>
      <c r="C1829">
        <v>2.3398949689854408E-3</v>
      </c>
      <c r="E1829" s="62">
        <v>42891</v>
      </c>
      <c r="G1829">
        <v>-1.0983506389690776E-3</v>
      </c>
    </row>
    <row r="1830" spans="1:7">
      <c r="A1830" s="61">
        <v>42892</v>
      </c>
      <c r="C1830">
        <v>1.0545691605650409E-4</v>
      </c>
      <c r="E1830" s="62">
        <v>42892</v>
      </c>
      <c r="G1830">
        <v>-3.6911478901447683E-4</v>
      </c>
    </row>
    <row r="1831" spans="1:7">
      <c r="A1831" s="61">
        <v>42893</v>
      </c>
      <c r="C1831">
        <v>-3.6906028623761558E-4</v>
      </c>
      <c r="E1831" s="62">
        <v>42893</v>
      </c>
      <c r="G1831">
        <v>1.066163530006105E-2</v>
      </c>
    </row>
    <row r="1832" spans="1:7">
      <c r="A1832" s="61">
        <v>42894</v>
      </c>
      <c r="C1832">
        <v>1.3137643183529738E-3</v>
      </c>
      <c r="E1832" s="62">
        <v>42894</v>
      </c>
      <c r="G1832">
        <v>-1.0183808166374552E-2</v>
      </c>
    </row>
    <row r="1833" spans="1:7">
      <c r="A1833" s="61">
        <v>42895</v>
      </c>
      <c r="C1833">
        <v>-3.8786601862707618E-4</v>
      </c>
      <c r="E1833" s="62">
        <v>42895</v>
      </c>
      <c r="G1833">
        <v>-2.7928329886721111E-2</v>
      </c>
    </row>
    <row r="1834" spans="1:7">
      <c r="A1834" s="61">
        <v>42898</v>
      </c>
      <c r="C1834">
        <v>-2.0454697874053062E-3</v>
      </c>
      <c r="E1834" s="62">
        <v>42898</v>
      </c>
      <c r="G1834">
        <v>-2.5708992863285488E-2</v>
      </c>
    </row>
    <row r="1835" spans="1:7">
      <c r="A1835" s="61">
        <v>42899</v>
      </c>
      <c r="C1835">
        <v>-1.6992516572502756E-3</v>
      </c>
      <c r="E1835" s="62">
        <v>42899</v>
      </c>
      <c r="G1835">
        <v>-1.1642893132512907E-2</v>
      </c>
    </row>
    <row r="1836" spans="1:7">
      <c r="A1836" s="61">
        <v>42900</v>
      </c>
      <c r="C1836">
        <v>7.7894726719319757E-4</v>
      </c>
      <c r="E1836" s="62">
        <v>42900</v>
      </c>
      <c r="G1836">
        <v>5.8900234801842902E-3</v>
      </c>
    </row>
    <row r="1837" spans="1:7">
      <c r="A1837" s="61">
        <v>42901</v>
      </c>
      <c r="C1837">
        <v>-1.6575780142695847E-3</v>
      </c>
      <c r="E1837" s="62">
        <v>42901</v>
      </c>
      <c r="G1837">
        <v>9.3672582109251383E-3</v>
      </c>
    </row>
    <row r="1838" spans="1:7">
      <c r="A1838" s="61">
        <v>42902</v>
      </c>
      <c r="C1838">
        <v>1.7325184080073847E-4</v>
      </c>
      <c r="E1838" s="62">
        <v>42902</v>
      </c>
      <c r="G1838">
        <v>-1.6626861812856251E-2</v>
      </c>
    </row>
    <row r="1839" spans="1:7">
      <c r="A1839" s="61">
        <v>42905</v>
      </c>
      <c r="C1839">
        <v>4.3401691799873146E-3</v>
      </c>
      <c r="E1839" s="62">
        <v>42905</v>
      </c>
      <c r="G1839">
        <v>-1.5336586002503974E-2</v>
      </c>
    </row>
    <row r="1840" spans="1:7">
      <c r="A1840" s="61">
        <v>42906</v>
      </c>
      <c r="C1840">
        <v>1.5043501590585745E-3</v>
      </c>
      <c r="E1840" s="62">
        <v>42906</v>
      </c>
      <c r="G1840">
        <v>7.9883500722339584E-3</v>
      </c>
    </row>
    <row r="1841" spans="1:7">
      <c r="A1841" s="61">
        <v>42907</v>
      </c>
      <c r="C1841">
        <v>-1.7651955109500221E-3</v>
      </c>
      <c r="E1841" s="62">
        <v>42907</v>
      </c>
      <c r="G1841">
        <v>2.3766322197966972E-2</v>
      </c>
    </row>
    <row r="1842" spans="1:7">
      <c r="A1842" s="61">
        <v>42908</v>
      </c>
      <c r="C1842">
        <v>-9.0572330871736243E-4</v>
      </c>
      <c r="E1842" s="62">
        <v>42908</v>
      </c>
      <c r="G1842">
        <v>-7.6916385414298692E-4</v>
      </c>
    </row>
    <row r="1843" spans="1:7">
      <c r="A1843" s="61">
        <v>42909</v>
      </c>
      <c r="C1843">
        <v>-4.7965311486732791E-3</v>
      </c>
      <c r="E1843" s="62">
        <v>42909</v>
      </c>
      <c r="G1843">
        <v>1.2779151515321581E-2</v>
      </c>
    </row>
    <row r="1844" spans="1:7">
      <c r="A1844" s="61">
        <v>42913</v>
      </c>
      <c r="C1844">
        <v>-7.2198338185114463E-3</v>
      </c>
      <c r="E1844" s="62">
        <v>42913</v>
      </c>
      <c r="G1844">
        <v>-8.4173765126540241E-3</v>
      </c>
    </row>
    <row r="1845" spans="1:7">
      <c r="A1845" s="61">
        <v>42914</v>
      </c>
      <c r="C1845">
        <v>-5.0149039255094653E-3</v>
      </c>
      <c r="E1845" s="62">
        <v>42914</v>
      </c>
      <c r="G1845">
        <v>-1.1950267951292178E-2</v>
      </c>
    </row>
    <row r="1846" spans="1:7">
      <c r="A1846" s="61">
        <v>42915</v>
      </c>
      <c r="C1846">
        <v>2.0687669856014703E-3</v>
      </c>
      <c r="E1846" s="62">
        <v>42915</v>
      </c>
      <c r="G1846">
        <v>4.6794523913494266E-3</v>
      </c>
    </row>
    <row r="1847" spans="1:7">
      <c r="A1847" s="61">
        <v>42916</v>
      </c>
      <c r="C1847">
        <v>-2.7753838063644372E-4</v>
      </c>
      <c r="E1847" s="62">
        <v>42916</v>
      </c>
      <c r="G1847">
        <v>3.9627349882018048E-2</v>
      </c>
    </row>
    <row r="1848" spans="1:7">
      <c r="A1848" s="61">
        <v>42919</v>
      </c>
      <c r="C1848">
        <v>1.1085135398402423E-2</v>
      </c>
      <c r="E1848" s="62">
        <v>42919</v>
      </c>
      <c r="G1848">
        <v>-2.4285187738838573E-2</v>
      </c>
    </row>
    <row r="1849" spans="1:7">
      <c r="A1849" s="61">
        <v>42920</v>
      </c>
      <c r="C1849">
        <v>3.265958881674161E-3</v>
      </c>
      <c r="E1849" s="62">
        <v>42920</v>
      </c>
      <c r="G1849">
        <v>-2.7197772202179733E-2</v>
      </c>
    </row>
    <row r="1850" spans="1:7">
      <c r="A1850" s="61">
        <v>42921</v>
      </c>
      <c r="C1850">
        <v>6.4818460297492726E-4</v>
      </c>
      <c r="E1850" s="62">
        <v>42921</v>
      </c>
      <c r="G1850">
        <v>3.9374476104379486E-3</v>
      </c>
    </row>
    <row r="1851" spans="1:7">
      <c r="A1851" s="61">
        <v>42922</v>
      </c>
      <c r="C1851">
        <v>4.5871339529482188E-3</v>
      </c>
      <c r="E1851" s="62">
        <v>42922</v>
      </c>
      <c r="G1851">
        <v>-1.5670963407725988E-3</v>
      </c>
    </row>
    <row r="1852" spans="1:7">
      <c r="A1852" s="61">
        <v>42923</v>
      </c>
      <c r="C1852">
        <v>3.2479163183909786E-4</v>
      </c>
      <c r="E1852" s="62">
        <v>42923</v>
      </c>
      <c r="G1852">
        <v>-3.9455403577329842E-4</v>
      </c>
    </row>
    <row r="1853" spans="1:7">
      <c r="A1853" s="61">
        <v>42926</v>
      </c>
      <c r="C1853">
        <v>7.3149885643619076E-3</v>
      </c>
      <c r="E1853" s="62">
        <v>42926</v>
      </c>
      <c r="G1853">
        <v>1.1840699707626463E-3</v>
      </c>
    </row>
    <row r="1854" spans="1:7">
      <c r="A1854" s="61">
        <v>42927</v>
      </c>
      <c r="C1854">
        <v>3.3512667978099252E-3</v>
      </c>
      <c r="E1854" s="62">
        <v>42927</v>
      </c>
      <c r="G1854">
        <v>-1.1775538132917792E-2</v>
      </c>
    </row>
    <row r="1855" spans="1:7">
      <c r="A1855" s="61">
        <v>42928</v>
      </c>
      <c r="C1855">
        <v>1.6535016440532354E-3</v>
      </c>
      <c r="E1855" s="62">
        <v>42928</v>
      </c>
      <c r="G1855">
        <v>-7.5448646782041179E-3</v>
      </c>
    </row>
    <row r="1856" spans="1:7">
      <c r="A1856" s="61">
        <v>42929</v>
      </c>
      <c r="C1856">
        <v>6.8907943515294891E-3</v>
      </c>
      <c r="E1856" s="62">
        <v>42929</v>
      </c>
      <c r="G1856">
        <v>5.1992042094629E-3</v>
      </c>
    </row>
    <row r="1857" spans="1:7">
      <c r="A1857" s="61">
        <v>42930</v>
      </c>
      <c r="C1857">
        <v>2.6091070483364358E-3</v>
      </c>
      <c r="E1857" s="62">
        <v>42930</v>
      </c>
      <c r="G1857">
        <v>-8.7540133081820196E-3</v>
      </c>
    </row>
    <row r="1858" spans="1:7">
      <c r="A1858" s="61">
        <v>42933</v>
      </c>
      <c r="C1858">
        <v>1.1446458605868062E-3</v>
      </c>
      <c r="E1858" s="62">
        <v>42933</v>
      </c>
      <c r="G1858">
        <v>-9.2432744730392442E-3</v>
      </c>
    </row>
    <row r="1859" spans="1:7">
      <c r="A1859" s="61">
        <v>42934</v>
      </c>
      <c r="C1859">
        <v>-7.3966913223044075E-3</v>
      </c>
      <c r="E1859" s="62">
        <v>42934</v>
      </c>
      <c r="G1859">
        <v>-2.4254647360823682E-3</v>
      </c>
    </row>
    <row r="1860" spans="1:7">
      <c r="A1860" s="61">
        <v>42935</v>
      </c>
      <c r="C1860">
        <v>5.0446638457923325E-3</v>
      </c>
      <c r="E1860" s="62">
        <v>42935</v>
      </c>
      <c r="G1860">
        <v>9.7516065274437323E-3</v>
      </c>
    </row>
    <row r="1861" spans="1:7">
      <c r="A1861" s="61">
        <v>42936</v>
      </c>
      <c r="C1861">
        <v>2.0676137772308516E-3</v>
      </c>
      <c r="E1861" s="62">
        <v>42936</v>
      </c>
      <c r="G1861">
        <v>2.5352045765743413E-2</v>
      </c>
    </row>
    <row r="1862" spans="1:7">
      <c r="A1862" s="61">
        <v>42937</v>
      </c>
      <c r="C1862">
        <v>6.4421259015488689E-4</v>
      </c>
      <c r="E1862" s="62">
        <v>42937</v>
      </c>
      <c r="G1862">
        <v>-8.2445819576770062E-3</v>
      </c>
    </row>
    <row r="1863" spans="1:7">
      <c r="A1863" s="61">
        <v>42940</v>
      </c>
      <c r="C1863">
        <v>3.4522493270446411E-3</v>
      </c>
      <c r="E1863" s="62">
        <v>42940</v>
      </c>
      <c r="G1863">
        <v>5.5391859127844768E-3</v>
      </c>
    </row>
    <row r="1864" spans="1:7">
      <c r="A1864" s="61">
        <v>42941</v>
      </c>
      <c r="C1864">
        <v>3.4915129734579245E-3</v>
      </c>
      <c r="E1864" s="62">
        <v>42941</v>
      </c>
      <c r="G1864">
        <v>-1.1807878426002035E-2</v>
      </c>
    </row>
    <row r="1865" spans="1:7">
      <c r="A1865" s="61">
        <v>42942</v>
      </c>
      <c r="C1865">
        <v>1.7512648023572243E-3</v>
      </c>
      <c r="E1865" s="62">
        <v>42942</v>
      </c>
      <c r="G1865">
        <v>-1.0349088172629341E-2</v>
      </c>
    </row>
    <row r="1866" spans="1:7">
      <c r="A1866" s="61">
        <v>42943</v>
      </c>
      <c r="C1866">
        <v>2.8720481727114808E-3</v>
      </c>
      <c r="E1866" s="62">
        <v>42943</v>
      </c>
      <c r="G1866">
        <v>8.8490943182724675E-3</v>
      </c>
    </row>
    <row r="1867" spans="1:7">
      <c r="A1867" s="61">
        <v>42944</v>
      </c>
      <c r="C1867">
        <v>-3.1912489681476626E-3</v>
      </c>
      <c r="E1867" s="62">
        <v>42944</v>
      </c>
      <c r="G1867">
        <v>-1.63495906666648E-2</v>
      </c>
    </row>
    <row r="1868" spans="1:7">
      <c r="A1868" s="61">
        <v>42947</v>
      </c>
      <c r="C1868">
        <v>5.7321039458527352E-3</v>
      </c>
      <c r="E1868" s="62">
        <v>42947</v>
      </c>
      <c r="G1868">
        <v>1.0945157836997933E-2</v>
      </c>
    </row>
    <row r="1869" spans="1:7">
      <c r="A1869" s="61">
        <v>42948</v>
      </c>
      <c r="C1869">
        <v>4.1998251989513275E-3</v>
      </c>
      <c r="E1869" s="62">
        <v>42948</v>
      </c>
      <c r="G1869">
        <v>1.9655889295030721E-2</v>
      </c>
    </row>
    <row r="1870" spans="1:7">
      <c r="A1870" s="61">
        <v>42949</v>
      </c>
      <c r="C1870">
        <v>-3.2065523607113219E-4</v>
      </c>
      <c r="E1870" s="62">
        <v>42949</v>
      </c>
      <c r="G1870">
        <v>1.7309844543684349E-2</v>
      </c>
    </row>
    <row r="1871" spans="1:7">
      <c r="A1871" s="61">
        <v>42950</v>
      </c>
      <c r="C1871">
        <v>-5.5628617120232881E-3</v>
      </c>
      <c r="E1871" s="62">
        <v>42950</v>
      </c>
      <c r="G1871">
        <v>-1.8560653983424026E-2</v>
      </c>
    </row>
    <row r="1872" spans="1:7">
      <c r="A1872" s="61">
        <v>42951</v>
      </c>
      <c r="C1872">
        <v>-5.8520221731741119E-4</v>
      </c>
      <c r="E1872" s="62">
        <v>42951</v>
      </c>
      <c r="G1872">
        <v>8.6642998153291986E-3</v>
      </c>
    </row>
    <row r="1873" spans="1:7">
      <c r="A1873" s="61">
        <v>42954</v>
      </c>
      <c r="C1873">
        <v>5.3113992217325087E-3</v>
      </c>
      <c r="E1873" s="62">
        <v>42954</v>
      </c>
      <c r="G1873">
        <v>8.205905246228341E-3</v>
      </c>
    </row>
    <row r="1874" spans="1:7">
      <c r="A1874" s="61">
        <v>42955</v>
      </c>
      <c r="C1874">
        <v>-3.0452569206215925E-3</v>
      </c>
      <c r="E1874" s="62">
        <v>42955</v>
      </c>
      <c r="G1874">
        <v>6.9716329285966433E-3</v>
      </c>
    </row>
    <row r="1875" spans="1:7">
      <c r="A1875" s="61">
        <v>42956</v>
      </c>
      <c r="C1875">
        <v>-1.0911767411905452E-2</v>
      </c>
      <c r="E1875" s="62">
        <v>42956</v>
      </c>
      <c r="G1875">
        <v>-2.9239297297209792E-2</v>
      </c>
    </row>
    <row r="1876" spans="1:7">
      <c r="A1876" s="61">
        <v>42957</v>
      </c>
      <c r="C1876">
        <v>-1.2994865307337301E-2</v>
      </c>
      <c r="E1876" s="62">
        <v>42957</v>
      </c>
      <c r="G1876">
        <v>-1.1095987590909238E-2</v>
      </c>
    </row>
    <row r="1877" spans="1:7">
      <c r="A1877" s="61">
        <v>42958</v>
      </c>
      <c r="C1877">
        <v>-1.5493794000395963E-2</v>
      </c>
      <c r="E1877" s="62">
        <v>42958</v>
      </c>
      <c r="G1877">
        <v>-1.5893262956246924E-2</v>
      </c>
    </row>
    <row r="1878" spans="1:7">
      <c r="A1878" s="61">
        <v>42961</v>
      </c>
      <c r="C1878">
        <v>1.0558762432631754E-2</v>
      </c>
      <c r="E1878" s="62">
        <v>42961</v>
      </c>
      <c r="G1878">
        <v>2.1649646417076084E-2</v>
      </c>
    </row>
    <row r="1879" spans="1:7">
      <c r="A1879" s="61">
        <v>42963</v>
      </c>
      <c r="C1879">
        <v>1.0808404221056056E-2</v>
      </c>
      <c r="E1879" s="62">
        <v>42963</v>
      </c>
      <c r="G1879">
        <v>7.2032077287672814E-3</v>
      </c>
    </row>
    <row r="1880" spans="1:7">
      <c r="A1880" s="61">
        <v>42964</v>
      </c>
      <c r="C1880">
        <v>6.0258464768008909E-3</v>
      </c>
      <c r="E1880" s="62">
        <v>42964</v>
      </c>
      <c r="G1880">
        <v>4.3606994507646001E-3</v>
      </c>
    </row>
    <row r="1881" spans="1:7">
      <c r="A1881" s="61">
        <v>42965</v>
      </c>
      <c r="C1881">
        <v>-7.0517000465766862E-3</v>
      </c>
      <c r="E1881" s="62">
        <v>42965</v>
      </c>
      <c r="G1881">
        <v>-2.015411077375855E-2</v>
      </c>
    </row>
    <row r="1882" spans="1:7">
      <c r="A1882" s="61">
        <v>42968</v>
      </c>
      <c r="C1882">
        <v>-4.3154803786364963E-3</v>
      </c>
      <c r="E1882" s="62">
        <v>42968</v>
      </c>
      <c r="G1882">
        <v>-3.2671888744223089E-2</v>
      </c>
    </row>
    <row r="1883" spans="1:7">
      <c r="A1883" s="61">
        <v>42969</v>
      </c>
      <c r="C1883">
        <v>-3.872499599558907E-3</v>
      </c>
      <c r="E1883" s="62">
        <v>42969</v>
      </c>
      <c r="G1883">
        <v>-7.0482619502357555E-2</v>
      </c>
    </row>
    <row r="1884" spans="1:7">
      <c r="A1884" s="61">
        <v>42970</v>
      </c>
      <c r="C1884">
        <v>3.6558143054423692E-3</v>
      </c>
      <c r="E1884" s="62">
        <v>42970</v>
      </c>
      <c r="G1884">
        <v>1.8023518957677848E-3</v>
      </c>
    </row>
    <row r="1885" spans="1:7">
      <c r="A1885" s="61">
        <v>42971</v>
      </c>
      <c r="C1885">
        <v>5.0797061498373325E-3</v>
      </c>
      <c r="E1885" s="62">
        <v>42971</v>
      </c>
      <c r="G1885">
        <v>-6.7181740580687065E-3</v>
      </c>
    </row>
    <row r="1886" spans="1:7">
      <c r="A1886" s="61">
        <v>42975</v>
      </c>
      <c r="C1886">
        <v>5.3587754049557144E-3</v>
      </c>
      <c r="E1886" s="62">
        <v>42975</v>
      </c>
      <c r="G1886">
        <v>1.7583712718965402E-2</v>
      </c>
    </row>
    <row r="1887" spans="1:7">
      <c r="A1887" s="61">
        <v>42976</v>
      </c>
      <c r="C1887">
        <v>-5.8478441321035187E-3</v>
      </c>
      <c r="E1887" s="62">
        <v>42976</v>
      </c>
      <c r="G1887">
        <v>1.6834899907136127E-2</v>
      </c>
    </row>
    <row r="1888" spans="1:7">
      <c r="A1888" s="61">
        <v>42977</v>
      </c>
      <c r="C1888">
        <v>4.0106199339537676E-3</v>
      </c>
      <c r="E1888" s="62">
        <v>42977</v>
      </c>
      <c r="G1888">
        <v>2.178898083001206E-3</v>
      </c>
    </row>
    <row r="1889" spans="1:7">
      <c r="A1889" s="61">
        <v>42978</v>
      </c>
      <c r="C1889">
        <v>4.5459005134577931E-3</v>
      </c>
      <c r="E1889" s="62">
        <v>42978</v>
      </c>
      <c r="G1889">
        <v>3.347708065406875E-2</v>
      </c>
    </row>
    <row r="1890" spans="1:7">
      <c r="A1890" s="61">
        <v>42979</v>
      </c>
      <c r="C1890">
        <v>5.0415790746561962E-3</v>
      </c>
      <c r="E1890" s="62">
        <v>42979</v>
      </c>
      <c r="G1890">
        <v>-7.1564308062486825E-3</v>
      </c>
    </row>
    <row r="1891" spans="1:7">
      <c r="A1891" s="61">
        <v>42982</v>
      </c>
      <c r="C1891">
        <v>-4.7664001184638473E-4</v>
      </c>
      <c r="E1891" s="62">
        <v>42982</v>
      </c>
      <c r="G1891">
        <v>-4.1652827506139737E-4</v>
      </c>
    </row>
    <row r="1892" spans="1:7">
      <c r="A1892" s="61">
        <v>42983</v>
      </c>
      <c r="C1892">
        <v>1.8056140708253585E-4</v>
      </c>
      <c r="E1892" s="62">
        <v>42983</v>
      </c>
      <c r="G1892">
        <v>1.780094909472868E-2</v>
      </c>
    </row>
    <row r="1893" spans="1:7">
      <c r="A1893" s="61">
        <v>42984</v>
      </c>
      <c r="C1893">
        <v>-2.4209376388682822E-3</v>
      </c>
      <c r="E1893" s="62">
        <v>42984</v>
      </c>
      <c r="G1893">
        <v>-4.583767460078856E-3</v>
      </c>
    </row>
    <row r="1894" spans="1:7">
      <c r="A1894" s="61">
        <v>42985</v>
      </c>
      <c r="C1894">
        <v>4.6772988599083692E-3</v>
      </c>
      <c r="E1894" s="62">
        <v>42985</v>
      </c>
      <c r="G1894">
        <v>-1.8821943946061286E-2</v>
      </c>
    </row>
    <row r="1895" spans="1:7">
      <c r="A1895" s="61">
        <v>42986</v>
      </c>
      <c r="C1895">
        <v>6.142704729882306E-4</v>
      </c>
      <c r="E1895" s="62">
        <v>42986</v>
      </c>
      <c r="G1895">
        <v>-1.8344718839163124E-2</v>
      </c>
    </row>
    <row r="1896" spans="1:7">
      <c r="A1896" s="61">
        <v>42989</v>
      </c>
      <c r="C1896">
        <v>3.7895222709438516E-3</v>
      </c>
      <c r="E1896" s="62">
        <v>42989</v>
      </c>
      <c r="G1896">
        <v>4.3882645128496482E-2</v>
      </c>
    </row>
    <row r="1897" spans="1:7">
      <c r="A1897" s="61">
        <v>42990</v>
      </c>
      <c r="C1897">
        <v>8.4608982347071562E-3</v>
      </c>
      <c r="E1897" s="62">
        <v>42990</v>
      </c>
      <c r="G1897">
        <v>2.4900279564341152E-3</v>
      </c>
    </row>
    <row r="1898" spans="1:7">
      <c r="A1898" s="61">
        <v>42991</v>
      </c>
      <c r="C1898">
        <v>1.413517789805345E-3</v>
      </c>
      <c r="E1898" s="62">
        <v>42991</v>
      </c>
      <c r="G1898">
        <v>-1.535572258005573E-2</v>
      </c>
    </row>
    <row r="1899" spans="1:7">
      <c r="A1899" s="61">
        <v>42992</v>
      </c>
      <c r="C1899">
        <v>9.3342622062553228E-4</v>
      </c>
      <c r="E1899" s="62">
        <v>42992</v>
      </c>
      <c r="G1899">
        <v>8.4681138208660546E-4</v>
      </c>
    </row>
    <row r="1900" spans="1:7">
      <c r="A1900" s="61">
        <v>42993</v>
      </c>
      <c r="C1900">
        <v>-1.6513060329531374E-3</v>
      </c>
      <c r="E1900" s="62">
        <v>42993</v>
      </c>
      <c r="G1900">
        <v>-2.27475255683584E-2</v>
      </c>
    </row>
    <row r="1901" spans="1:7">
      <c r="A1901" s="61">
        <v>42996</v>
      </c>
      <c r="C1901">
        <v>7.0444676323570951E-3</v>
      </c>
      <c r="E1901" s="62">
        <v>42996</v>
      </c>
      <c r="G1901">
        <v>-5.1766948878332253E-3</v>
      </c>
    </row>
    <row r="1902" spans="1:7">
      <c r="A1902" s="61">
        <v>42997</v>
      </c>
      <c r="C1902">
        <v>1.8189304507959896E-3</v>
      </c>
      <c r="E1902" s="62">
        <v>42997</v>
      </c>
      <c r="G1902">
        <v>-6.5000998773717339E-3</v>
      </c>
    </row>
    <row r="1903" spans="1:7">
      <c r="A1903" s="61">
        <v>42998</v>
      </c>
      <c r="C1903">
        <v>-8.2651720104237245E-4</v>
      </c>
      <c r="E1903" s="62">
        <v>42998</v>
      </c>
      <c r="G1903">
        <v>3.9237605011311566E-3</v>
      </c>
    </row>
    <row r="1904" spans="1:7">
      <c r="A1904" s="61">
        <v>42999</v>
      </c>
      <c r="C1904">
        <v>-2.8341801218652578E-3</v>
      </c>
      <c r="E1904" s="62">
        <v>42999</v>
      </c>
      <c r="G1904">
        <v>-1.7360758121664523E-3</v>
      </c>
    </row>
    <row r="1905" spans="1:7">
      <c r="A1905" s="61">
        <v>43000</v>
      </c>
      <c r="C1905">
        <v>-1.2184894900748379E-2</v>
      </c>
      <c r="E1905" s="62">
        <v>43000</v>
      </c>
      <c r="G1905">
        <v>-2.4364777385607727E-2</v>
      </c>
    </row>
    <row r="1906" spans="1:7">
      <c r="A1906" s="61">
        <v>43003</v>
      </c>
      <c r="C1906">
        <v>-1.3326419259062004E-2</v>
      </c>
      <c r="E1906" s="62">
        <v>43003</v>
      </c>
      <c r="G1906">
        <v>1.7395492934899587E-2</v>
      </c>
    </row>
    <row r="1907" spans="1:7">
      <c r="A1907" s="61">
        <v>43004</v>
      </c>
      <c r="C1907">
        <v>-4.47423131124747E-3</v>
      </c>
      <c r="E1907" s="62">
        <v>43004</v>
      </c>
      <c r="G1907">
        <v>4.6469365938577388E-2</v>
      </c>
    </row>
    <row r="1908" spans="1:7">
      <c r="A1908" s="61">
        <v>43005</v>
      </c>
      <c r="C1908">
        <v>-4.5130275126491932E-3</v>
      </c>
      <c r="E1908" s="62">
        <v>43005</v>
      </c>
      <c r="G1908">
        <v>-1.0054051073096265E-2</v>
      </c>
    </row>
    <row r="1909" spans="1:7">
      <c r="A1909" s="61">
        <v>43006</v>
      </c>
      <c r="C1909">
        <v>-8.0251172089487108E-3</v>
      </c>
      <c r="E1909" s="62">
        <v>43006</v>
      </c>
      <c r="G1909">
        <v>-2.1161958393457973E-3</v>
      </c>
    </row>
    <row r="1910" spans="1:7">
      <c r="A1910" s="61">
        <v>43007</v>
      </c>
      <c r="C1910">
        <v>5.7813039631737905E-3</v>
      </c>
      <c r="E1910" s="62">
        <v>43007</v>
      </c>
      <c r="G1910">
        <v>-1.3576213665677423E-2</v>
      </c>
    </row>
    <row r="1911" spans="1:7">
      <c r="A1911" s="61">
        <v>43011</v>
      </c>
      <c r="C1911">
        <v>8.6738509734562205E-3</v>
      </c>
      <c r="E1911" s="62">
        <v>43011</v>
      </c>
      <c r="G1911">
        <v>4.8152441696559772E-2</v>
      </c>
    </row>
    <row r="1912" spans="1:7">
      <c r="A1912" s="61">
        <v>43012</v>
      </c>
      <c r="C1912">
        <v>2.3410139108458136E-3</v>
      </c>
      <c r="E1912" s="62">
        <v>43012</v>
      </c>
      <c r="G1912">
        <v>-3.2283551021483101E-2</v>
      </c>
    </row>
    <row r="1913" spans="1:7">
      <c r="A1913" s="61">
        <v>43013</v>
      </c>
      <c r="C1913">
        <v>1.3910923564360797E-3</v>
      </c>
      <c r="E1913" s="62">
        <v>43013</v>
      </c>
      <c r="G1913">
        <v>-1.4492680555627264E-2</v>
      </c>
    </row>
    <row r="1914" spans="1:7">
      <c r="A1914" s="61">
        <v>43014</v>
      </c>
      <c r="C1914">
        <v>4.5670374190429023E-3</v>
      </c>
      <c r="E1914" s="62">
        <v>43014</v>
      </c>
      <c r="G1914">
        <v>-6.4338952671815384E-3</v>
      </c>
    </row>
    <row r="1915" spans="1:7">
      <c r="A1915" s="61">
        <v>43017</v>
      </c>
      <c r="C1915">
        <v>4.4769009485666478E-3</v>
      </c>
      <c r="E1915" s="62">
        <v>43017</v>
      </c>
      <c r="G1915">
        <v>-3.7002937739869447E-3</v>
      </c>
    </row>
    <row r="1916" spans="1:7">
      <c r="A1916" s="61">
        <v>43018</v>
      </c>
      <c r="C1916">
        <v>3.2644378858965148E-3</v>
      </c>
      <c r="E1916" s="62">
        <v>43018</v>
      </c>
      <c r="G1916">
        <v>-2.2748392466389645E-2</v>
      </c>
    </row>
    <row r="1917" spans="1:7">
      <c r="A1917" s="61">
        <v>43019</v>
      </c>
      <c r="C1917">
        <v>-2.2028655609502028E-4</v>
      </c>
      <c r="E1917" s="62">
        <v>43019</v>
      </c>
      <c r="G1917">
        <v>3.3254483275544176E-3</v>
      </c>
    </row>
    <row r="1918" spans="1:7">
      <c r="A1918" s="61">
        <v>43020</v>
      </c>
      <c r="C1918">
        <v>3.2315813633234545E-3</v>
      </c>
      <c r="E1918" s="62">
        <v>43020</v>
      </c>
      <c r="G1918">
        <v>-1.231055769088688E-2</v>
      </c>
    </row>
    <row r="1919" spans="1:7">
      <c r="A1919" s="61">
        <v>43021</v>
      </c>
      <c r="C1919">
        <v>8.3594901031322725E-3</v>
      </c>
      <c r="E1919" s="62">
        <v>43021</v>
      </c>
      <c r="G1919">
        <v>9.1082590656658153E-3</v>
      </c>
    </row>
    <row r="1920" spans="1:7">
      <c r="A1920" s="61">
        <v>43024</v>
      </c>
      <c r="C1920">
        <v>6.0894541725466681E-3</v>
      </c>
      <c r="E1920" s="62">
        <v>43024</v>
      </c>
      <c r="G1920">
        <v>2.612833267917412E-2</v>
      </c>
    </row>
    <row r="1921" spans="1:7">
      <c r="A1921" s="61">
        <v>43025</v>
      </c>
      <c r="C1921">
        <v>1.727380560428971E-3</v>
      </c>
      <c r="E1921" s="62">
        <v>43025</v>
      </c>
      <c r="G1921">
        <v>1.8981490878671285E-2</v>
      </c>
    </row>
    <row r="1922" spans="1:7">
      <c r="A1922" s="61">
        <v>43026</v>
      </c>
      <c r="C1922">
        <v>-1.1886216491225567E-3</v>
      </c>
      <c r="E1922" s="62">
        <v>43026</v>
      </c>
      <c r="G1922">
        <v>3.0894976387328282E-2</v>
      </c>
    </row>
    <row r="1923" spans="1:7">
      <c r="A1923" s="61">
        <v>43027</v>
      </c>
      <c r="C1923">
        <v>-3.0427060700857532E-3</v>
      </c>
      <c r="E1923" s="62">
        <v>43027</v>
      </c>
      <c r="G1923">
        <v>5.7294093435315881E-3</v>
      </c>
    </row>
    <row r="1924" spans="1:7">
      <c r="A1924" s="61">
        <v>43031</v>
      </c>
      <c r="C1924">
        <v>1.4468704644005333E-4</v>
      </c>
      <c r="E1924" s="62">
        <v>43031</v>
      </c>
      <c r="G1924">
        <v>-1.1393469859762339E-2</v>
      </c>
    </row>
    <row r="1925" spans="1:7">
      <c r="A1925" s="61">
        <v>43032</v>
      </c>
      <c r="C1925">
        <v>3.354445544509563E-3</v>
      </c>
      <c r="E1925" s="62">
        <v>43032</v>
      </c>
      <c r="G1925">
        <v>-1.3297901363749207E-2</v>
      </c>
    </row>
    <row r="1926" spans="1:7">
      <c r="A1926" s="61">
        <v>43033</v>
      </c>
      <c r="C1926">
        <v>9.047449547402369E-3</v>
      </c>
      <c r="E1926" s="62">
        <v>43033</v>
      </c>
      <c r="G1926">
        <v>1.6172518999280946E-2</v>
      </c>
    </row>
    <row r="1927" spans="1:7">
      <c r="A1927" s="61">
        <v>43034</v>
      </c>
      <c r="C1927">
        <v>1.2636805701297738E-3</v>
      </c>
      <c r="E1927" s="62">
        <v>43034</v>
      </c>
      <c r="G1927">
        <v>-4.420718994637255E-4</v>
      </c>
    </row>
    <row r="1928" spans="1:7">
      <c r="A1928" s="61">
        <v>43035</v>
      </c>
      <c r="C1928">
        <v>3.0727104070782858E-3</v>
      </c>
      <c r="E1928" s="62">
        <v>43035</v>
      </c>
      <c r="G1928">
        <v>-7.961151764594894E-3</v>
      </c>
    </row>
    <row r="1929" spans="1:7">
      <c r="A1929" s="61">
        <v>43038</v>
      </c>
      <c r="C1929">
        <v>3.3700721586691733E-3</v>
      </c>
      <c r="E1929" s="62">
        <v>43038</v>
      </c>
      <c r="G1929">
        <v>2.0508246930017456E-2</v>
      </c>
    </row>
    <row r="1930" spans="1:7">
      <c r="A1930" s="61">
        <v>43039</v>
      </c>
      <c r="C1930">
        <v>8.3304162106335252E-4</v>
      </c>
      <c r="E1930" s="62">
        <v>43039</v>
      </c>
      <c r="G1930">
        <v>-1.048491290931303E-2</v>
      </c>
    </row>
    <row r="1931" spans="1:7">
      <c r="A1931" s="61">
        <v>43040</v>
      </c>
      <c r="C1931">
        <v>6.0610890479796285E-3</v>
      </c>
      <c r="E1931" s="62">
        <v>43040</v>
      </c>
      <c r="G1931">
        <v>1.3245062835667391E-2</v>
      </c>
    </row>
    <row r="1932" spans="1:7">
      <c r="A1932" s="61">
        <v>43041</v>
      </c>
      <c r="C1932">
        <v>2.0507313981940442E-3</v>
      </c>
      <c r="E1932" s="62">
        <v>43041</v>
      </c>
      <c r="G1932">
        <v>-4.7930702222135661E-3</v>
      </c>
    </row>
    <row r="1933" spans="1:7">
      <c r="A1933" s="61">
        <v>43042</v>
      </c>
      <c r="C1933">
        <v>2.4637464756567156E-3</v>
      </c>
      <c r="E1933" s="62">
        <v>43042</v>
      </c>
      <c r="G1933">
        <v>2.6270149360560356E-3</v>
      </c>
    </row>
    <row r="1934" spans="1:7">
      <c r="A1934" s="61">
        <v>43045</v>
      </c>
      <c r="C1934">
        <v>-5.1694755610849207E-4</v>
      </c>
      <c r="E1934" s="62">
        <v>43045</v>
      </c>
      <c r="G1934">
        <v>0</v>
      </c>
    </row>
    <row r="1935" spans="1:7">
      <c r="A1935" s="61">
        <v>43046</v>
      </c>
      <c r="C1935">
        <v>-2.8665979968880077E-3</v>
      </c>
      <c r="E1935" s="62">
        <v>43046</v>
      </c>
      <c r="G1935">
        <v>-1.9213930745010811E-2</v>
      </c>
    </row>
    <row r="1936" spans="1:7">
      <c r="A1936" s="61">
        <v>43047</v>
      </c>
      <c r="C1936">
        <v>-9.042115951839725E-3</v>
      </c>
      <c r="E1936" s="62">
        <v>43047</v>
      </c>
      <c r="G1936">
        <v>-1.8254746527535247E-2</v>
      </c>
    </row>
    <row r="1937" spans="1:7">
      <c r="A1937" s="61">
        <v>43048</v>
      </c>
      <c r="C1937">
        <v>8.3394696452157319E-4</v>
      </c>
      <c r="E1937" s="62">
        <v>43048</v>
      </c>
      <c r="G1937">
        <v>9.5238390854598658E-3</v>
      </c>
    </row>
    <row r="1938" spans="1:7">
      <c r="A1938" s="61">
        <v>43049</v>
      </c>
      <c r="C1938">
        <v>-1.2321493471379404E-3</v>
      </c>
      <c r="E1938" s="62">
        <v>43049</v>
      </c>
      <c r="G1938">
        <v>5.8400127516455994E-3</v>
      </c>
    </row>
    <row r="1939" spans="1:7">
      <c r="A1939" s="61">
        <v>43052</v>
      </c>
      <c r="C1939">
        <v>-3.1640514058507395E-3</v>
      </c>
      <c r="E1939" s="62">
        <v>43052</v>
      </c>
      <c r="G1939">
        <v>8.9325405021206394E-3</v>
      </c>
    </row>
    <row r="1940" spans="1:7">
      <c r="A1940" s="61">
        <v>43053</v>
      </c>
      <c r="C1940">
        <v>-5.9519834751212922E-3</v>
      </c>
      <c r="E1940" s="62">
        <v>43053</v>
      </c>
      <c r="G1940">
        <v>-7.9680673134708106E-3</v>
      </c>
    </row>
    <row r="1941" spans="1:7">
      <c r="A1941" s="61">
        <v>43054</v>
      </c>
      <c r="C1941">
        <v>-6.4578537712612393E-3</v>
      </c>
      <c r="E1941" s="62">
        <v>43054</v>
      </c>
      <c r="G1941">
        <v>-8.9250083534401733E-4</v>
      </c>
    </row>
    <row r="1942" spans="1:7">
      <c r="A1942" s="61">
        <v>43055</v>
      </c>
      <c r="C1942">
        <v>3.4392297567747538E-3</v>
      </c>
      <c r="E1942" s="62">
        <v>43055</v>
      </c>
      <c r="G1942">
        <v>-8.9325315114191853E-3</v>
      </c>
    </row>
    <row r="1943" spans="1:7">
      <c r="A1943" s="61">
        <v>43056</v>
      </c>
      <c r="C1943">
        <v>1.2699054421310366E-2</v>
      </c>
      <c r="E1943" s="62">
        <v>43056</v>
      </c>
      <c r="G1943">
        <v>8.1117639192027705E-3</v>
      </c>
    </row>
    <row r="1944" spans="1:7">
      <c r="A1944" s="61">
        <v>43059</v>
      </c>
      <c r="C1944">
        <v>-9.3150344656372047E-5</v>
      </c>
      <c r="E1944" s="62">
        <v>43059</v>
      </c>
      <c r="G1944">
        <v>-9.8346051521490153E-3</v>
      </c>
    </row>
    <row r="1945" spans="1:7">
      <c r="A1945" s="61">
        <v>43060</v>
      </c>
      <c r="C1945">
        <v>3.6021488681179099E-3</v>
      </c>
      <c r="E1945" s="62">
        <v>43060</v>
      </c>
      <c r="G1945">
        <v>2.257397457113884E-3</v>
      </c>
    </row>
    <row r="1946" spans="1:7">
      <c r="A1946" s="61">
        <v>43061</v>
      </c>
      <c r="C1946">
        <v>1.4586731378711329E-3</v>
      </c>
      <c r="E1946" s="62">
        <v>43061</v>
      </c>
      <c r="G1946">
        <v>-4.5050795649378289E-4</v>
      </c>
    </row>
    <row r="1947" spans="1:7">
      <c r="A1947" s="61">
        <v>43062</v>
      </c>
      <c r="C1947">
        <v>3.663440191028223E-4</v>
      </c>
      <c r="E1947" s="62">
        <v>43062</v>
      </c>
      <c r="G1947">
        <v>6.9851297391446202E-2</v>
      </c>
    </row>
    <row r="1948" spans="1:7">
      <c r="A1948" s="61">
        <v>43063</v>
      </c>
      <c r="C1948">
        <v>2.7090705329015936E-3</v>
      </c>
      <c r="E1948" s="62">
        <v>43063</v>
      </c>
      <c r="G1948">
        <v>1.7270430586829134E-2</v>
      </c>
    </row>
    <row r="1949" spans="1:7">
      <c r="A1949" s="61">
        <v>43066</v>
      </c>
      <c r="C1949">
        <v>1.0296576608290705E-3</v>
      </c>
      <c r="E1949" s="62">
        <v>43066</v>
      </c>
      <c r="G1949">
        <v>1.4078647435985277E-2</v>
      </c>
    </row>
    <row r="1950" spans="1:7">
      <c r="A1950" s="61">
        <v>43067</v>
      </c>
      <c r="C1950">
        <v>8.9233122631786474E-4</v>
      </c>
      <c r="E1950" s="62">
        <v>43067</v>
      </c>
      <c r="G1950">
        <v>-2.1641390221304232E-2</v>
      </c>
    </row>
    <row r="1951" spans="1:7">
      <c r="A1951" s="61">
        <v>43068</v>
      </c>
      <c r="C1951">
        <v>-6.8072921470183458E-4</v>
      </c>
      <c r="E1951" s="62">
        <v>43068</v>
      </c>
      <c r="G1951">
        <v>3.0884734096310741E-2</v>
      </c>
    </row>
    <row r="1952" spans="1:7">
      <c r="A1952" s="61">
        <v>43069</v>
      </c>
      <c r="C1952">
        <v>-8.0029181425847612E-3</v>
      </c>
      <c r="E1952" s="62">
        <v>43069</v>
      </c>
      <c r="G1952">
        <v>8.0974665802343887E-4</v>
      </c>
    </row>
    <row r="1953" spans="1:7">
      <c r="A1953" s="61">
        <v>43070</v>
      </c>
      <c r="C1953">
        <v>-7.3807931029899101E-3</v>
      </c>
      <c r="E1953" s="62">
        <v>43070</v>
      </c>
      <c r="G1953">
        <v>-3.1553452827714816E-2</v>
      </c>
    </row>
    <row r="1954" spans="1:7">
      <c r="A1954" s="61">
        <v>43073</v>
      </c>
      <c r="C1954">
        <v>-4.2891254379504385E-3</v>
      </c>
      <c r="E1954" s="62">
        <v>43073</v>
      </c>
      <c r="G1954">
        <v>6.2656488710858002E-3</v>
      </c>
    </row>
    <row r="1955" spans="1:7">
      <c r="A1955" s="61">
        <v>43074</v>
      </c>
      <c r="C1955">
        <v>-2.8911579872161509E-3</v>
      </c>
      <c r="E1955" s="62">
        <v>43074</v>
      </c>
      <c r="G1955">
        <v>2.2831109065392367E-2</v>
      </c>
    </row>
    <row r="1956" spans="1:7">
      <c r="A1956" s="61">
        <v>43075</v>
      </c>
      <c r="C1956">
        <v>-4.9359628499117958E-3</v>
      </c>
      <c r="E1956" s="62">
        <v>43075</v>
      </c>
      <c r="G1956">
        <v>-1.9074717293936689E-2</v>
      </c>
    </row>
    <row r="1957" spans="1:7">
      <c r="A1957" s="61">
        <v>43076</v>
      </c>
      <c r="C1957">
        <v>4.7119732912886281E-3</v>
      </c>
      <c r="E1957" s="62">
        <v>43076</v>
      </c>
      <c r="G1957">
        <v>8.2746949877951052E-3</v>
      </c>
    </row>
    <row r="1958" spans="1:7">
      <c r="A1958" s="61">
        <v>43077</v>
      </c>
      <c r="C1958">
        <v>1.2041691772259847E-2</v>
      </c>
      <c r="E1958" s="62">
        <v>43077</v>
      </c>
      <c r="G1958">
        <v>-8.2067863340508293E-3</v>
      </c>
    </row>
    <row r="1959" spans="1:7">
      <c r="A1959" s="61">
        <v>43080</v>
      </c>
      <c r="C1959">
        <v>7.637555982085798E-3</v>
      </c>
      <c r="E1959" s="62">
        <v>43080</v>
      </c>
      <c r="G1959">
        <v>-7.8609144312102152E-3</v>
      </c>
    </row>
    <row r="1960" spans="1:7">
      <c r="A1960" s="61">
        <v>43081</v>
      </c>
      <c r="C1960">
        <v>-3.6333011451072338E-3</v>
      </c>
      <c r="E1960" s="62">
        <v>43081</v>
      </c>
      <c r="G1960">
        <v>6.2551969732941729E-3</v>
      </c>
    </row>
    <row r="1961" spans="1:7">
      <c r="A1961" s="61">
        <v>43082</v>
      </c>
      <c r="C1961">
        <v>-7.3462054193752357E-3</v>
      </c>
      <c r="E1961" s="62">
        <v>43082</v>
      </c>
      <c r="G1961">
        <v>-3.3153895826983824E-3</v>
      </c>
    </row>
    <row r="1962" spans="1:7">
      <c r="A1962" s="61">
        <v>43083</v>
      </c>
      <c r="C1962">
        <v>1.1502093113455786E-3</v>
      </c>
      <c r="E1962" s="62">
        <v>43083</v>
      </c>
      <c r="G1962">
        <v>-1.2474266118743236E-3</v>
      </c>
    </row>
    <row r="1963" spans="1:7">
      <c r="A1963" s="61">
        <v>43084</v>
      </c>
      <c r="C1963">
        <v>9.1688375303364926E-3</v>
      </c>
      <c r="E1963" s="62">
        <v>43084</v>
      </c>
      <c r="G1963">
        <v>-2.0815879704861088E-3</v>
      </c>
    </row>
    <row r="1964" spans="1:7">
      <c r="A1964" s="61">
        <v>43087</v>
      </c>
      <c r="C1964">
        <v>-4.0595876870943621E-4</v>
      </c>
      <c r="E1964" s="62">
        <v>43087</v>
      </c>
      <c r="G1964">
        <v>4.1718684327073574E-3</v>
      </c>
    </row>
    <row r="1965" spans="1:7">
      <c r="A1965" s="61">
        <v>43088</v>
      </c>
      <c r="C1965">
        <v>1.2196952306958808E-2</v>
      </c>
      <c r="E1965" s="62">
        <v>43088</v>
      </c>
      <c r="G1965">
        <v>-2.0772756538923447E-2</v>
      </c>
    </row>
    <row r="1966" spans="1:7">
      <c r="A1966" s="61">
        <v>43089</v>
      </c>
      <c r="C1966">
        <v>4.0908000610568439E-3</v>
      </c>
      <c r="E1966" s="62">
        <v>43089</v>
      </c>
      <c r="G1966">
        <v>0</v>
      </c>
    </row>
    <row r="1967" spans="1:7">
      <c r="A1967" s="61">
        <v>43090</v>
      </c>
      <c r="C1967">
        <v>6.6888760516494936E-4</v>
      </c>
      <c r="E1967" s="62">
        <v>43090</v>
      </c>
      <c r="G1967">
        <v>1.5273665185229547E-2</v>
      </c>
    </row>
    <row r="1968" spans="1:7">
      <c r="A1968" s="61">
        <v>43091</v>
      </c>
      <c r="C1968">
        <v>2.6563998836741818E-3</v>
      </c>
      <c r="E1968" s="62">
        <v>43091</v>
      </c>
      <c r="G1968">
        <v>4.1787157527424968E-4</v>
      </c>
    </row>
    <row r="1969" spans="1:7">
      <c r="A1969" s="61">
        <v>43095</v>
      </c>
      <c r="C1969">
        <v>4.2294555387684396E-3</v>
      </c>
      <c r="E1969" s="62">
        <v>43095</v>
      </c>
      <c r="G1969">
        <v>4.1769703155780479E-4</v>
      </c>
    </row>
    <row r="1970" spans="1:7">
      <c r="A1970" s="61">
        <v>43096</v>
      </c>
      <c r="C1970">
        <v>-4.6125461254600001E-4</v>
      </c>
      <c r="E1970" s="62">
        <v>43096</v>
      </c>
      <c r="G1970">
        <v>-1.2526057236650241E-2</v>
      </c>
    </row>
    <row r="1971" spans="1:7">
      <c r="A1971" s="61">
        <v>43097</v>
      </c>
      <c r="C1971">
        <v>-1.7682398250736407E-3</v>
      </c>
      <c r="E1971" s="62">
        <v>43097</v>
      </c>
      <c r="G1971">
        <v>-6.3424790768063068E-3</v>
      </c>
    </row>
    <row r="1972" spans="1:7">
      <c r="A1972" s="61">
        <v>43098</v>
      </c>
      <c r="C1972">
        <v>2.9335649078239107E-3</v>
      </c>
      <c r="E1972" s="62">
        <v>43098</v>
      </c>
      <c r="G1972">
        <v>2.5532348371373336E-3</v>
      </c>
    </row>
    <row r="1973" spans="1:7">
      <c r="A1973" s="61">
        <v>43101</v>
      </c>
      <c r="C1973">
        <v>-1.3914137280412041E-3</v>
      </c>
      <c r="E1973" s="62">
        <v>43101</v>
      </c>
      <c r="G1973">
        <v>5.9422731421178874E-3</v>
      </c>
    </row>
    <row r="1974" spans="1:7">
      <c r="A1974" s="61">
        <v>43102</v>
      </c>
      <c r="C1974">
        <v>-2.4200332161421196E-3</v>
      </c>
      <c r="E1974" s="62">
        <v>43102</v>
      </c>
      <c r="G1974">
        <v>0</v>
      </c>
    </row>
    <row r="1975" spans="1:7">
      <c r="A1975" s="61">
        <v>43103</v>
      </c>
      <c r="C1975">
        <v>2.1621247632473383E-4</v>
      </c>
      <c r="E1975" s="62">
        <v>43103</v>
      </c>
      <c r="G1975">
        <v>2.4050534867758031E-2</v>
      </c>
    </row>
    <row r="1976" spans="1:7">
      <c r="A1976" s="61">
        <v>43104</v>
      </c>
      <c r="C1976">
        <v>3.6877875004321424E-3</v>
      </c>
      <c r="E1976" s="62">
        <v>43104</v>
      </c>
      <c r="G1976">
        <v>3.7494920073936067E-2</v>
      </c>
    </row>
    <row r="1977" spans="1:7">
      <c r="A1977" s="61">
        <v>43105</v>
      </c>
      <c r="C1977">
        <v>7.0168032839846087E-3</v>
      </c>
      <c r="E1977" s="62">
        <v>43105</v>
      </c>
      <c r="G1977">
        <v>5.4805331536252458E-2</v>
      </c>
    </row>
    <row r="1978" spans="1:7">
      <c r="A1978" s="61">
        <v>43108</v>
      </c>
      <c r="C1978">
        <v>6.7839819321943379E-3</v>
      </c>
      <c r="E1978" s="62">
        <v>43108</v>
      </c>
      <c r="G1978">
        <v>5.8734932008686701E-2</v>
      </c>
    </row>
    <row r="1979" spans="1:7">
      <c r="A1979" s="61">
        <v>43109</v>
      </c>
      <c r="C1979">
        <v>2.9017895076730842E-3</v>
      </c>
      <c r="E1979" s="62">
        <v>43109</v>
      </c>
      <c r="G1979">
        <v>1.1024194515384811E-2</v>
      </c>
    </row>
    <row r="1980" spans="1:7">
      <c r="A1980" s="61">
        <v>43110</v>
      </c>
      <c r="C1980">
        <v>-9.1080468534875342E-4</v>
      </c>
      <c r="E1980" s="62">
        <v>43110</v>
      </c>
      <c r="G1980">
        <v>7.0348005286780986E-3</v>
      </c>
    </row>
    <row r="1981" spans="1:7">
      <c r="A1981" s="61">
        <v>43111</v>
      </c>
      <c r="C1981">
        <v>-2.9681139755766622E-4</v>
      </c>
      <c r="E1981" s="62">
        <v>43111</v>
      </c>
      <c r="G1981">
        <v>2.794396719580788E-3</v>
      </c>
    </row>
    <row r="1982" spans="1:7">
      <c r="A1982" s="61">
        <v>43112</v>
      </c>
      <c r="C1982">
        <v>3.147134919624935E-3</v>
      </c>
      <c r="E1982" s="62">
        <v>43112</v>
      </c>
      <c r="G1982">
        <v>-1.4280850369118747E-2</v>
      </c>
    </row>
    <row r="1983" spans="1:7">
      <c r="A1983" s="61">
        <v>43115</v>
      </c>
      <c r="C1983">
        <v>3.0569273440672323E-3</v>
      </c>
      <c r="E1983" s="62">
        <v>43115</v>
      </c>
      <c r="G1983">
        <v>-2.4734656836974465E-3</v>
      </c>
    </row>
    <row r="1984" spans="1:7">
      <c r="A1984" s="61">
        <v>43116</v>
      </c>
      <c r="C1984">
        <v>-2.6851012708916091E-3</v>
      </c>
      <c r="E1984" s="62">
        <v>43116</v>
      </c>
      <c r="G1984">
        <v>2.4087909970933602E-2</v>
      </c>
    </row>
    <row r="1985" spans="1:7">
      <c r="A1985" s="61">
        <v>43117</v>
      </c>
      <c r="C1985">
        <v>-6.7625254651349539E-4</v>
      </c>
      <c r="E1985" s="62">
        <v>43117</v>
      </c>
      <c r="G1985">
        <v>2.8363783646077317E-2</v>
      </c>
    </row>
    <row r="1986" spans="1:7">
      <c r="A1986" s="61">
        <v>43118</v>
      </c>
      <c r="C1986">
        <v>6.6359891388016222E-3</v>
      </c>
      <c r="E1986" s="62">
        <v>43118</v>
      </c>
      <c r="G1986">
        <v>-5.4154045242056109E-2</v>
      </c>
    </row>
    <row r="1987" spans="1:7">
      <c r="A1987" s="61">
        <v>43119</v>
      </c>
      <c r="C1987">
        <v>-5.6300865100612394E-4</v>
      </c>
      <c r="E1987" s="62">
        <v>43119</v>
      </c>
      <c r="G1987">
        <v>1.3157943528830641E-2</v>
      </c>
    </row>
    <row r="1988" spans="1:7">
      <c r="A1988" s="61">
        <v>43122</v>
      </c>
      <c r="C1988">
        <v>6.4488193279607798E-3</v>
      </c>
      <c r="E1988" s="62">
        <v>43122</v>
      </c>
      <c r="G1988">
        <v>5.7563961560811047E-2</v>
      </c>
    </row>
    <row r="1989" spans="1:7">
      <c r="A1989" s="61">
        <v>43123</v>
      </c>
      <c r="C1989">
        <v>1.0104132293541868E-2</v>
      </c>
      <c r="E1989" s="62">
        <v>43123</v>
      </c>
      <c r="G1989">
        <v>4.0491375252895812E-2</v>
      </c>
    </row>
    <row r="1990" spans="1:7">
      <c r="A1990" s="61">
        <v>43124</v>
      </c>
      <c r="C1990">
        <v>2.0345206884289004E-3</v>
      </c>
      <c r="E1990" s="62">
        <v>43124</v>
      </c>
      <c r="G1990">
        <v>-3.6363686448289578E-2</v>
      </c>
    </row>
    <row r="1991" spans="1:7">
      <c r="A1991" s="61">
        <v>43125</v>
      </c>
      <c r="C1991">
        <v>-1.6383430038214549E-3</v>
      </c>
      <c r="E1991" s="62">
        <v>43125</v>
      </c>
      <c r="G1991">
        <v>-1.0923623988485969E-2</v>
      </c>
    </row>
    <row r="1992" spans="1:7">
      <c r="A1992" s="61">
        <v>43129</v>
      </c>
      <c r="C1992">
        <v>-4.8776253405034175E-4</v>
      </c>
      <c r="E1992" s="62">
        <v>43129</v>
      </c>
      <c r="G1992">
        <v>-5.254334257664358E-2</v>
      </c>
    </row>
    <row r="1993" spans="1:7">
      <c r="A1993" s="61">
        <v>43130</v>
      </c>
      <c r="C1993">
        <v>-3.5235294847458772E-3</v>
      </c>
      <c r="E1993" s="62">
        <v>43130</v>
      </c>
      <c r="G1993">
        <v>1.4129244185863039E-2</v>
      </c>
    </row>
    <row r="1994" spans="1:7">
      <c r="A1994" s="61">
        <v>43131</v>
      </c>
      <c r="C1994">
        <v>-6.5822511630994913E-3</v>
      </c>
      <c r="E1994" s="62">
        <v>43131</v>
      </c>
      <c r="G1994">
        <v>-3.726933145490937E-2</v>
      </c>
    </row>
    <row r="1995" spans="1:7">
      <c r="A1995" s="61">
        <v>43132</v>
      </c>
      <c r="C1995">
        <v>-6.6843523489231924E-4</v>
      </c>
      <c r="E1995" s="62">
        <v>43132</v>
      </c>
      <c r="G1995">
        <v>1.0855148541864402E-3</v>
      </c>
    </row>
    <row r="1996" spans="1:7">
      <c r="A1996" s="61">
        <v>43133</v>
      </c>
      <c r="C1996">
        <v>-1.9067327187976778E-2</v>
      </c>
      <c r="E1996" s="62">
        <v>43133</v>
      </c>
      <c r="G1996">
        <v>-6.7582330497177753E-2</v>
      </c>
    </row>
    <row r="1997" spans="1:7">
      <c r="A1997" s="61">
        <v>43136</v>
      </c>
      <c r="C1997">
        <v>-2.0835819368916375E-2</v>
      </c>
      <c r="E1997" s="62">
        <v>43136</v>
      </c>
      <c r="G1997">
        <v>5.3876007190718583E-2</v>
      </c>
    </row>
    <row r="1998" spans="1:7">
      <c r="A1998" s="61">
        <v>43137</v>
      </c>
      <c r="C1998">
        <v>-2.2637156971556594E-2</v>
      </c>
      <c r="E1998" s="62">
        <v>43137</v>
      </c>
      <c r="G1998">
        <v>-3.3100929096970258E-3</v>
      </c>
    </row>
    <row r="1999" spans="1:7">
      <c r="A1999" s="61">
        <v>43138</v>
      </c>
      <c r="C1999">
        <v>1.6704222592338527E-2</v>
      </c>
      <c r="E1999" s="62">
        <v>43138</v>
      </c>
      <c r="G1999">
        <v>-2.6937218960217054E-2</v>
      </c>
    </row>
    <row r="2000" spans="1:7">
      <c r="A2000" s="61">
        <v>43139</v>
      </c>
      <c r="C2000">
        <v>2.089310352379524E-3</v>
      </c>
      <c r="E2000" s="62">
        <v>43139</v>
      </c>
      <c r="G2000">
        <v>3.7921890707021629E-2</v>
      </c>
    </row>
    <row r="2001" spans="1:7">
      <c r="A2001" s="61">
        <v>43140</v>
      </c>
      <c r="C2001">
        <v>-8.8162530268990017E-3</v>
      </c>
      <c r="E2001" s="62">
        <v>43140</v>
      </c>
      <c r="G2001">
        <v>7.3070268989486016E-4</v>
      </c>
    </row>
    <row r="2002" spans="1:7">
      <c r="A2002" s="61">
        <v>43143</v>
      </c>
      <c r="C2002">
        <v>1.2025665336361303E-2</v>
      </c>
      <c r="E2002" s="62">
        <v>43143</v>
      </c>
      <c r="G2002">
        <v>8.0320811705272849E-3</v>
      </c>
    </row>
    <row r="2003" spans="1:7">
      <c r="A2003" s="61">
        <v>43145</v>
      </c>
      <c r="C2003">
        <v>2.6580447248705842E-3</v>
      </c>
      <c r="E2003" s="62">
        <v>43145</v>
      </c>
      <c r="G2003">
        <v>-1.7747214543727803E-2</v>
      </c>
    </row>
    <row r="2004" spans="1:7">
      <c r="A2004" s="61">
        <v>43146</v>
      </c>
      <c r="C2004">
        <v>-1.6905546236016123E-3</v>
      </c>
      <c r="E2004" s="62">
        <v>43146</v>
      </c>
      <c r="G2004">
        <v>-1.0324474240245945E-2</v>
      </c>
    </row>
    <row r="2005" spans="1:7">
      <c r="A2005" s="61">
        <v>43147</v>
      </c>
      <c r="C2005">
        <v>-3.6088510445642093E-3</v>
      </c>
      <c r="E2005" s="62">
        <v>43147</v>
      </c>
      <c r="G2005">
        <v>-7.4515418030722102E-3</v>
      </c>
    </row>
    <row r="2006" spans="1:7">
      <c r="A2006" s="61">
        <v>43150</v>
      </c>
      <c r="C2006">
        <v>-9.4633089250450962E-3</v>
      </c>
      <c r="E2006" s="62">
        <v>43150</v>
      </c>
      <c r="G2006">
        <v>3.1531508930485487E-2</v>
      </c>
    </row>
    <row r="2007" spans="1:7">
      <c r="A2007" s="61">
        <v>43151</v>
      </c>
      <c r="C2007">
        <v>-5.6060833281875366E-3</v>
      </c>
      <c r="E2007" s="62">
        <v>43151</v>
      </c>
      <c r="G2007">
        <v>-1.16447746314955E-2</v>
      </c>
    </row>
    <row r="2008" spans="1:7">
      <c r="A2008" s="61">
        <v>43152</v>
      </c>
      <c r="C2008">
        <v>3.0738931988450909E-3</v>
      </c>
      <c r="E2008" s="62">
        <v>43152</v>
      </c>
      <c r="G2008">
        <v>-2.3195947750444666E-2</v>
      </c>
    </row>
    <row r="2009" spans="1:7">
      <c r="A2009" s="61">
        <v>43153</v>
      </c>
      <c r="C2009">
        <v>-5.2224285840629051E-3</v>
      </c>
      <c r="E2009" s="62">
        <v>43153</v>
      </c>
      <c r="G2009">
        <v>-7.537246525134454E-4</v>
      </c>
    </row>
    <row r="2010" spans="1:7">
      <c r="A2010" s="61">
        <v>43154</v>
      </c>
      <c r="C2010">
        <v>8.0014580434656975E-3</v>
      </c>
      <c r="E2010" s="62">
        <v>43154</v>
      </c>
      <c r="G2010">
        <v>-8.2988196205829642E-3</v>
      </c>
    </row>
    <row r="2011" spans="1:7">
      <c r="A2011" s="61">
        <v>43157</v>
      </c>
      <c r="C2011">
        <v>1.1060200477158536E-2</v>
      </c>
      <c r="E2011" s="62">
        <v>43157</v>
      </c>
      <c r="G2011">
        <v>1.0650426841729455E-2</v>
      </c>
    </row>
    <row r="2012" spans="1:7">
      <c r="A2012" s="61">
        <v>43158</v>
      </c>
      <c r="C2012">
        <v>2.3684176091630835E-3</v>
      </c>
      <c r="E2012" s="62">
        <v>43158</v>
      </c>
      <c r="G2012">
        <v>4.1776365222217192E-2</v>
      </c>
    </row>
    <row r="2013" spans="1:7">
      <c r="A2013" s="61">
        <v>43159</v>
      </c>
      <c r="C2013">
        <v>-8.6506244288759963E-3</v>
      </c>
      <c r="E2013" s="62">
        <v>43159</v>
      </c>
      <c r="G2013">
        <v>-9.0317605528947142E-3</v>
      </c>
    </row>
    <row r="2014" spans="1:7">
      <c r="A2014" s="61">
        <v>43160</v>
      </c>
      <c r="C2014">
        <v>-1.9137747890898237E-3</v>
      </c>
      <c r="E2014" s="62">
        <v>43160</v>
      </c>
      <c r="G2014">
        <v>-1.0937153313052871E-3</v>
      </c>
    </row>
    <row r="2015" spans="1:7">
      <c r="A2015" s="61">
        <v>43164</v>
      </c>
      <c r="C2015">
        <v>-7.823700667587339E-3</v>
      </c>
      <c r="E2015" s="62">
        <v>43164</v>
      </c>
      <c r="G2015">
        <v>-1.8613129143359525E-2</v>
      </c>
    </row>
    <row r="2016" spans="1:7">
      <c r="A2016" s="61">
        <v>43165</v>
      </c>
      <c r="C2016">
        <v>-5.6868802829697501E-3</v>
      </c>
      <c r="E2016" s="62">
        <v>43165</v>
      </c>
      <c r="G2016">
        <v>-4.0907760795452957E-3</v>
      </c>
    </row>
    <row r="2017" spans="1:7">
      <c r="A2017" s="61">
        <v>43166</v>
      </c>
      <c r="C2017">
        <v>-1.4224960325243939E-2</v>
      </c>
      <c r="E2017" s="62">
        <v>43166</v>
      </c>
      <c r="G2017">
        <v>-8.5883862249335544E-3</v>
      </c>
    </row>
    <row r="2018" spans="1:7">
      <c r="A2018" s="61">
        <v>43167</v>
      </c>
      <c r="C2018">
        <v>2.3696146662868707E-3</v>
      </c>
      <c r="E2018" s="62">
        <v>43167</v>
      </c>
      <c r="G2018">
        <v>-2.4858845175988395E-2</v>
      </c>
    </row>
    <row r="2019" spans="1:7">
      <c r="A2019" s="61">
        <v>43168</v>
      </c>
      <c r="C2019">
        <v>1.4526949295533516E-3</v>
      </c>
      <c r="E2019" s="62">
        <v>43168</v>
      </c>
      <c r="G2019">
        <v>-6.5661399598518615E-3</v>
      </c>
    </row>
    <row r="2020" spans="1:7">
      <c r="A2020" s="61">
        <v>43171</v>
      </c>
      <c r="C2020">
        <v>9.4513444965514427E-3</v>
      </c>
      <c r="E2020" s="62">
        <v>43171</v>
      </c>
      <c r="G2020">
        <v>7.7751641243518574E-4</v>
      </c>
    </row>
    <row r="2021" spans="1:7">
      <c r="A2021" s="61">
        <v>43172</v>
      </c>
      <c r="C2021">
        <v>4.7617560035166807E-3</v>
      </c>
      <c r="E2021" s="62">
        <v>43172</v>
      </c>
      <c r="G2021">
        <v>1.0101033641754693E-2</v>
      </c>
    </row>
    <row r="2022" spans="1:7">
      <c r="A2022" s="61">
        <v>43173</v>
      </c>
      <c r="C2022">
        <v>7.5507230927761781E-4</v>
      </c>
      <c r="E2022" s="62">
        <v>43173</v>
      </c>
      <c r="G2022">
        <v>5.7693328197143011E-3</v>
      </c>
    </row>
    <row r="2023" spans="1:7">
      <c r="A2023" s="61">
        <v>43174</v>
      </c>
      <c r="C2023">
        <v>-1.5090052105068725E-4</v>
      </c>
      <c r="E2023" s="62">
        <v>43174</v>
      </c>
      <c r="G2023">
        <v>1.720824607529859E-2</v>
      </c>
    </row>
    <row r="2024" spans="1:7">
      <c r="A2024" s="61">
        <v>43175</v>
      </c>
      <c r="C2024">
        <v>-9.1352982954546746E-3</v>
      </c>
      <c r="E2024" s="62">
        <v>43175</v>
      </c>
      <c r="G2024">
        <v>-2.2556329752741695E-2</v>
      </c>
    </row>
    <row r="2025" spans="1:7">
      <c r="A2025" s="61">
        <v>43178</v>
      </c>
      <c r="C2025">
        <v>-1.1289209844907762E-2</v>
      </c>
      <c r="E2025" s="62">
        <v>43178</v>
      </c>
      <c r="G2025">
        <v>-4.2308063882228013E-3</v>
      </c>
    </row>
    <row r="2026" spans="1:7">
      <c r="A2026" s="61">
        <v>43179</v>
      </c>
      <c r="C2026">
        <v>-7.4625513135357681E-3</v>
      </c>
      <c r="E2026" s="62">
        <v>43179</v>
      </c>
      <c r="G2026">
        <v>-3.4761922008199283E-3</v>
      </c>
    </row>
    <row r="2027" spans="1:7">
      <c r="A2027" s="61">
        <v>43180</v>
      </c>
      <c r="C2027">
        <v>8.4316724110383573E-3</v>
      </c>
      <c r="E2027" s="62">
        <v>43180</v>
      </c>
      <c r="G2027">
        <v>-2.7132595332338182E-3</v>
      </c>
    </row>
    <row r="2028" spans="1:7">
      <c r="A2028" s="61">
        <v>43181</v>
      </c>
      <c r="C2028">
        <v>-2.7387710387413258E-3</v>
      </c>
      <c r="E2028" s="62">
        <v>43181</v>
      </c>
      <c r="G2028">
        <v>4.6638962279686178E-3</v>
      </c>
    </row>
    <row r="2029" spans="1:7">
      <c r="A2029" s="61">
        <v>43182</v>
      </c>
      <c r="C2029">
        <v>-1.5987507773596425E-2</v>
      </c>
      <c r="E2029" s="62">
        <v>43182</v>
      </c>
      <c r="G2029">
        <v>-1.3539613398068201E-2</v>
      </c>
    </row>
    <row r="2030" spans="1:7">
      <c r="A2030" s="61">
        <v>43185</v>
      </c>
      <c r="C2030">
        <v>8.3773497866450712E-3</v>
      </c>
      <c r="E2030" s="62">
        <v>43185</v>
      </c>
      <c r="G2030">
        <v>-1.5294144227253585E-2</v>
      </c>
    </row>
    <row r="2031" spans="1:7">
      <c r="A2031" s="61">
        <v>43186</v>
      </c>
      <c r="C2031">
        <v>1.3376580005581267E-2</v>
      </c>
      <c r="E2031" s="62">
        <v>43186</v>
      </c>
      <c r="G2031">
        <v>2.9868616788026228E-2</v>
      </c>
    </row>
    <row r="2032" spans="1:7">
      <c r="A2032" s="61">
        <v>43187</v>
      </c>
      <c r="C2032">
        <v>-5.3901541656321897E-3</v>
      </c>
      <c r="E2032" s="62">
        <v>43187</v>
      </c>
      <c r="G2032">
        <v>7.7324484710820929E-4</v>
      </c>
    </row>
    <row r="2033" spans="1:7">
      <c r="A2033" s="61">
        <v>43192</v>
      </c>
      <c r="C2033">
        <v>6.5132238869649289E-3</v>
      </c>
      <c r="E2033" s="62">
        <v>43192</v>
      </c>
      <c r="G2033">
        <v>5.4482360270967471E-2</v>
      </c>
    </row>
    <row r="2034" spans="1:7">
      <c r="A2034" s="61">
        <v>43193</v>
      </c>
      <c r="C2034">
        <v>5.4744854705172106E-3</v>
      </c>
      <c r="E2034" s="62">
        <v>43193</v>
      </c>
      <c r="G2034">
        <v>1.5390300201236795E-2</v>
      </c>
    </row>
    <row r="2035" spans="1:7">
      <c r="A2035" s="61">
        <v>43194</v>
      </c>
      <c r="C2035">
        <v>-5.9649280172233534E-4</v>
      </c>
      <c r="E2035" s="62">
        <v>43194</v>
      </c>
      <c r="G2035">
        <v>-1.732234892490099E-2</v>
      </c>
    </row>
    <row r="2036" spans="1:7">
      <c r="A2036" s="61">
        <v>43195</v>
      </c>
      <c r="C2036">
        <v>7.4808043547527738E-3</v>
      </c>
      <c r="E2036" s="62">
        <v>43195</v>
      </c>
      <c r="G2036">
        <v>2.2034895648452291E-3</v>
      </c>
    </row>
    <row r="2037" spans="1:7">
      <c r="A2037" s="61">
        <v>43196</v>
      </c>
      <c r="C2037">
        <v>5.7771799166160551E-3</v>
      </c>
      <c r="E2037" s="62">
        <v>43196</v>
      </c>
      <c r="G2037">
        <v>-6.5958239755170229E-3</v>
      </c>
    </row>
    <row r="2038" spans="1:7">
      <c r="A2038" s="61">
        <v>43199</v>
      </c>
      <c r="C2038">
        <v>3.4897985394220093E-3</v>
      </c>
      <c r="E2038" s="62">
        <v>43199</v>
      </c>
      <c r="G2038">
        <v>1.4385860680922995E-2</v>
      </c>
    </row>
    <row r="2039" spans="1:7">
      <c r="A2039" s="61">
        <v>43200</v>
      </c>
      <c r="C2039">
        <v>4.30294497967686E-3</v>
      </c>
      <c r="E2039" s="62">
        <v>43200</v>
      </c>
      <c r="G2039">
        <v>-1.7818194752071168E-2</v>
      </c>
    </row>
    <row r="2040" spans="1:7">
      <c r="A2040" s="61">
        <v>43201</v>
      </c>
      <c r="C2040">
        <v>9.843384718145865E-4</v>
      </c>
      <c r="E2040" s="62">
        <v>43201</v>
      </c>
      <c r="G2040">
        <v>-4.0726012754633296E-3</v>
      </c>
    </row>
    <row r="2041" spans="1:7">
      <c r="A2041" s="61">
        <v>43202</v>
      </c>
      <c r="C2041">
        <v>2.7218290691331803E-4</v>
      </c>
      <c r="E2041" s="62">
        <v>43202</v>
      </c>
      <c r="G2041">
        <v>-1.0408799573551477E-2</v>
      </c>
    </row>
    <row r="2042" spans="1:7">
      <c r="A2042" s="61">
        <v>43203</v>
      </c>
      <c r="C2042">
        <v>4.2352424840904103E-3</v>
      </c>
      <c r="E2042" s="62">
        <v>43203</v>
      </c>
      <c r="G2042">
        <v>3.8692620459279084E-2</v>
      </c>
    </row>
    <row r="2043" spans="1:7">
      <c r="A2043" s="61">
        <v>43206</v>
      </c>
      <c r="C2043">
        <v>-1.5339903415422303E-3</v>
      </c>
      <c r="E2043" s="62">
        <v>43206</v>
      </c>
      <c r="G2043">
        <v>1.3019901277379686E-2</v>
      </c>
    </row>
    <row r="2044" spans="1:7">
      <c r="A2044" s="61">
        <v>43207</v>
      </c>
      <c r="C2044">
        <v>8.4127039708661797E-3</v>
      </c>
      <c r="E2044" s="62">
        <v>43207</v>
      </c>
      <c r="G2044">
        <v>5.1053065637937198E-2</v>
      </c>
    </row>
    <row r="2045" spans="1:7">
      <c r="A2045" s="61">
        <v>43208</v>
      </c>
      <c r="C2045">
        <v>3.4724332207812557E-5</v>
      </c>
      <c r="E2045" s="62">
        <v>43208</v>
      </c>
      <c r="G2045">
        <v>3.6345302134670285E-2</v>
      </c>
    </row>
    <row r="2046" spans="1:7">
      <c r="A2046" s="61">
        <v>43209</v>
      </c>
      <c r="C2046">
        <v>1.7014331970449355E-3</v>
      </c>
      <c r="E2046" s="62">
        <v>43209</v>
      </c>
      <c r="G2046">
        <v>-2.1304530249276549E-2</v>
      </c>
    </row>
    <row r="2047" spans="1:7">
      <c r="A2047" s="61">
        <v>43210</v>
      </c>
      <c r="C2047">
        <v>-5.4596032688285017E-4</v>
      </c>
      <c r="E2047" s="62">
        <v>43210</v>
      </c>
      <c r="G2047">
        <v>-1.6075093466285623E-2</v>
      </c>
    </row>
    <row r="2048" spans="1:7">
      <c r="A2048" s="61">
        <v>43213</v>
      </c>
      <c r="C2048">
        <v>2.3887973640856043E-3</v>
      </c>
      <c r="E2048" s="62">
        <v>43213</v>
      </c>
      <c r="G2048">
        <v>1.8379861455578468E-2</v>
      </c>
    </row>
    <row r="2049" spans="1:7">
      <c r="A2049" s="61">
        <v>43214</v>
      </c>
      <c r="C2049">
        <v>1.3234664440705047E-3</v>
      </c>
      <c r="E2049" s="62">
        <v>43214</v>
      </c>
      <c r="G2049">
        <v>1.0026942079101801E-3</v>
      </c>
    </row>
    <row r="2050" spans="1:7">
      <c r="A2050" s="61">
        <v>43215</v>
      </c>
      <c r="C2050">
        <v>-8.984221461057131E-4</v>
      </c>
      <c r="E2050" s="62">
        <v>43215</v>
      </c>
      <c r="G2050">
        <v>-2.437391008857788E-2</v>
      </c>
    </row>
    <row r="2051" spans="1:7">
      <c r="A2051" s="61">
        <v>43216</v>
      </c>
      <c r="C2051">
        <v>9.5543191142577867E-4</v>
      </c>
      <c r="E2051" s="62">
        <v>43216</v>
      </c>
      <c r="G2051">
        <v>4.7911822268410613E-3</v>
      </c>
    </row>
    <row r="2052" spans="1:7">
      <c r="A2052" s="61">
        <v>43217</v>
      </c>
      <c r="C2052">
        <v>5.9257979527489778E-3</v>
      </c>
      <c r="E2052" s="62">
        <v>43217</v>
      </c>
      <c r="G2052">
        <v>-2.6566804338536362E-2</v>
      </c>
    </row>
    <row r="2053" spans="1:7">
      <c r="A2053" s="61">
        <v>43220</v>
      </c>
      <c r="C2053">
        <v>5.1652626426566938E-3</v>
      </c>
      <c r="E2053" s="62">
        <v>43220</v>
      </c>
      <c r="G2053">
        <v>3.5339447386117877E-2</v>
      </c>
    </row>
    <row r="2054" spans="1:7">
      <c r="A2054" s="61">
        <v>43222</v>
      </c>
      <c r="C2054">
        <v>1.0337241835927081E-3</v>
      </c>
      <c r="E2054" s="62">
        <v>43222</v>
      </c>
      <c r="G2054">
        <v>-2.7035259618258234E-3</v>
      </c>
    </row>
    <row r="2055" spans="1:7">
      <c r="A2055" s="61">
        <v>43223</v>
      </c>
      <c r="C2055">
        <v>-7.3523450268190189E-3</v>
      </c>
      <c r="E2055" s="62">
        <v>43223</v>
      </c>
      <c r="G2055">
        <v>-2.1348861742822405E-2</v>
      </c>
    </row>
    <row r="2056" spans="1:7">
      <c r="A2056" s="61">
        <v>43224</v>
      </c>
      <c r="C2056">
        <v>-4.659880321892902E-3</v>
      </c>
      <c r="E2056" s="62">
        <v>43224</v>
      </c>
      <c r="G2056">
        <v>-2.1468064412202028E-2</v>
      </c>
    </row>
    <row r="2057" spans="1:7">
      <c r="A2057" s="61">
        <v>43227</v>
      </c>
      <c r="C2057">
        <v>2.5265612853070745E-3</v>
      </c>
      <c r="E2057" s="62">
        <v>43227</v>
      </c>
      <c r="G2057">
        <v>2.9016179150903765E-2</v>
      </c>
    </row>
    <row r="2058" spans="1:7">
      <c r="A2058" s="61">
        <v>43228</v>
      </c>
      <c r="C2058">
        <v>4.2477113624124303E-3</v>
      </c>
      <c r="E2058" s="62">
        <v>43228</v>
      </c>
      <c r="G2058">
        <v>-8.5968473062473291E-3</v>
      </c>
    </row>
    <row r="2059" spans="1:7">
      <c r="A2059" s="61">
        <v>43229</v>
      </c>
      <c r="C2059">
        <v>-2.887036647777052E-3</v>
      </c>
      <c r="E2059" s="62">
        <v>43229</v>
      </c>
      <c r="G2059">
        <v>-1.144639810285044E-2</v>
      </c>
    </row>
    <row r="2060" spans="1:7">
      <c r="A2060" s="61">
        <v>43230</v>
      </c>
      <c r="C2060">
        <v>-1.7208890112694789E-5</v>
      </c>
      <c r="E2060" s="62">
        <v>43230</v>
      </c>
      <c r="G2060">
        <v>-2.0000137591536217E-2</v>
      </c>
    </row>
    <row r="2061" spans="1:7">
      <c r="A2061" s="61">
        <v>43231</v>
      </c>
      <c r="C2061">
        <v>5.6360085013373883E-4</v>
      </c>
      <c r="E2061" s="62">
        <v>43231</v>
      </c>
      <c r="G2061">
        <v>-1.0740204931587866E-3</v>
      </c>
    </row>
    <row r="2062" spans="1:7">
      <c r="A2062" s="61">
        <v>43234</v>
      </c>
      <c r="C2062">
        <v>1.431857760196043E-3</v>
      </c>
      <c r="E2062" s="62">
        <v>43234</v>
      </c>
      <c r="G2062">
        <v>-2.6164824899545636E-2</v>
      </c>
    </row>
    <row r="2063" spans="1:7">
      <c r="A2063" s="61">
        <v>43235</v>
      </c>
      <c r="C2063">
        <v>-2.3787237331363009E-3</v>
      </c>
      <c r="E2063" s="62">
        <v>43235</v>
      </c>
      <c r="G2063">
        <v>-2.208355408058449E-3</v>
      </c>
    </row>
    <row r="2064" spans="1:7">
      <c r="A2064" s="61">
        <v>43236</v>
      </c>
      <c r="C2064">
        <v>-5.4703370863892408E-3</v>
      </c>
      <c r="E2064" s="62">
        <v>43236</v>
      </c>
      <c r="G2064">
        <v>5.5329999203406286E-3</v>
      </c>
    </row>
    <row r="2065" spans="1:7">
      <c r="A2065" s="61">
        <v>43237</v>
      </c>
      <c r="C2065">
        <v>-1.7310546883452416E-4</v>
      </c>
      <c r="E2065" s="62">
        <v>43237</v>
      </c>
      <c r="G2065">
        <v>2.2010320534782767E-2</v>
      </c>
    </row>
    <row r="2066" spans="1:7">
      <c r="A2066" s="61">
        <v>43238</v>
      </c>
      <c r="C2066">
        <v>-8.5918461864755262E-3</v>
      </c>
      <c r="E2066" s="62">
        <v>43238</v>
      </c>
      <c r="G2066">
        <v>-1.0050356515866421E-2</v>
      </c>
    </row>
    <row r="2067" spans="1:7">
      <c r="A2067" s="61">
        <v>43241</v>
      </c>
      <c r="C2067">
        <v>-8.5091334567425972E-3</v>
      </c>
      <c r="E2067" s="62">
        <v>43241</v>
      </c>
      <c r="G2067">
        <v>1.3415568405831793E-2</v>
      </c>
    </row>
    <row r="2068" spans="1:7">
      <c r="A2068" s="61">
        <v>43242</v>
      </c>
      <c r="C2068">
        <v>-3.7736846045117204E-3</v>
      </c>
      <c r="E2068" s="62">
        <v>43242</v>
      </c>
      <c r="G2068">
        <v>3.5771941470913411E-4</v>
      </c>
    </row>
    <row r="2069" spans="1:7">
      <c r="A2069" s="61">
        <v>43243</v>
      </c>
      <c r="C2069">
        <v>-3.4829960838393963E-3</v>
      </c>
      <c r="E2069" s="62">
        <v>43243</v>
      </c>
      <c r="G2069">
        <v>-2.2532152132330299E-2</v>
      </c>
    </row>
    <row r="2070" spans="1:7">
      <c r="A2070" s="61">
        <v>43244</v>
      </c>
      <c r="C2070">
        <v>5.3225935224036826E-4</v>
      </c>
      <c r="E2070" s="62">
        <v>43244</v>
      </c>
      <c r="G2070">
        <v>0</v>
      </c>
    </row>
    <row r="2071" spans="1:7">
      <c r="A2071" s="61">
        <v>43245</v>
      </c>
      <c r="C2071">
        <v>7.8067507780151318E-3</v>
      </c>
      <c r="E2071" s="62">
        <v>43245</v>
      </c>
      <c r="G2071">
        <v>0</v>
      </c>
    </row>
    <row r="2072" spans="1:7">
      <c r="A2072" s="61">
        <v>43248</v>
      </c>
      <c r="C2072">
        <v>1.163041326676497E-2</v>
      </c>
      <c r="E2072" s="62">
        <v>43248</v>
      </c>
      <c r="G2072">
        <v>4.5005499744944069E-2</v>
      </c>
    </row>
    <row r="2073" spans="1:7">
      <c r="A2073" s="61">
        <v>43249</v>
      </c>
      <c r="C2073">
        <v>4.174294174684882E-4</v>
      </c>
      <c r="E2073" s="62">
        <v>43249</v>
      </c>
      <c r="G2073">
        <v>2.4509840338210541E-2</v>
      </c>
    </row>
    <row r="2074" spans="1:7">
      <c r="A2074" s="61">
        <v>43250</v>
      </c>
      <c r="C2074">
        <v>-5.8850374877757886E-3</v>
      </c>
      <c r="E2074" s="62">
        <v>43250</v>
      </c>
      <c r="G2074">
        <v>-1.6062919867913698E-2</v>
      </c>
    </row>
    <row r="2075" spans="1:7">
      <c r="A2075" s="61">
        <v>43251</v>
      </c>
      <c r="C2075">
        <v>8.1365506446719887E-3</v>
      </c>
      <c r="E2075" s="62">
        <v>43251</v>
      </c>
      <c r="G2075">
        <v>-1.3893676808415491E-2</v>
      </c>
    </row>
    <row r="2076" spans="1:7">
      <c r="A2076" s="61">
        <v>43252</v>
      </c>
      <c r="C2076">
        <v>-1.3357504054956272E-3</v>
      </c>
      <c r="E2076" s="62">
        <v>43252</v>
      </c>
      <c r="G2076">
        <v>-1.6555161498493162E-2</v>
      </c>
    </row>
    <row r="2077" spans="1:7">
      <c r="A2077" s="61">
        <v>43255</v>
      </c>
      <c r="C2077">
        <v>-3.5826884494124388E-3</v>
      </c>
      <c r="E2077" s="62">
        <v>43255</v>
      </c>
      <c r="G2077">
        <v>-2.3280740594512232E-2</v>
      </c>
    </row>
    <row r="2078" spans="1:7">
      <c r="A2078" s="61">
        <v>43256</v>
      </c>
      <c r="C2078">
        <v>-9.1349275873942436E-3</v>
      </c>
      <c r="E2078" s="62">
        <v>43256</v>
      </c>
      <c r="G2078">
        <v>-2.3102373378333992E-2</v>
      </c>
    </row>
    <row r="2079" spans="1:7">
      <c r="A2079" s="61">
        <v>43257</v>
      </c>
      <c r="C2079">
        <v>2.5950834165372793E-3</v>
      </c>
      <c r="E2079" s="62">
        <v>43257</v>
      </c>
      <c r="G2079">
        <v>6.0060326461951214E-3</v>
      </c>
    </row>
    <row r="2080" spans="1:7">
      <c r="A2080" s="61">
        <v>43258</v>
      </c>
      <c r="C2080">
        <v>1.1401973300342694E-2</v>
      </c>
      <c r="E2080" s="62">
        <v>43258</v>
      </c>
      <c r="G2080">
        <v>3.0223842037339889E-2</v>
      </c>
    </row>
    <row r="2081" spans="1:7">
      <c r="A2081" s="61">
        <v>43259</v>
      </c>
      <c r="C2081">
        <v>1.8087810464037237E-3</v>
      </c>
      <c r="E2081" s="62">
        <v>43259</v>
      </c>
      <c r="G2081">
        <v>2.318000824192715E-2</v>
      </c>
    </row>
    <row r="2082" spans="1:7">
      <c r="A2082" s="61">
        <v>43262</v>
      </c>
      <c r="C2082">
        <v>3.5547434826094042E-3</v>
      </c>
      <c r="E2082" s="62">
        <v>43262</v>
      </c>
      <c r="G2082">
        <v>-1.9468969694195312E-2</v>
      </c>
    </row>
    <row r="2083" spans="1:7">
      <c r="A2083" s="61">
        <v>43263</v>
      </c>
      <c r="C2083">
        <v>3.9520234705323386E-3</v>
      </c>
      <c r="E2083" s="62">
        <v>43263</v>
      </c>
      <c r="G2083">
        <v>-2.5270496555559597E-3</v>
      </c>
    </row>
    <row r="2084" spans="1:7">
      <c r="A2084" s="61">
        <v>43264</v>
      </c>
      <c r="C2084">
        <v>3.7688658163442593E-3</v>
      </c>
      <c r="E2084" s="62">
        <v>43264</v>
      </c>
      <c r="G2084">
        <v>-1.5924741604606357E-2</v>
      </c>
    </row>
    <row r="2085" spans="1:7">
      <c r="A2085" s="61">
        <v>43265</v>
      </c>
      <c r="C2085">
        <v>-4.3712244137807952E-3</v>
      </c>
      <c r="E2085" s="62">
        <v>43265</v>
      </c>
      <c r="G2085">
        <v>-4.4133510957669129E-3</v>
      </c>
    </row>
    <row r="2086" spans="1:7">
      <c r="A2086" s="61">
        <v>43266</v>
      </c>
      <c r="C2086">
        <v>-1.4276376896350377E-3</v>
      </c>
      <c r="E2086" s="62">
        <v>43266</v>
      </c>
      <c r="G2086">
        <v>-2.1795465253111188E-2</v>
      </c>
    </row>
    <row r="2087" spans="1:7">
      <c r="A2087" s="61">
        <v>43269</v>
      </c>
      <c r="C2087">
        <v>-1.2617345620533507E-3</v>
      </c>
      <c r="E2087" s="62">
        <v>43269</v>
      </c>
      <c r="G2087">
        <v>1.8126976846650808E-2</v>
      </c>
    </row>
    <row r="2088" spans="1:7">
      <c r="A2088" s="61">
        <v>43270</v>
      </c>
      <c r="C2088">
        <v>-6.5580980222224479E-3</v>
      </c>
      <c r="E2088" s="62">
        <v>43270</v>
      </c>
      <c r="G2088">
        <v>-1.0385858196867048E-2</v>
      </c>
    </row>
    <row r="2089" spans="1:7">
      <c r="A2089" s="61">
        <v>43271</v>
      </c>
      <c r="C2089">
        <v>-1.0850411881635028E-4</v>
      </c>
      <c r="E2089" s="62">
        <v>43271</v>
      </c>
      <c r="G2089">
        <v>0</v>
      </c>
    </row>
    <row r="2090" spans="1:7">
      <c r="A2090" s="61">
        <v>43272</v>
      </c>
      <c r="C2090">
        <v>1.219718639992108E-3</v>
      </c>
      <c r="E2090" s="62">
        <v>43272</v>
      </c>
      <c r="G2090">
        <v>7.4971343163244208E-4</v>
      </c>
    </row>
    <row r="2091" spans="1:7">
      <c r="A2091" s="61">
        <v>43273</v>
      </c>
      <c r="C2091">
        <v>7.3700913024283472E-5</v>
      </c>
      <c r="E2091" s="62">
        <v>43273</v>
      </c>
      <c r="G2091">
        <v>1.6479424208717931E-2</v>
      </c>
    </row>
    <row r="2092" spans="1:7">
      <c r="A2092" s="61">
        <v>43276</v>
      </c>
      <c r="C2092">
        <v>1.6906610484705825E-4</v>
      </c>
      <c r="E2092" s="62">
        <v>43276</v>
      </c>
      <c r="G2092">
        <v>-2.2107638765707292E-2</v>
      </c>
    </row>
    <row r="2093" spans="1:7">
      <c r="A2093" s="61">
        <v>43277</v>
      </c>
      <c r="C2093">
        <v>-4.0438977452995819E-3</v>
      </c>
      <c r="E2093" s="62">
        <v>43277</v>
      </c>
      <c r="G2093">
        <v>2.6374934701116036E-3</v>
      </c>
    </row>
    <row r="2094" spans="1:7">
      <c r="A2094" s="61">
        <v>43278</v>
      </c>
      <c r="C2094">
        <v>-3.1899384206975768E-3</v>
      </c>
      <c r="E2094" s="62">
        <v>43278</v>
      </c>
      <c r="G2094">
        <v>-1.5031896426022895E-2</v>
      </c>
    </row>
    <row r="2095" spans="1:7">
      <c r="A2095" s="61">
        <v>43279</v>
      </c>
      <c r="C2095">
        <v>-1.1346768419398278E-2</v>
      </c>
      <c r="E2095" s="62">
        <v>43279</v>
      </c>
      <c r="G2095">
        <v>-2.2510440754543108E-2</v>
      </c>
    </row>
    <row r="2096" spans="1:7">
      <c r="A2096" s="61">
        <v>43280</v>
      </c>
      <c r="C2096">
        <v>3.9345912838426597E-3</v>
      </c>
      <c r="E2096" s="62">
        <v>43280</v>
      </c>
      <c r="G2096">
        <v>3.0835206211245945E-2</v>
      </c>
    </row>
    <row r="2097" spans="1:7">
      <c r="A2097" s="61">
        <v>43283</v>
      </c>
      <c r="C2097">
        <v>3.3517488915474824E-3</v>
      </c>
      <c r="E2097" s="62">
        <v>43283</v>
      </c>
      <c r="G2097">
        <v>-1.4009896411130374E-2</v>
      </c>
    </row>
    <row r="2098" spans="1:7">
      <c r="A2098" s="61">
        <v>43284</v>
      </c>
      <c r="C2098">
        <v>-1.3853208596002976E-3</v>
      </c>
      <c r="E2098" s="62">
        <v>43284</v>
      </c>
      <c r="G2098">
        <v>8.8326812592545642E-3</v>
      </c>
    </row>
    <row r="2099" spans="1:7">
      <c r="A2099" s="61">
        <v>43285</v>
      </c>
      <c r="C2099">
        <v>4.9738794503710838E-3</v>
      </c>
      <c r="E2099" s="62">
        <v>43285</v>
      </c>
      <c r="G2099">
        <v>-2.664723788967253E-3</v>
      </c>
    </row>
    <row r="2100" spans="1:7">
      <c r="A2100" s="61">
        <v>43286</v>
      </c>
      <c r="C2100">
        <v>1.2668015009412055E-3</v>
      </c>
      <c r="E2100" s="62">
        <v>43286</v>
      </c>
      <c r="G2100">
        <v>-3.1297659354811366E-2</v>
      </c>
    </row>
    <row r="2101" spans="1:7">
      <c r="A2101" s="61">
        <v>43287</v>
      </c>
      <c r="C2101">
        <v>-1.0339727676877285E-3</v>
      </c>
      <c r="E2101" s="62">
        <v>43287</v>
      </c>
      <c r="G2101">
        <v>1.9700529395959387E-3</v>
      </c>
    </row>
    <row r="2102" spans="1:7">
      <c r="A2102" s="61">
        <v>43290</v>
      </c>
      <c r="C2102">
        <v>9.0795541890853829E-3</v>
      </c>
      <c r="E2102" s="62">
        <v>43290</v>
      </c>
      <c r="G2102">
        <v>2.359394772973688E-3</v>
      </c>
    </row>
    <row r="2103" spans="1:7">
      <c r="A2103" s="61">
        <v>43291</v>
      </c>
      <c r="C2103">
        <v>7.8552725541537732E-3</v>
      </c>
      <c r="E2103" s="62">
        <v>43291</v>
      </c>
      <c r="G2103">
        <v>0</v>
      </c>
    </row>
    <row r="2104" spans="1:7">
      <c r="A2104" s="61">
        <v>43292</v>
      </c>
      <c r="C2104">
        <v>1.5502211534331835E-3</v>
      </c>
      <c r="E2104" s="62">
        <v>43292</v>
      </c>
      <c r="G2104">
        <v>8.2645247481293472E-3</v>
      </c>
    </row>
    <row r="2105" spans="1:7">
      <c r="A2105" s="61">
        <v>43293</v>
      </c>
      <c r="C2105">
        <v>3.8288220691075764E-3</v>
      </c>
      <c r="E2105" s="62">
        <v>43293</v>
      </c>
      <c r="G2105">
        <v>-9.7580684987294969E-3</v>
      </c>
    </row>
    <row r="2106" spans="1:7">
      <c r="A2106" s="61">
        <v>43294</v>
      </c>
      <c r="C2106">
        <v>-8.5424817618014377E-5</v>
      </c>
      <c r="E2106" s="62">
        <v>43294</v>
      </c>
      <c r="G2106">
        <v>-6.3066307480253792E-3</v>
      </c>
    </row>
    <row r="2107" spans="1:7">
      <c r="A2107" s="61">
        <v>43297</v>
      </c>
      <c r="C2107">
        <v>-8.2228411304377542E-3</v>
      </c>
      <c r="E2107" s="62">
        <v>43297</v>
      </c>
      <c r="G2107">
        <v>-4.7600343662320167E-3</v>
      </c>
    </row>
    <row r="2108" spans="1:7">
      <c r="A2108" s="61">
        <v>43298</v>
      </c>
      <c r="C2108">
        <v>-1.2145801299859474E-3</v>
      </c>
      <c r="E2108" s="62">
        <v>43298</v>
      </c>
      <c r="G2108">
        <v>3.1088136318300826E-2</v>
      </c>
    </row>
    <row r="2109" spans="1:7">
      <c r="A2109" s="61">
        <v>43299</v>
      </c>
      <c r="C2109">
        <v>4.4588761389753994E-3</v>
      </c>
      <c r="E2109" s="62">
        <v>43299</v>
      </c>
      <c r="G2109">
        <v>-3.4789601067798802E-3</v>
      </c>
    </row>
    <row r="2110" spans="1:7">
      <c r="A2110" s="61">
        <v>43300</v>
      </c>
      <c r="C2110">
        <v>-5.3191717718980222E-3</v>
      </c>
      <c r="E2110" s="62">
        <v>43300</v>
      </c>
      <c r="G2110">
        <v>1.9394546352671945E-3</v>
      </c>
    </row>
    <row r="2111" spans="1:7">
      <c r="A2111" s="61">
        <v>43301</v>
      </c>
      <c r="C2111">
        <v>4.7476822678383372E-4</v>
      </c>
      <c r="E2111" s="62">
        <v>43301</v>
      </c>
      <c r="G2111">
        <v>-8.9043493971559771E-3</v>
      </c>
    </row>
    <row r="2112" spans="1:7">
      <c r="A2112" s="61">
        <v>43304</v>
      </c>
      <c r="C2112">
        <v>7.571116728932451E-3</v>
      </c>
      <c r="E2112" s="62">
        <v>43304</v>
      </c>
      <c r="G2112">
        <v>3.5155975156550561E-3</v>
      </c>
    </row>
    <row r="2113" spans="1:7">
      <c r="A2113" s="61">
        <v>43305</v>
      </c>
      <c r="C2113">
        <v>8.648852314424315E-3</v>
      </c>
      <c r="E2113" s="62">
        <v>43305</v>
      </c>
      <c r="G2113">
        <v>0</v>
      </c>
    </row>
    <row r="2114" spans="1:7">
      <c r="A2114" s="61">
        <v>43306</v>
      </c>
      <c r="C2114">
        <v>3.4893049830841179E-3</v>
      </c>
      <c r="E2114" s="62">
        <v>43306</v>
      </c>
      <c r="G2114">
        <v>1.7127314885658117E-2</v>
      </c>
    </row>
    <row r="2115" spans="1:7">
      <c r="A2115" s="61">
        <v>43307</v>
      </c>
      <c r="C2115">
        <v>1.5101586724138886E-3</v>
      </c>
      <c r="E2115" s="62">
        <v>43307</v>
      </c>
      <c r="G2115">
        <v>-9.9502144842184923E-3</v>
      </c>
    </row>
    <row r="2116" spans="1:7">
      <c r="A2116" s="61">
        <v>43308</v>
      </c>
      <c r="C2116">
        <v>9.3978610890537093E-3</v>
      </c>
      <c r="E2116" s="62">
        <v>43308</v>
      </c>
      <c r="G2116">
        <v>3.0924046744366445E-3</v>
      </c>
    </row>
    <row r="2117" spans="1:7">
      <c r="A2117" s="61">
        <v>43311</v>
      </c>
      <c r="C2117">
        <v>5.0882706156557293E-3</v>
      </c>
      <c r="E2117" s="62">
        <v>43311</v>
      </c>
      <c r="G2117">
        <v>2.3121321262634414E-2</v>
      </c>
    </row>
    <row r="2118" spans="1:7">
      <c r="A2118" s="61">
        <v>43312</v>
      </c>
      <c r="C2118">
        <v>2.5603983396961659E-3</v>
      </c>
      <c r="E2118" s="62">
        <v>43312</v>
      </c>
      <c r="G2118">
        <v>1.8831992737968928E-3</v>
      </c>
    </row>
    <row r="2119" spans="1:7">
      <c r="A2119" s="61">
        <v>43313</v>
      </c>
      <c r="C2119">
        <v>2.3752969121140443E-3</v>
      </c>
      <c r="E2119" s="62">
        <v>43313</v>
      </c>
      <c r="G2119">
        <v>-2.5563859564389339E-2</v>
      </c>
    </row>
    <row r="2120" spans="1:7">
      <c r="A2120" s="61">
        <v>43314</v>
      </c>
      <c r="C2120">
        <v>-4.6399098531799948E-3</v>
      </c>
      <c r="E2120" s="62">
        <v>43314</v>
      </c>
      <c r="G2120">
        <v>-5.7869298511676577E-3</v>
      </c>
    </row>
    <row r="2121" spans="1:7">
      <c r="A2121" s="61">
        <v>43315</v>
      </c>
      <c r="C2121">
        <v>4.2661405786967666E-3</v>
      </c>
      <c r="E2121" s="62">
        <v>43315</v>
      </c>
      <c r="G2121">
        <v>9.7011442160786967E-3</v>
      </c>
    </row>
    <row r="2122" spans="1:7">
      <c r="A2122" s="61">
        <v>43318</v>
      </c>
      <c r="C2122">
        <v>5.6902718317037087E-3</v>
      </c>
      <c r="E2122" s="62">
        <v>43318</v>
      </c>
      <c r="G2122">
        <v>-7.6867716183116159E-4</v>
      </c>
    </row>
    <row r="2123" spans="1:7">
      <c r="A2123" s="61">
        <v>43319</v>
      </c>
      <c r="C2123">
        <v>8.5303838260643891E-4</v>
      </c>
      <c r="E2123" s="62">
        <v>43319</v>
      </c>
      <c r="G2123">
        <v>-2.6153854869336402E-2</v>
      </c>
    </row>
    <row r="2124" spans="1:7">
      <c r="A2124" s="61">
        <v>43320</v>
      </c>
      <c r="C2124">
        <v>1.3834618662735278E-3</v>
      </c>
      <c r="E2124" s="62">
        <v>43320</v>
      </c>
      <c r="G2124">
        <v>-3.9489670800456437E-4</v>
      </c>
    </row>
    <row r="2125" spans="1:7">
      <c r="A2125" s="61">
        <v>43321</v>
      </c>
      <c r="C2125">
        <v>4.1734339343352314E-3</v>
      </c>
      <c r="E2125" s="62">
        <v>43321</v>
      </c>
      <c r="G2125">
        <v>1.2248108802180765E-2</v>
      </c>
    </row>
    <row r="2126" spans="1:7">
      <c r="A2126" s="61">
        <v>43322</v>
      </c>
      <c r="C2126">
        <v>-2.4240438948489366E-3</v>
      </c>
      <c r="E2126" s="62">
        <v>43322</v>
      </c>
      <c r="G2126">
        <v>-3.3177260579517358E-2</v>
      </c>
    </row>
    <row r="2127" spans="1:7">
      <c r="A2127" s="61">
        <v>43325</v>
      </c>
      <c r="C2127">
        <v>-8.5950711740849905E-3</v>
      </c>
      <c r="E2127" s="62">
        <v>43325</v>
      </c>
      <c r="G2127">
        <v>1.6955984437598812E-2</v>
      </c>
    </row>
    <row r="2128" spans="1:7">
      <c r="A2128" s="61">
        <v>43326</v>
      </c>
      <c r="C2128">
        <v>4.0118575438653692E-3</v>
      </c>
      <c r="E2128" s="62">
        <v>43326</v>
      </c>
      <c r="G2128">
        <v>-7.1456370820986723E-3</v>
      </c>
    </row>
    <row r="2129" spans="1:7">
      <c r="A2129" s="61">
        <v>43328</v>
      </c>
      <c r="C2129">
        <v>-1.2989530026432663E-3</v>
      </c>
      <c r="E2129" s="62">
        <v>43328</v>
      </c>
      <c r="G2129">
        <v>-7.9967840164164757E-3</v>
      </c>
    </row>
    <row r="2130" spans="1:7">
      <c r="A2130" s="61">
        <v>43329</v>
      </c>
      <c r="C2130">
        <v>6.2678580276479129E-3</v>
      </c>
      <c r="E2130" s="62">
        <v>43329</v>
      </c>
      <c r="G2130">
        <v>2.7408254782606802E-2</v>
      </c>
    </row>
    <row r="2131" spans="1:7">
      <c r="A2131" s="61">
        <v>43332</v>
      </c>
      <c r="C2131">
        <v>7.562390749509775E-3</v>
      </c>
      <c r="E2131" s="62">
        <v>43332</v>
      </c>
      <c r="G2131">
        <v>-9.8077724557932029E-3</v>
      </c>
    </row>
    <row r="2132" spans="1:7">
      <c r="A2132" s="61">
        <v>43333</v>
      </c>
      <c r="C2132">
        <v>4.4797576043885332E-3</v>
      </c>
      <c r="E2132" s="62">
        <v>43333</v>
      </c>
      <c r="G2132">
        <v>2.4167999981364173E-2</v>
      </c>
    </row>
    <row r="2133" spans="1:7">
      <c r="A2133" s="61">
        <v>43335</v>
      </c>
      <c r="C2133">
        <v>2.4163892819349985E-3</v>
      </c>
      <c r="E2133" s="62">
        <v>43335</v>
      </c>
      <c r="G2133">
        <v>-2.1663488252936763E-2</v>
      </c>
    </row>
    <row r="2134" spans="1:7">
      <c r="A2134" s="61">
        <v>43336</v>
      </c>
      <c r="C2134">
        <v>-3.1183643754170375E-3</v>
      </c>
      <c r="E2134" s="62">
        <v>43336</v>
      </c>
      <c r="G2134">
        <v>-1.9770321457820714E-3</v>
      </c>
    </row>
    <row r="2135" spans="1:7">
      <c r="A2135" s="61">
        <v>43339</v>
      </c>
      <c r="C2135">
        <v>7.3922604412634627E-3</v>
      </c>
      <c r="E2135" s="62">
        <v>43339</v>
      </c>
      <c r="G2135">
        <v>1.1885802575068067E-3</v>
      </c>
    </row>
    <row r="2136" spans="1:7">
      <c r="A2136" s="61">
        <v>43340</v>
      </c>
      <c r="C2136">
        <v>6.2667139220929273E-3</v>
      </c>
      <c r="E2136" s="62">
        <v>43340</v>
      </c>
      <c r="G2136">
        <v>-7.9142761199237142E-4</v>
      </c>
    </row>
    <row r="2137" spans="1:7">
      <c r="A2137" s="61">
        <v>43341</v>
      </c>
      <c r="C2137">
        <v>-6.32374365624275E-4</v>
      </c>
      <c r="E2137" s="62">
        <v>43341</v>
      </c>
      <c r="G2137">
        <v>1.8613879968720614E-2</v>
      </c>
    </row>
    <row r="2138" spans="1:7">
      <c r="A2138" s="61">
        <v>43342</v>
      </c>
      <c r="C2138">
        <v>-1.2054755020145531E-3</v>
      </c>
      <c r="E2138" s="62">
        <v>43342</v>
      </c>
      <c r="G2138">
        <v>4.8989080368369034E-2</v>
      </c>
    </row>
    <row r="2139" spans="1:7">
      <c r="A2139" s="61">
        <v>43343</v>
      </c>
      <c r="C2139">
        <v>3.6087620743178989E-4</v>
      </c>
      <c r="E2139" s="62">
        <v>43343</v>
      </c>
      <c r="G2139">
        <v>1.7420269463828988E-2</v>
      </c>
    </row>
    <row r="2140" spans="1:7">
      <c r="A2140" s="61">
        <v>43346</v>
      </c>
      <c r="C2140">
        <v>-2.765719507943008E-4</v>
      </c>
      <c r="E2140" s="62">
        <v>43346</v>
      </c>
      <c r="G2140">
        <v>-6.5573260922134327E-3</v>
      </c>
    </row>
    <row r="2141" spans="1:7">
      <c r="A2141" s="61">
        <v>43347</v>
      </c>
      <c r="C2141">
        <v>-1.168338585644757E-2</v>
      </c>
      <c r="E2141" s="62">
        <v>43347</v>
      </c>
      <c r="G2141">
        <v>-3.8503828827229566E-2</v>
      </c>
    </row>
    <row r="2142" spans="1:7">
      <c r="A2142" s="61">
        <v>43348</v>
      </c>
      <c r="C2142">
        <v>-8.6004056795131838E-3</v>
      </c>
      <c r="E2142" s="62">
        <v>43348</v>
      </c>
      <c r="G2142">
        <v>-2.0213630595156303E-2</v>
      </c>
    </row>
    <row r="2143" spans="1:7">
      <c r="A2143" s="61">
        <v>43349</v>
      </c>
      <c r="C2143">
        <v>2.9707832064816493E-3</v>
      </c>
      <c r="E2143" s="62">
        <v>43349</v>
      </c>
      <c r="G2143">
        <v>-6.2280740275991089E-3</v>
      </c>
    </row>
    <row r="2144" spans="1:7">
      <c r="A2144" s="61">
        <v>43350</v>
      </c>
      <c r="C2144">
        <v>4.8754416456553498E-3</v>
      </c>
      <c r="E2144" s="62">
        <v>43350</v>
      </c>
      <c r="G2144">
        <v>1.1750852295372191E-2</v>
      </c>
    </row>
    <row r="2145" spans="1:7">
      <c r="A2145" s="61">
        <v>43353</v>
      </c>
      <c r="C2145">
        <v>-5.5338792777940666E-3</v>
      </c>
      <c r="E2145" s="62">
        <v>43353</v>
      </c>
      <c r="G2145">
        <v>5.0330029150912883E-3</v>
      </c>
    </row>
    <row r="2146" spans="1:7">
      <c r="A2146" s="61">
        <v>43354</v>
      </c>
      <c r="C2146">
        <v>-1.1627432248160877E-2</v>
      </c>
      <c r="E2146" s="62">
        <v>43354</v>
      </c>
      <c r="G2146">
        <v>-9.630258339510046E-3</v>
      </c>
    </row>
    <row r="2147" spans="1:7">
      <c r="A2147" s="61">
        <v>43355</v>
      </c>
      <c r="C2147">
        <v>-3.4160849270931095E-3</v>
      </c>
      <c r="E2147" s="62">
        <v>43355</v>
      </c>
      <c r="G2147">
        <v>-8.5569953834736152E-3</v>
      </c>
    </row>
    <row r="2148" spans="1:7">
      <c r="A2148" s="61">
        <v>43357</v>
      </c>
      <c r="C2148">
        <v>1.1601447383146101E-2</v>
      </c>
      <c r="E2148" s="62">
        <v>43357</v>
      </c>
      <c r="G2148">
        <v>2.0007863052517498E-2</v>
      </c>
    </row>
    <row r="2149" spans="1:7">
      <c r="A2149" s="61">
        <v>43360</v>
      </c>
      <c r="C2149">
        <v>-3.9416213912858503E-3</v>
      </c>
      <c r="E2149" s="62">
        <v>43360</v>
      </c>
      <c r="G2149">
        <v>-1.5384057545736289E-3</v>
      </c>
    </row>
    <row r="2150" spans="1:7">
      <c r="A2150" s="61">
        <v>43361</v>
      </c>
      <c r="C2150">
        <v>-8.1941587823939569E-3</v>
      </c>
      <c r="E2150" s="62">
        <v>43361</v>
      </c>
      <c r="G2150">
        <v>-6.5485824732397207E-3</v>
      </c>
    </row>
    <row r="2151" spans="1:7">
      <c r="A2151" s="61">
        <v>43362</v>
      </c>
      <c r="C2151">
        <v>-5.3502994508686404E-3</v>
      </c>
      <c r="E2151" s="62">
        <v>43362</v>
      </c>
      <c r="G2151">
        <v>-1.1632946933987727E-3</v>
      </c>
    </row>
    <row r="2152" spans="1:7">
      <c r="A2152" s="61">
        <v>43364</v>
      </c>
      <c r="C2152">
        <v>-8.2729403130706539E-3</v>
      </c>
      <c r="E2152" s="62">
        <v>43364</v>
      </c>
      <c r="G2152">
        <v>-1.3198727686648769E-2</v>
      </c>
    </row>
    <row r="2153" spans="1:7">
      <c r="A2153" s="61">
        <v>43367</v>
      </c>
      <c r="C2153">
        <v>-1.6112078172170689E-2</v>
      </c>
      <c r="E2153" s="62">
        <v>43367</v>
      </c>
      <c r="G2153">
        <v>-2.1636537522146383E-2</v>
      </c>
    </row>
    <row r="2154" spans="1:7">
      <c r="A2154" s="61">
        <v>43368</v>
      </c>
      <c r="C2154">
        <v>-6.6366954128595336E-3</v>
      </c>
      <c r="E2154" s="62">
        <v>43368</v>
      </c>
      <c r="G2154">
        <v>8.8460136949258909E-3</v>
      </c>
    </row>
    <row r="2155" spans="1:7">
      <c r="A2155" s="61">
        <v>43369</v>
      </c>
      <c r="C2155">
        <v>7.6877078412897915E-3</v>
      </c>
      <c r="E2155" s="62">
        <v>43369</v>
      </c>
      <c r="G2155">
        <v>5.978486830672286E-3</v>
      </c>
    </row>
    <row r="2156" spans="1:7">
      <c r="A2156" s="61">
        <v>43370</v>
      </c>
      <c r="C2156">
        <v>-7.6717498591163226E-3</v>
      </c>
      <c r="E2156" s="62">
        <v>43370</v>
      </c>
      <c r="G2156">
        <v>1.5451606951396928E-2</v>
      </c>
    </row>
    <row r="2157" spans="1:7">
      <c r="A2157" s="61">
        <v>43371</v>
      </c>
      <c r="C2157">
        <v>-7.9332642112554877E-3</v>
      </c>
      <c r="E2157" s="62">
        <v>43371</v>
      </c>
      <c r="G2157">
        <v>6.8279381374165324E-2</v>
      </c>
    </row>
    <row r="2158" spans="1:7">
      <c r="A2158" s="61">
        <v>43374</v>
      </c>
      <c r="C2158">
        <v>-2.2550358854268307E-3</v>
      </c>
      <c r="E2158" s="62">
        <v>43374</v>
      </c>
      <c r="G2158">
        <v>-6.0628129999756232E-2</v>
      </c>
    </row>
    <row r="2159" spans="1:7">
      <c r="A2159" s="61">
        <v>43376</v>
      </c>
      <c r="C2159">
        <v>-4.2812126480495493E-3</v>
      </c>
      <c r="E2159" s="62">
        <v>43376</v>
      </c>
      <c r="G2159">
        <v>-3.0715415725837445E-2</v>
      </c>
    </row>
    <row r="2160" spans="1:7">
      <c r="A2160" s="61">
        <v>43377</v>
      </c>
      <c r="C2160">
        <v>-2.1834213627831889E-2</v>
      </c>
      <c r="E2160" s="62">
        <v>43377</v>
      </c>
      <c r="G2160">
        <v>-9.2258621062977844E-3</v>
      </c>
    </row>
    <row r="2161" spans="1:7">
      <c r="A2161" s="61">
        <v>43378</v>
      </c>
      <c r="C2161">
        <v>-2.2982042768912213E-2</v>
      </c>
      <c r="E2161" s="62">
        <v>43378</v>
      </c>
      <c r="G2161">
        <v>8.9068971227217811E-3</v>
      </c>
    </row>
    <row r="2162" spans="1:7">
      <c r="A2162" s="61">
        <v>43381</v>
      </c>
      <c r="C2162">
        <v>-1.0528094711744878E-2</v>
      </c>
      <c r="E2162" s="62">
        <v>43381</v>
      </c>
      <c r="G2162">
        <v>-4.6147693371870295E-2</v>
      </c>
    </row>
    <row r="2163" spans="1:7">
      <c r="A2163" s="61">
        <v>43382</v>
      </c>
      <c r="C2163">
        <v>1.3848305659768938E-5</v>
      </c>
      <c r="E2163" s="62">
        <v>43382</v>
      </c>
      <c r="G2163">
        <v>-1.2620852505501447E-3</v>
      </c>
    </row>
    <row r="2164" spans="1:7">
      <c r="A2164" s="61">
        <v>43383</v>
      </c>
      <c r="C2164">
        <v>7.4410531952215113E-3</v>
      </c>
      <c r="E2164" s="62">
        <v>43383</v>
      </c>
      <c r="G2164">
        <v>1.3900608140881619E-2</v>
      </c>
    </row>
    <row r="2165" spans="1:7">
      <c r="A2165" s="61">
        <v>43384</v>
      </c>
      <c r="C2165">
        <v>-1.6765331182874429E-2</v>
      </c>
      <c r="E2165" s="62">
        <v>43384</v>
      </c>
      <c r="G2165">
        <v>2.2849986718429693E-2</v>
      </c>
    </row>
    <row r="2166" spans="1:7">
      <c r="A2166" s="61">
        <v>43385</v>
      </c>
      <c r="C2166">
        <v>2.0508972966927407E-2</v>
      </c>
      <c r="E2166" s="62">
        <v>43385</v>
      </c>
      <c r="G2166">
        <v>1.7059290899639021E-2</v>
      </c>
    </row>
    <row r="2167" spans="1:7">
      <c r="A2167" s="61">
        <v>43388</v>
      </c>
      <c r="C2167">
        <v>1.1626101648477032E-2</v>
      </c>
      <c r="E2167" s="62">
        <v>43388</v>
      </c>
      <c r="G2167">
        <v>1.3578308154094084E-2</v>
      </c>
    </row>
    <row r="2168" spans="1:7">
      <c r="A2168" s="61">
        <v>43389</v>
      </c>
      <c r="C2168">
        <v>6.0170807453417468E-3</v>
      </c>
      <c r="E2168" s="62">
        <v>43389</v>
      </c>
      <c r="G2168">
        <v>-2.2852598583789907E-2</v>
      </c>
    </row>
    <row r="2169" spans="1:7">
      <c r="A2169" s="61">
        <v>43390</v>
      </c>
      <c r="C2169">
        <v>-6.730411138381739E-5</v>
      </c>
      <c r="E2169" s="62">
        <v>43390</v>
      </c>
      <c r="G2169">
        <v>1.1693502490488786E-2</v>
      </c>
    </row>
    <row r="2170" spans="1:7">
      <c r="A2170" s="61">
        <v>43392</v>
      </c>
      <c r="C2170">
        <v>-2.4060595726350019E-2</v>
      </c>
      <c r="E2170" s="62">
        <v>43392</v>
      </c>
      <c r="G2170">
        <v>-2.5508174219899954E-2</v>
      </c>
    </row>
    <row r="2171" spans="1:7">
      <c r="A2171" s="61">
        <v>43395</v>
      </c>
      <c r="C2171">
        <v>-5.1955934011362591E-4</v>
      </c>
      <c r="E2171" s="62">
        <v>43395</v>
      </c>
      <c r="G2171">
        <v>4.9079806916869764E-2</v>
      </c>
    </row>
    <row r="2172" spans="1:7">
      <c r="A2172" s="61">
        <v>43396</v>
      </c>
      <c r="C2172">
        <v>-1.7043964688401362E-2</v>
      </c>
      <c r="E2172" s="62">
        <v>43396</v>
      </c>
      <c r="G2172">
        <v>-2.6510729668766272E-2</v>
      </c>
    </row>
    <row r="2173" spans="1:7">
      <c r="A2173" s="61">
        <v>43397</v>
      </c>
      <c r="C2173">
        <v>9.2898527663637116E-3</v>
      </c>
      <c r="E2173" s="62">
        <v>43397</v>
      </c>
      <c r="G2173">
        <v>2.8032965236335738E-3</v>
      </c>
    </row>
    <row r="2174" spans="1:7">
      <c r="A2174" s="61">
        <v>43398</v>
      </c>
      <c r="C2174">
        <v>-1.161555974941922E-2</v>
      </c>
      <c r="E2174" s="62">
        <v>43398</v>
      </c>
      <c r="G2174">
        <v>1.7971290675358648E-2</v>
      </c>
    </row>
    <row r="2175" spans="1:7">
      <c r="A2175" s="61">
        <v>43399</v>
      </c>
      <c r="C2175">
        <v>-3.7906865458777646E-3</v>
      </c>
      <c r="E2175" s="62">
        <v>43399</v>
      </c>
      <c r="G2175">
        <v>9.0231755364281723E-3</v>
      </c>
    </row>
    <row r="2176" spans="1:7">
      <c r="A2176" s="61">
        <v>43402</v>
      </c>
      <c r="C2176">
        <v>1.0294519322238337E-2</v>
      </c>
      <c r="E2176" s="62">
        <v>43402</v>
      </c>
      <c r="G2176">
        <v>-1.3608141597250847E-2</v>
      </c>
    </row>
    <row r="2177" spans="1:7">
      <c r="A2177" s="61">
        <v>43403</v>
      </c>
      <c r="C2177">
        <v>7.602595417000829E-3</v>
      </c>
      <c r="E2177" s="62">
        <v>43403</v>
      </c>
      <c r="G2177">
        <v>1.1825530826378287E-3</v>
      </c>
    </row>
    <row r="2178" spans="1:7">
      <c r="A2178" s="61">
        <v>43404</v>
      </c>
      <c r="C2178">
        <v>9.1967635534293841E-3</v>
      </c>
      <c r="E2178" s="62">
        <v>43404</v>
      </c>
      <c r="G2178">
        <v>1.4173172496269926E-2</v>
      </c>
    </row>
    <row r="2179" spans="1:7">
      <c r="A2179" s="61">
        <v>43405</v>
      </c>
      <c r="C2179">
        <v>1.1414112243354375E-2</v>
      </c>
      <c r="E2179" s="62">
        <v>43405</v>
      </c>
      <c r="G2179">
        <v>1.5528026734668327E-2</v>
      </c>
    </row>
    <row r="2180" spans="1:7">
      <c r="A2180" s="61">
        <v>43406</v>
      </c>
      <c r="C2180">
        <v>9.6763520832483536E-3</v>
      </c>
      <c r="E2180" s="62">
        <v>43406</v>
      </c>
      <c r="G2180">
        <v>1.9112820580205146E-3</v>
      </c>
    </row>
    <row r="2181" spans="1:7">
      <c r="A2181" s="61">
        <v>43409</v>
      </c>
      <c r="C2181">
        <v>2.4778252594534747E-3</v>
      </c>
      <c r="E2181" s="62">
        <v>43409</v>
      </c>
      <c r="G2181">
        <v>6.1045715690700355E-3</v>
      </c>
    </row>
    <row r="2182" spans="1:7">
      <c r="A2182" s="61">
        <v>43410</v>
      </c>
      <c r="C2182">
        <v>-3.268734775755513E-4</v>
      </c>
      <c r="E2182" s="62">
        <v>43410</v>
      </c>
      <c r="G2182">
        <v>-9.4804134623926051E-3</v>
      </c>
    </row>
    <row r="2183" spans="1:7">
      <c r="A2183" s="61">
        <v>43411</v>
      </c>
      <c r="C2183">
        <v>5.4959575373452205E-3</v>
      </c>
      <c r="E2183" s="62">
        <v>43411</v>
      </c>
      <c r="G2183">
        <v>7.2740797767393821E-3</v>
      </c>
    </row>
    <row r="2184" spans="1:7">
      <c r="A2184" s="61">
        <v>43413</v>
      </c>
      <c r="C2184">
        <v>6.459315223490686E-4</v>
      </c>
      <c r="E2184" s="62">
        <v>43413</v>
      </c>
      <c r="G2184">
        <v>3.0405661764850087E-3</v>
      </c>
    </row>
    <row r="2185" spans="1:7">
      <c r="A2185" s="61">
        <v>43416</v>
      </c>
      <c r="C2185">
        <v>-4.1001304384601384E-3</v>
      </c>
      <c r="E2185" s="62">
        <v>43416</v>
      </c>
      <c r="G2185">
        <v>-1.0231007768796471E-2</v>
      </c>
    </row>
    <row r="2186" spans="1:7">
      <c r="A2186" s="61">
        <v>43417</v>
      </c>
      <c r="C2186">
        <v>-3.5627117734882878E-3</v>
      </c>
      <c r="E2186" s="62">
        <v>43417</v>
      </c>
      <c r="G2186">
        <v>4.9768923741069114E-3</v>
      </c>
    </row>
    <row r="2187" spans="1:7">
      <c r="A2187" s="61">
        <v>43418</v>
      </c>
      <c r="C2187">
        <v>7.617458245292889E-3</v>
      </c>
      <c r="E2187" s="62">
        <v>43418</v>
      </c>
      <c r="G2187">
        <v>-1.5237619905879832E-3</v>
      </c>
    </row>
    <row r="2188" spans="1:7">
      <c r="A2188" s="61">
        <v>43419</v>
      </c>
      <c r="C2188">
        <v>-4.541265410250227E-4</v>
      </c>
      <c r="E2188" s="62">
        <v>43419</v>
      </c>
      <c r="G2188">
        <v>1.5260873845388593E-3</v>
      </c>
    </row>
    <row r="2189" spans="1:7">
      <c r="A2189" s="61">
        <v>43420</v>
      </c>
      <c r="C2189">
        <v>5.31391283044934E-3</v>
      </c>
      <c r="E2189" s="62">
        <v>43420</v>
      </c>
      <c r="G2189">
        <v>3.3904824220401891E-2</v>
      </c>
    </row>
    <row r="2190" spans="1:7">
      <c r="A2190" s="61">
        <v>43423</v>
      </c>
      <c r="C2190">
        <v>6.889737613979742E-3</v>
      </c>
      <c r="E2190" s="62">
        <v>43423</v>
      </c>
      <c r="G2190">
        <v>-1.1053819355794775E-2</v>
      </c>
    </row>
    <row r="2191" spans="1:7">
      <c r="A2191" s="61">
        <v>43424</v>
      </c>
      <c r="C2191">
        <v>-4.9152266416726889E-3</v>
      </c>
      <c r="E2191" s="62">
        <v>43424</v>
      </c>
      <c r="G2191">
        <v>4.0983036931738605E-3</v>
      </c>
    </row>
    <row r="2192" spans="1:7">
      <c r="A2192" s="61">
        <v>43425</v>
      </c>
      <c r="C2192">
        <v>-4.5459369582903936E-3</v>
      </c>
      <c r="E2192" s="62">
        <v>43425</v>
      </c>
      <c r="G2192">
        <v>1.1132234702557573E-3</v>
      </c>
    </row>
    <row r="2193" spans="1:7">
      <c r="A2193" s="61">
        <v>43426</v>
      </c>
      <c r="C2193">
        <v>-4.9931588393127497E-3</v>
      </c>
      <c r="E2193" s="62">
        <v>43426</v>
      </c>
      <c r="G2193">
        <v>2.965150840740775E-2</v>
      </c>
    </row>
    <row r="2194" spans="1:7">
      <c r="A2194" s="61">
        <v>43430</v>
      </c>
      <c r="C2194">
        <v>1.7278019858560025E-3</v>
      </c>
      <c r="E2194" s="62">
        <v>43430</v>
      </c>
      <c r="G2194">
        <v>-8.6392420804215411E-3</v>
      </c>
    </row>
    <row r="2195" spans="1:7">
      <c r="A2195" s="61">
        <v>43431</v>
      </c>
      <c r="C2195">
        <v>4.0290411862496248E-3</v>
      </c>
      <c r="E2195" s="62">
        <v>43431</v>
      </c>
      <c r="G2195">
        <v>3.6312966356497983E-4</v>
      </c>
    </row>
    <row r="2196" spans="1:7">
      <c r="A2196" s="61">
        <v>43432</v>
      </c>
      <c r="C2196">
        <v>4.3679946731772926E-3</v>
      </c>
      <c r="E2196" s="62">
        <v>43432</v>
      </c>
      <c r="G2196">
        <v>-3.6299784827845968E-4</v>
      </c>
    </row>
    <row r="2197" spans="1:7">
      <c r="A2197" s="61">
        <v>43433</v>
      </c>
      <c r="C2197">
        <v>8.6891571164019344E-3</v>
      </c>
      <c r="E2197" s="62">
        <v>43433</v>
      </c>
      <c r="G2197">
        <v>2.4328303025190279E-2</v>
      </c>
    </row>
    <row r="2198" spans="1:7">
      <c r="A2198" s="61">
        <v>43434</v>
      </c>
      <c r="C2198">
        <v>4.8504765034504144E-3</v>
      </c>
      <c r="E2198" s="62">
        <v>43434</v>
      </c>
      <c r="G2198">
        <v>2.2686992577329517E-2</v>
      </c>
    </row>
    <row r="2199" spans="1:7">
      <c r="A2199" s="61">
        <v>43437</v>
      </c>
      <c r="C2199">
        <v>3.2572863795721652E-3</v>
      </c>
      <c r="E2199" s="62">
        <v>43437</v>
      </c>
      <c r="G2199">
        <v>-1.5944591763200865E-2</v>
      </c>
    </row>
    <row r="2200" spans="1:7">
      <c r="A2200" s="61">
        <v>43438</v>
      </c>
      <c r="C2200">
        <v>-2.5643365974295784E-3</v>
      </c>
      <c r="E2200" s="62">
        <v>43438</v>
      </c>
      <c r="G2200">
        <v>1.1976020477360851E-2</v>
      </c>
    </row>
    <row r="2201" spans="1:7">
      <c r="A2201" s="61">
        <v>43439</v>
      </c>
      <c r="C2201">
        <v>-7.6910004401082397E-3</v>
      </c>
      <c r="E2201" s="62">
        <v>43439</v>
      </c>
      <c r="G2201">
        <v>2.1232229318073153E-2</v>
      </c>
    </row>
    <row r="2202" spans="1:7">
      <c r="A2202" s="61">
        <v>43440</v>
      </c>
      <c r="C2202">
        <v>-1.3775447471500619E-2</v>
      </c>
      <c r="E2202" s="62">
        <v>43440</v>
      </c>
      <c r="G2202">
        <v>6.8168983297248176E-4</v>
      </c>
    </row>
    <row r="2203" spans="1:7">
      <c r="A2203" s="61">
        <v>43441</v>
      </c>
      <c r="C2203">
        <v>2.6270443079954838E-4</v>
      </c>
      <c r="E2203" s="62">
        <v>43441</v>
      </c>
      <c r="G2203">
        <v>-1.8733043692338924E-2</v>
      </c>
    </row>
    <row r="2204" spans="1:7">
      <c r="A2204" s="61">
        <v>43444</v>
      </c>
      <c r="C2204">
        <v>-1.6790862067430405E-2</v>
      </c>
      <c r="E2204" s="62">
        <v>43444</v>
      </c>
      <c r="G2204">
        <v>-2.5685469730585511E-2</v>
      </c>
    </row>
    <row r="2205" spans="1:7">
      <c r="A2205" s="61">
        <v>43445</v>
      </c>
      <c r="C2205">
        <v>-3.5268976882748288E-3</v>
      </c>
      <c r="E2205" s="62">
        <v>43445</v>
      </c>
      <c r="G2205">
        <v>3.0993864923835861E-2</v>
      </c>
    </row>
    <row r="2206" spans="1:7">
      <c r="A2206" s="61">
        <v>43446</v>
      </c>
      <c r="C2206">
        <v>2.2640223539835202E-2</v>
      </c>
      <c r="E2206" s="62">
        <v>43446</v>
      </c>
      <c r="G2206">
        <v>4.4229551860019034E-2</v>
      </c>
    </row>
    <row r="2207" spans="1:7">
      <c r="A2207" s="61">
        <v>43447</v>
      </c>
      <c r="C2207">
        <v>1.3759674423977334E-2</v>
      </c>
      <c r="E2207" s="62">
        <v>43447</v>
      </c>
      <c r="G2207">
        <v>-1.4890836217189856E-2</v>
      </c>
    </row>
    <row r="2208" spans="1:7">
      <c r="A2208" s="61">
        <v>43448</v>
      </c>
      <c r="C2208">
        <v>2.9363427194042854E-4</v>
      </c>
      <c r="E2208" s="62">
        <v>43448</v>
      </c>
      <c r="G2208">
        <v>8.0618450807052062E-3</v>
      </c>
    </row>
    <row r="2209" spans="1:7">
      <c r="A2209" s="61">
        <v>43451</v>
      </c>
      <c r="C2209">
        <v>6.9093330762962438E-3</v>
      </c>
      <c r="E2209" s="62">
        <v>43451</v>
      </c>
      <c r="G2209">
        <v>-1.9993378625553102E-2</v>
      </c>
    </row>
    <row r="2210" spans="1:7">
      <c r="A2210" s="61">
        <v>43452</v>
      </c>
      <c r="C2210">
        <v>1.2270525935626335E-3</v>
      </c>
      <c r="E2210" s="62">
        <v>43452</v>
      </c>
      <c r="G2210">
        <v>-1.3940813646674073E-2</v>
      </c>
    </row>
    <row r="2211" spans="1:7">
      <c r="A2211" s="61">
        <v>43453</v>
      </c>
      <c r="C2211">
        <v>7.792230368403567E-3</v>
      </c>
      <c r="E2211" s="62">
        <v>43453</v>
      </c>
      <c r="G2211">
        <v>2.6896444154516898E-2</v>
      </c>
    </row>
    <row r="2212" spans="1:7">
      <c r="A2212" s="61">
        <v>43454</v>
      </c>
      <c r="C2212">
        <v>-1.9750403201463989E-3</v>
      </c>
      <c r="E2212" s="62">
        <v>43454</v>
      </c>
      <c r="G2212">
        <v>-2.0147695025119112E-2</v>
      </c>
    </row>
    <row r="2213" spans="1:7">
      <c r="A2213" s="61">
        <v>43455</v>
      </c>
      <c r="C2213">
        <v>-5.9325256226343045E-3</v>
      </c>
      <c r="E2213" s="62">
        <v>43455</v>
      </c>
      <c r="G2213">
        <v>6.1686636141120845E-3</v>
      </c>
    </row>
    <row r="2214" spans="1:7">
      <c r="A2214" s="61">
        <v>43458</v>
      </c>
      <c r="C2214">
        <v>-1.2087993288794745E-2</v>
      </c>
      <c r="E2214" s="62">
        <v>43458</v>
      </c>
      <c r="G2214">
        <v>-5.1089994891662226E-3</v>
      </c>
    </row>
    <row r="2215" spans="1:7">
      <c r="A2215" s="61">
        <v>43460</v>
      </c>
      <c r="C2215">
        <v>-4.3998204873241173E-3</v>
      </c>
      <c r="E2215" s="62">
        <v>43460</v>
      </c>
      <c r="G2215">
        <v>1.0612839529130138E-2</v>
      </c>
    </row>
    <row r="2216" spans="1:7">
      <c r="A2216" s="61">
        <v>43461</v>
      </c>
      <c r="C2216">
        <v>9.9610220874836626E-3</v>
      </c>
      <c r="E2216" s="62">
        <v>43461</v>
      </c>
      <c r="G2216">
        <v>0</v>
      </c>
    </row>
    <row r="2217" spans="1:7">
      <c r="A2217" s="61">
        <v>43462</v>
      </c>
      <c r="C2217">
        <v>4.0124969370254303E-3</v>
      </c>
      <c r="E2217" s="62">
        <v>43462</v>
      </c>
      <c r="G2217">
        <v>5.7587462769410035E-3</v>
      </c>
    </row>
    <row r="2218" spans="1:7">
      <c r="A2218" s="61">
        <v>43465</v>
      </c>
      <c r="C2218">
        <v>5.0772925174218681E-3</v>
      </c>
      <c r="E2218" s="62">
        <v>43465</v>
      </c>
      <c r="G2218">
        <v>-5.0522206356816242E-3</v>
      </c>
    </row>
    <row r="2219" spans="1:7">
      <c r="A2219" s="61">
        <v>43466</v>
      </c>
      <c r="C2219">
        <v>7.6316679530646101E-4</v>
      </c>
      <c r="E2219" s="62">
        <v>43466</v>
      </c>
      <c r="G2219">
        <v>-1.1509797424641564E-2</v>
      </c>
    </row>
    <row r="2220" spans="1:7">
      <c r="A2220" s="61">
        <v>43467</v>
      </c>
      <c r="C2220">
        <v>-6.3303205455947096E-3</v>
      </c>
      <c r="E2220" s="62">
        <v>43467</v>
      </c>
      <c r="G2220">
        <v>-2.8424618039930107E-2</v>
      </c>
    </row>
    <row r="2221" spans="1:7">
      <c r="A2221" s="61">
        <v>43468</v>
      </c>
      <c r="C2221">
        <v>-8.6773381938056726E-3</v>
      </c>
      <c r="E2221" s="62">
        <v>43468</v>
      </c>
      <c r="G2221">
        <v>1.8681641387799201E-2</v>
      </c>
    </row>
    <row r="2222" spans="1:7">
      <c r="A2222" s="61">
        <v>43469</v>
      </c>
      <c r="C2222">
        <v>-1.8034423756174592E-3</v>
      </c>
      <c r="E2222" s="62">
        <v>43469</v>
      </c>
      <c r="G2222">
        <v>-1.0380645878586427E-2</v>
      </c>
    </row>
    <row r="2223" spans="1:7">
      <c r="A2223" s="61">
        <v>43472</v>
      </c>
      <c r="C2223">
        <v>6.4556499054788698E-3</v>
      </c>
      <c r="E2223" s="62">
        <v>43472</v>
      </c>
      <c r="G2223">
        <v>1.3636418779157769E-2</v>
      </c>
    </row>
    <row r="2224" spans="1:7">
      <c r="A2224" s="61">
        <v>43473</v>
      </c>
      <c r="C2224">
        <v>-3.8967066261532302E-4</v>
      </c>
      <c r="E2224" s="62">
        <v>43473</v>
      </c>
      <c r="G2224">
        <v>-2.1386653419169923E-2</v>
      </c>
    </row>
    <row r="2225" spans="1:7">
      <c r="A2225" s="61">
        <v>43474</v>
      </c>
      <c r="C2225">
        <v>4.79175152972497E-3</v>
      </c>
      <c r="E2225" s="62">
        <v>43474</v>
      </c>
      <c r="G2225">
        <v>-7.0500456762975284E-4</v>
      </c>
    </row>
    <row r="2226" spans="1:7">
      <c r="A2226" s="61">
        <v>43475</v>
      </c>
      <c r="C2226">
        <v>-1.1551723386355017E-3</v>
      </c>
      <c r="E2226" s="62">
        <v>43475</v>
      </c>
      <c r="G2226">
        <v>-3.174627825088584E-3</v>
      </c>
    </row>
    <row r="2227" spans="1:7">
      <c r="A2227" s="61">
        <v>43476</v>
      </c>
      <c r="C2227">
        <v>-1.6583892676029293E-3</v>
      </c>
      <c r="E2227" s="62">
        <v>43476</v>
      </c>
      <c r="G2227">
        <v>-5.3078709361207592E-3</v>
      </c>
    </row>
    <row r="2228" spans="1:7">
      <c r="A2228" s="61">
        <v>43479</v>
      </c>
      <c r="C2228">
        <v>-4.2752603187647762E-3</v>
      </c>
      <c r="E2228" s="62">
        <v>43479</v>
      </c>
      <c r="G2228">
        <v>-5.3361947692457156E-3</v>
      </c>
    </row>
    <row r="2229" spans="1:7">
      <c r="A2229" s="61">
        <v>43480</v>
      </c>
      <c r="C2229">
        <v>5.0267802265343752E-3</v>
      </c>
      <c r="E2229" s="62">
        <v>43480</v>
      </c>
      <c r="G2229">
        <v>-6.0801580119934969E-3</v>
      </c>
    </row>
    <row r="2230" spans="1:7">
      <c r="A2230" s="61">
        <v>43481</v>
      </c>
      <c r="C2230">
        <v>4.9448509337119461E-3</v>
      </c>
      <c r="E2230" s="62">
        <v>43481</v>
      </c>
      <c r="G2230">
        <v>6.1173524816972771E-3</v>
      </c>
    </row>
    <row r="2231" spans="1:7">
      <c r="A2231" s="61">
        <v>43482</v>
      </c>
      <c r="C2231">
        <v>1.1823156869819535E-3</v>
      </c>
      <c r="E2231" s="62">
        <v>43482</v>
      </c>
      <c r="G2231">
        <v>-1.7524916042815239E-2</v>
      </c>
    </row>
    <row r="2232" spans="1:7">
      <c r="A2232" s="61">
        <v>43483</v>
      </c>
      <c r="C2232">
        <v>-1.3762921733694292E-3</v>
      </c>
      <c r="E2232" s="62">
        <v>43483</v>
      </c>
      <c r="G2232">
        <v>-4.3684769194223382E-3</v>
      </c>
    </row>
    <row r="2233" spans="1:7">
      <c r="A2233" s="61">
        <v>43486</v>
      </c>
      <c r="C2233">
        <v>3.1302714640978415E-4</v>
      </c>
      <c r="E2233" s="62">
        <v>43486</v>
      </c>
      <c r="G2233">
        <v>1.0968321865538447E-3</v>
      </c>
    </row>
    <row r="2234" spans="1:7">
      <c r="A2234" s="61">
        <v>43487</v>
      </c>
      <c r="C2234">
        <v>-1.0474435423583797E-3</v>
      </c>
      <c r="E2234" s="62">
        <v>43487</v>
      </c>
      <c r="G2234">
        <v>7.3048871387976818E-4</v>
      </c>
    </row>
    <row r="2235" spans="1:7">
      <c r="A2235" s="61">
        <v>43488</v>
      </c>
      <c r="C2235">
        <v>-3.9026639923775948E-3</v>
      </c>
      <c r="E2235" s="62">
        <v>43488</v>
      </c>
      <c r="G2235">
        <v>3.649682239763231E-3</v>
      </c>
    </row>
    <row r="2236" spans="1:7">
      <c r="A2236" s="61">
        <v>43489</v>
      </c>
      <c r="C2236">
        <v>-3.0574895390179345E-3</v>
      </c>
      <c r="E2236" s="62">
        <v>43489</v>
      </c>
      <c r="G2236">
        <v>-1.3454566329533083E-2</v>
      </c>
    </row>
    <row r="2237" spans="1:7">
      <c r="A2237" s="61">
        <v>43490</v>
      </c>
      <c r="C2237">
        <v>-3.6890022169061929E-3</v>
      </c>
      <c r="E2237" s="62">
        <v>43490</v>
      </c>
      <c r="G2237">
        <v>-1.5849624507061243E-2</v>
      </c>
    </row>
    <row r="2238" spans="1:7">
      <c r="A2238" s="61">
        <v>43493</v>
      </c>
      <c r="C2238">
        <v>-1.098925260769386E-2</v>
      </c>
      <c r="E2238" s="62">
        <v>43493</v>
      </c>
      <c r="G2238">
        <v>2.8089840941582737E-2</v>
      </c>
    </row>
    <row r="2239" spans="1:7">
      <c r="A2239" s="61">
        <v>43494</v>
      </c>
      <c r="C2239">
        <v>-7.6165492096664329E-3</v>
      </c>
      <c r="E2239" s="62">
        <v>43494</v>
      </c>
      <c r="G2239">
        <v>-2.4408068578237789E-2</v>
      </c>
    </row>
    <row r="2240" spans="1:7">
      <c r="A2240" s="61">
        <v>43495</v>
      </c>
      <c r="C2240">
        <v>3.0243019463064825E-3</v>
      </c>
      <c r="E2240" s="62">
        <v>43495</v>
      </c>
      <c r="G2240">
        <v>-4.1073738736203879E-3</v>
      </c>
    </row>
    <row r="2241" spans="1:7">
      <c r="A2241" s="61">
        <v>43496</v>
      </c>
      <c r="C2241">
        <v>7.1068982922895532E-3</v>
      </c>
      <c r="E2241" s="62">
        <v>43496</v>
      </c>
      <c r="G2241">
        <v>6.5241781765996737E-2</v>
      </c>
    </row>
    <row r="2242" spans="1:7">
      <c r="A2242" s="61">
        <v>43497</v>
      </c>
      <c r="C2242">
        <v>9.5804983633315296E-3</v>
      </c>
      <c r="E2242" s="62">
        <v>43497</v>
      </c>
      <c r="G2242">
        <v>1.1967596363314136E-2</v>
      </c>
    </row>
    <row r="2243" spans="1:7">
      <c r="A2243" s="61">
        <v>43500</v>
      </c>
      <c r="C2243">
        <v>9.0941841154920644E-4</v>
      </c>
      <c r="E2243" s="62">
        <v>43500</v>
      </c>
      <c r="G2243">
        <v>8.0000259649549103E-3</v>
      </c>
    </row>
    <row r="2244" spans="1:7">
      <c r="A2244" s="61">
        <v>43501</v>
      </c>
      <c r="C2244">
        <v>1.5362668715022495E-4</v>
      </c>
      <c r="E2244" s="62">
        <v>43501</v>
      </c>
      <c r="G2244">
        <v>-1.3112531787379379E-2</v>
      </c>
    </row>
    <row r="2245" spans="1:7">
      <c r="A2245" s="61">
        <v>43502</v>
      </c>
      <c r="C2245">
        <v>6.4732730624067411E-3</v>
      </c>
      <c r="E2245" s="62">
        <v>43502</v>
      </c>
      <c r="G2245">
        <v>-9.0908710108073172E-3</v>
      </c>
    </row>
    <row r="2246" spans="1:7">
      <c r="A2246" s="61">
        <v>43503</v>
      </c>
      <c r="C2246">
        <v>5.4374604835719402E-3</v>
      </c>
      <c r="E2246" s="62">
        <v>43503</v>
      </c>
      <c r="G2246">
        <v>-1.2702900197832569E-2</v>
      </c>
    </row>
    <row r="2247" spans="1:7">
      <c r="A2247" s="61">
        <v>43504</v>
      </c>
      <c r="C2247">
        <v>-7.1601425956925764E-3</v>
      </c>
      <c r="E2247" s="62">
        <v>43504</v>
      </c>
      <c r="G2247">
        <v>-1.929956383605683E-2</v>
      </c>
    </row>
    <row r="2248" spans="1:7">
      <c r="A2248" s="61">
        <v>43507</v>
      </c>
      <c r="C2248">
        <v>-8.3518614779124322E-3</v>
      </c>
      <c r="E2248" s="62">
        <v>43507</v>
      </c>
      <c r="G2248">
        <v>-1.3483877487205774E-2</v>
      </c>
    </row>
    <row r="2249" spans="1:7">
      <c r="A2249" s="61">
        <v>43508</v>
      </c>
      <c r="C2249">
        <v>-5.4841224743303416E-3</v>
      </c>
      <c r="E2249" s="62">
        <v>43508</v>
      </c>
      <c r="G2249">
        <v>3.6941665451489668E-3</v>
      </c>
    </row>
    <row r="2250" spans="1:7">
      <c r="A2250" s="61">
        <v>43510</v>
      </c>
      <c r="C2250">
        <v>-5.4522286206484466E-3</v>
      </c>
      <c r="E2250" s="62">
        <v>43510</v>
      </c>
      <c r="G2250">
        <v>1.0673546375741519E-2</v>
      </c>
    </row>
    <row r="2251" spans="1:7">
      <c r="A2251" s="61">
        <v>43511</v>
      </c>
      <c r="C2251">
        <v>-1.75445645331921E-3</v>
      </c>
      <c r="E2251" s="62">
        <v>43511</v>
      </c>
      <c r="G2251">
        <v>-4.7342480684400261E-3</v>
      </c>
    </row>
    <row r="2252" spans="1:7">
      <c r="A2252" s="61">
        <v>43514</v>
      </c>
      <c r="C2252">
        <v>-6.9407176845195321E-3</v>
      </c>
      <c r="E2252" s="62">
        <v>43514</v>
      </c>
      <c r="G2252">
        <v>-1.5001805406020767E-2</v>
      </c>
    </row>
    <row r="2253" spans="1:7">
      <c r="A2253" s="61">
        <v>43515</v>
      </c>
      <c r="C2253">
        <v>-5.5346399106530704E-3</v>
      </c>
      <c r="E2253" s="62">
        <v>43515</v>
      </c>
      <c r="G2253">
        <v>2.3774148319244362E-2</v>
      </c>
    </row>
    <row r="2254" spans="1:7">
      <c r="A2254" s="61">
        <v>43516</v>
      </c>
      <c r="C2254">
        <v>7.5488957419156495E-3</v>
      </c>
      <c r="E2254" s="62">
        <v>43516</v>
      </c>
      <c r="G2254">
        <v>7.2568711912246115E-3</v>
      </c>
    </row>
    <row r="2255" spans="1:7">
      <c r="A2255" s="61">
        <v>43517</v>
      </c>
      <c r="C2255">
        <v>7.438402833334831E-3</v>
      </c>
      <c r="E2255" s="62">
        <v>43517</v>
      </c>
      <c r="G2255">
        <v>2.6296858336721751E-2</v>
      </c>
    </row>
    <row r="2256" spans="1:7">
      <c r="A2256" s="61">
        <v>43518</v>
      </c>
      <c r="C2256">
        <v>2.9623152456623859E-3</v>
      </c>
      <c r="E2256" s="62">
        <v>43518</v>
      </c>
      <c r="G2256">
        <v>3.1589290969257981E-3</v>
      </c>
    </row>
    <row r="2257" spans="1:7">
      <c r="A2257" s="61">
        <v>43521</v>
      </c>
      <c r="C2257">
        <v>5.706965344530756E-3</v>
      </c>
      <c r="E2257" s="62">
        <v>43521</v>
      </c>
      <c r="G2257">
        <v>-5.2484408981881212E-3</v>
      </c>
    </row>
    <row r="2258" spans="1:7">
      <c r="A2258" s="61">
        <v>43522</v>
      </c>
      <c r="C2258">
        <v>-4.0204161064327304E-3</v>
      </c>
      <c r="E2258" s="62">
        <v>43522</v>
      </c>
      <c r="G2258">
        <v>-1.6179926095692687E-2</v>
      </c>
    </row>
    <row r="2259" spans="1:7">
      <c r="A2259" s="61">
        <v>43523</v>
      </c>
      <c r="C2259">
        <v>4.6672321226359512E-3</v>
      </c>
      <c r="E2259" s="62">
        <v>43523</v>
      </c>
      <c r="G2259">
        <v>-2.073662862015262E-2</v>
      </c>
    </row>
    <row r="2260" spans="1:7">
      <c r="A2260" s="61">
        <v>43524</v>
      </c>
      <c r="C2260">
        <v>3.5360991522170121E-5</v>
      </c>
      <c r="E2260" s="62">
        <v>43524</v>
      </c>
      <c r="G2260">
        <v>1.2778379555829434E-2</v>
      </c>
    </row>
    <row r="2261" spans="1:7">
      <c r="A2261" s="61">
        <v>43525</v>
      </c>
      <c r="C2261">
        <v>3.9028314312740519E-3</v>
      </c>
      <c r="E2261" s="62">
        <v>43525</v>
      </c>
      <c r="G2261">
        <v>-3.2443365173145207E-3</v>
      </c>
    </row>
    <row r="2262" spans="1:7">
      <c r="A2262" s="61">
        <v>43529</v>
      </c>
      <c r="C2262">
        <v>8.9112354653081635E-3</v>
      </c>
      <c r="E2262" s="62">
        <v>43529</v>
      </c>
      <c r="G2262">
        <v>5.0631763604260666E-3</v>
      </c>
    </row>
    <row r="2263" spans="1:7">
      <c r="A2263" s="61">
        <v>43530</v>
      </c>
      <c r="C2263">
        <v>1.1634148363757061E-2</v>
      </c>
      <c r="E2263" s="62">
        <v>43530</v>
      </c>
      <c r="G2263">
        <v>5.7574967495102845E-3</v>
      </c>
    </row>
    <row r="2264" spans="1:7">
      <c r="A2264" s="61">
        <v>43531</v>
      </c>
      <c r="C2264">
        <v>1.9497970399318903E-3</v>
      </c>
      <c r="E2264" s="62">
        <v>43531</v>
      </c>
      <c r="G2264">
        <v>1.7531294076954616E-2</v>
      </c>
    </row>
    <row r="2265" spans="1:7">
      <c r="A2265" s="61">
        <v>43532</v>
      </c>
      <c r="C2265">
        <v>-2.9921944625028525E-3</v>
      </c>
      <c r="E2265" s="62">
        <v>43532</v>
      </c>
      <c r="G2265">
        <v>1.6526093693257249E-2</v>
      </c>
    </row>
    <row r="2266" spans="1:7">
      <c r="A2266" s="61">
        <v>43535</v>
      </c>
      <c r="C2266">
        <v>8.6278370815629831E-3</v>
      </c>
      <c r="E2266" s="62">
        <v>43535</v>
      </c>
      <c r="G2266">
        <v>-2.7672262326607442E-3</v>
      </c>
    </row>
    <row r="2267" spans="1:7">
      <c r="A2267" s="61">
        <v>43536</v>
      </c>
      <c r="C2267">
        <v>1.3541746941012239E-2</v>
      </c>
      <c r="E2267" s="62">
        <v>43536</v>
      </c>
      <c r="G2267">
        <v>4.786685584357029E-2</v>
      </c>
    </row>
    <row r="2268" spans="1:7">
      <c r="A2268" s="61">
        <v>43537</v>
      </c>
      <c r="C2268">
        <v>4.0128919433802066E-3</v>
      </c>
      <c r="E2268" s="62">
        <v>43537</v>
      </c>
      <c r="G2268">
        <v>1.9198851750435508E-2</v>
      </c>
    </row>
    <row r="2269" spans="1:7">
      <c r="A2269" s="61">
        <v>43538</v>
      </c>
      <c r="C2269">
        <v>1.2242991833797618E-3</v>
      </c>
      <c r="E2269" s="62">
        <v>43538</v>
      </c>
      <c r="G2269">
        <v>-2.5982485697910545E-2</v>
      </c>
    </row>
    <row r="2270" spans="1:7">
      <c r="A2270" s="61">
        <v>43539</v>
      </c>
      <c r="C2270">
        <v>2.7817697434216913E-3</v>
      </c>
      <c r="E2270" s="62">
        <v>43539</v>
      </c>
      <c r="G2270">
        <v>-5.3350391155328348E-3</v>
      </c>
    </row>
    <row r="2271" spans="1:7">
      <c r="A2271" s="61">
        <v>43542</v>
      </c>
      <c r="C2271">
        <v>4.8692591350987715E-3</v>
      </c>
      <c r="E2271" s="62">
        <v>43542</v>
      </c>
      <c r="G2271">
        <v>1.0727403023038892E-2</v>
      </c>
    </row>
    <row r="2272" spans="1:7">
      <c r="A2272" s="61">
        <v>43543</v>
      </c>
      <c r="C2272">
        <v>3.87402940759466E-3</v>
      </c>
      <c r="E2272" s="62">
        <v>43543</v>
      </c>
      <c r="G2272">
        <v>-7.2968544831126941E-3</v>
      </c>
    </row>
    <row r="2273" spans="1:7">
      <c r="A2273" s="61">
        <v>43544</v>
      </c>
      <c r="C2273">
        <v>1.2171261698743789E-3</v>
      </c>
      <c r="E2273" s="62">
        <v>43544</v>
      </c>
      <c r="G2273">
        <v>-1.1359820658794401E-2</v>
      </c>
    </row>
    <row r="2274" spans="1:7">
      <c r="A2274" s="61">
        <v>43546</v>
      </c>
      <c r="C2274">
        <v>-3.6303438661710037E-3</v>
      </c>
      <c r="E2274" s="62">
        <v>43546</v>
      </c>
      <c r="G2274">
        <v>1.3517590863320868E-3</v>
      </c>
    </row>
    <row r="2275" spans="1:7">
      <c r="A2275" s="61">
        <v>43549</v>
      </c>
      <c r="C2275">
        <v>-1.1292988936035725E-2</v>
      </c>
      <c r="E2275" s="62">
        <v>43549</v>
      </c>
      <c r="G2275">
        <v>6.7502471668243777E-4</v>
      </c>
    </row>
    <row r="2276" spans="1:7">
      <c r="A2276" s="61">
        <v>43550</v>
      </c>
      <c r="C2276">
        <v>4.8012736009973179E-3</v>
      </c>
      <c r="E2276" s="62">
        <v>43550</v>
      </c>
      <c r="G2276">
        <v>1.6863408451036802E-2</v>
      </c>
    </row>
    <row r="2277" spans="1:7">
      <c r="A2277" s="61">
        <v>43551</v>
      </c>
      <c r="C2277">
        <v>5.499272771474383E-3</v>
      </c>
      <c r="E2277" s="62">
        <v>43551</v>
      </c>
      <c r="G2277">
        <v>3.3167925771766071E-3</v>
      </c>
    </row>
    <row r="2278" spans="1:7">
      <c r="A2278" s="61">
        <v>43552</v>
      </c>
      <c r="C2278">
        <v>2.9555336009570183E-3</v>
      </c>
      <c r="E2278" s="62">
        <v>43552</v>
      </c>
      <c r="G2278">
        <v>4.6280939542968462E-3</v>
      </c>
    </row>
    <row r="2279" spans="1:7">
      <c r="A2279" s="61">
        <v>43556</v>
      </c>
      <c r="C2279">
        <v>4.6006715828285187E-3</v>
      </c>
      <c r="E2279" s="62">
        <v>43556</v>
      </c>
      <c r="G2279">
        <v>1.9085243598175927E-2</v>
      </c>
    </row>
    <row r="2280" spans="1:7">
      <c r="A2280" s="61">
        <v>43557</v>
      </c>
      <c r="C2280">
        <v>2.7035219517789993E-3</v>
      </c>
      <c r="E2280" s="62">
        <v>43557</v>
      </c>
      <c r="G2280">
        <v>1.7436189285715643E-2</v>
      </c>
    </row>
    <row r="2281" spans="1:7">
      <c r="A2281" s="61">
        <v>43558</v>
      </c>
      <c r="C2281">
        <v>-2.6145286086622604E-3</v>
      </c>
      <c r="E2281" s="62">
        <v>43558</v>
      </c>
      <c r="G2281">
        <v>-1.7137378706724205E-2</v>
      </c>
    </row>
    <row r="2282" spans="1:7">
      <c r="A2282" s="61">
        <v>43559</v>
      </c>
      <c r="C2282">
        <v>-5.0912159117903078E-3</v>
      </c>
      <c r="E2282" s="62">
        <v>43559</v>
      </c>
      <c r="G2282">
        <v>-6.4578421240458319E-3</v>
      </c>
    </row>
    <row r="2283" spans="1:7">
      <c r="A2283" s="61">
        <v>43560</v>
      </c>
      <c r="C2283">
        <v>2.1901746787811216E-3</v>
      </c>
      <c r="E2283" s="62">
        <v>43560</v>
      </c>
      <c r="G2283">
        <v>1.1699615666396599E-2</v>
      </c>
    </row>
    <row r="2284" spans="1:7">
      <c r="A2284" s="61">
        <v>43563</v>
      </c>
      <c r="C2284">
        <v>1.3145192761916281E-4</v>
      </c>
      <c r="E2284" s="62">
        <v>43563</v>
      </c>
      <c r="G2284">
        <v>1.2528255683391812E-2</v>
      </c>
    </row>
    <row r="2285" spans="1:7">
      <c r="A2285" s="61">
        <v>43564</v>
      </c>
      <c r="C2285">
        <v>-1.3759564951306077E-3</v>
      </c>
      <c r="E2285" s="62">
        <v>43564</v>
      </c>
      <c r="G2285">
        <v>-3.3946805656782576E-2</v>
      </c>
    </row>
    <row r="2286" spans="1:7">
      <c r="A2286" s="61">
        <v>43565</v>
      </c>
      <c r="C2286">
        <v>-1.9618972410049163E-3</v>
      </c>
      <c r="E2286" s="62">
        <v>43565</v>
      </c>
      <c r="G2286">
        <v>3.2841147446837963E-3</v>
      </c>
    </row>
    <row r="2287" spans="1:7">
      <c r="A2287" s="61">
        <v>43566</v>
      </c>
      <c r="C2287">
        <v>-1.3146236426202409E-3</v>
      </c>
      <c r="E2287" s="62">
        <v>43566</v>
      </c>
      <c r="G2287">
        <v>-5.8919341757707232E-3</v>
      </c>
    </row>
    <row r="2288" spans="1:7">
      <c r="A2288" s="61">
        <v>43567</v>
      </c>
      <c r="C2288">
        <v>2.9958404859369713E-3</v>
      </c>
      <c r="E2288" s="62">
        <v>43567</v>
      </c>
      <c r="G2288">
        <v>-4.2806207848316994E-3</v>
      </c>
    </row>
    <row r="2289" spans="1:7">
      <c r="A2289" s="61">
        <v>43570</v>
      </c>
      <c r="C2289">
        <v>4.6078778254108003E-3</v>
      </c>
      <c r="E2289" s="62">
        <v>43570</v>
      </c>
      <c r="G2289">
        <v>1.3888880041004782E-2</v>
      </c>
    </row>
    <row r="2290" spans="1:7">
      <c r="A2290" s="61">
        <v>43571</v>
      </c>
      <c r="C2290">
        <v>6.2985805669541275E-3</v>
      </c>
      <c r="E2290" s="62">
        <v>43571</v>
      </c>
      <c r="G2290">
        <v>4.8923821296162386E-3</v>
      </c>
    </row>
    <row r="2291" spans="1:7">
      <c r="A2291" s="61">
        <v>43573</v>
      </c>
      <c r="C2291">
        <v>2.2668077486570374E-3</v>
      </c>
      <c r="E2291" s="62">
        <v>43573</v>
      </c>
      <c r="G2291">
        <v>-4.5438829530431634E-3</v>
      </c>
    </row>
    <row r="2292" spans="1:7">
      <c r="A2292" s="61">
        <v>43577</v>
      </c>
      <c r="C2292">
        <v>-1.2762052485615761E-2</v>
      </c>
      <c r="E2292" s="62">
        <v>43577</v>
      </c>
      <c r="G2292">
        <v>3.9124891174802954E-3</v>
      </c>
    </row>
    <row r="2293" spans="1:7">
      <c r="A2293" s="61">
        <v>43578</v>
      </c>
      <c r="C2293">
        <v>-5.9349988072422161E-3</v>
      </c>
      <c r="E2293" s="62">
        <v>43578</v>
      </c>
      <c r="G2293">
        <v>-1.5589453617963035E-2</v>
      </c>
    </row>
    <row r="2294" spans="1:7">
      <c r="A2294" s="61">
        <v>43579</v>
      </c>
      <c r="C2294">
        <v>5.176030551406488E-3</v>
      </c>
      <c r="E2294" s="62">
        <v>43579</v>
      </c>
      <c r="G2294">
        <v>5.6086507936617723E-3</v>
      </c>
    </row>
    <row r="2295" spans="1:7">
      <c r="A2295" s="61">
        <v>43580</v>
      </c>
      <c r="C2295">
        <v>1.7082266549219008E-3</v>
      </c>
      <c r="E2295" s="62">
        <v>43580</v>
      </c>
      <c r="G2295">
        <v>0</v>
      </c>
    </row>
    <row r="2296" spans="1:7">
      <c r="A2296" s="61">
        <v>43581</v>
      </c>
      <c r="C2296">
        <v>1.5409460175789627E-3</v>
      </c>
      <c r="E2296" s="62">
        <v>43581</v>
      </c>
      <c r="G2296">
        <v>-3.2799805629228179E-4</v>
      </c>
    </row>
    <row r="2297" spans="1:7">
      <c r="A2297" s="61">
        <v>43585</v>
      </c>
      <c r="C2297">
        <v>5.5798992335868178E-4</v>
      </c>
      <c r="E2297" s="62">
        <v>43585</v>
      </c>
      <c r="G2297">
        <v>1.3127730630167646E-2</v>
      </c>
    </row>
    <row r="2298" spans="1:7">
      <c r="A2298" s="61">
        <v>43587</v>
      </c>
      <c r="C2298">
        <v>-3.1041383043287499E-3</v>
      </c>
      <c r="E2298" s="62">
        <v>43587</v>
      </c>
      <c r="G2298">
        <v>-8.7464361736538931E-3</v>
      </c>
    </row>
    <row r="2299" spans="1:7">
      <c r="A2299" s="61">
        <v>43588</v>
      </c>
      <c r="C2299">
        <v>-1.0653569768541045E-3</v>
      </c>
      <c r="E2299" s="62">
        <v>43588</v>
      </c>
      <c r="G2299">
        <v>3.2681013484035749E-4</v>
      </c>
    </row>
    <row r="2300" spans="1:7">
      <c r="A2300" s="61">
        <v>43591</v>
      </c>
      <c r="C2300">
        <v>-9.7878543310329219E-3</v>
      </c>
      <c r="E2300" s="62">
        <v>43591</v>
      </c>
      <c r="G2300">
        <v>-2.2868317742717257E-3</v>
      </c>
    </row>
    <row r="2301" spans="1:7">
      <c r="A2301" s="61">
        <v>43592</v>
      </c>
      <c r="C2301">
        <v>-2.7736770974114036E-3</v>
      </c>
      <c r="E2301" s="62">
        <v>43592</v>
      </c>
      <c r="G2301">
        <v>-1.2770188715557899E-2</v>
      </c>
    </row>
    <row r="2302" spans="1:7">
      <c r="A2302" s="61">
        <v>43593</v>
      </c>
      <c r="C2302">
        <v>-1.338153856418459E-2</v>
      </c>
      <c r="E2302" s="62">
        <v>43593</v>
      </c>
      <c r="G2302">
        <v>-2.3548923131455006E-2</v>
      </c>
    </row>
    <row r="2303" spans="1:7">
      <c r="A2303" s="61">
        <v>43594</v>
      </c>
      <c r="C2303">
        <v>-8.6517694495750492E-3</v>
      </c>
      <c r="E2303" s="62">
        <v>43594</v>
      </c>
      <c r="G2303">
        <v>3.7364703401564915E-3</v>
      </c>
    </row>
    <row r="2304" spans="1:7">
      <c r="A2304" s="61">
        <v>43595</v>
      </c>
      <c r="C2304">
        <v>-8.8253351069275589E-4</v>
      </c>
      <c r="E2304" s="62">
        <v>43595</v>
      </c>
      <c r="G2304">
        <v>-7.7833343563769577E-3</v>
      </c>
    </row>
    <row r="2305" spans="1:7">
      <c r="A2305" s="61">
        <v>43598</v>
      </c>
      <c r="C2305">
        <v>-8.8715355565513014E-3</v>
      </c>
      <c r="E2305" s="62">
        <v>43598</v>
      </c>
      <c r="G2305">
        <v>-2.2510265943520031E-2</v>
      </c>
    </row>
    <row r="2306" spans="1:7">
      <c r="A2306" s="61">
        <v>43599</v>
      </c>
      <c r="C2306">
        <v>-2.9965642840535656E-3</v>
      </c>
      <c r="E2306" s="62">
        <v>43599</v>
      </c>
      <c r="G2306">
        <v>3.8380553052120912E-3</v>
      </c>
    </row>
    <row r="2307" spans="1:7">
      <c r="A2307" s="61">
        <v>43600</v>
      </c>
      <c r="C2307">
        <v>2.0900807531200696E-3</v>
      </c>
      <c r="E2307" s="62">
        <v>43600</v>
      </c>
      <c r="G2307">
        <v>-6.9519568307686234E-4</v>
      </c>
    </row>
    <row r="2308" spans="1:7">
      <c r="A2308" s="61">
        <v>43601</v>
      </c>
      <c r="C2308">
        <v>-3.1027260896173851E-4</v>
      </c>
      <c r="E2308" s="62">
        <v>43601</v>
      </c>
      <c r="G2308">
        <v>-1.2521746085983753E-2</v>
      </c>
    </row>
    <row r="2309" spans="1:7">
      <c r="A2309" s="61">
        <v>43602</v>
      </c>
      <c r="C2309">
        <v>9.2119216146080603E-3</v>
      </c>
      <c r="E2309" s="62">
        <v>43602</v>
      </c>
      <c r="G2309">
        <v>7.7492130045705813E-3</v>
      </c>
    </row>
    <row r="2310" spans="1:7">
      <c r="A2310" s="61">
        <v>43605</v>
      </c>
      <c r="C2310">
        <v>3.5798034332967361E-2</v>
      </c>
      <c r="E2310" s="62">
        <v>43605</v>
      </c>
      <c r="G2310">
        <v>4.4040629414512353E-2</v>
      </c>
    </row>
    <row r="2311" spans="1:7">
      <c r="A2311" s="61">
        <v>43606</v>
      </c>
      <c r="C2311">
        <v>3.6536082474226206E-3</v>
      </c>
      <c r="E2311" s="62">
        <v>43606</v>
      </c>
      <c r="G2311">
        <v>-2.3435931373386905E-3</v>
      </c>
    </row>
    <row r="2312" spans="1:7">
      <c r="A2312" s="61">
        <v>43607</v>
      </c>
      <c r="C2312">
        <v>-4.8647005168743407E-3</v>
      </c>
      <c r="E2312" s="62">
        <v>43607</v>
      </c>
      <c r="G2312">
        <v>-4.3622901383842689E-3</v>
      </c>
    </row>
    <row r="2313" spans="1:7">
      <c r="A2313" s="61">
        <v>43608</v>
      </c>
      <c r="C2313">
        <v>4.4549590837399287E-3</v>
      </c>
      <c r="E2313" s="62">
        <v>43608</v>
      </c>
      <c r="G2313">
        <v>3.3694568405668766E-4</v>
      </c>
    </row>
    <row r="2314" spans="1:7">
      <c r="A2314" s="61">
        <v>43609</v>
      </c>
      <c r="C2314">
        <v>2.7457960136633322E-3</v>
      </c>
      <c r="E2314" s="62">
        <v>43609</v>
      </c>
      <c r="G2314">
        <v>2.0889464425391871E-2</v>
      </c>
    </row>
    <row r="2315" spans="1:7">
      <c r="A2315" s="61">
        <v>43612</v>
      </c>
      <c r="C2315">
        <v>9.350315024861694E-3</v>
      </c>
      <c r="E2315" s="62">
        <v>43612</v>
      </c>
      <c r="G2315">
        <v>8.5809215026838772E-3</v>
      </c>
    </row>
    <row r="2316" spans="1:7">
      <c r="A2316" s="61">
        <v>43613</v>
      </c>
      <c r="C2316">
        <v>5.3242902976890936E-3</v>
      </c>
      <c r="E2316" s="62">
        <v>43613</v>
      </c>
      <c r="G2316">
        <v>1.3088596037193227E-3</v>
      </c>
    </row>
    <row r="2317" spans="1:7">
      <c r="A2317" s="61">
        <v>43614</v>
      </c>
      <c r="C2317">
        <v>-4.9042380858119591E-3</v>
      </c>
      <c r="E2317" s="62">
        <v>43614</v>
      </c>
      <c r="G2317">
        <v>-2.2548994321569843E-2</v>
      </c>
    </row>
    <row r="2318" spans="1:7">
      <c r="A2318" s="61">
        <v>43615</v>
      </c>
      <c r="C2318">
        <v>1.23007222107196E-3</v>
      </c>
      <c r="E2318" s="62">
        <v>43615</v>
      </c>
      <c r="G2318">
        <v>1.3707767601238896E-2</v>
      </c>
    </row>
    <row r="2319" spans="1:7">
      <c r="A2319" s="61">
        <v>43616</v>
      </c>
      <c r="C2319">
        <v>4.614199408020229E-3</v>
      </c>
      <c r="E2319" s="62">
        <v>43616</v>
      </c>
      <c r="G2319">
        <v>3.660946410874525E-2</v>
      </c>
    </row>
    <row r="2320" spans="1:7">
      <c r="A2320" s="61">
        <v>43619</v>
      </c>
      <c r="C2320">
        <v>5.1257628103708449E-3</v>
      </c>
      <c r="E2320" s="62">
        <v>43619</v>
      </c>
      <c r="G2320">
        <v>-1.3044745200471785E-2</v>
      </c>
    </row>
    <row r="2321" spans="1:7">
      <c r="A2321" s="61">
        <v>43620</v>
      </c>
      <c r="C2321">
        <v>1.3331298837928642E-3</v>
      </c>
      <c r="E2321" s="62">
        <v>43620</v>
      </c>
      <c r="G2321">
        <v>-1.4829189240235239E-2</v>
      </c>
    </row>
    <row r="2322" spans="1:7">
      <c r="A2322" s="61">
        <v>43622</v>
      </c>
      <c r="C2322">
        <v>-8.3370092633436848E-3</v>
      </c>
      <c r="E2322" s="62">
        <v>43622</v>
      </c>
      <c r="G2322">
        <v>-1.7997354714932533E-2</v>
      </c>
    </row>
    <row r="2323" spans="1:7">
      <c r="A2323" s="61">
        <v>43623</v>
      </c>
      <c r="C2323">
        <v>-7.1616031315332365E-3</v>
      </c>
      <c r="E2323" s="62">
        <v>43623</v>
      </c>
      <c r="G2323">
        <v>-4.331971142223048E-3</v>
      </c>
    </row>
    <row r="2324" spans="1:7">
      <c r="A2324" s="61">
        <v>43626</v>
      </c>
      <c r="C2324">
        <v>4.5698924731181608E-3</v>
      </c>
      <c r="E2324" s="62">
        <v>43626</v>
      </c>
      <c r="G2324">
        <v>-1.9076310945550741E-2</v>
      </c>
    </row>
    <row r="2325" spans="1:7">
      <c r="A2325" s="61">
        <v>43627</v>
      </c>
      <c r="C2325">
        <v>2.8259582715030032E-3</v>
      </c>
      <c r="E2325" s="62">
        <v>43627</v>
      </c>
      <c r="G2325">
        <v>2.1835554323434436E-2</v>
      </c>
    </row>
    <row r="2326" spans="1:7">
      <c r="A2326" s="61">
        <v>43628</v>
      </c>
      <c r="C2326">
        <v>-2.3247445813236083E-3</v>
      </c>
      <c r="E2326" s="62">
        <v>43628</v>
      </c>
      <c r="G2326">
        <v>-3.015055276381884E-3</v>
      </c>
    </row>
    <row r="2327" spans="1:7">
      <c r="A2327" s="61">
        <v>43629</v>
      </c>
      <c r="C2327">
        <v>-3.7566257638879399E-3</v>
      </c>
      <c r="E2327" s="62">
        <v>43629</v>
      </c>
      <c r="G2327">
        <v>-1.1088769937726489E-2</v>
      </c>
    </row>
    <row r="2328" spans="1:7">
      <c r="A2328" s="61">
        <v>43630</v>
      </c>
      <c r="C2328">
        <v>-2.9775827072408586E-3</v>
      </c>
      <c r="E2328" s="62">
        <v>43630</v>
      </c>
      <c r="G2328">
        <v>-6.4559771575661519E-3</v>
      </c>
    </row>
    <row r="2329" spans="1:7">
      <c r="A2329" s="61">
        <v>43633</v>
      </c>
      <c r="C2329">
        <v>-9.6815650435528814E-3</v>
      </c>
      <c r="E2329" s="62">
        <v>43633</v>
      </c>
      <c r="G2329">
        <v>6.8403558175180801E-4</v>
      </c>
    </row>
    <row r="2330" spans="1:7">
      <c r="A2330" s="61">
        <v>43634</v>
      </c>
      <c r="C2330">
        <v>-6.3320864162943946E-3</v>
      </c>
      <c r="E2330" s="62">
        <v>43634</v>
      </c>
      <c r="G2330">
        <v>1.4012323704463654E-2</v>
      </c>
    </row>
    <row r="2331" spans="1:7">
      <c r="A2331" s="61">
        <v>43635</v>
      </c>
      <c r="C2331">
        <v>1.7081614461326765E-3</v>
      </c>
      <c r="E2331" s="62">
        <v>43635</v>
      </c>
      <c r="G2331">
        <v>-9.1001411890742189E-3</v>
      </c>
    </row>
    <row r="2332" spans="1:7">
      <c r="A2332" s="61">
        <v>43636</v>
      </c>
      <c r="C2332">
        <v>2.040503793350479E-3</v>
      </c>
      <c r="E2332" s="62">
        <v>43636</v>
      </c>
      <c r="G2332">
        <v>1.9727850340136004E-2</v>
      </c>
    </row>
    <row r="2333" spans="1:7">
      <c r="A2333" s="61">
        <v>43637</v>
      </c>
      <c r="C2333">
        <v>3.7009500206525627E-3</v>
      </c>
      <c r="E2333" s="62">
        <v>43637</v>
      </c>
      <c r="G2333">
        <v>6.0040629487951242E-3</v>
      </c>
    </row>
    <row r="2334" spans="1:7">
      <c r="A2334" s="61">
        <v>43640</v>
      </c>
      <c r="C2334">
        <v>-4.2181764308877514E-3</v>
      </c>
      <c r="E2334" s="62">
        <v>43640</v>
      </c>
      <c r="G2334">
        <v>2.12201388351431E-2</v>
      </c>
    </row>
    <row r="2335" spans="1:7">
      <c r="A2335" s="61">
        <v>43641</v>
      </c>
      <c r="C2335">
        <v>1.8018688189906456E-3</v>
      </c>
      <c r="E2335" s="62">
        <v>43641</v>
      </c>
      <c r="G2335">
        <v>3.1168850649350675E-2</v>
      </c>
    </row>
    <row r="2336" spans="1:7">
      <c r="A2336" s="61">
        <v>43642</v>
      </c>
      <c r="C2336">
        <v>6.1343113028915989E-3</v>
      </c>
      <c r="E2336" s="62">
        <v>43642</v>
      </c>
      <c r="G2336">
        <v>1.2594269283483339E-3</v>
      </c>
    </row>
    <row r="2337" spans="1:7">
      <c r="A2337" s="61">
        <v>43643</v>
      </c>
      <c r="C2337">
        <v>4.6741617259957189E-3</v>
      </c>
      <c r="E2337" s="62">
        <v>43643</v>
      </c>
      <c r="G2337">
        <v>-4.0880125786163044E-3</v>
      </c>
    </row>
    <row r="2338" spans="1:7">
      <c r="A2338" s="61">
        <v>43644</v>
      </c>
      <c r="C2338">
        <v>-1.4773460009633098E-3</v>
      </c>
      <c r="E2338" s="62">
        <v>43644</v>
      </c>
      <c r="G2338">
        <v>-5.0521185329162775E-3</v>
      </c>
    </row>
    <row r="2339" spans="1:7">
      <c r="A2339" s="61">
        <v>43647</v>
      </c>
      <c r="C2339">
        <v>2.1416426889877657E-3</v>
      </c>
      <c r="E2339" s="62">
        <v>43647</v>
      </c>
      <c r="G2339">
        <v>-2.3167305176122473E-2</v>
      </c>
    </row>
    <row r="2340" spans="1:7">
      <c r="A2340" s="61">
        <v>43648</v>
      </c>
      <c r="C2340">
        <v>3.8255110197557428E-3</v>
      </c>
      <c r="E2340" s="62">
        <v>43648</v>
      </c>
      <c r="G2340">
        <v>-6.1728202536511876E-3</v>
      </c>
    </row>
    <row r="2341" spans="1:7">
      <c r="A2341" s="61">
        <v>43649</v>
      </c>
      <c r="C2341">
        <v>2.3889426084977806E-3</v>
      </c>
      <c r="E2341" s="62">
        <v>43649</v>
      </c>
      <c r="G2341">
        <v>-6.2111606317978305E-3</v>
      </c>
    </row>
    <row r="2342" spans="1:7">
      <c r="A2342" s="61">
        <v>43650</v>
      </c>
      <c r="C2342">
        <v>1.3578035197508273E-3</v>
      </c>
      <c r="E2342" s="62">
        <v>43650</v>
      </c>
      <c r="G2342">
        <v>9.8680263157889742E-4</v>
      </c>
    </row>
    <row r="2343" spans="1:7">
      <c r="A2343" s="61">
        <v>43651</v>
      </c>
      <c r="C2343">
        <v>-4.6709868572837113E-3</v>
      </c>
      <c r="E2343" s="62">
        <v>43651</v>
      </c>
      <c r="G2343">
        <v>-1.117316508076889E-2</v>
      </c>
    </row>
    <row r="2344" spans="1:7">
      <c r="A2344" s="61">
        <v>43654</v>
      </c>
      <c r="C2344">
        <v>-1.9861490099754839E-2</v>
      </c>
      <c r="E2344" s="62">
        <v>43654</v>
      </c>
      <c r="G2344">
        <v>-1.7281429390789478E-2</v>
      </c>
    </row>
    <row r="2345" spans="1:7">
      <c r="A2345" s="61">
        <v>43655</v>
      </c>
      <c r="C2345">
        <v>-9.7004800451417888E-3</v>
      </c>
      <c r="E2345" s="62">
        <v>43655</v>
      </c>
      <c r="G2345">
        <v>-6.7640173108959888E-4</v>
      </c>
    </row>
    <row r="2346" spans="1:7">
      <c r="A2346" s="61">
        <v>43656</v>
      </c>
      <c r="C2346">
        <v>-2.1912091871575715E-3</v>
      </c>
      <c r="E2346" s="62">
        <v>43656</v>
      </c>
      <c r="G2346">
        <v>3.722524534686997E-3</v>
      </c>
    </row>
    <row r="2347" spans="1:7">
      <c r="A2347" s="61">
        <v>43657</v>
      </c>
      <c r="C2347">
        <v>4.0225396585458232E-3</v>
      </c>
      <c r="E2347" s="62">
        <v>43657</v>
      </c>
      <c r="G2347">
        <v>4.7201415093700043E-3</v>
      </c>
    </row>
    <row r="2348" spans="1:7">
      <c r="A2348" s="61">
        <v>43658</v>
      </c>
      <c r="C2348">
        <v>1.1793439167600967E-3</v>
      </c>
      <c r="E2348" s="62">
        <v>43658</v>
      </c>
      <c r="G2348">
        <v>-5.3691476510067367E-3</v>
      </c>
    </row>
    <row r="2349" spans="1:7">
      <c r="A2349" s="61">
        <v>43661</v>
      </c>
      <c r="C2349">
        <v>1.8964235290186825E-3</v>
      </c>
      <c r="E2349" s="62">
        <v>43661</v>
      </c>
      <c r="G2349">
        <v>-2.5303644236915876E-2</v>
      </c>
    </row>
    <row r="2350" spans="1:7">
      <c r="A2350" s="61">
        <v>43662</v>
      </c>
      <c r="C2350">
        <v>2.4098193886229538E-3</v>
      </c>
      <c r="E2350" s="62">
        <v>43662</v>
      </c>
      <c r="G2350">
        <v>4.1537280198074879E-3</v>
      </c>
    </row>
    <row r="2351" spans="1:7">
      <c r="A2351" s="61">
        <v>43663</v>
      </c>
      <c r="C2351">
        <v>4.3380609740882132E-3</v>
      </c>
      <c r="E2351" s="62">
        <v>43663</v>
      </c>
      <c r="G2351">
        <v>1.0341261420035958E-2</v>
      </c>
    </row>
    <row r="2352" spans="1:7">
      <c r="A2352" s="61">
        <v>43664</v>
      </c>
      <c r="C2352">
        <v>-4.6299172164176901E-3</v>
      </c>
      <c r="E2352" s="62">
        <v>43664</v>
      </c>
      <c r="G2352">
        <v>9.2118114797990723E-3</v>
      </c>
    </row>
    <row r="2353" spans="1:7">
      <c r="A2353" s="61">
        <v>43665</v>
      </c>
      <c r="C2353">
        <v>-1.0621788604356178E-2</v>
      </c>
      <c r="E2353" s="62">
        <v>43665</v>
      </c>
      <c r="G2353">
        <v>-1.9269716806073627E-2</v>
      </c>
    </row>
    <row r="2354" spans="1:7">
      <c r="A2354" s="61">
        <v>43668</v>
      </c>
      <c r="C2354">
        <v>-1.3511240443730317E-2</v>
      </c>
      <c r="E2354" s="62">
        <v>43668</v>
      </c>
      <c r="G2354">
        <v>2.0682729665300577E-3</v>
      </c>
    </row>
    <row r="2355" spans="1:7">
      <c r="A2355" s="61">
        <v>43669</v>
      </c>
      <c r="C2355">
        <v>-1.6539564941238894E-3</v>
      </c>
      <c r="E2355" s="62">
        <v>43669</v>
      </c>
      <c r="G2355">
        <v>-1.2727938931079284E-2</v>
      </c>
    </row>
    <row r="2356" spans="1:7">
      <c r="A2356" s="61">
        <v>43670</v>
      </c>
      <c r="C2356">
        <v>-6.1699138773959128E-3</v>
      </c>
      <c r="E2356" s="62">
        <v>43670</v>
      </c>
      <c r="G2356">
        <v>3.1010432055749101E-2</v>
      </c>
    </row>
    <row r="2357" spans="1:7">
      <c r="A2357" s="61">
        <v>43671</v>
      </c>
      <c r="C2357">
        <v>-2.7496605887710737E-3</v>
      </c>
      <c r="E2357" s="62">
        <v>43671</v>
      </c>
      <c r="G2357">
        <v>-1.689760088335791E-2</v>
      </c>
    </row>
    <row r="2358" spans="1:7">
      <c r="A2358" s="61">
        <v>43672</v>
      </c>
      <c r="C2358">
        <v>9.4349377035626391E-4</v>
      </c>
      <c r="E2358" s="62">
        <v>43672</v>
      </c>
      <c r="G2358">
        <v>-8.5940187403372725E-3</v>
      </c>
    </row>
    <row r="2359" spans="1:7">
      <c r="A2359" s="61">
        <v>43675</v>
      </c>
      <c r="C2359">
        <v>-1.7689973529601026E-3</v>
      </c>
      <c r="E2359" s="62">
        <v>43675</v>
      </c>
      <c r="G2359">
        <v>-3.224683839625872E-2</v>
      </c>
    </row>
    <row r="2360" spans="1:7">
      <c r="A2360" s="61">
        <v>43676</v>
      </c>
      <c r="C2360">
        <v>-9.7876890705575967E-3</v>
      </c>
      <c r="E2360" s="62">
        <v>43676</v>
      </c>
      <c r="G2360">
        <v>3.0813349391328952E-2</v>
      </c>
    </row>
    <row r="2361" spans="1:7">
      <c r="A2361" s="61">
        <v>43677</v>
      </c>
      <c r="C2361">
        <v>-6.2877197871581353E-3</v>
      </c>
      <c r="E2361" s="62">
        <v>43677</v>
      </c>
      <c r="G2361">
        <v>-3.8234478766723426E-3</v>
      </c>
    </row>
    <row r="2362" spans="1:7">
      <c r="A2362" s="61">
        <v>43678</v>
      </c>
      <c r="C2362">
        <v>-3.9919372507777285E-3</v>
      </c>
      <c r="E2362" s="62">
        <v>43678</v>
      </c>
      <c r="G2362">
        <v>-1.8143795851839638E-2</v>
      </c>
    </row>
    <row r="2363" spans="1:7">
      <c r="A2363" s="61">
        <v>43679</v>
      </c>
      <c r="C2363">
        <v>-5.4245729193706481E-3</v>
      </c>
      <c r="E2363" s="62">
        <v>43679</v>
      </c>
      <c r="G2363">
        <v>-1.9900519258717567E-2</v>
      </c>
    </row>
    <row r="2364" spans="1:7">
      <c r="A2364" s="61">
        <v>43682</v>
      </c>
      <c r="C2364">
        <v>-7.4181876089282374E-3</v>
      </c>
      <c r="E2364" s="62">
        <v>43682</v>
      </c>
      <c r="G2364">
        <v>-1.8129079831577077E-2</v>
      </c>
    </row>
    <row r="2365" spans="1:7">
      <c r="A2365" s="61">
        <v>43683</v>
      </c>
      <c r="C2365">
        <v>8.9576583522358688E-4</v>
      </c>
      <c r="E2365" s="62">
        <v>43683</v>
      </c>
      <c r="G2365">
        <v>4.357466219680934E-2</v>
      </c>
    </row>
    <row r="2366" spans="1:7">
      <c r="A2366" s="61">
        <v>43684</v>
      </c>
      <c r="C2366">
        <v>3.3928491918605946E-3</v>
      </c>
      <c r="E2366" s="62">
        <v>43684</v>
      </c>
      <c r="G2366">
        <v>-9.90806065304904E-3</v>
      </c>
    </row>
    <row r="2367" spans="1:7">
      <c r="A2367" s="61">
        <v>43685</v>
      </c>
      <c r="C2367">
        <v>4.9123149561576722E-3</v>
      </c>
      <c r="E2367" s="62">
        <v>43685</v>
      </c>
      <c r="G2367">
        <v>6.4332311551064929E-3</v>
      </c>
    </row>
    <row r="2368" spans="1:7">
      <c r="A2368" s="61">
        <v>43686</v>
      </c>
      <c r="C2368">
        <v>1.1498770196812731E-2</v>
      </c>
      <c r="E2368" s="62">
        <v>43686</v>
      </c>
      <c r="G2368">
        <v>-3.5511362879729483E-3</v>
      </c>
    </row>
    <row r="2369" spans="1:7">
      <c r="A2369" s="61">
        <v>43690</v>
      </c>
      <c r="C2369">
        <v>-6.6531914800732304E-3</v>
      </c>
      <c r="E2369" s="62">
        <v>43690</v>
      </c>
      <c r="G2369">
        <v>-2.7797640175389101E-2</v>
      </c>
    </row>
    <row r="2370" spans="1:7">
      <c r="A2370" s="61">
        <v>43691</v>
      </c>
      <c r="C2370">
        <v>-2.1754512413256627E-3</v>
      </c>
      <c r="E2370" s="62">
        <v>43691</v>
      </c>
      <c r="G2370">
        <v>-1.246332166260943E-2</v>
      </c>
    </row>
    <row r="2371" spans="1:7">
      <c r="A2371" s="61">
        <v>43693</v>
      </c>
      <c r="C2371">
        <v>2.8804989341272096E-3</v>
      </c>
      <c r="E2371" s="62">
        <v>43693</v>
      </c>
      <c r="G2371">
        <v>-1.6703786563558722E-2</v>
      </c>
    </row>
    <row r="2372" spans="1:7">
      <c r="A2372" s="61">
        <v>43696</v>
      </c>
      <c r="C2372">
        <v>3.201609148960529E-3</v>
      </c>
      <c r="E2372" s="62">
        <v>43696</v>
      </c>
      <c r="G2372">
        <v>1.925257121749881E-2</v>
      </c>
    </row>
    <row r="2373" spans="1:7">
      <c r="A2373" s="61">
        <v>43697</v>
      </c>
      <c r="C2373">
        <v>-3.362124442381998E-3</v>
      </c>
      <c r="E2373" s="62">
        <v>43697</v>
      </c>
      <c r="G2373">
        <v>-2.4814859259259317E-2</v>
      </c>
    </row>
    <row r="2374" spans="1:7">
      <c r="A2374" s="61">
        <v>43698</v>
      </c>
      <c r="C2374">
        <v>-7.5375891135427186E-3</v>
      </c>
      <c r="E2374" s="62">
        <v>43698</v>
      </c>
      <c r="G2374">
        <v>-1.7470475539862043E-2</v>
      </c>
    </row>
    <row r="2375" spans="1:7">
      <c r="A2375" s="61">
        <v>43699</v>
      </c>
      <c r="C2375">
        <v>-1.3919439858725432E-2</v>
      </c>
      <c r="E2375" s="62">
        <v>43699</v>
      </c>
      <c r="G2375">
        <v>-2.4739109791769215E-2</v>
      </c>
    </row>
    <row r="2376" spans="1:7">
      <c r="A2376" s="61">
        <v>43700</v>
      </c>
      <c r="C2376">
        <v>-5.0449285900231516E-3</v>
      </c>
      <c r="E2376" s="62">
        <v>43700</v>
      </c>
      <c r="G2376">
        <v>7.7685254416404961E-2</v>
      </c>
    </row>
    <row r="2377" spans="1:7">
      <c r="A2377" s="61">
        <v>43703</v>
      </c>
      <c r="C2377">
        <v>2.4256340391746307E-2</v>
      </c>
      <c r="E2377" s="62">
        <v>43703</v>
      </c>
      <c r="G2377">
        <v>3.6780434794716322E-4</v>
      </c>
    </row>
    <row r="2378" spans="1:7">
      <c r="A2378" s="61">
        <v>43704</v>
      </c>
      <c r="C2378">
        <v>7.1657909456466053E-3</v>
      </c>
      <c r="E2378" s="62">
        <v>43704</v>
      </c>
      <c r="G2378">
        <v>1.2132308823529355E-2</v>
      </c>
    </row>
    <row r="2379" spans="1:7">
      <c r="A2379" s="61">
        <v>43705</v>
      </c>
      <c r="C2379">
        <v>-2.2083453589762181E-3</v>
      </c>
      <c r="E2379" s="62">
        <v>43705</v>
      </c>
      <c r="G2379">
        <v>6.5383874989490475E-3</v>
      </c>
    </row>
    <row r="2380" spans="1:7">
      <c r="A2380" s="61">
        <v>43706</v>
      </c>
      <c r="C2380">
        <v>-8.4584942127247133E-3</v>
      </c>
      <c r="E2380" s="62">
        <v>43706</v>
      </c>
      <c r="G2380">
        <v>2.5260988265730215E-3</v>
      </c>
    </row>
    <row r="2381" spans="1:7">
      <c r="A2381" s="61">
        <v>43707</v>
      </c>
      <c r="C2381">
        <v>4.1459846271486534E-3</v>
      </c>
      <c r="E2381" s="62">
        <v>43707</v>
      </c>
      <c r="G2381">
        <v>7.1998563225285372E-4</v>
      </c>
    </row>
    <row r="2382" spans="1:7">
      <c r="A2382" s="61">
        <v>43711</v>
      </c>
      <c r="C2382">
        <v>-1.095162007386178E-2</v>
      </c>
      <c r="E2382" s="62">
        <v>43711</v>
      </c>
      <c r="G2382">
        <v>-3.3453194244604259E-2</v>
      </c>
    </row>
    <row r="2383" spans="1:7">
      <c r="A2383" s="61">
        <v>43712</v>
      </c>
      <c r="C2383">
        <v>-5.7278152857454722E-3</v>
      </c>
      <c r="E2383" s="62">
        <v>43712</v>
      </c>
      <c r="G2383">
        <v>-1.0048425304871274E-2</v>
      </c>
    </row>
    <row r="2384" spans="1:7">
      <c r="A2384" s="61">
        <v>43713</v>
      </c>
      <c r="C2384">
        <v>3.5451151714817135E-3</v>
      </c>
      <c r="E2384" s="62">
        <v>43713</v>
      </c>
      <c r="G2384">
        <v>-7.5187969924812026E-3</v>
      </c>
    </row>
    <row r="2385" spans="1:7">
      <c r="A2385" s="61">
        <v>43714</v>
      </c>
      <c r="C2385">
        <v>5.5129840587337326E-3</v>
      </c>
      <c r="E2385" s="62">
        <v>43714</v>
      </c>
      <c r="G2385">
        <v>6.4394393939394513E-3</v>
      </c>
    </row>
    <row r="2386" spans="1:7">
      <c r="A2386" s="61">
        <v>43717</v>
      </c>
      <c r="C2386">
        <v>5.052476556331246E-3</v>
      </c>
      <c r="E2386" s="62">
        <v>43717</v>
      </c>
      <c r="G2386">
        <v>1.5807233008329622E-2</v>
      </c>
    </row>
    <row r="2387" spans="1:7">
      <c r="A2387" s="61">
        <v>43719</v>
      </c>
      <c r="C2387">
        <v>6.3114316357200549E-3</v>
      </c>
      <c r="E2387" s="62">
        <v>43719</v>
      </c>
      <c r="G2387">
        <v>-1.8525380182112935E-3</v>
      </c>
    </row>
    <row r="2388" spans="1:7">
      <c r="A2388" s="61">
        <v>43720</v>
      </c>
      <c r="C2388">
        <v>-4.8244979232825131E-5</v>
      </c>
      <c r="E2388" s="62">
        <v>43720</v>
      </c>
      <c r="G2388">
        <v>-1.8559762848398579E-3</v>
      </c>
    </row>
    <row r="2389" spans="1:7">
      <c r="A2389" s="61">
        <v>43721</v>
      </c>
      <c r="C2389">
        <v>1.201796554265126E-3</v>
      </c>
      <c r="E2389" s="62">
        <v>43721</v>
      </c>
      <c r="G2389">
        <v>-1.26440835844719E-2</v>
      </c>
    </row>
    <row r="2390" spans="1:7">
      <c r="A2390" s="61">
        <v>43724</v>
      </c>
      <c r="C2390">
        <v>-2.7511762592762673E-3</v>
      </c>
      <c r="E2390" s="62">
        <v>43724</v>
      </c>
      <c r="G2390">
        <v>7.5334086629007604E-4</v>
      </c>
    </row>
    <row r="2391" spans="1:7">
      <c r="A2391" s="61">
        <v>43725</v>
      </c>
      <c r="C2391">
        <v>-7.8457902459170177E-3</v>
      </c>
      <c r="E2391" s="62">
        <v>43725</v>
      </c>
      <c r="G2391">
        <v>-2.1076423587064075E-2</v>
      </c>
    </row>
    <row r="2392" spans="1:7">
      <c r="A2392" s="61">
        <v>43726</v>
      </c>
      <c r="C2392">
        <v>-4.7420434620901548E-3</v>
      </c>
      <c r="E2392" s="62">
        <v>43726</v>
      </c>
      <c r="G2392">
        <v>3.1141890861778786E-2</v>
      </c>
    </row>
    <row r="2393" spans="1:7">
      <c r="A2393" s="61">
        <v>43727</v>
      </c>
      <c r="C2393">
        <v>-7.0913466885545407E-3</v>
      </c>
      <c r="E2393" s="62">
        <v>43727</v>
      </c>
      <c r="G2393">
        <v>5.5928409130719947E-3</v>
      </c>
    </row>
    <row r="2394" spans="1:7">
      <c r="A2394" s="61">
        <v>43728</v>
      </c>
      <c r="C2394">
        <v>2.2308647009010283E-2</v>
      </c>
      <c r="E2394" s="62">
        <v>43728</v>
      </c>
      <c r="G2394">
        <v>0.10530216068362648</v>
      </c>
    </row>
    <row r="2395" spans="1:7">
      <c r="A2395" s="61">
        <v>43731</v>
      </c>
      <c r="C2395">
        <v>4.961738383457668E-2</v>
      </c>
      <c r="E2395" s="62">
        <v>43731</v>
      </c>
      <c r="G2395">
        <v>7.6484359413263425E-2</v>
      </c>
    </row>
    <row r="2396" spans="1:7">
      <c r="A2396" s="61">
        <v>43732</v>
      </c>
      <c r="C2396">
        <v>1.9583526454462169E-3</v>
      </c>
      <c r="E2396" s="62">
        <v>43732</v>
      </c>
      <c r="G2396">
        <v>-3.7394266825694525E-3</v>
      </c>
    </row>
    <row r="2397" spans="1:7">
      <c r="A2397" s="61">
        <v>43733</v>
      </c>
      <c r="C2397">
        <v>-8.659920985513981E-3</v>
      </c>
      <c r="E2397" s="62">
        <v>43733</v>
      </c>
      <c r="G2397">
        <v>-3.0653793031449814E-2</v>
      </c>
    </row>
    <row r="2398" spans="1:7">
      <c r="A2398" s="61">
        <v>43734</v>
      </c>
      <c r="C2398">
        <v>7.8191341780249472E-4</v>
      </c>
      <c r="E2398" s="62">
        <v>43734</v>
      </c>
      <c r="G2398">
        <v>0</v>
      </c>
    </row>
    <row r="2399" spans="1:7">
      <c r="A2399" s="61">
        <v>43735</v>
      </c>
      <c r="C2399">
        <v>1.2811680892533099E-3</v>
      </c>
      <c r="E2399" s="62">
        <v>43735</v>
      </c>
      <c r="G2399">
        <v>-3.2268474325946581E-3</v>
      </c>
    </row>
    <row r="2400" spans="1:7">
      <c r="A2400" s="61">
        <v>43738</v>
      </c>
      <c r="C2400">
        <v>-5.4495341256623744E-3</v>
      </c>
      <c r="E2400" s="62">
        <v>43738</v>
      </c>
      <c r="G2400">
        <v>3.4639081281432511E-2</v>
      </c>
    </row>
    <row r="2401" spans="1:7">
      <c r="A2401" s="61">
        <v>43739</v>
      </c>
      <c r="C2401">
        <v>-5.7367022398447714E-3</v>
      </c>
      <c r="E2401" s="62">
        <v>43739</v>
      </c>
      <c r="G2401">
        <v>-4.0362934160896077E-2</v>
      </c>
    </row>
    <row r="2402" spans="1:7">
      <c r="A2402" s="61">
        <v>43741</v>
      </c>
      <c r="C2402">
        <v>-1.0937168554579749E-2</v>
      </c>
      <c r="E2402" s="62">
        <v>43741</v>
      </c>
      <c r="G2402">
        <v>8.1512875845599891E-3</v>
      </c>
    </row>
    <row r="2403" spans="1:7">
      <c r="A2403" s="61">
        <v>43742</v>
      </c>
      <c r="C2403">
        <v>-3.3371652111249964E-3</v>
      </c>
      <c r="E2403" s="62">
        <v>43742</v>
      </c>
      <c r="G2403">
        <v>9.3790229219007665E-3</v>
      </c>
    </row>
    <row r="2404" spans="1:7">
      <c r="A2404" s="61">
        <v>43745</v>
      </c>
      <c r="C2404">
        <v>-1.1090835535433033E-2</v>
      </c>
      <c r="E2404" s="62">
        <v>43745</v>
      </c>
      <c r="G2404">
        <v>9.6119190718626526E-4</v>
      </c>
    </row>
    <row r="2405" spans="1:7">
      <c r="A2405" s="61">
        <v>43747</v>
      </c>
      <c r="C2405">
        <v>5.6097868803230005E-3</v>
      </c>
      <c r="E2405" s="62">
        <v>43747</v>
      </c>
      <c r="G2405">
        <v>-1.3764366461543482E-2</v>
      </c>
    </row>
    <row r="2406" spans="1:7">
      <c r="A2406" s="61">
        <v>43748</v>
      </c>
      <c r="C2406">
        <v>1.7657292721561335E-3</v>
      </c>
      <c r="E2406" s="62">
        <v>43748</v>
      </c>
      <c r="G2406">
        <v>-1.4281057819907969E-2</v>
      </c>
    </row>
    <row r="2407" spans="1:7">
      <c r="A2407" s="61">
        <v>43749</v>
      </c>
      <c r="C2407">
        <v>1.5682106845691366E-3</v>
      </c>
      <c r="E2407" s="62">
        <v>43749</v>
      </c>
      <c r="G2407">
        <v>-7.9026141098737599E-3</v>
      </c>
    </row>
    <row r="2408" spans="1:7">
      <c r="A2408" s="61">
        <v>43752</v>
      </c>
      <c r="C2408">
        <v>4.7964733843176184E-3</v>
      </c>
      <c r="E2408" s="62">
        <v>43752</v>
      </c>
      <c r="G2408">
        <v>8.9612084551427707E-3</v>
      </c>
    </row>
    <row r="2409" spans="1:7">
      <c r="A2409" s="61">
        <v>43753</v>
      </c>
      <c r="C2409">
        <v>4.8465543960266606E-3</v>
      </c>
      <c r="E2409" s="62">
        <v>43753</v>
      </c>
      <c r="G2409">
        <v>-1.9407874999999974E-2</v>
      </c>
    </row>
    <row r="2410" spans="1:7">
      <c r="A2410" s="61">
        <v>43754</v>
      </c>
      <c r="C2410">
        <v>5.9552798639768709E-3</v>
      </c>
      <c r="E2410" s="62">
        <v>43754</v>
      </c>
      <c r="G2410">
        <v>-3.3547802075524811E-4</v>
      </c>
    </row>
    <row r="2411" spans="1:7">
      <c r="A2411" s="61">
        <v>43755</v>
      </c>
      <c r="C2411">
        <v>6.2597676156824515E-3</v>
      </c>
      <c r="E2411" s="62">
        <v>43755</v>
      </c>
      <c r="G2411">
        <v>1.9127557046979916E-2</v>
      </c>
    </row>
    <row r="2412" spans="1:7">
      <c r="A2412" s="61">
        <v>43756</v>
      </c>
      <c r="C2412">
        <v>1.0061364192685315E-2</v>
      </c>
      <c r="E2412" s="62">
        <v>43756</v>
      </c>
      <c r="G2412">
        <v>-1.6134421489585025E-2</v>
      </c>
    </row>
    <row r="2413" spans="1:7">
      <c r="A2413" s="61">
        <v>43760</v>
      </c>
      <c r="C2413">
        <v>2.3607571136088248E-3</v>
      </c>
      <c r="E2413" s="62">
        <v>43760</v>
      </c>
      <c r="G2413">
        <v>1.9411038262826245E-2</v>
      </c>
    </row>
    <row r="2414" spans="1:7">
      <c r="A2414" s="61">
        <v>43761</v>
      </c>
      <c r="C2414">
        <v>-1.1546718355947697E-3</v>
      </c>
      <c r="E2414" s="62">
        <v>43761</v>
      </c>
      <c r="G2414">
        <v>-1.2475436392473421E-2</v>
      </c>
    </row>
    <row r="2415" spans="1:7">
      <c r="A2415" s="61">
        <v>43762</v>
      </c>
      <c r="C2415">
        <v>1.3438055571785396E-3</v>
      </c>
      <c r="E2415" s="62">
        <v>43762</v>
      </c>
      <c r="G2415">
        <v>6.3165694009270721E-3</v>
      </c>
    </row>
    <row r="2416" spans="1:7">
      <c r="A2416" s="61">
        <v>43763</v>
      </c>
      <c r="C2416">
        <v>-1.3503375843961596E-3</v>
      </c>
      <c r="E2416" s="62">
        <v>43763</v>
      </c>
      <c r="G2416">
        <v>-3.303600794042915E-3</v>
      </c>
    </row>
    <row r="2417" spans="1:7">
      <c r="A2417" s="61">
        <v>43767</v>
      </c>
      <c r="C2417">
        <v>6.1871712935224329E-3</v>
      </c>
      <c r="E2417" s="62">
        <v>43767</v>
      </c>
      <c r="G2417">
        <v>2.6516008226078053E-3</v>
      </c>
    </row>
    <row r="2418" spans="1:7">
      <c r="A2418" s="61">
        <v>43768</v>
      </c>
      <c r="C2418">
        <v>1.2418173622856356E-2</v>
      </c>
      <c r="E2418" s="62">
        <v>43768</v>
      </c>
      <c r="G2418">
        <v>-8.2644628099173556E-3</v>
      </c>
    </row>
    <row r="2419" spans="1:7">
      <c r="A2419" s="61">
        <v>43769</v>
      </c>
      <c r="C2419">
        <v>2.928610523392302E-3</v>
      </c>
      <c r="E2419" s="62">
        <v>43769</v>
      </c>
      <c r="G2419">
        <v>1.3333333333333334E-2</v>
      </c>
    </row>
    <row r="2420" spans="1:7">
      <c r="A2420" s="61">
        <v>43770</v>
      </c>
      <c r="C2420">
        <v>1.1606928318054271E-3</v>
      </c>
      <c r="E2420" s="62">
        <v>43770</v>
      </c>
      <c r="G2420">
        <v>-5.9210131578946871E-3</v>
      </c>
    </row>
    <row r="2421" spans="1:7">
      <c r="A2421" s="61">
        <v>43773</v>
      </c>
      <c r="C2421">
        <v>3.0671851863903954E-3</v>
      </c>
      <c r="E2421" s="62">
        <v>43773</v>
      </c>
      <c r="G2421">
        <v>9.596273609678057E-3</v>
      </c>
    </row>
    <row r="2422" spans="1:7">
      <c r="A2422" s="61">
        <v>43774</v>
      </c>
      <c r="C2422">
        <v>-5.7587334030873006E-4</v>
      </c>
      <c r="E2422" s="62">
        <v>43774</v>
      </c>
      <c r="G2422">
        <v>-6.8830087141984768E-3</v>
      </c>
    </row>
    <row r="2423" spans="1:7">
      <c r="A2423" s="61">
        <v>43775</v>
      </c>
      <c r="C2423">
        <v>-1.4121084239571203E-3</v>
      </c>
      <c r="E2423" s="62">
        <v>43775</v>
      </c>
      <c r="G2423">
        <v>-1.3201122112210971E-3</v>
      </c>
    </row>
    <row r="2424" spans="1:7">
      <c r="A2424" s="61">
        <v>43776</v>
      </c>
      <c r="C2424">
        <v>6.517887619264251E-3</v>
      </c>
      <c r="E2424" s="62">
        <v>43776</v>
      </c>
      <c r="G2424">
        <v>-2.9742035100950802E-3</v>
      </c>
    </row>
    <row r="2425" spans="1:7">
      <c r="A2425" s="61">
        <v>43777</v>
      </c>
      <c r="C2425">
        <v>-5.1595504166397224E-3</v>
      </c>
      <c r="E2425" s="62">
        <v>43777</v>
      </c>
      <c r="G2425">
        <v>-9.9436522395630524E-3</v>
      </c>
    </row>
    <row r="2426" spans="1:7">
      <c r="A2426" s="61">
        <v>43780</v>
      </c>
      <c r="C2426">
        <v>-4.0337962324179981E-3</v>
      </c>
      <c r="E2426" s="62">
        <v>43780</v>
      </c>
      <c r="G2426">
        <v>-1.8747926933461279E-2</v>
      </c>
    </row>
    <row r="2427" spans="1:7">
      <c r="A2427" s="61">
        <v>43782</v>
      </c>
      <c r="C2427">
        <v>-1.2957168003130464E-3</v>
      </c>
      <c r="E2427" s="62">
        <v>43782</v>
      </c>
      <c r="G2427">
        <v>6.380068787852558E-2</v>
      </c>
    </row>
    <row r="2428" spans="1:7">
      <c r="A2428" s="61">
        <v>43783</v>
      </c>
      <c r="C2428">
        <v>-1.4769120298971502E-3</v>
      </c>
      <c r="E2428" s="62">
        <v>43783</v>
      </c>
      <c r="G2428">
        <v>-4.1693009943284051E-3</v>
      </c>
    </row>
    <row r="2429" spans="1:7">
      <c r="A2429" s="61">
        <v>43784</v>
      </c>
      <c r="C2429">
        <v>2.553688752328964E-3</v>
      </c>
      <c r="E2429" s="62">
        <v>43784</v>
      </c>
      <c r="G2429">
        <v>-3.8647729468599522E-3</v>
      </c>
    </row>
    <row r="2430" spans="1:7">
      <c r="A2430" s="61">
        <v>43787</v>
      </c>
      <c r="C2430">
        <v>4.7275735728631341E-4</v>
      </c>
      <c r="E2430" s="62">
        <v>43787</v>
      </c>
      <c r="G2430">
        <v>-1.9397866901953119E-3</v>
      </c>
    </row>
    <row r="2431" spans="1:7">
      <c r="A2431" s="61">
        <v>43788</v>
      </c>
      <c r="C2431">
        <v>2.0001222070594351E-3</v>
      </c>
      <c r="E2431" s="62">
        <v>43788</v>
      </c>
      <c r="G2431">
        <v>-6.8027402603405389E-3</v>
      </c>
    </row>
    <row r="2432" spans="1:7">
      <c r="A2432" s="61">
        <v>43789</v>
      </c>
      <c r="C2432">
        <v>5.3623117702540678E-3</v>
      </c>
      <c r="E2432" s="62">
        <v>43789</v>
      </c>
      <c r="G2432">
        <v>-7.1755119274199072E-3</v>
      </c>
    </row>
    <row r="2433" spans="1:7">
      <c r="A2433" s="61">
        <v>43790</v>
      </c>
      <c r="C2433">
        <v>-5.9038799813981456E-4</v>
      </c>
      <c r="E2433" s="62">
        <v>43790</v>
      </c>
      <c r="G2433">
        <v>-2.6280815235495201E-3</v>
      </c>
    </row>
    <row r="2434" spans="1:7">
      <c r="A2434" s="61">
        <v>43791</v>
      </c>
      <c r="C2434">
        <v>-4.6206943989255209E-3</v>
      </c>
      <c r="E2434" s="62">
        <v>43791</v>
      </c>
      <c r="G2434">
        <v>-1.4492733573924872E-2</v>
      </c>
    </row>
    <row r="2435" spans="1:7">
      <c r="A2435" s="61">
        <v>43794</v>
      </c>
      <c r="C2435">
        <v>5.0242472775167309E-3</v>
      </c>
      <c r="E2435" s="62">
        <v>43794</v>
      </c>
      <c r="G2435">
        <v>1.4705861709657927E-2</v>
      </c>
    </row>
    <row r="2436" spans="1:7">
      <c r="A2436" s="61">
        <v>43795</v>
      </c>
      <c r="C2436">
        <v>5.7473821301310263E-3</v>
      </c>
      <c r="E2436" s="62">
        <v>43795</v>
      </c>
      <c r="G2436">
        <v>-2.4374156303541023E-2</v>
      </c>
    </row>
    <row r="2437" spans="1:7">
      <c r="A2437" s="61">
        <v>43796</v>
      </c>
      <c r="C2437">
        <v>5.4290126435672232E-4</v>
      </c>
      <c r="E2437" s="62">
        <v>43796</v>
      </c>
      <c r="G2437">
        <v>1.0465819967623666E-2</v>
      </c>
    </row>
    <row r="2438" spans="1:7">
      <c r="A2438" s="61">
        <v>43797</v>
      </c>
      <c r="C2438">
        <v>5.4984143826944344E-3</v>
      </c>
      <c r="E2438" s="62">
        <v>43797</v>
      </c>
      <c r="G2438">
        <v>-6.0139928906378206E-3</v>
      </c>
    </row>
    <row r="2439" spans="1:7">
      <c r="A2439" s="61">
        <v>43798</v>
      </c>
      <c r="C2439">
        <v>-1.9107236366107149E-3</v>
      </c>
      <c r="E2439" s="62">
        <v>43798</v>
      </c>
      <c r="G2439">
        <v>4.3697075630251591E-3</v>
      </c>
    </row>
    <row r="2440" spans="1:7">
      <c r="A2440" s="61">
        <v>43801</v>
      </c>
      <c r="C2440">
        <v>-1.393733804853354E-3</v>
      </c>
      <c r="E2440" s="62">
        <v>43801</v>
      </c>
      <c r="G2440">
        <v>-4.0160041773494894E-3</v>
      </c>
    </row>
    <row r="2441" spans="1:7">
      <c r="A2441" s="61">
        <v>43802</v>
      </c>
      <c r="C2441">
        <v>-5.2177539995427371E-3</v>
      </c>
      <c r="E2441" s="62">
        <v>43802</v>
      </c>
      <c r="G2441">
        <v>-1.0081249796749761E-3</v>
      </c>
    </row>
    <row r="2442" spans="1:7">
      <c r="A2442" s="61">
        <v>43803</v>
      </c>
      <c r="C2442">
        <v>-2.7939042089985193E-3</v>
      </c>
      <c r="E2442" s="62">
        <v>43803</v>
      </c>
      <c r="G2442">
        <v>0</v>
      </c>
    </row>
    <row r="2443" spans="1:7">
      <c r="A2443" s="61">
        <v>43804</v>
      </c>
      <c r="C2443">
        <v>2.6683161712088683E-3</v>
      </c>
      <c r="E2443" s="62">
        <v>43804</v>
      </c>
      <c r="G2443">
        <v>-3.3636059211680832E-3</v>
      </c>
    </row>
    <row r="2444" spans="1:7">
      <c r="A2444" s="61">
        <v>43805</v>
      </c>
      <c r="C2444">
        <v>-5.588551936034151E-3</v>
      </c>
      <c r="E2444" s="62">
        <v>43805</v>
      </c>
      <c r="G2444">
        <v>1.3500641788754659E-3</v>
      </c>
    </row>
    <row r="2445" spans="1:7">
      <c r="A2445" s="61">
        <v>43808</v>
      </c>
      <c r="C2445">
        <v>-4.8211628369035009E-3</v>
      </c>
      <c r="E2445" s="62">
        <v>43808</v>
      </c>
      <c r="G2445">
        <v>-1.3482439629966389E-3</v>
      </c>
    </row>
    <row r="2446" spans="1:7">
      <c r="A2446" s="61">
        <v>43809</v>
      </c>
      <c r="C2446">
        <v>-3.8136836272369612E-3</v>
      </c>
      <c r="E2446" s="62">
        <v>43809</v>
      </c>
      <c r="G2446">
        <v>-1.0124873849134278E-2</v>
      </c>
    </row>
    <row r="2447" spans="1:7">
      <c r="A2447" s="61">
        <v>43810</v>
      </c>
      <c r="C2447">
        <v>-1.4969570054315224E-3</v>
      </c>
      <c r="E2447" s="62">
        <v>43810</v>
      </c>
      <c r="G2447">
        <v>-1.3637709388518366E-3</v>
      </c>
    </row>
    <row r="2448" spans="1:7">
      <c r="A2448" s="61">
        <v>43811</v>
      </c>
      <c r="C2448">
        <v>6.3982304509892568E-3</v>
      </c>
      <c r="E2448" s="62">
        <v>43811</v>
      </c>
      <c r="G2448">
        <v>-2.0143373577535793E-2</v>
      </c>
    </row>
    <row r="2449" spans="1:7">
      <c r="A2449" s="61">
        <v>43812</v>
      </c>
      <c r="C2449">
        <v>8.2949383781319407E-3</v>
      </c>
      <c r="E2449" s="62">
        <v>43812</v>
      </c>
      <c r="G2449">
        <v>2.1951177700348379E-2</v>
      </c>
    </row>
    <row r="2450" spans="1:7">
      <c r="A2450" s="61">
        <v>43815</v>
      </c>
      <c r="C2450">
        <v>2.5915311024099111E-3</v>
      </c>
      <c r="E2450" s="62">
        <v>43815</v>
      </c>
      <c r="G2450">
        <v>-2.7275418777036732E-3</v>
      </c>
    </row>
    <row r="2451" spans="1:7">
      <c r="A2451" s="61">
        <v>43816</v>
      </c>
      <c r="C2451">
        <v>2.0090831494692565E-3</v>
      </c>
      <c r="E2451" s="62">
        <v>43816</v>
      </c>
      <c r="G2451">
        <v>2.2222222222222223E-2</v>
      </c>
    </row>
    <row r="2452" spans="1:7">
      <c r="A2452" s="61">
        <v>43817</v>
      </c>
      <c r="C2452">
        <v>6.0392733584870443E-3</v>
      </c>
      <c r="E2452" s="62">
        <v>43817</v>
      </c>
      <c r="G2452">
        <v>-2.8762561872909723E-2</v>
      </c>
    </row>
    <row r="2453" spans="1:7">
      <c r="A2453" s="61">
        <v>43818</v>
      </c>
      <c r="C2453">
        <v>2.1967137162804441E-3</v>
      </c>
      <c r="E2453" s="62">
        <v>43818</v>
      </c>
      <c r="G2453">
        <v>-2.2038547287297785E-2</v>
      </c>
    </row>
    <row r="2454" spans="1:7">
      <c r="A2454" s="61">
        <v>43819</v>
      </c>
      <c r="C2454">
        <v>2.4628971321992168E-3</v>
      </c>
      <c r="E2454" s="62">
        <v>43819</v>
      </c>
      <c r="G2454">
        <v>-7.0422535211267607E-3</v>
      </c>
    </row>
    <row r="2455" spans="1:7">
      <c r="A2455" s="61">
        <v>43822</v>
      </c>
      <c r="C2455">
        <v>-1.208545690182865E-3</v>
      </c>
      <c r="E2455" s="62">
        <v>43822</v>
      </c>
      <c r="G2455">
        <v>1.8794283687943208E-2</v>
      </c>
    </row>
    <row r="2456" spans="1:7">
      <c r="A2456" s="61">
        <v>43823</v>
      </c>
      <c r="C2456">
        <v>-4.8161504231056539E-4</v>
      </c>
      <c r="E2456" s="62">
        <v>43823</v>
      </c>
      <c r="G2456">
        <v>9.397884137746693E-3</v>
      </c>
    </row>
    <row r="2457" spans="1:7">
      <c r="A2457" s="61">
        <v>43825</v>
      </c>
      <c r="C2457">
        <v>-4.9140440511790994E-3</v>
      </c>
      <c r="E2457" s="62">
        <v>43825</v>
      </c>
      <c r="G2457">
        <v>-9.6551310344827057E-3</v>
      </c>
    </row>
    <row r="2458" spans="1:7">
      <c r="A2458" s="61">
        <v>43826</v>
      </c>
      <c r="C2458">
        <v>3.3855844535241909E-3</v>
      </c>
      <c r="E2458" s="62">
        <v>43826</v>
      </c>
      <c r="G2458">
        <v>3.5515256176242696E-2</v>
      </c>
    </row>
    <row r="2459" spans="1:7">
      <c r="A2459" s="61">
        <v>43829</v>
      </c>
      <c r="C2459">
        <v>4.5626951808525468E-3</v>
      </c>
      <c r="E2459" s="62">
        <v>43829</v>
      </c>
      <c r="G2459">
        <v>-3.3961016152542385E-2</v>
      </c>
    </row>
    <row r="2460" spans="1:7">
      <c r="A2460" s="61">
        <v>43830</v>
      </c>
      <c r="C2460">
        <v>-3.8273256760350581E-3</v>
      </c>
      <c r="E2460" s="62">
        <v>43830</v>
      </c>
      <c r="G2460">
        <v>9.397884137746693E-3</v>
      </c>
    </row>
    <row r="2461" spans="1:7">
      <c r="A2461" s="61">
        <v>43831</v>
      </c>
      <c r="C2461">
        <v>-1.0043481899814021E-3</v>
      </c>
      <c r="E2461" s="62">
        <v>43831</v>
      </c>
      <c r="G2461">
        <v>-5.5172620689655436E-3</v>
      </c>
    </row>
    <row r="2462" spans="1:7">
      <c r="A2462" s="61">
        <v>43832</v>
      </c>
      <c r="C2462">
        <v>4.3725090462267491E-3</v>
      </c>
      <c r="E2462" s="62">
        <v>43832</v>
      </c>
      <c r="G2462">
        <v>2.357842628803946E-2</v>
      </c>
    </row>
    <row r="2463" spans="1:7">
      <c r="A2463" s="61">
        <v>43833</v>
      </c>
      <c r="C2463">
        <v>7.984016079251704E-4</v>
      </c>
      <c r="E2463" s="62">
        <v>43833</v>
      </c>
      <c r="G2463">
        <v>-1.1517696008765847E-2</v>
      </c>
    </row>
    <row r="2464" spans="1:7">
      <c r="A2464" s="61">
        <v>43836</v>
      </c>
      <c r="C2464">
        <v>-1.3542154520269601E-2</v>
      </c>
      <c r="E2464" s="62">
        <v>43836</v>
      </c>
      <c r="G2464">
        <v>-3.324188621967996E-2</v>
      </c>
    </row>
    <row r="2465" spans="1:7">
      <c r="A2465" s="61">
        <v>43837</v>
      </c>
      <c r="C2465">
        <v>-1.4082126964458175E-3</v>
      </c>
      <c r="E2465" s="62">
        <v>43837</v>
      </c>
      <c r="G2465">
        <v>-1.0635164608965757E-3</v>
      </c>
    </row>
    <row r="2466" spans="1:7">
      <c r="A2466" s="61">
        <v>43838</v>
      </c>
      <c r="C2466">
        <v>-6.30560211449186E-3</v>
      </c>
      <c r="E2466" s="62">
        <v>43838</v>
      </c>
      <c r="G2466">
        <v>-1.2065273757215321E-2</v>
      </c>
    </row>
    <row r="2467" spans="1:7">
      <c r="A2467" s="61">
        <v>43839</v>
      </c>
      <c r="C2467">
        <v>1.7196008547320535E-2</v>
      </c>
      <c r="E2467" s="62">
        <v>43839</v>
      </c>
      <c r="G2467">
        <v>3.5919541004013097E-3</v>
      </c>
    </row>
    <row r="2468" spans="1:7">
      <c r="A2468" s="61">
        <v>43840</v>
      </c>
      <c r="C2468">
        <v>6.1865204011670311E-3</v>
      </c>
      <c r="E2468" s="62">
        <v>43840</v>
      </c>
      <c r="G2468">
        <v>-1.1453049637502774E-2</v>
      </c>
    </row>
    <row r="2469" spans="1:7">
      <c r="A2469" s="61">
        <v>43843</v>
      </c>
      <c r="C2469">
        <v>4.5162823864986924E-3</v>
      </c>
      <c r="E2469" s="62">
        <v>43843</v>
      </c>
      <c r="G2469">
        <v>-7.241563769375041E-4</v>
      </c>
    </row>
    <row r="2470" spans="1:7">
      <c r="A2470" s="61">
        <v>43844</v>
      </c>
      <c r="C2470">
        <v>3.3404322448335987E-3</v>
      </c>
      <c r="E2470" s="62">
        <v>43844</v>
      </c>
      <c r="G2470">
        <v>1.4492753623188406E-2</v>
      </c>
    </row>
    <row r="2471" spans="1:7">
      <c r="A2471" s="61">
        <v>43845</v>
      </c>
      <c r="C2471">
        <v>1.065222261966148E-3</v>
      </c>
      <c r="E2471" s="62">
        <v>43845</v>
      </c>
      <c r="G2471">
        <v>-1.5357099999999946E-2</v>
      </c>
    </row>
    <row r="2472" spans="1:7">
      <c r="A2472" s="61">
        <v>43846</v>
      </c>
      <c r="C2472">
        <v>1.9671899418088152E-3</v>
      </c>
      <c r="E2472" s="62">
        <v>43846</v>
      </c>
      <c r="G2472">
        <v>2.466444578899759E-2</v>
      </c>
    </row>
    <row r="2473" spans="1:7">
      <c r="A2473" s="61">
        <v>43847</v>
      </c>
      <c r="C2473">
        <v>-2.2729143072129407E-4</v>
      </c>
      <c r="E2473" s="62">
        <v>43847</v>
      </c>
      <c r="G2473">
        <v>3.0088495575221239E-2</v>
      </c>
    </row>
    <row r="2474" spans="1:7">
      <c r="A2474" s="61">
        <v>43850</v>
      </c>
      <c r="C2474">
        <v>-9.2113154150383553E-4</v>
      </c>
      <c r="E2474" s="62">
        <v>43850</v>
      </c>
      <c r="G2474">
        <v>-1.4433030927835103E-2</v>
      </c>
    </row>
    <row r="2475" spans="1:7">
      <c r="A2475" s="61">
        <v>43851</v>
      </c>
      <c r="C2475">
        <v>-1.0973533265852072E-2</v>
      </c>
      <c r="E2475" s="62">
        <v>43851</v>
      </c>
      <c r="G2475">
        <v>4.8815343744018237E-3</v>
      </c>
    </row>
    <row r="2476" spans="1:7">
      <c r="A2476" s="61">
        <v>43852</v>
      </c>
      <c r="C2476">
        <v>-9.282435965076403E-4</v>
      </c>
      <c r="E2476" s="62">
        <v>43852</v>
      </c>
      <c r="G2476">
        <v>6.9390004050373611E-4</v>
      </c>
    </row>
    <row r="2477" spans="1:7">
      <c r="A2477" s="61">
        <v>43853</v>
      </c>
      <c r="C2477">
        <v>3.3749578130273371E-4</v>
      </c>
      <c r="E2477" s="62">
        <v>43853</v>
      </c>
      <c r="G2477">
        <v>0</v>
      </c>
    </row>
    <row r="2478" spans="1:7">
      <c r="A2478" s="61">
        <v>43854</v>
      </c>
      <c r="C2478">
        <v>6.1284432801461241E-3</v>
      </c>
      <c r="E2478" s="62">
        <v>43854</v>
      </c>
      <c r="G2478">
        <v>6.2413940272135473E-3</v>
      </c>
    </row>
    <row r="2479" spans="1:7">
      <c r="A2479" s="61">
        <v>43857</v>
      </c>
      <c r="C2479">
        <v>-3.3138186236606648E-3</v>
      </c>
      <c r="E2479" s="62">
        <v>43857</v>
      </c>
      <c r="G2479">
        <v>-1.2749868528606453E-2</v>
      </c>
    </row>
    <row r="2480" spans="1:7">
      <c r="A2480" s="61">
        <v>43858</v>
      </c>
      <c r="C2480">
        <v>-3.9264736150472889E-3</v>
      </c>
      <c r="E2480" s="62">
        <v>43858</v>
      </c>
      <c r="G2480">
        <v>-2.2338547993019171E-2</v>
      </c>
    </row>
    <row r="2481" spans="1:7">
      <c r="A2481" s="61">
        <v>43859</v>
      </c>
      <c r="C2481">
        <v>1.8438160634526178E-3</v>
      </c>
      <c r="E2481" s="62">
        <v>43859</v>
      </c>
      <c r="G2481">
        <v>1.4280399551294277E-3</v>
      </c>
    </row>
    <row r="2482" spans="1:7">
      <c r="A2482" s="61">
        <v>43860</v>
      </c>
      <c r="C2482">
        <v>-3.438893207888317E-3</v>
      </c>
      <c r="E2482" s="62">
        <v>43860</v>
      </c>
      <c r="G2482">
        <v>3.2085347593582619E-3</v>
      </c>
    </row>
    <row r="2483" spans="1:7">
      <c r="A2483" s="61">
        <v>43861</v>
      </c>
      <c r="C2483">
        <v>-5.9622127849266226E-3</v>
      </c>
      <c r="E2483" s="62">
        <v>43861</v>
      </c>
      <c r="G2483">
        <v>1.1371755750641612E-2</v>
      </c>
    </row>
    <row r="2484" spans="1:7">
      <c r="A2484" s="61">
        <v>43864</v>
      </c>
      <c r="C2484">
        <v>-1.1310627660182891E-2</v>
      </c>
      <c r="E2484" s="62">
        <v>43864</v>
      </c>
      <c r="G2484">
        <v>-1.01897186889026E-2</v>
      </c>
    </row>
    <row r="2485" spans="1:7">
      <c r="A2485" s="61">
        <v>43865</v>
      </c>
      <c r="C2485">
        <v>1.7951207420107831E-2</v>
      </c>
      <c r="E2485" s="62">
        <v>43865</v>
      </c>
      <c r="G2485">
        <v>-3.1949732398308534E-3</v>
      </c>
    </row>
    <row r="2486" spans="1:7">
      <c r="A2486" s="61">
        <v>43866</v>
      </c>
      <c r="C2486">
        <v>1.3949429765818448E-2</v>
      </c>
      <c r="E2486" s="62">
        <v>43866</v>
      </c>
      <c r="G2486">
        <v>-1.7806268567219456E-3</v>
      </c>
    </row>
    <row r="2487" spans="1:7">
      <c r="A2487" s="61">
        <v>43867</v>
      </c>
      <c r="C2487">
        <v>7.7693764084746063E-3</v>
      </c>
      <c r="E2487" s="62">
        <v>43867</v>
      </c>
      <c r="G2487">
        <v>9.9893618261589906E-3</v>
      </c>
    </row>
    <row r="2488" spans="1:7">
      <c r="A2488" s="61">
        <v>43868</v>
      </c>
      <c r="C2488">
        <v>1.3504496202853421E-3</v>
      </c>
      <c r="E2488" s="62">
        <v>43868</v>
      </c>
      <c r="G2488">
        <v>-9.8905614293770903E-3</v>
      </c>
    </row>
    <row r="2489" spans="1:7">
      <c r="A2489" s="61">
        <v>43871</v>
      </c>
      <c r="C2489">
        <v>-3.7047614514413591E-3</v>
      </c>
      <c r="E2489" s="62">
        <v>43871</v>
      </c>
      <c r="G2489">
        <v>-1.6054228300573455E-2</v>
      </c>
    </row>
    <row r="2490" spans="1:7">
      <c r="A2490" s="61">
        <v>43872</v>
      </c>
      <c r="C2490">
        <v>2.0941657974152795E-3</v>
      </c>
      <c r="E2490" s="62">
        <v>43872</v>
      </c>
      <c r="G2490">
        <v>7.9768386356855649E-3</v>
      </c>
    </row>
    <row r="2491" spans="1:7">
      <c r="A2491" s="61">
        <v>43873</v>
      </c>
      <c r="C2491">
        <v>3.7862534763608625E-3</v>
      </c>
      <c r="E2491" s="62">
        <v>43873</v>
      </c>
      <c r="G2491">
        <v>-7.553978417266214E-3</v>
      </c>
    </row>
    <row r="2492" spans="1:7">
      <c r="A2492" s="61">
        <v>43874</v>
      </c>
      <c r="C2492">
        <v>7.0056559787523153E-4</v>
      </c>
      <c r="E2492" s="62">
        <v>43874</v>
      </c>
      <c r="G2492">
        <v>-2.7183762823858561E-2</v>
      </c>
    </row>
    <row r="2493" spans="1:7">
      <c r="A2493" s="61">
        <v>43875</v>
      </c>
      <c r="C2493">
        <v>-4.0778388640587962E-3</v>
      </c>
      <c r="E2493" s="62">
        <v>43875</v>
      </c>
      <c r="G2493">
        <v>-1.1176900398886926E-3</v>
      </c>
    </row>
    <row r="2494" spans="1:7">
      <c r="A2494" s="61">
        <v>43878</v>
      </c>
      <c r="C2494">
        <v>-6.2271891468990304E-3</v>
      </c>
      <c r="E2494" s="62">
        <v>43878</v>
      </c>
      <c r="G2494">
        <v>-1.8649757135775671E-2</v>
      </c>
    </row>
    <row r="2495" spans="1:7">
      <c r="A2495" s="61">
        <v>43879</v>
      </c>
      <c r="C2495">
        <v>-7.0694678117418632E-3</v>
      </c>
      <c r="E2495" s="62">
        <v>43879</v>
      </c>
      <c r="G2495">
        <v>-4.9411553415168782E-3</v>
      </c>
    </row>
    <row r="2496" spans="1:7">
      <c r="A2496" s="61">
        <v>43880</v>
      </c>
      <c r="C2496">
        <v>8.8182498732199913E-3</v>
      </c>
      <c r="E2496" s="62">
        <v>43880</v>
      </c>
      <c r="G2496">
        <v>4.7746373464310474E-2</v>
      </c>
    </row>
    <row r="2497" spans="1:7">
      <c r="A2497" s="61">
        <v>43881</v>
      </c>
      <c r="C2497">
        <v>1.1729362904093635E-3</v>
      </c>
      <c r="E2497" s="62">
        <v>43881</v>
      </c>
      <c r="G2497">
        <v>2.1144798591825033E-2</v>
      </c>
    </row>
    <row r="2498" spans="1:7">
      <c r="A2498" s="61">
        <v>43885</v>
      </c>
      <c r="C2498">
        <v>-1.3994986989284476E-2</v>
      </c>
      <c r="E2498" s="62">
        <v>43885</v>
      </c>
      <c r="G2498">
        <v>-1.4637650525434146E-2</v>
      </c>
    </row>
    <row r="2499" spans="1:7">
      <c r="A2499" s="61">
        <v>43886</v>
      </c>
      <c r="C2499">
        <v>-7.2342231293066866E-3</v>
      </c>
      <c r="E2499" s="62">
        <v>43886</v>
      </c>
      <c r="G2499">
        <v>1.3768072463768061E-2</v>
      </c>
    </row>
    <row r="2500" spans="1:7">
      <c r="A2500" s="61">
        <v>43887</v>
      </c>
      <c r="C2500">
        <v>-1.1378208390156526E-2</v>
      </c>
      <c r="E2500" s="62">
        <v>43887</v>
      </c>
      <c r="G2500">
        <v>2.8592495865297279E-3</v>
      </c>
    </row>
    <row r="2501" spans="1:7">
      <c r="A2501" s="61">
        <v>43888</v>
      </c>
      <c r="C2501">
        <v>-5.6166357834054543E-3</v>
      </c>
      <c r="E2501" s="62">
        <v>43888</v>
      </c>
      <c r="G2501">
        <v>4.6328865723544738E-3</v>
      </c>
    </row>
    <row r="2502" spans="1:7">
      <c r="A2502" s="61">
        <v>43889</v>
      </c>
      <c r="C2502">
        <v>-3.0362008563643322E-2</v>
      </c>
      <c r="E2502" s="62">
        <v>43889</v>
      </c>
      <c r="G2502">
        <v>-4.2213530518911586E-2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C102-1D73-45D1-8D56-48F584AB8EDA}">
  <dimension ref="A1:F15"/>
  <sheetViews>
    <sheetView workbookViewId="0">
      <selection activeCell="B16" sqref="B16"/>
    </sheetView>
  </sheetViews>
  <sheetFormatPr defaultRowHeight="14.4"/>
  <cols>
    <col min="1" max="1" width="33.6640625" bestFit="1" customWidth="1"/>
    <col min="2" max="2" width="16.6640625" bestFit="1" customWidth="1"/>
    <col min="3" max="3" width="11.5546875" bestFit="1" customWidth="1"/>
  </cols>
  <sheetData>
    <row r="1" spans="1:6">
      <c r="A1" t="s">
        <v>104</v>
      </c>
      <c r="B1" t="s">
        <v>105</v>
      </c>
      <c r="C1" t="s">
        <v>106</v>
      </c>
      <c r="D1" t="s">
        <v>107</v>
      </c>
      <c r="E1" t="s">
        <v>108</v>
      </c>
      <c r="F1" t="s">
        <v>109</v>
      </c>
    </row>
    <row r="2" spans="1:6">
      <c r="A2" t="s">
        <v>110</v>
      </c>
    </row>
    <row r="3" spans="1:6">
      <c r="A3" t="s">
        <v>111</v>
      </c>
      <c r="B3" s="18">
        <v>7.85E-2</v>
      </c>
      <c r="C3" t="s">
        <v>112</v>
      </c>
      <c r="D3">
        <v>495</v>
      </c>
      <c r="E3">
        <f>D3/(SUM($D$3:$D$5)+SUM($D$8:$D$9))</f>
        <v>0.33110367892976589</v>
      </c>
      <c r="F3">
        <f>B3*E3</f>
        <v>2.5991638795986621E-2</v>
      </c>
    </row>
    <row r="4" spans="1:6">
      <c r="A4" t="s">
        <v>113</v>
      </c>
      <c r="B4" s="18">
        <v>0.10100000000000001</v>
      </c>
      <c r="C4" t="s">
        <v>114</v>
      </c>
      <c r="D4">
        <v>300</v>
      </c>
      <c r="E4">
        <f>D4/(SUM($D$3:$D$5)+SUM($D$8:$D$9))</f>
        <v>0.20066889632107024</v>
      </c>
      <c r="F4">
        <f t="shared" ref="F4:F9" si="0">B4*E4</f>
        <v>2.0267558528428094E-2</v>
      </c>
    </row>
    <row r="5" spans="1:6">
      <c r="A5" t="s">
        <v>115</v>
      </c>
      <c r="B5" s="18">
        <v>9.9500000000000005E-2</v>
      </c>
      <c r="C5" t="s">
        <v>116</v>
      </c>
      <c r="D5">
        <v>250</v>
      </c>
      <c r="E5">
        <f>D5/(SUM($D$3:$D$5)+SUM($D$8:$D$9))</f>
        <v>0.16722408026755853</v>
      </c>
      <c r="F5">
        <f t="shared" si="0"/>
        <v>1.6638795986622074E-2</v>
      </c>
    </row>
    <row r="7" spans="1:6">
      <c r="A7" t="s">
        <v>117</v>
      </c>
    </row>
    <row r="8" spans="1:6">
      <c r="A8" t="s">
        <v>111</v>
      </c>
      <c r="B8" s="18">
        <v>7.85E-2</v>
      </c>
      <c r="C8" t="s">
        <v>118</v>
      </c>
      <c r="D8">
        <v>200</v>
      </c>
      <c r="E8">
        <f>D8/(SUM($D$3:$D$5)+SUM($D$8:$D$9))</f>
        <v>0.13377926421404682</v>
      </c>
      <c r="F8">
        <f t="shared" si="0"/>
        <v>1.0501672240802675E-2</v>
      </c>
    </row>
    <row r="9" spans="1:6">
      <c r="A9" t="s">
        <v>119</v>
      </c>
      <c r="B9" s="18">
        <v>9.8599999999999993E-2</v>
      </c>
      <c r="C9" t="s">
        <v>120</v>
      </c>
      <c r="D9">
        <v>250</v>
      </c>
      <c r="E9">
        <f>D9/(SUM($D$3:$D$5)+SUM($D$8:$D$9))</f>
        <v>0.16722408026755853</v>
      </c>
      <c r="F9">
        <f t="shared" si="0"/>
        <v>1.6488294314381268E-2</v>
      </c>
    </row>
    <row r="11" spans="1:6">
      <c r="D11">
        <f>SUM(D2:D10)</f>
        <v>1495</v>
      </c>
    </row>
    <row r="13" spans="1:6">
      <c r="A13" t="s">
        <v>121</v>
      </c>
      <c r="B13">
        <f>SUM(F3:F9)/5</f>
        <v>1.7977591973244146E-2</v>
      </c>
    </row>
    <row r="15" spans="1:6">
      <c r="A15" t="s">
        <v>122</v>
      </c>
      <c r="B15" s="86">
        <f>B13</f>
        <v>1.7977591973244146E-2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5502-98FB-4360-B67D-F1659FF4E27F}">
  <dimension ref="A1:G26"/>
  <sheetViews>
    <sheetView workbookViewId="0">
      <selection activeCell="B5" sqref="B5"/>
    </sheetView>
  </sheetViews>
  <sheetFormatPr defaultRowHeight="14.4"/>
  <cols>
    <col min="1" max="1" width="48.44140625" bestFit="1" customWidth="1"/>
    <col min="7" max="7" width="9.33203125" bestFit="1" customWidth="1"/>
  </cols>
  <sheetData>
    <row r="1" spans="1:7">
      <c r="A1" s="334" t="s">
        <v>123</v>
      </c>
      <c r="B1" s="334"/>
      <c r="C1" s="334"/>
      <c r="D1" s="334"/>
      <c r="E1" s="334"/>
      <c r="F1" s="334"/>
      <c r="G1" s="334"/>
    </row>
    <row r="2" spans="1:7" ht="15" thickBot="1">
      <c r="A2" s="335"/>
      <c r="B2" s="334"/>
      <c r="C2" s="335"/>
      <c r="D2" s="335"/>
      <c r="E2" s="335"/>
      <c r="F2" s="335"/>
      <c r="G2" s="334"/>
    </row>
    <row r="3" spans="1:7" ht="15" thickBot="1">
      <c r="A3" s="87" t="s">
        <v>124</v>
      </c>
      <c r="B3" s="88">
        <v>2015</v>
      </c>
      <c r="C3" s="88">
        <v>2016</v>
      </c>
      <c r="D3" s="88">
        <v>2017</v>
      </c>
      <c r="E3" s="88">
        <v>2018</v>
      </c>
      <c r="F3" s="88">
        <v>2019</v>
      </c>
      <c r="G3" s="89" t="s">
        <v>125</v>
      </c>
    </row>
    <row r="4" spans="1:7">
      <c r="A4" t="s">
        <v>126</v>
      </c>
      <c r="B4" s="66">
        <f>'[2]cash flow 2015'!E4</f>
        <v>535.1</v>
      </c>
      <c r="C4" s="66">
        <f>'[2]cash flow 2016'!E4</f>
        <v>709.5200000000001</v>
      </c>
      <c r="D4" s="66">
        <f>'[2]cash flow 2017'!E4</f>
        <v>681.15999999999985</v>
      </c>
      <c r="E4" s="66">
        <f>'[2]cash flow 2018'!E4</f>
        <v>737.85</v>
      </c>
      <c r="F4" s="66">
        <f>'[2]cash flow 2019'!E4</f>
        <v>936.92000000000007</v>
      </c>
    </row>
    <row r="5" spans="1:7">
      <c r="A5" t="s">
        <v>127</v>
      </c>
      <c r="B5">
        <f>'[2]cash flow 2015'!E5</f>
        <v>-20.599999999999998</v>
      </c>
      <c r="C5">
        <f>'[2]cash flow 2016'!E5</f>
        <v>46.929999999999993</v>
      </c>
      <c r="D5">
        <f>'[2]cash flow 2017'!E5</f>
        <v>-59.86</v>
      </c>
      <c r="E5">
        <f>'[2]cash flow 2018'!E5</f>
        <v>-103.31</v>
      </c>
      <c r="F5">
        <f>'[2]cash flow 2019'!E5</f>
        <v>-28.229999999999997</v>
      </c>
    </row>
    <row r="6" spans="1:7">
      <c r="A6" t="s">
        <v>128</v>
      </c>
      <c r="B6">
        <f>'[2]cash flow 2015'!E6</f>
        <v>-311.13</v>
      </c>
      <c r="C6">
        <f>'[2]cash flow 2016'!E6</f>
        <v>-398.62</v>
      </c>
      <c r="D6">
        <f>'[2]cash flow 2017'!E6</f>
        <v>-393.96</v>
      </c>
      <c r="E6">
        <f>'[2]cash flow 2018'!E6</f>
        <v>-504.94</v>
      </c>
      <c r="F6">
        <f>'[2]cash flow 2019'!E6</f>
        <v>-460.39</v>
      </c>
    </row>
    <row r="7" spans="1:7">
      <c r="A7" t="s">
        <v>129</v>
      </c>
      <c r="B7">
        <f>'[2]cash flow 2015'!E7</f>
        <v>-19.73</v>
      </c>
      <c r="C7">
        <f>'[2]cash flow 2016'!E7</f>
        <v>-97.38</v>
      </c>
      <c r="D7">
        <f>'[2]cash flow 2017'!E7</f>
        <v>-86.79</v>
      </c>
      <c r="E7">
        <f>'[2]cash flow 2018'!E7</f>
        <v>-142.49</v>
      </c>
      <c r="F7">
        <f>'[2]cash flow 2019'!E7</f>
        <v>-197.26</v>
      </c>
    </row>
    <row r="8" spans="1:7">
      <c r="B8">
        <f>'[2]cash flow 2015'!E8</f>
        <v>0</v>
      </c>
      <c r="C8">
        <f>'[2]cash flow 2016'!E8</f>
        <v>0</v>
      </c>
      <c r="D8">
        <f>'[2]cash flow 2017'!E8</f>
        <v>0</v>
      </c>
      <c r="E8">
        <f>'[2]cash flow 2018'!E8</f>
        <v>0</v>
      </c>
      <c r="F8">
        <f>'[2]cash flow 2019'!E8</f>
        <v>0</v>
      </c>
    </row>
    <row r="9" spans="1:7">
      <c r="A9" s="66" t="s">
        <v>130</v>
      </c>
      <c r="B9">
        <f>'[2]cash flow 2015'!E9</f>
        <v>183.64000000000001</v>
      </c>
      <c r="C9">
        <f>'[2]cash flow 2016'!E9</f>
        <v>260.45000000000005</v>
      </c>
      <c r="D9">
        <f>'[2]cash flow 2017'!E9</f>
        <v>140.54999999999984</v>
      </c>
      <c r="E9">
        <f>'[2]cash flow 2018'!E9</f>
        <v>-12.890000000000043</v>
      </c>
      <c r="F9">
        <f>'[2]cash flow 2019'!E9</f>
        <v>251.04000000000008</v>
      </c>
    </row>
    <row r="10" spans="1:7">
      <c r="A10" t="s">
        <v>131</v>
      </c>
      <c r="B10">
        <f>'[2]cash flow 2015'!E10</f>
        <v>-129.96</v>
      </c>
      <c r="C10">
        <f>'[2]cash flow 2016'!E10</f>
        <v>-126.9</v>
      </c>
      <c r="D10">
        <f>'[2]cash flow 2017'!E10</f>
        <v>-137.54</v>
      </c>
      <c r="E10">
        <f>'[2]cash flow 2018'!E10</f>
        <v>-383.06</v>
      </c>
      <c r="F10">
        <f>'[2]cash flow 2019'!E10</f>
        <v>-132.92000000000002</v>
      </c>
    </row>
    <row r="11" spans="1:7">
      <c r="A11" t="s">
        <v>132</v>
      </c>
      <c r="B11">
        <f>'[2]cash flow 2015'!E11</f>
        <v>7.7399999999999984</v>
      </c>
      <c r="C11">
        <f>'[2]cash flow 2016'!E11</f>
        <v>12.04</v>
      </c>
      <c r="D11">
        <f>'[2]cash flow 2017'!E11</f>
        <v>-29.42</v>
      </c>
      <c r="E11">
        <f>'[2]cash flow 2018'!E11</f>
        <v>-28.65</v>
      </c>
      <c r="F11">
        <f>'[2]cash flow 2019'!E11</f>
        <v>-46.37</v>
      </c>
    </row>
    <row r="12" spans="1:7">
      <c r="A12" t="s">
        <v>133</v>
      </c>
      <c r="B12">
        <f>'[2]cash flow 2015'!E12</f>
        <v>-487.90000000000015</v>
      </c>
      <c r="C12">
        <f>'[2]cash flow 2016'!E12</f>
        <v>587.82000000000005</v>
      </c>
      <c r="D12">
        <f>'[2]cash flow 2017'!E12</f>
        <v>1206.45</v>
      </c>
      <c r="E12">
        <f>'[2]cash flow 2018'!E12</f>
        <v>-65.699999999999918</v>
      </c>
      <c r="F12">
        <f>'[2]cash flow 2019'!E12</f>
        <v>32.21000000000015</v>
      </c>
    </row>
    <row r="13" spans="1:7">
      <c r="B13">
        <f>'[2]cash flow 2015'!E13</f>
        <v>0</v>
      </c>
      <c r="C13">
        <f>'[2]cash flow 2016'!E13</f>
        <v>0</v>
      </c>
      <c r="D13">
        <f>'[2]cash flow 2017'!E13</f>
        <v>0</v>
      </c>
      <c r="E13">
        <f>'[2]cash flow 2018'!E13</f>
        <v>0</v>
      </c>
      <c r="F13">
        <f>'[2]cash flow 2019'!E13</f>
        <v>0</v>
      </c>
    </row>
    <row r="14" spans="1:7">
      <c r="A14" s="66" t="s">
        <v>134</v>
      </c>
      <c r="B14">
        <f>'[2]cash flow 2015'!E14</f>
        <v>-426.48000000000013</v>
      </c>
      <c r="C14">
        <f>'[2]cash flow 2016'!E14</f>
        <v>733.41000000000008</v>
      </c>
      <c r="D14">
        <f>'[2]cash flow 2017'!E14</f>
        <v>1180.04</v>
      </c>
      <c r="E14">
        <f>'[2]cash flow 2018'!E14</f>
        <v>-490.29999999999995</v>
      </c>
      <c r="F14">
        <f>'[2]cash flow 2019'!E14</f>
        <v>103.96000000000021</v>
      </c>
    </row>
    <row r="15" spans="1:7">
      <c r="B15">
        <f>'[2]cash flow 2015'!E15</f>
        <v>0</v>
      </c>
      <c r="C15">
        <f>'[2]cash flow 2016'!E15</f>
        <v>0</v>
      </c>
      <c r="D15">
        <f>'[2]cash flow 2017'!E15</f>
        <v>0</v>
      </c>
      <c r="E15">
        <f>'[2]cash flow 2018'!E15</f>
        <v>0</v>
      </c>
      <c r="F15">
        <f>'[2]cash flow 2019'!E15</f>
        <v>0</v>
      </c>
    </row>
    <row r="16" spans="1:7">
      <c r="A16" s="66" t="s">
        <v>135</v>
      </c>
      <c r="B16">
        <f>'[2]cash flow 2015'!E16</f>
        <v>0</v>
      </c>
      <c r="C16">
        <f>'[2]cash flow 2016'!E16</f>
        <v>0</v>
      </c>
      <c r="D16">
        <f>'[2]cash flow 2017'!E16</f>
        <v>0</v>
      </c>
      <c r="E16">
        <f>'[2]cash flow 2018'!E16</f>
        <v>0</v>
      </c>
      <c r="F16">
        <f>'[2]cash flow 2019'!E16</f>
        <v>0</v>
      </c>
    </row>
    <row r="17" spans="1:6">
      <c r="A17" t="s">
        <v>136</v>
      </c>
      <c r="B17">
        <f>'[2]cash flow 2015'!E17</f>
        <v>0</v>
      </c>
      <c r="C17">
        <f>'[2]cash flow 2016'!E17</f>
        <v>0</v>
      </c>
      <c r="D17">
        <f>'[2]cash flow 2017'!E17</f>
        <v>0</v>
      </c>
      <c r="E17">
        <f>'[2]cash flow 2018'!E17</f>
        <v>1499.88</v>
      </c>
      <c r="F17">
        <f>'[2]cash flow 2019'!E17</f>
        <v>22.42</v>
      </c>
    </row>
    <row r="18" spans="1:6">
      <c r="A18" t="s">
        <v>137</v>
      </c>
      <c r="B18">
        <f>'[2]cash flow 2015'!E18</f>
        <v>686.51000000000022</v>
      </c>
      <c r="C18">
        <f>'[2]cash flow 2016'!E18</f>
        <v>-970.55000000000018</v>
      </c>
      <c r="D18">
        <f>'[2]cash flow 2017'!E18</f>
        <v>-1144.94</v>
      </c>
      <c r="E18">
        <f>'[2]cash flow 2018'!E18</f>
        <v>-962.2</v>
      </c>
      <c r="F18">
        <f>'[2]cash flow 2019'!E18</f>
        <v>-151.05999999999997</v>
      </c>
    </row>
    <row r="19" spans="1:6">
      <c r="A19" t="s">
        <v>138</v>
      </c>
      <c r="B19">
        <f>'[2]cash flow 2015'!E19</f>
        <v>0</v>
      </c>
      <c r="C19">
        <f>'[2]cash flow 2016'!E19</f>
        <v>0</v>
      </c>
      <c r="D19">
        <f>'[2]cash flow 2017'!E19</f>
        <v>-26.97</v>
      </c>
      <c r="E19">
        <f>'[2]cash flow 2018'!E19</f>
        <v>11.66</v>
      </c>
      <c r="F19">
        <f>'[2]cash flow 2019'!E19</f>
        <v>4.7</v>
      </c>
    </row>
    <row r="20" spans="1:6">
      <c r="A20" t="s">
        <v>139</v>
      </c>
      <c r="B20" s="66">
        <f>'[2]cash flow 2015'!E20</f>
        <v>-260.02999999999997</v>
      </c>
      <c r="C20" s="66">
        <f>'[2]cash flow 2016'!E20</f>
        <v>237.1400000000001</v>
      </c>
      <c r="D20" s="66">
        <f>'[2]cash flow 2017'!E20</f>
        <v>-8.1299999999996544</v>
      </c>
      <c r="E20" s="66">
        <f>'[2]cash flow 2018'!E20</f>
        <v>-59.040000000000276</v>
      </c>
      <c r="F20" s="66">
        <f>'[2]cash flow 2019'!E20</f>
        <v>19.979999999999677</v>
      </c>
    </row>
    <row r="21" spans="1:6">
      <c r="A21" s="66" t="s">
        <v>140</v>
      </c>
      <c r="B21">
        <f>'[2]cash flow 2015'!E21</f>
        <v>426.48000000000025</v>
      </c>
      <c r="C21">
        <f>'[2]cash flow 2016'!E21</f>
        <v>-733.41000000000008</v>
      </c>
      <c r="D21">
        <f>'[2]cash flow 2017'!E21</f>
        <v>-1180.0399999999997</v>
      </c>
      <c r="E21">
        <f>'[2]cash flow 2018'!E21</f>
        <v>490.29999999999973</v>
      </c>
      <c r="F21">
        <f>'[2]cash flow 2019'!E21</f>
        <v>-103.96000000000031</v>
      </c>
    </row>
    <row r="22" spans="1:6">
      <c r="F22">
        <f>E22</f>
        <v>0</v>
      </c>
    </row>
    <row r="23" spans="1:6">
      <c r="F23">
        <f>E23</f>
        <v>0</v>
      </c>
    </row>
    <row r="24" spans="1:6">
      <c r="A24" t="s">
        <v>141</v>
      </c>
      <c r="B24" s="83">
        <f>B4/'[2]IHCL P&amp;L'!B5</f>
        <v>0.12775029603880972</v>
      </c>
      <c r="C24" s="83">
        <f>C4/'[2]IHCL P&amp;L'!C5</f>
        <v>0.15454854364702503</v>
      </c>
      <c r="D24" s="83">
        <f>D4/'[2]IHCL P&amp;L'!D5</f>
        <v>0.16985432365981254</v>
      </c>
      <c r="E24" s="83">
        <f>E4/'[2]IHCL P&amp;L'!E5</f>
        <v>0.17980772745549584</v>
      </c>
      <c r="F24" s="83">
        <f>E24</f>
        <v>0.17980772745549584</v>
      </c>
    </row>
    <row r="25" spans="1:6">
      <c r="A25" t="s">
        <v>142</v>
      </c>
      <c r="B25" s="83">
        <f>B6/'[2]IHCL P&amp;L'!B5</f>
        <v>-7.4279479735665982E-2</v>
      </c>
      <c r="C25" s="83">
        <f>C6/'[2]IHCL P&amp;L'!C5</f>
        <v>-8.6827912488128739E-2</v>
      </c>
      <c r="D25" s="83">
        <f>D6/'[2]IHCL P&amp;L'!D5</f>
        <v>-9.8238019480033703E-2</v>
      </c>
      <c r="E25" s="83">
        <f>E6/'[2]IHCL P&amp;L'!E5</f>
        <v>-0.12304955465389723</v>
      </c>
      <c r="F25" s="83">
        <f>E25</f>
        <v>-0.12304955465389723</v>
      </c>
    </row>
    <row r="26" spans="1:6">
      <c r="A26" t="s">
        <v>143</v>
      </c>
      <c r="B26" s="83">
        <f>B6/'[2]IHCL P&amp;L'!B12</f>
        <v>-1.0681108173984688</v>
      </c>
      <c r="C26" s="83">
        <f>C6/'[2]IHCL P&amp;L'!C12</f>
        <v>-1.2587867496131619</v>
      </c>
      <c r="D26" s="83">
        <f>D6/'[2]IHCL P&amp;L'!D12</f>
        <v>-1.315963523399138</v>
      </c>
      <c r="E26" s="83">
        <f>E6/'[2]IHCL P&amp;L'!E12</f>
        <v>-1.6764276228419654</v>
      </c>
      <c r="F26" s="83">
        <f>E26</f>
        <v>-1.6764276228419654</v>
      </c>
    </row>
  </sheetData>
  <mergeCells count="1">
    <mergeCell ref="A1:G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4519-CFFD-469A-9314-6A382A3CFD22}">
  <dimension ref="A1:AO65"/>
  <sheetViews>
    <sheetView tabSelected="1" workbookViewId="0">
      <pane xSplit="1" ySplit="2" topLeftCell="B12" activePane="bottomRight" state="frozen"/>
      <selection pane="topRight" activeCell="B1" sqref="B1"/>
      <selection pane="bottomLeft" activeCell="A3" sqref="A3"/>
      <selection pane="bottomRight" activeCell="B24" sqref="B24"/>
    </sheetView>
  </sheetViews>
  <sheetFormatPr defaultColWidth="14.77734375" defaultRowHeight="14.4"/>
  <cols>
    <col min="2" max="2" width="8.21875" style="93" customWidth="1"/>
    <col min="3" max="3" width="8.21875" style="92" customWidth="1"/>
    <col min="4" max="4" width="8.21875" style="93" customWidth="1"/>
    <col min="5" max="5" width="8.21875" style="92" customWidth="1"/>
    <col min="6" max="6" width="8.21875" style="93" customWidth="1"/>
    <col min="7" max="7" width="8.21875" style="92" customWidth="1"/>
    <col min="8" max="8" width="8.21875" style="93" customWidth="1"/>
    <col min="9" max="9" width="8.21875" style="92" customWidth="1"/>
    <col min="10" max="10" width="8.21875" style="93" customWidth="1"/>
    <col min="11" max="11" width="8.21875" style="92" customWidth="1"/>
    <col min="12" max="12" width="8.21875" style="93" customWidth="1"/>
    <col min="13" max="13" width="8.21875" style="92" customWidth="1"/>
    <col min="14" max="14" width="8.21875" style="93" customWidth="1"/>
    <col min="15" max="15" width="8.21875" style="92" customWidth="1"/>
  </cols>
  <sheetData>
    <row r="1" spans="1:41">
      <c r="A1" s="94"/>
      <c r="B1" s="345" t="s">
        <v>201</v>
      </c>
      <c r="C1" s="346"/>
      <c r="D1" s="345" t="s">
        <v>200</v>
      </c>
      <c r="E1" s="346"/>
      <c r="F1" s="345" t="s">
        <v>199</v>
      </c>
      <c r="G1" s="346"/>
      <c r="H1" s="345" t="s">
        <v>198</v>
      </c>
      <c r="I1" s="346"/>
      <c r="J1" s="345" t="s">
        <v>197</v>
      </c>
      <c r="K1" s="346"/>
      <c r="L1" s="345" t="s">
        <v>196</v>
      </c>
      <c r="M1" s="346"/>
      <c r="N1" s="345" t="s">
        <v>195</v>
      </c>
      <c r="O1" s="346"/>
      <c r="P1" t="s">
        <v>194</v>
      </c>
      <c r="Q1" s="344"/>
      <c r="R1" s="344"/>
      <c r="S1" s="344"/>
      <c r="T1" s="344"/>
      <c r="U1" s="344"/>
      <c r="V1" s="347"/>
      <c r="W1" s="347"/>
      <c r="X1" s="347"/>
      <c r="Y1" s="347"/>
      <c r="Z1" s="347"/>
      <c r="AA1" s="344"/>
      <c r="AB1" s="344"/>
      <c r="AC1" s="344"/>
      <c r="AD1" s="344"/>
      <c r="AE1" s="344"/>
      <c r="AF1" s="344"/>
      <c r="AG1" s="344"/>
      <c r="AH1" s="344"/>
      <c r="AI1" s="344"/>
      <c r="AJ1" s="344"/>
      <c r="AK1" s="344"/>
      <c r="AL1" s="344"/>
      <c r="AM1" s="344"/>
      <c r="AN1" s="344"/>
      <c r="AO1" s="344"/>
    </row>
    <row r="2" spans="1:41" ht="15" thickBot="1">
      <c r="A2" s="114"/>
      <c r="B2" s="113">
        <v>2018</v>
      </c>
      <c r="C2" s="113">
        <v>2019</v>
      </c>
      <c r="D2" s="113">
        <v>2018</v>
      </c>
      <c r="E2" s="113">
        <v>2019</v>
      </c>
      <c r="F2" s="113">
        <v>2018</v>
      </c>
      <c r="G2" s="113">
        <v>2019</v>
      </c>
      <c r="H2" s="113">
        <v>2018</v>
      </c>
      <c r="I2" s="113">
        <v>2019</v>
      </c>
      <c r="J2" s="113">
        <v>2018</v>
      </c>
      <c r="K2" s="113">
        <v>2019</v>
      </c>
      <c r="L2" s="113">
        <v>2018</v>
      </c>
      <c r="M2" s="113">
        <v>2019</v>
      </c>
      <c r="N2" s="113">
        <v>2018</v>
      </c>
      <c r="O2" s="113">
        <v>2019</v>
      </c>
      <c r="P2" s="112">
        <v>2018</v>
      </c>
      <c r="Q2" s="112">
        <v>2019</v>
      </c>
    </row>
    <row r="3" spans="1:41">
      <c r="A3" s="94" t="s">
        <v>193</v>
      </c>
      <c r="B3" s="93">
        <f>'[7]P and L'!B$17</f>
        <v>12.857000000000109</v>
      </c>
      <c r="C3" s="93">
        <f>'[7]P and L'!C$17</f>
        <v>40.301999999999829</v>
      </c>
      <c r="D3" s="93">
        <f>'[7]P and L'!D$17</f>
        <v>132.7749000000002</v>
      </c>
      <c r="E3" s="93">
        <f>'[7]P and L'!E$17</f>
        <v>59.571927999999531</v>
      </c>
      <c r="F3" s="93">
        <f>'[7]P and L'!F$17</f>
        <v>21.007000000000026</v>
      </c>
      <c r="G3" s="93">
        <f>'[7]P and L'!G$17</f>
        <v>24.313199999999998</v>
      </c>
      <c r="H3" s="93">
        <f>'[7]P and L'!H$17</f>
        <v>-92.874999999999886</v>
      </c>
      <c r="I3" s="93">
        <f>'[7]P and L'!I$17</f>
        <v>-7.6270000000000415</v>
      </c>
      <c r="J3" s="93">
        <f>'[7]P and L'!J$17</f>
        <v>195.77799999999993</v>
      </c>
      <c r="K3" s="93">
        <f>'[7]P and L'!K$17</f>
        <v>148.95699999999994</v>
      </c>
      <c r="L3" s="93">
        <f>'[7]P and L'!L$17</f>
        <v>29.190499999999968</v>
      </c>
      <c r="M3" s="93">
        <f>'[7]P and L'!M$17</f>
        <v>42.399999999999977</v>
      </c>
      <c r="N3" s="93">
        <f>'[7]P and L'!N$17</f>
        <v>14.553600000000019</v>
      </c>
      <c r="O3" s="93">
        <f>'[7]P and L'!O$17</f>
        <v>56.378800000000027</v>
      </c>
      <c r="P3" s="2">
        <f t="shared" ref="P3:P11" si="0">AVERAGE(B3,D3,F3,H3,J3,L3,N3,)</f>
        <v>39.16075000000005</v>
      </c>
      <c r="Q3" s="2">
        <f t="shared" ref="Q3:Q11" si="1">AVERAGE(C3,E3,G3,I3,K3,M3,O3,)</f>
        <v>45.536990999999908</v>
      </c>
    </row>
    <row r="4" spans="1:41">
      <c r="A4" s="94" t="s">
        <v>192</v>
      </c>
      <c r="B4" s="93">
        <f>'[7]P and L'!B$13</f>
        <v>27.868000000000109</v>
      </c>
      <c r="C4" s="93">
        <f>'[7]P and L'!C$13</f>
        <v>56.993999999999829</v>
      </c>
      <c r="D4" s="93">
        <f>'[7]P and L'!D$13</f>
        <v>280.2970000000002</v>
      </c>
      <c r="E4" s="93">
        <f>'[7]P and L'!E$13</f>
        <v>121.63502799999954</v>
      </c>
      <c r="F4" s="93">
        <f>'[7]P and L'!F$13</f>
        <v>56.983100000000022</v>
      </c>
      <c r="G4" s="93">
        <f>'[7]P and L'!G$13</f>
        <v>59.712600000000002</v>
      </c>
      <c r="H4" s="93">
        <f>'[7]P and L'!H$13</f>
        <v>67.092000000000112</v>
      </c>
      <c r="I4" s="93">
        <f>'[7]P and L'!I$13</f>
        <v>247.32099999999994</v>
      </c>
      <c r="J4" s="93">
        <f>'[7]P and L'!J$13</f>
        <v>304.41999999999996</v>
      </c>
      <c r="K4" s="93">
        <f>'[7]P and L'!K$13</f>
        <v>281.37799999999993</v>
      </c>
      <c r="L4" s="93">
        <f>'[7]P and L'!L$13</f>
        <v>38.662099999999967</v>
      </c>
      <c r="M4" s="93">
        <f>'[7]P and L'!M$13</f>
        <v>60.961099999999973</v>
      </c>
      <c r="N4" s="93">
        <f>'[7]P and L'!N$13</f>
        <v>96.700900000000019</v>
      </c>
      <c r="O4" s="93">
        <f>'[7]P and L'!O$13</f>
        <v>129.96370000000002</v>
      </c>
      <c r="P4" s="2">
        <f t="shared" si="0"/>
        <v>109.00288750000006</v>
      </c>
      <c r="Q4" s="2">
        <f t="shared" si="1"/>
        <v>119.74567849999991</v>
      </c>
    </row>
    <row r="5" spans="1:41">
      <c r="A5" s="94" t="s">
        <v>191</v>
      </c>
      <c r="B5" s="93">
        <f>B$4+'[7]P and L'!B$16</f>
        <v>27.868000000000109</v>
      </c>
      <c r="C5" s="93">
        <f>C$4+'[7]P and L'!C$16</f>
        <v>55.95399999999983</v>
      </c>
      <c r="D5" s="93">
        <f>D$4+'[7]P and L'!D$16</f>
        <v>364.09910000000019</v>
      </c>
      <c r="E5" s="93">
        <f>E$4+'[7]P and L'!E$16</f>
        <v>160.11012799999952</v>
      </c>
      <c r="F5" s="93">
        <f>F$4+'[7]P and L'!F$16</f>
        <v>67.989700000000028</v>
      </c>
      <c r="G5" s="93">
        <f>G$4+'[7]P and L'!G$16</f>
        <v>73.527799999999999</v>
      </c>
      <c r="H5" s="93">
        <f>H$4+'[7]P and L'!H$16</f>
        <v>15.138000000000112</v>
      </c>
      <c r="I5" s="93">
        <f>I$4+'[7]P and L'!I$16</f>
        <v>236.59999999999994</v>
      </c>
      <c r="J5" s="93">
        <f>J$4+'[7]P and L'!J$16</f>
        <v>389.94999999999993</v>
      </c>
      <c r="K5" s="93">
        <f>K$4+'[7]P and L'!K$16</f>
        <v>363.35799999999995</v>
      </c>
      <c r="L5" s="93">
        <f>L$4+'[7]P and L'!L$16</f>
        <v>47.57699999999997</v>
      </c>
      <c r="M5" s="93">
        <f>M$4+'[7]P and L'!M$16</f>
        <v>78.865499999999969</v>
      </c>
      <c r="N5" s="93">
        <f>N$4+'[7]P and L'!N$16</f>
        <v>100.47920000000002</v>
      </c>
      <c r="O5" s="93">
        <f>O$4+'[7]P and L'!O$16</f>
        <v>118.85230000000001</v>
      </c>
      <c r="P5" s="2">
        <f t="shared" si="0"/>
        <v>126.63762500000004</v>
      </c>
      <c r="Q5" s="2">
        <f t="shared" si="1"/>
        <v>135.90846599999992</v>
      </c>
      <c r="V5" s="111"/>
    </row>
    <row r="6" spans="1:41">
      <c r="A6" s="94" t="s">
        <v>190</v>
      </c>
      <c r="B6" s="93">
        <f>'[7]P and L'!B$9</f>
        <v>95.130000000000109</v>
      </c>
      <c r="C6" s="93">
        <f>'[7]P and L'!C$9</f>
        <v>136.70899999999983</v>
      </c>
      <c r="D6" s="93">
        <f>'[7]P and L'!D$9</f>
        <v>380.2809000000002</v>
      </c>
      <c r="E6" s="93">
        <f>'[7]P and L'!E$9</f>
        <v>222.97802799999954</v>
      </c>
      <c r="F6" s="93">
        <f>'[7]P and L'!F$9</f>
        <v>74.251500000000021</v>
      </c>
      <c r="G6" s="93">
        <f>'[7]P and L'!G$9</f>
        <v>76.412700000000001</v>
      </c>
      <c r="H6" s="93">
        <f>'[7]P and L'!H$9</f>
        <v>300.47700000000009</v>
      </c>
      <c r="I6" s="93">
        <f>'[7]P and L'!I$9</f>
        <v>366.83399999999995</v>
      </c>
      <c r="J6" s="93">
        <f>'[7]P and L'!J$9</f>
        <v>421.75299999999993</v>
      </c>
      <c r="K6" s="93">
        <f>'[7]P and L'!K$9</f>
        <v>487.00099999999998</v>
      </c>
      <c r="L6" s="93">
        <f>'[7]P and L'!L$9</f>
        <v>15.018699999999967</v>
      </c>
      <c r="M6" s="93">
        <f>'[7]P and L'!M$9</f>
        <v>46.267099999999971</v>
      </c>
      <c r="N6" s="93">
        <f>'[7]P and L'!N$9</f>
        <v>149.31830000000002</v>
      </c>
      <c r="O6" s="93">
        <f>'[7]P and L'!O$9</f>
        <v>184.07850000000002</v>
      </c>
      <c r="P6" s="2">
        <f t="shared" si="0"/>
        <v>179.52867500000002</v>
      </c>
      <c r="Q6" s="2">
        <f t="shared" si="1"/>
        <v>190.03504099999992</v>
      </c>
    </row>
    <row r="7" spans="1:41">
      <c r="A7" s="94" t="s">
        <v>189</v>
      </c>
      <c r="B7" s="93">
        <f>'[7]P and L'!B$4</f>
        <v>1134.874</v>
      </c>
      <c r="C7" s="93">
        <f>'[7]P and L'!C$4</f>
        <v>1401.606</v>
      </c>
      <c r="D7" s="93">
        <f>'[7]P and L'!D$4</f>
        <v>2316.92</v>
      </c>
      <c r="E7" s="93">
        <f>'[7]P and L'!E$4</f>
        <v>2238.9935999999998</v>
      </c>
      <c r="F7" s="93">
        <f>'[7]P and L'!F$4</f>
        <v>288.25040000000001</v>
      </c>
      <c r="G7" s="93">
        <f>'[7]P and L'!G$4</f>
        <v>316.87459999999999</v>
      </c>
      <c r="H7" s="93">
        <f>'[7]P and L'!H$4</f>
        <v>795.54700000000003</v>
      </c>
      <c r="I7" s="93">
        <f>'[7]P and L'!I$4</f>
        <v>987.173</v>
      </c>
      <c r="J7" s="93">
        <f>'[7]P and L'!J$4</f>
        <v>1598.8409999999999</v>
      </c>
      <c r="K7" s="93">
        <f>'[7]P and L'!K$4</f>
        <v>1810.82</v>
      </c>
      <c r="L7" s="93">
        <f>'[7]P and L'!L$4</f>
        <v>345.76839999999999</v>
      </c>
      <c r="M7" s="93">
        <f>'[7]P and L'!M$4</f>
        <v>355.94869999999997</v>
      </c>
      <c r="N7" s="93">
        <f>'[7]P and L'!N$4</f>
        <v>484.26150000000001</v>
      </c>
      <c r="O7" s="93">
        <f>'[7]P and L'!O$4</f>
        <v>549.50620000000004</v>
      </c>
      <c r="P7" s="2">
        <f t="shared" si="0"/>
        <v>870.5577874999999</v>
      </c>
      <c r="Q7" s="2">
        <f t="shared" si="1"/>
        <v>957.61526249999986</v>
      </c>
    </row>
    <row r="8" spans="1:41">
      <c r="A8" s="94" t="s">
        <v>188</v>
      </c>
      <c r="B8" s="93">
        <f>'[7]P and L'!B$5</f>
        <v>424.971</v>
      </c>
      <c r="C8" s="93">
        <f>'[7]P and L'!C$5</f>
        <v>505.52100000000002</v>
      </c>
      <c r="D8" s="93">
        <f>'[7]P and L'!D$5</f>
        <v>250.25450000000001</v>
      </c>
      <c r="E8" s="93">
        <f>'[7]P and L'!E$5</f>
        <v>308.50189999999998</v>
      </c>
      <c r="F8" s="93">
        <f>'[7]P and L'!F$5</f>
        <v>31.604900000000001</v>
      </c>
      <c r="G8" s="93">
        <f>'[7]P and L'!G$5</f>
        <v>34.840200000000003</v>
      </c>
      <c r="H8" s="93">
        <f>'[7]P and L'!H$5</f>
        <v>98.38000000000001</v>
      </c>
      <c r="I8" s="93">
        <f>'[7]P and L'!I$5</f>
        <v>156.32800000000003</v>
      </c>
      <c r="J8" s="93">
        <f>'[7]P and L'!J$5</f>
        <v>225.827</v>
      </c>
      <c r="K8" s="93">
        <f>'[7]P and L'!K$5</f>
        <v>244.48400000000001</v>
      </c>
      <c r="L8" s="93">
        <f>'[7]P and L'!L$5</f>
        <v>67.069299999999998</v>
      </c>
      <c r="M8" s="93">
        <f>'[7]P and L'!M$5</f>
        <v>69.631700000000009</v>
      </c>
      <c r="N8" s="93">
        <f>'[7]P and L'!N$5</f>
        <v>43.5852</v>
      </c>
      <c r="O8" s="93">
        <f>'[7]P and L'!O$5</f>
        <v>49.823099999999997</v>
      </c>
      <c r="P8" s="2">
        <f t="shared" si="0"/>
        <v>142.71148750000003</v>
      </c>
      <c r="Q8" s="2">
        <f t="shared" si="1"/>
        <v>171.14123749999999</v>
      </c>
    </row>
    <row r="9" spans="1:41">
      <c r="A9" s="98" t="s">
        <v>187</v>
      </c>
      <c r="B9" s="97">
        <f>'[7]P and L'!B$10</f>
        <v>67.262</v>
      </c>
      <c r="C9" s="97">
        <f>'[7]P and L'!C$10</f>
        <v>79.715000000000003</v>
      </c>
      <c r="D9" s="97">
        <f>'[7]P and L'!D$10</f>
        <v>99.983900000000006</v>
      </c>
      <c r="E9" s="97">
        <f>'[7]P and L'!E$10</f>
        <v>101.343</v>
      </c>
      <c r="F9" s="97">
        <f>'[7]P and L'!F$10</f>
        <v>17.2684</v>
      </c>
      <c r="G9" s="97">
        <f>'[7]P and L'!G$10</f>
        <v>16.700099999999999</v>
      </c>
      <c r="H9" s="97">
        <f>'[7]P and L'!H$10</f>
        <v>111.633</v>
      </c>
      <c r="I9" s="97">
        <f>'[7]P and L'!I$10</f>
        <v>115.417</v>
      </c>
      <c r="J9" s="97">
        <f>'[7]P and L'!J$10</f>
        <v>117.333</v>
      </c>
      <c r="K9" s="97">
        <f>'[7]P and L'!K$10</f>
        <v>132.55699999999999</v>
      </c>
      <c r="L9" s="97">
        <f>'[7]P and L'!L$10</f>
        <v>7.2135999999999996</v>
      </c>
      <c r="M9" s="97">
        <f>'[7]P and L'!M$10</f>
        <v>7.3589000000000002</v>
      </c>
      <c r="N9" s="97">
        <f>'[7]P and L'!N$10</f>
        <v>52.617400000000004</v>
      </c>
      <c r="O9" s="97">
        <f>'[7]P and L'!O$10</f>
        <v>54.114800000000002</v>
      </c>
      <c r="P9" s="2">
        <f t="shared" si="0"/>
        <v>59.163912499999995</v>
      </c>
      <c r="Q9" s="2">
        <f t="shared" si="1"/>
        <v>63.400724999999994</v>
      </c>
    </row>
    <row r="10" spans="1:41">
      <c r="A10" s="98" t="s">
        <v>186</v>
      </c>
      <c r="B10" s="97">
        <f t="shared" ref="B10:O10" si="2">B5+B9</f>
        <v>95.130000000000109</v>
      </c>
      <c r="C10" s="97">
        <f t="shared" si="2"/>
        <v>135.66899999999984</v>
      </c>
      <c r="D10" s="97">
        <f t="shared" si="2"/>
        <v>464.0830000000002</v>
      </c>
      <c r="E10" s="97">
        <f t="shared" si="2"/>
        <v>261.45312799999954</v>
      </c>
      <c r="F10" s="97">
        <f t="shared" si="2"/>
        <v>85.258100000000027</v>
      </c>
      <c r="G10" s="97">
        <f t="shared" si="2"/>
        <v>90.227900000000005</v>
      </c>
      <c r="H10" s="97">
        <f t="shared" si="2"/>
        <v>126.7710000000001</v>
      </c>
      <c r="I10" s="97">
        <f t="shared" si="2"/>
        <v>352.01699999999994</v>
      </c>
      <c r="J10" s="97">
        <f t="shared" si="2"/>
        <v>507.2829999999999</v>
      </c>
      <c r="K10" s="97">
        <f t="shared" si="2"/>
        <v>495.91499999999996</v>
      </c>
      <c r="L10" s="97">
        <f t="shared" si="2"/>
        <v>54.790599999999969</v>
      </c>
      <c r="M10" s="97">
        <f t="shared" si="2"/>
        <v>86.224399999999974</v>
      </c>
      <c r="N10" s="97">
        <f t="shared" si="2"/>
        <v>153.09660000000002</v>
      </c>
      <c r="O10" s="97">
        <f t="shared" si="2"/>
        <v>172.96710000000002</v>
      </c>
      <c r="P10" s="2">
        <f t="shared" si="0"/>
        <v>185.80153750000005</v>
      </c>
      <c r="Q10" s="2">
        <f t="shared" si="1"/>
        <v>199.30919099999991</v>
      </c>
    </row>
    <row r="11" spans="1:41" s="99" customFormat="1">
      <c r="A11" s="101" t="s">
        <v>185</v>
      </c>
      <c r="B11" s="100">
        <f>'[7]P and L'!B$17/'[7]P and L'!B$4</f>
        <v>1.132901097390557E-2</v>
      </c>
      <c r="C11" s="100">
        <f>'[7]P and L'!C$17/'[7]P and L'!C$4</f>
        <v>2.8754157730489047E-2</v>
      </c>
      <c r="D11" s="100">
        <f>'[7]P and L'!D$17/'[7]P and L'!D$4</f>
        <v>5.7306639849455394E-2</v>
      </c>
      <c r="E11" s="100">
        <f>'[7]P and L'!E$17/'[7]P and L'!E$4</f>
        <v>2.6606564663695126E-2</v>
      </c>
      <c r="F11" s="100">
        <f>'[7]P and L'!F$17/'[7]P and L'!F$4</f>
        <v>7.2877609189787862E-2</v>
      </c>
      <c r="G11" s="100">
        <f>'[7]P and L'!G$17/'[7]P and L'!G$4</f>
        <v>7.672814419331811E-2</v>
      </c>
      <c r="H11" s="100">
        <f>'[7]P and L'!H$17/'[7]P and L'!H$4</f>
        <v>-0.11674357391832271</v>
      </c>
      <c r="I11" s="100">
        <f>'[7]P and L'!I$17/'[7]P and L'!I$4</f>
        <v>-7.7261027195841478E-3</v>
      </c>
      <c r="J11" s="100">
        <f>'[7]P and L'!J$17/'[7]P and L'!J$4</f>
        <v>0.12244994968230108</v>
      </c>
      <c r="K11" s="100">
        <f>'[7]P and L'!K$17/'[7]P and L'!K$4</f>
        <v>8.2259418385041E-2</v>
      </c>
      <c r="L11" s="100">
        <f>'[7]P and L'!L$17/'[7]P and L'!L$4</f>
        <v>8.4422116075384482E-2</v>
      </c>
      <c r="M11" s="100">
        <f>'[7]P and L'!M$17/'[7]P and L'!M$4</f>
        <v>0.11911828867474437</v>
      </c>
      <c r="N11" s="100">
        <f>'[7]P and L'!N$17/'[7]P and L'!N$4</f>
        <v>3.0053184075132997E-2</v>
      </c>
      <c r="O11" s="100">
        <f>'[7]P and L'!O$17/'[7]P and L'!O$4</f>
        <v>0.10259902436041672</v>
      </c>
      <c r="P11" s="99">
        <f t="shared" si="0"/>
        <v>3.2711866990955588E-2</v>
      </c>
      <c r="Q11" s="99">
        <f t="shared" si="1"/>
        <v>5.3542436911015033E-2</v>
      </c>
    </row>
    <row r="12" spans="1:41" ht="28.8">
      <c r="A12" s="102" t="s">
        <v>184</v>
      </c>
      <c r="P12" s="2"/>
      <c r="Q12" s="2"/>
    </row>
    <row r="13" spans="1:41">
      <c r="A13" s="110" t="s">
        <v>183</v>
      </c>
      <c r="P13" s="2"/>
      <c r="Q13" s="2"/>
    </row>
    <row r="14" spans="1:41" s="99" customFormat="1" ht="28.8">
      <c r="A14" s="109" t="s">
        <v>182</v>
      </c>
      <c r="B14" s="100"/>
      <c r="C14" s="107">
        <f>(C7/B7)-1</f>
        <v>0.23503225908779291</v>
      </c>
      <c r="D14" s="100"/>
      <c r="E14" s="107">
        <f>(E7/D7)-1</f>
        <v>-3.3633617043316244E-2</v>
      </c>
      <c r="F14" s="100"/>
      <c r="G14" s="107">
        <f>(G7/F7)-1</f>
        <v>9.9303244678931923E-2</v>
      </c>
      <c r="H14" s="108"/>
      <c r="I14" s="107">
        <f>(I7/H7)-1</f>
        <v>0.24087326078786031</v>
      </c>
      <c r="J14" s="108"/>
      <c r="K14" s="107">
        <f>(K7/J7)-1</f>
        <v>0.13258291474887129</v>
      </c>
      <c r="L14" s="108"/>
      <c r="M14" s="107">
        <f>(M7/L7)-1</f>
        <v>2.9442540151153107E-2</v>
      </c>
      <c r="N14" s="108"/>
      <c r="O14" s="107">
        <f>(O7/N7)-1</f>
        <v>0.13473030583682588</v>
      </c>
      <c r="P14" s="2">
        <f>AVERAGE(B14,D14,F14,H14,J14,L14,N14,)</f>
        <v>0</v>
      </c>
      <c r="Q14" s="2">
        <f>AVERAGE(C14,E14,G14,I14,K14,M14,O14,)</f>
        <v>0.1047913635310149</v>
      </c>
    </row>
    <row r="15" spans="1:41" ht="43.2">
      <c r="A15" s="94" t="s">
        <v>181</v>
      </c>
      <c r="B15" s="95"/>
      <c r="C15" s="106"/>
      <c r="D15" s="95"/>
      <c r="E15" s="106"/>
      <c r="F15" s="95"/>
      <c r="P15" s="2"/>
      <c r="Q15" s="2"/>
    </row>
    <row r="16" spans="1:41">
      <c r="A16" s="94"/>
      <c r="B16" s="95"/>
      <c r="C16" s="106"/>
      <c r="D16" s="95"/>
      <c r="E16" s="106"/>
      <c r="F16" s="95"/>
      <c r="P16" s="2"/>
      <c r="Q16" s="2"/>
    </row>
    <row r="17" spans="1:17">
      <c r="A17" s="94" t="s">
        <v>180</v>
      </c>
      <c r="B17" s="95">
        <f>'[7]P and L'!B$18</f>
        <v>709.90300000000002</v>
      </c>
      <c r="C17" s="95">
        <f>'[7]P and L'!C$18</f>
        <v>896.08500000000004</v>
      </c>
      <c r="D17" s="95">
        <f>'[7]P and L'!D$18</f>
        <v>2066.6655000000001</v>
      </c>
      <c r="E17" s="95">
        <f>'[7]P and L'!E$18</f>
        <v>1930.4916999999998</v>
      </c>
      <c r="F17" s="95">
        <f>'[7]P and L'!F$18</f>
        <v>256.64550000000003</v>
      </c>
      <c r="G17" s="95">
        <f>'[7]P and L'!G$18</f>
        <v>282.03440000000001</v>
      </c>
      <c r="H17" s="95">
        <f>'[7]P and L'!H$18</f>
        <v>697.16700000000003</v>
      </c>
      <c r="I17" s="95">
        <f>'[7]P and L'!I$18</f>
        <v>830.84500000000003</v>
      </c>
      <c r="J17" s="95">
        <f>'[7]P and L'!J$18</f>
        <v>1373.0139999999999</v>
      </c>
      <c r="K17" s="95">
        <f>'[7]P and L'!K$18</f>
        <v>1566.336</v>
      </c>
      <c r="L17" s="95">
        <f>'[7]P and L'!L$18</f>
        <v>278.69909999999999</v>
      </c>
      <c r="M17" s="95">
        <f>'[7]P and L'!M$18</f>
        <v>286.31699999999995</v>
      </c>
      <c r="N17" s="95">
        <f>'[7]P and L'!N$18</f>
        <v>440.67630000000003</v>
      </c>
      <c r="O17" s="95">
        <f>'[7]P and L'!O$18</f>
        <v>499.68310000000002</v>
      </c>
      <c r="P17" s="2">
        <f t="shared" ref="P17:Q21" si="3">AVERAGE(B17,D17,F17,H17,J17,L17,N17,)</f>
        <v>727.84630000000004</v>
      </c>
      <c r="Q17" s="2">
        <f t="shared" si="3"/>
        <v>786.47402499999998</v>
      </c>
    </row>
    <row r="18" spans="1:17" s="99" customFormat="1" ht="28.8">
      <c r="A18" s="101" t="s">
        <v>179</v>
      </c>
      <c r="B18" s="100">
        <f>'[7]P and L'!B$18/B$7</f>
        <v>0.62553464084999744</v>
      </c>
      <c r="C18" s="100">
        <f>'[7]P and L'!C$18/C$7</f>
        <v>0.63932731452348235</v>
      </c>
      <c r="D18" s="100">
        <f>'[7]P and L'!D$18/D$7</f>
        <v>0.89198828617302284</v>
      </c>
      <c r="E18" s="100">
        <f>'[7]P and L'!E$18/E$7</f>
        <v>0.86221403223305326</v>
      </c>
      <c r="F18" s="100">
        <f>'[7]P and L'!F$18/F$7</f>
        <v>0.89035609317454556</v>
      </c>
      <c r="G18" s="100">
        <f>'[7]P and L'!G$18/G$7</f>
        <v>0.89005051209532104</v>
      </c>
      <c r="H18" s="100">
        <f>'[7]P and L'!H$18/H$7</f>
        <v>0.87633665892775658</v>
      </c>
      <c r="I18" s="100">
        <f>'[7]P and L'!I$18/I$7</f>
        <v>0.84164072558710579</v>
      </c>
      <c r="J18" s="100">
        <f>'[7]P and L'!J$18/J$7</f>
        <v>0.8587558112407675</v>
      </c>
      <c r="K18" s="100">
        <f>'[7]P and L'!K$18/K$7</f>
        <v>0.86498713290111662</v>
      </c>
      <c r="L18" s="100">
        <f>'[7]P and L'!L$18/L$7</f>
        <v>0.80602825475086792</v>
      </c>
      <c r="M18" s="100">
        <f>'[7]P and L'!M$18/M$7</f>
        <v>0.80437714760582069</v>
      </c>
      <c r="N18" s="100">
        <f>'[7]P and L'!N$18/N$7</f>
        <v>0.90999656177499144</v>
      </c>
      <c r="O18" s="100">
        <f>'[7]P and L'!O$18/O$7</f>
        <v>0.90933114130468407</v>
      </c>
      <c r="P18" s="100">
        <f t="shared" si="3"/>
        <v>0.73237453836149369</v>
      </c>
      <c r="Q18" s="100">
        <f t="shared" si="3"/>
        <v>0.726491000781323</v>
      </c>
    </row>
    <row r="19" spans="1:17" s="99" customFormat="1">
      <c r="A19" s="101" t="s">
        <v>178</v>
      </c>
      <c r="B19" s="100">
        <f>'[7]P and L'!B$6/B$7</f>
        <v>0.15116568006668582</v>
      </c>
      <c r="C19" s="100">
        <f>'[7]P and L'!C$6/C$7</f>
        <v>0.1406322461519143</v>
      </c>
      <c r="D19" s="100">
        <f>'[7]P and L'!D$6/D$7</f>
        <v>0.23458479360530357</v>
      </c>
      <c r="E19" s="100">
        <f>'[7]P and L'!E$6/E$7</f>
        <v>0.25650126914163579</v>
      </c>
      <c r="F19" s="100">
        <f>'[7]P and L'!F$6/F$7</f>
        <v>0.21676361940868077</v>
      </c>
      <c r="G19" s="100">
        <f>'[7]P and L'!G$6/G$7</f>
        <v>0.20595339607529287</v>
      </c>
      <c r="H19" s="100">
        <f>'[7]P and L'!H$6/H$7</f>
        <v>0.16103385469368875</v>
      </c>
      <c r="I19" s="100">
        <f>'[7]P and L'!I$6/I$7</f>
        <v>0.14668958733676873</v>
      </c>
      <c r="J19" s="100">
        <f>'[7]P and L'!J$6/J$7</f>
        <v>0.28836888721267467</v>
      </c>
      <c r="K19" s="100">
        <f>'[7]P and L'!K$6/K$7</f>
        <v>0.26545598126815478</v>
      </c>
      <c r="L19" s="100">
        <f>'[7]P and L'!L$6/L$7</f>
        <v>0.41561808424367297</v>
      </c>
      <c r="M19" s="100">
        <f>'[7]P and L'!M$6/M$7</f>
        <v>0.32319460641378944</v>
      </c>
      <c r="N19" s="100">
        <f>'[7]P and L'!N$6/N$7</f>
        <v>0.22627216906568043</v>
      </c>
      <c r="O19" s="100">
        <f>'[7]P and L'!O$6/O$7</f>
        <v>0.21934329403380706</v>
      </c>
      <c r="P19" s="2">
        <f t="shared" si="3"/>
        <v>0.21172588603704837</v>
      </c>
      <c r="Q19" s="2">
        <f t="shared" si="3"/>
        <v>0.19472129755267037</v>
      </c>
    </row>
    <row r="20" spans="1:17" s="99" customFormat="1" ht="43.2">
      <c r="A20" s="101" t="s">
        <v>177</v>
      </c>
      <c r="B20" s="100">
        <f t="shared" ref="B20:O20" si="4">B$4/B$7</f>
        <v>2.4556030008617794E-2</v>
      </c>
      <c r="C20" s="100">
        <f t="shared" si="4"/>
        <v>4.0663353324685986E-2</v>
      </c>
      <c r="D20" s="100">
        <f t="shared" si="4"/>
        <v>0.12097828151166211</v>
      </c>
      <c r="E20" s="100">
        <f t="shared" si="4"/>
        <v>5.4325759573408135E-2</v>
      </c>
      <c r="F20" s="100">
        <f t="shared" si="4"/>
        <v>0.19768610902187828</v>
      </c>
      <c r="G20" s="100">
        <f t="shared" si="4"/>
        <v>0.18844236805348236</v>
      </c>
      <c r="H20" s="100">
        <f t="shared" si="4"/>
        <v>8.4334426501514195E-2</v>
      </c>
      <c r="I20" s="100">
        <f t="shared" si="4"/>
        <v>0.25053460740923822</v>
      </c>
      <c r="J20" s="100">
        <f t="shared" si="4"/>
        <v>0.19040042130518292</v>
      </c>
      <c r="K20" s="100">
        <f t="shared" si="4"/>
        <v>0.15538706221490814</v>
      </c>
      <c r="L20" s="100">
        <f t="shared" si="4"/>
        <v>0.11181501837646231</v>
      </c>
      <c r="M20" s="100">
        <f t="shared" si="4"/>
        <v>0.17126372423891414</v>
      </c>
      <c r="N20" s="100">
        <f t="shared" si="4"/>
        <v>0.19968735899921844</v>
      </c>
      <c r="O20" s="100">
        <f t="shared" si="4"/>
        <v>0.23650997932325424</v>
      </c>
      <c r="P20" s="2">
        <f t="shared" si="3"/>
        <v>0.11618220571556701</v>
      </c>
      <c r="Q20" s="2">
        <f t="shared" si="3"/>
        <v>0.13714085676723639</v>
      </c>
    </row>
    <row r="21" spans="1:17" s="99" customFormat="1">
      <c r="A21" s="101" t="s">
        <v>176</v>
      </c>
      <c r="B21" s="100">
        <f t="shared" ref="B21:O21" si="5">B$3/B$7</f>
        <v>1.132901097390557E-2</v>
      </c>
      <c r="C21" s="100">
        <f t="shared" si="5"/>
        <v>2.8754157730489047E-2</v>
      </c>
      <c r="D21" s="100">
        <f t="shared" si="5"/>
        <v>5.7306639849455394E-2</v>
      </c>
      <c r="E21" s="100">
        <f t="shared" si="5"/>
        <v>2.6606564663695126E-2</v>
      </c>
      <c r="F21" s="100">
        <f t="shared" si="5"/>
        <v>7.2877609189787862E-2</v>
      </c>
      <c r="G21" s="100">
        <f t="shared" si="5"/>
        <v>7.672814419331811E-2</v>
      </c>
      <c r="H21" s="100">
        <f t="shared" si="5"/>
        <v>-0.11674357391832271</v>
      </c>
      <c r="I21" s="100">
        <f t="shared" si="5"/>
        <v>-7.7261027195841478E-3</v>
      </c>
      <c r="J21" s="100">
        <f t="shared" si="5"/>
        <v>0.12244994968230108</v>
      </c>
      <c r="K21" s="100">
        <f t="shared" si="5"/>
        <v>8.2259418385041E-2</v>
      </c>
      <c r="L21" s="100">
        <f t="shared" si="5"/>
        <v>8.4422116075384482E-2</v>
      </c>
      <c r="M21" s="100">
        <f t="shared" si="5"/>
        <v>0.11911828867474437</v>
      </c>
      <c r="N21" s="100">
        <f t="shared" si="5"/>
        <v>3.0053184075132997E-2</v>
      </c>
      <c r="O21" s="100">
        <f t="shared" si="5"/>
        <v>0.10259902436041672</v>
      </c>
      <c r="P21" s="2">
        <f t="shared" si="3"/>
        <v>3.2711866990955588E-2</v>
      </c>
      <c r="Q21" s="2">
        <f t="shared" si="3"/>
        <v>5.3542436911015033E-2</v>
      </c>
    </row>
    <row r="22" spans="1:17">
      <c r="A22" s="94"/>
      <c r="P22" s="2"/>
      <c r="Q22" s="2"/>
    </row>
    <row r="23" spans="1:17" ht="28.8">
      <c r="A23" s="102" t="s">
        <v>175</v>
      </c>
      <c r="P23" s="2"/>
      <c r="Q23" s="2"/>
    </row>
    <row r="24" spans="1:17" ht="43.2">
      <c r="A24" s="94" t="s">
        <v>174</v>
      </c>
      <c r="B24" s="93">
        <f>(365*'[7]Balance Sheet'!B$20/B$7)</f>
        <v>0</v>
      </c>
      <c r="C24" s="93">
        <f>(365*'[7]Balance Sheet'!C$20/C$7)</f>
        <v>0</v>
      </c>
      <c r="D24" s="93">
        <f>(365*'[7]Balance Sheet'!D$20/D$7)</f>
        <v>74.852600435060339</v>
      </c>
      <c r="E24" s="93">
        <f>(365*'[7]Balance Sheet'!E$20/E$7)</f>
        <v>93.070831913052388</v>
      </c>
      <c r="F24" s="93">
        <f>(365*'[7]Balance Sheet'!F$20/F$7)</f>
        <v>0</v>
      </c>
      <c r="G24" s="93">
        <f>(365*'[7]Balance Sheet'!G$20/G$7)</f>
        <v>0</v>
      </c>
      <c r="H24" s="93">
        <f>(365*'[7]Balance Sheet'!H$20/H$7)</f>
        <v>0</v>
      </c>
      <c r="I24" s="93">
        <f>(365*'[7]Balance Sheet'!I$20/I$7)</f>
        <v>0</v>
      </c>
      <c r="J24" s="93">
        <f>(365*'[7]Balance Sheet'!J$20/J$7)</f>
        <v>0</v>
      </c>
      <c r="K24" s="93">
        <f>(365*'[7]Balance Sheet'!K$20/K$7)</f>
        <v>0</v>
      </c>
      <c r="L24" s="93">
        <f>(365*'[7]Balance Sheet'!L$20/L$7)</f>
        <v>0</v>
      </c>
      <c r="M24" s="93">
        <f>(365*'[7]Balance Sheet'!M$20/M$7)</f>
        <v>0</v>
      </c>
      <c r="N24" s="93">
        <f>(365*'[7]Balance Sheet'!N$20/N$7)</f>
        <v>0</v>
      </c>
      <c r="O24" s="93">
        <f>(365*'[7]Balance Sheet'!O$20/O$7)</f>
        <v>0</v>
      </c>
      <c r="P24" s="2">
        <f>AVERAGE(B24,D24,F24,H24,J24,L24,N24,)</f>
        <v>9.3565750543825423</v>
      </c>
      <c r="Q24" s="2">
        <f>AVERAGE(C24,E24,G24,I24,K24,M24,O24,)</f>
        <v>11.633853989131548</v>
      </c>
    </row>
    <row r="25" spans="1:17" ht="28.8">
      <c r="A25" s="94" t="s">
        <v>173</v>
      </c>
      <c r="B25" s="93">
        <f>B$8/'[7]Balance Sheet'!B$23</f>
        <v>12.617154563268214</v>
      </c>
      <c r="C25" s="93">
        <f>C$8/'[7]Balance Sheet'!C$23</f>
        <v>12.3315851100161</v>
      </c>
      <c r="D25" s="93">
        <f>D$8/'[7]Balance Sheet'!D$23</f>
        <v>0.48113337411758555</v>
      </c>
      <c r="E25" s="93">
        <f>E$8/'[7]Balance Sheet'!E$23</f>
        <v>0.54168423252069486</v>
      </c>
      <c r="F25" s="93">
        <f>F$8/'[7]Balance Sheet'!F$23</f>
        <v>3.6752447845198506</v>
      </c>
      <c r="G25" s="93">
        <f>G$8/'[7]Balance Sheet'!G$23</f>
        <v>4.6380627812242077</v>
      </c>
      <c r="H25" s="93">
        <f>H$8/'[7]Balance Sheet'!H$23</f>
        <v>0.3157455549136659</v>
      </c>
      <c r="I25" s="93">
        <f>I$8/'[7]Balance Sheet'!I$23</f>
        <v>0.39530273299213087</v>
      </c>
      <c r="J25" s="93">
        <f>J$8/'[7]Balance Sheet'!J$23</f>
        <v>4.4223440712817004</v>
      </c>
      <c r="K25" s="93">
        <f>K$8/'[7]Balance Sheet'!K$23</f>
        <v>4.089386969975747</v>
      </c>
      <c r="L25" s="93">
        <f>L$8/'[7]Balance Sheet'!L$23</f>
        <v>6.2361621214516179</v>
      </c>
      <c r="M25" s="93">
        <f>M$8/'[7]Balance Sheet'!M$23</f>
        <v>6.8852972876763818</v>
      </c>
      <c r="N25" s="93">
        <f>N$8/'[7]Balance Sheet'!N$23</f>
        <v>8.0888591949223319</v>
      </c>
      <c r="O25" s="93">
        <f>O$8/'[7]Balance Sheet'!O$23</f>
        <v>8.3264702441633105</v>
      </c>
      <c r="P25" s="2">
        <f>AVERAGE(B25,D25,F25,H25,J25,L25,N25,)</f>
        <v>4.4795804580593703</v>
      </c>
      <c r="Q25" s="2">
        <f>AVERAGE(C25,E25,G25,I25,K25,M25,O25,)</f>
        <v>4.6509736698210711</v>
      </c>
    </row>
    <row r="26" spans="1:17" ht="28.8">
      <c r="A26" s="94" t="s">
        <v>172</v>
      </c>
      <c r="B26" s="93">
        <f t="shared" ref="B26:O26" si="6">365/B$25</f>
        <v>28.9288680874695</v>
      </c>
      <c r="C26" s="93">
        <f t="shared" si="6"/>
        <v>29.598790159063618</v>
      </c>
      <c r="D26" s="93">
        <f t="shared" si="6"/>
        <v>758.62540333940046</v>
      </c>
      <c r="E26" s="93">
        <f t="shared" si="6"/>
        <v>673.82430221661525</v>
      </c>
      <c r="F26" s="93">
        <f t="shared" si="6"/>
        <v>99.313112840097574</v>
      </c>
      <c r="G26" s="93">
        <f t="shared" si="6"/>
        <v>78.696649272966283</v>
      </c>
      <c r="H26" s="93">
        <f t="shared" si="6"/>
        <v>1155.9941044927828</v>
      </c>
      <c r="I26" s="93">
        <f t="shared" si="6"/>
        <v>923.34297118878237</v>
      </c>
      <c r="J26" s="93">
        <f t="shared" si="6"/>
        <v>82.53541427730076</v>
      </c>
      <c r="K26" s="93">
        <f t="shared" si="6"/>
        <v>89.255431848300901</v>
      </c>
      <c r="L26" s="93">
        <f t="shared" si="6"/>
        <v>58.529588052954182</v>
      </c>
      <c r="M26" s="93">
        <f t="shared" si="6"/>
        <v>53.011509125872252</v>
      </c>
      <c r="N26" s="93">
        <f t="shared" si="6"/>
        <v>45.123792021144794</v>
      </c>
      <c r="O26" s="93">
        <f t="shared" si="6"/>
        <v>43.836102129333582</v>
      </c>
      <c r="P26" s="2">
        <f>AVERAGE(B26,D26,F26,J26,L26,N26,)</f>
        <v>153.29373980262386</v>
      </c>
      <c r="Q26" s="2">
        <f>AVERAGE(C26,E26,G26,K26,M26,O26,)</f>
        <v>138.31754067887883</v>
      </c>
    </row>
    <row r="27" spans="1:17" ht="28.8">
      <c r="A27" s="94" t="s">
        <v>171</v>
      </c>
      <c r="B27" s="93">
        <f t="shared" ref="B27:O27" si="7">B24+B26</f>
        <v>28.9288680874695</v>
      </c>
      <c r="C27" s="93">
        <f t="shared" si="7"/>
        <v>29.598790159063618</v>
      </c>
      <c r="D27" s="93">
        <f t="shared" si="7"/>
        <v>833.47800377446083</v>
      </c>
      <c r="E27" s="93">
        <f t="shared" si="7"/>
        <v>766.89513412966767</v>
      </c>
      <c r="F27" s="93">
        <f t="shared" si="7"/>
        <v>99.313112840097574</v>
      </c>
      <c r="G27" s="93">
        <f t="shared" si="7"/>
        <v>78.696649272966283</v>
      </c>
      <c r="H27" s="93">
        <f t="shared" si="7"/>
        <v>1155.9941044927828</v>
      </c>
      <c r="I27" s="93">
        <f t="shared" si="7"/>
        <v>923.34297118878237</v>
      </c>
      <c r="J27" s="93">
        <f t="shared" si="7"/>
        <v>82.53541427730076</v>
      </c>
      <c r="K27" s="93">
        <f t="shared" si="7"/>
        <v>89.255431848300901</v>
      </c>
      <c r="L27" s="93">
        <f t="shared" si="7"/>
        <v>58.529588052954182</v>
      </c>
      <c r="M27" s="93">
        <f t="shared" si="7"/>
        <v>53.011509125872252</v>
      </c>
      <c r="N27" s="93">
        <f t="shared" si="7"/>
        <v>45.123792021144794</v>
      </c>
      <c r="O27" s="93">
        <f t="shared" si="7"/>
        <v>43.836102129333582</v>
      </c>
      <c r="P27" s="2">
        <f t="shared" ref="P27:Q32" si="8">AVERAGE(B27,D27,F27,H27,J27,L27,N27,)</f>
        <v>287.9878604432763</v>
      </c>
      <c r="Q27" s="2">
        <f t="shared" si="8"/>
        <v>248.07957348174833</v>
      </c>
    </row>
    <row r="28" spans="1:17">
      <c r="A28" s="94" t="s">
        <v>170</v>
      </c>
      <c r="B28" s="93">
        <f>'[7]Balance Sheet'!B$64/'[7]Balance Sheet'!B$35</f>
        <v>0.19751894532574338</v>
      </c>
      <c r="C28" s="93">
        <f>'[7]Balance Sheet'!C$64/'[7]Balance Sheet'!C$35</f>
        <v>0.22838074261524291</v>
      </c>
      <c r="D28" s="93">
        <f>'[7]Balance Sheet'!D$64/'[7]Balance Sheet'!D$35</f>
        <v>0.17978017813614133</v>
      </c>
      <c r="E28" s="93">
        <f>'[7]Balance Sheet'!E$64/'[7]Balance Sheet'!E$35</f>
        <v>0.11402619926661364</v>
      </c>
      <c r="F28" s="93">
        <f>'[7]Balance Sheet'!F$64/'[7]Balance Sheet'!F$35</f>
        <v>0.30878304248882515</v>
      </c>
      <c r="G28" s="93">
        <f>'[7]Balance Sheet'!G$64/'[7]Balance Sheet'!G$35</f>
        <v>0.27698242967932191</v>
      </c>
      <c r="H28" s="93">
        <f>'[7]Balance Sheet'!H$64/'[7]Balance Sheet'!H$35</f>
        <v>0.73339913891211428</v>
      </c>
      <c r="I28" s="93">
        <f>'[7]Balance Sheet'!I$64/'[7]Balance Sheet'!I$35</f>
        <v>0.43429341278172656</v>
      </c>
      <c r="J28" s="93">
        <f>'[7]Balance Sheet'!J$64/'[7]Balance Sheet'!J$35</f>
        <v>0.12249422215589673</v>
      </c>
      <c r="K28" s="93">
        <f>'[7]Balance Sheet'!K$64/'[7]Balance Sheet'!K$35</f>
        <v>0.12872056516205932</v>
      </c>
      <c r="L28" s="93">
        <f>'[7]Balance Sheet'!L$64/'[7]Balance Sheet'!L$35</f>
        <v>1.5668604882239493E-3</v>
      </c>
      <c r="M28" s="93">
        <f>'[7]Balance Sheet'!M$64/'[7]Balance Sheet'!M$35</f>
        <v>1.7349012348530091E-3</v>
      </c>
      <c r="N28" s="93">
        <f>'[7]Balance Sheet'!N$64/'[7]Balance Sheet'!N$35</f>
        <v>0.41130018106943655</v>
      </c>
      <c r="O28" s="93">
        <f>'[7]Balance Sheet'!O$64/'[7]Balance Sheet'!O$35</f>
        <v>0.43132571144077586</v>
      </c>
      <c r="P28" s="2">
        <f t="shared" si="8"/>
        <v>0.24435532107204766</v>
      </c>
      <c r="Q28" s="2">
        <f t="shared" si="8"/>
        <v>0.20193299527257416</v>
      </c>
    </row>
    <row r="29" spans="1:17" ht="28.8">
      <c r="A29" s="105" t="s">
        <v>169</v>
      </c>
      <c r="B29" s="104">
        <f>'[7]Balance Sheet'!B$33-'[7]Balance Sheet'!B$59</f>
        <v>-261.27800000000002</v>
      </c>
      <c r="C29" s="104">
        <f>'[7]Balance Sheet'!C$33-'[7]Balance Sheet'!C$59</f>
        <v>-250.23599999999999</v>
      </c>
      <c r="D29" s="104">
        <f>'[7]Balance Sheet'!D$33-'[7]Balance Sheet'!D$59</f>
        <v>1247.3602999999998</v>
      </c>
      <c r="E29" s="104">
        <f>'[7]Balance Sheet'!E$33-'[7]Balance Sheet'!E$59</f>
        <v>1140.6043</v>
      </c>
      <c r="F29" s="104">
        <f>'[7]Balance Sheet'!F$33-'[7]Balance Sheet'!F$59</f>
        <v>-46.875099999999996</v>
      </c>
      <c r="G29" s="104">
        <f>'[7]Balance Sheet'!G$33-'[7]Balance Sheet'!G$59</f>
        <v>-50.579199999999993</v>
      </c>
      <c r="H29" s="104">
        <f>'[7]Balance Sheet'!H$33-'[7]Balance Sheet'!H$59</f>
        <v>-214.20400000000006</v>
      </c>
      <c r="I29" s="104">
        <f>'[7]Balance Sheet'!I$33-'[7]Balance Sheet'!I$59</f>
        <v>-125.65000000000009</v>
      </c>
      <c r="J29" s="104">
        <f>'[7]Balance Sheet'!J$33-'[7]Balance Sheet'!J$59</f>
        <v>5.6400000000001</v>
      </c>
      <c r="K29" s="104">
        <f>'[7]Balance Sheet'!K$33-'[7]Balance Sheet'!K$59</f>
        <v>16.518999999999778</v>
      </c>
      <c r="L29" s="104">
        <f>'[7]Balance Sheet'!L$33-'[7]Balance Sheet'!L$59</f>
        <v>273.95549999999997</v>
      </c>
      <c r="M29" s="104">
        <f>'[7]Balance Sheet'!M$33-'[7]Balance Sheet'!M$59</f>
        <v>281.95000000000005</v>
      </c>
      <c r="N29" s="104">
        <f>'[7]Balance Sheet'!N$33-'[7]Balance Sheet'!N$59</f>
        <v>-110.78290000000001</v>
      </c>
      <c r="O29" s="104">
        <f>'[7]Balance Sheet'!O$33-'[7]Balance Sheet'!O$59</f>
        <v>-95.377559999999988</v>
      </c>
      <c r="P29" s="2">
        <f t="shared" si="8"/>
        <v>111.72697499999997</v>
      </c>
      <c r="Q29" s="2">
        <f t="shared" si="8"/>
        <v>114.65381749999996</v>
      </c>
    </row>
    <row r="30" spans="1:17" ht="72">
      <c r="A30" s="94" t="s">
        <v>168</v>
      </c>
      <c r="B30" s="100">
        <f t="shared" ref="B30:O30" si="9">B29/B7</f>
        <v>-0.23022643923466396</v>
      </c>
      <c r="C30" s="100">
        <f t="shared" si="9"/>
        <v>-0.17853519462673531</v>
      </c>
      <c r="D30" s="100">
        <f t="shared" si="9"/>
        <v>0.53837003435595521</v>
      </c>
      <c r="E30" s="100">
        <f t="shared" si="9"/>
        <v>0.50942722658966066</v>
      </c>
      <c r="F30" s="100">
        <f t="shared" si="9"/>
        <v>-0.16261937537640883</v>
      </c>
      <c r="G30" s="100">
        <f t="shared" si="9"/>
        <v>-0.15961897861172841</v>
      </c>
      <c r="H30" s="100">
        <f t="shared" si="9"/>
        <v>-0.26925373359462113</v>
      </c>
      <c r="I30" s="100">
        <f t="shared" si="9"/>
        <v>-0.12728265461069144</v>
      </c>
      <c r="J30" s="100">
        <f t="shared" si="9"/>
        <v>3.5275552728508339E-3</v>
      </c>
      <c r="K30" s="100">
        <f t="shared" si="9"/>
        <v>9.1223865431129432E-3</v>
      </c>
      <c r="L30" s="100">
        <f t="shared" si="9"/>
        <v>0.79230924514790824</v>
      </c>
      <c r="M30" s="100">
        <f t="shared" si="9"/>
        <v>0.7921085257510424</v>
      </c>
      <c r="N30" s="100">
        <f t="shared" si="9"/>
        <v>-0.22876668907191675</v>
      </c>
      <c r="O30" s="100">
        <f t="shared" si="9"/>
        <v>-0.17356957937872217</v>
      </c>
      <c r="P30" s="2">
        <f t="shared" si="8"/>
        <v>5.5417574687387949E-2</v>
      </c>
      <c r="Q30" s="2">
        <f t="shared" si="8"/>
        <v>8.395646645699234E-2</v>
      </c>
    </row>
    <row r="31" spans="1:17" ht="43.2">
      <c r="A31" s="94" t="s">
        <v>167</v>
      </c>
      <c r="B31" s="95">
        <f>B$7/'[7]Balance Sheet'!B$4</f>
        <v>2.4466242538045457</v>
      </c>
      <c r="C31" s="95">
        <f>C$7/'[7]Balance Sheet'!C$4</f>
        <v>2.7887273501433554</v>
      </c>
      <c r="D31" s="95">
        <f>D$7/'[7]Balance Sheet'!D$4</f>
        <v>1.7490613474442742</v>
      </c>
      <c r="E31" s="95">
        <f>E$7/'[7]Balance Sheet'!E$4</f>
        <v>0.96748598286399823</v>
      </c>
      <c r="F31" s="95">
        <f>F$7/'[7]Balance Sheet'!F$4</f>
        <v>0.67915877261041879</v>
      </c>
      <c r="G31" s="95">
        <f>G$7/'[7]Balance Sheet'!G$4</f>
        <v>0.76525118866149267</v>
      </c>
      <c r="H31" s="95">
        <f>H$7/'[7]Balance Sheet'!H$4</f>
        <v>0.37506747751260322</v>
      </c>
      <c r="I31" s="95">
        <f>I$7/'[7]Balance Sheet'!I$4</f>
        <v>0.48173227308993927</v>
      </c>
      <c r="J31" s="95">
        <f>J$7/'[7]Balance Sheet'!J$4</f>
        <v>0.7167617438005599</v>
      </c>
      <c r="K31" s="95">
        <f>K$7/'[7]Balance Sheet'!K$4</f>
        <v>0.83444696150010789</v>
      </c>
      <c r="L31" s="95">
        <f>L$7/'[7]Balance Sheet'!L$4</f>
        <v>6.0381883081049743</v>
      </c>
      <c r="M31" s="95">
        <f>M$7/'[7]Balance Sheet'!M$4</f>
        <v>6.5153168620933286</v>
      </c>
      <c r="N31" s="95">
        <f>N$7/'[7]Balance Sheet'!N$4</f>
        <v>0.33422877601047368</v>
      </c>
      <c r="O31" s="95">
        <f>O$7/'[7]Balance Sheet'!O$4</f>
        <v>0.34572630173606755</v>
      </c>
      <c r="P31" s="2">
        <f t="shared" si="8"/>
        <v>1.5423863349109812</v>
      </c>
      <c r="Q31" s="2">
        <f t="shared" si="8"/>
        <v>1.5873358650110361</v>
      </c>
    </row>
    <row r="32" spans="1:17">
      <c r="A32" s="94" t="s">
        <v>166</v>
      </c>
      <c r="B32" s="95">
        <f>B$7/'[7]Balance Sheet'!B$35</f>
        <v>1.2214490900539328</v>
      </c>
      <c r="C32" s="95">
        <f>C$7/'[7]Balance Sheet'!C$35</f>
        <v>1.3683923801490232</v>
      </c>
      <c r="D32" s="95">
        <f>D$7/'[7]Balance Sheet'!D$35</f>
        <v>0.51430563777688265</v>
      </c>
      <c r="E32" s="95">
        <f>E$7/'[7]Balance Sheet'!E$35</f>
        <v>0.30744423063804344</v>
      </c>
      <c r="F32" s="95">
        <f>F$7/'[7]Balance Sheet'!F$35</f>
        <v>0.39139143705972762</v>
      </c>
      <c r="G32" s="95">
        <f>G$7/'[7]Balance Sheet'!G$35</f>
        <v>0.44583506860416688</v>
      </c>
      <c r="H32" s="95">
        <f>H$7/'[7]Balance Sheet'!H$35</f>
        <v>0.21408709425761108</v>
      </c>
      <c r="I32" s="95">
        <f>I$7/'[7]Balance Sheet'!I$35</f>
        <v>0.2773052117782655</v>
      </c>
      <c r="J32" s="95">
        <f>J$7/'[7]Balance Sheet'!J$35</f>
        <v>0.39243220237475768</v>
      </c>
      <c r="K32" s="95">
        <f>K$7/'[7]Balance Sheet'!K$35</f>
        <v>0.42589421391892907</v>
      </c>
      <c r="L32" s="95">
        <f>L$7/'[7]Balance Sheet'!L$35</f>
        <v>0.51858987655443067</v>
      </c>
      <c r="M32" s="95">
        <f>M$7/'[7]Balance Sheet'!M$35</f>
        <v>0.53726799997766073</v>
      </c>
      <c r="N32" s="95">
        <f>N$7/'[7]Balance Sheet'!N$35</f>
        <v>0.19700057725798792</v>
      </c>
      <c r="O32" s="95">
        <f>O$7/'[7]Balance Sheet'!O$35</f>
        <v>0.19824600265527592</v>
      </c>
      <c r="P32" s="2">
        <f t="shared" si="8"/>
        <v>0.43115698941691638</v>
      </c>
      <c r="Q32" s="2">
        <f t="shared" si="8"/>
        <v>0.44504813846517066</v>
      </c>
    </row>
    <row r="33" spans="1:17" ht="43.2">
      <c r="A33" s="102" t="s">
        <v>165</v>
      </c>
      <c r="P33" s="2"/>
      <c r="Q33" s="2"/>
    </row>
    <row r="34" spans="1:17">
      <c r="A34" s="94" t="s">
        <v>164</v>
      </c>
      <c r="B34" s="93">
        <f>'[7]Balance Sheet'!B$33/'[7]Balance Sheet'!B$59</f>
        <v>0.32141048383117204</v>
      </c>
      <c r="C34" s="93">
        <f>'[7]Balance Sheet'!C$33/'[7]Balance Sheet'!C$59</f>
        <v>0.42887009234449108</v>
      </c>
      <c r="D34" s="93">
        <f>'[7]Balance Sheet'!D$33/'[7]Balance Sheet'!D$59</f>
        <v>2.3080968043417527</v>
      </c>
      <c r="E34" s="93">
        <f>'[7]Balance Sheet'!E$33/'[7]Balance Sheet'!E$59</f>
        <v>1.8652790089459619</v>
      </c>
      <c r="F34" s="93">
        <f>'[7]Balance Sheet'!F$33/'[7]Balance Sheet'!F$59</f>
        <v>0.55777081114330274</v>
      </c>
      <c r="G34" s="93">
        <f>'[7]Balance Sheet'!G$33/'[7]Balance Sheet'!G$59</f>
        <v>0.45731054387828463</v>
      </c>
      <c r="H34" s="93">
        <f>'[7]Balance Sheet'!H$33/'[7]Balance Sheet'!H$59</f>
        <v>0.76715463274275186</v>
      </c>
      <c r="I34" s="93">
        <f>'[7]Balance Sheet'!I$33/'[7]Balance Sheet'!I$59</f>
        <v>0.82670375790108108</v>
      </c>
      <c r="J34" s="93">
        <f>'[7]Balance Sheet'!J$33/'[7]Balance Sheet'!J$59</f>
        <v>1.009773544885525</v>
      </c>
      <c r="K34" s="93">
        <f>'[7]Balance Sheet'!K$33/'[7]Balance Sheet'!K$59</f>
        <v>1.0253596155912736</v>
      </c>
      <c r="L34" s="93">
        <f>'[7]Balance Sheet'!L$33/'[7]Balance Sheet'!L$59</f>
        <v>1.9836705705102955</v>
      </c>
      <c r="M34" s="93">
        <f>'[7]Balance Sheet'!M$33/'[7]Balance Sheet'!M$59</f>
        <v>2.0222642963815942</v>
      </c>
      <c r="N34" s="93">
        <f>'[7]Balance Sheet'!N$33/'[7]Balance Sheet'!N$59</f>
        <v>0.55497329829345277</v>
      </c>
      <c r="O34" s="93">
        <f>'[7]Balance Sheet'!O$33/'[7]Balance Sheet'!O$59</f>
        <v>0.673298576089297</v>
      </c>
      <c r="P34" s="2">
        <f t="shared" ref="P34:Q38" si="10">AVERAGE(B34,D34,F34,H34,J34,L34,N34,)</f>
        <v>0.93785626821853163</v>
      </c>
      <c r="Q34" s="2">
        <f t="shared" si="10"/>
        <v>0.91238573639149789</v>
      </c>
    </row>
    <row r="35" spans="1:17">
      <c r="A35" s="94" t="s">
        <v>163</v>
      </c>
      <c r="B35" s="93">
        <f>('[7]Balance Sheet'!B$33-'[7]Balance Sheet'!B$23)/'[7]Balance Sheet'!B$59</f>
        <v>0.23393181328256685</v>
      </c>
      <c r="C35" s="93">
        <f>('[7]Balance Sheet'!C$33-'[7]Balance Sheet'!C$23)/'[7]Balance Sheet'!C$59</f>
        <v>0.33530681833743398</v>
      </c>
      <c r="D35" s="93">
        <f>('[7]Balance Sheet'!D$33-'[7]Balance Sheet'!D$23)/'[7]Balance Sheet'!D$59</f>
        <v>1.7626349561772572</v>
      </c>
      <c r="E35" s="93">
        <f>('[7]Balance Sheet'!E$33-'[7]Balance Sheet'!E$23)/'[7]Balance Sheet'!E$59</f>
        <v>1.4332301996863128</v>
      </c>
      <c r="F35" s="93">
        <f>('[7]Balance Sheet'!F$33-'[7]Balance Sheet'!F$23)/'[7]Balance Sheet'!F$59</f>
        <v>0.47664232956877212</v>
      </c>
      <c r="G35" s="93">
        <f>('[7]Balance Sheet'!G$33-'[7]Balance Sheet'!G$23)/'[7]Balance Sheet'!G$59</f>
        <v>0.37671269621570586</v>
      </c>
      <c r="H35" s="93">
        <f>('[7]Balance Sheet'!H$33-'[7]Balance Sheet'!H$23)/'[7]Balance Sheet'!H$59</f>
        <v>0.42845899900102286</v>
      </c>
      <c r="I35" s="93">
        <f>('[7]Balance Sheet'!I$33-'[7]Balance Sheet'!I$23)/'[7]Balance Sheet'!I$59</f>
        <v>0.28128055785805012</v>
      </c>
      <c r="J35" s="93">
        <f>('[7]Balance Sheet'!J$33-'[7]Balance Sheet'!J$23)/'[7]Balance Sheet'!J$59</f>
        <v>0.92128310701685079</v>
      </c>
      <c r="K35" s="93">
        <f>('[7]Balance Sheet'!K$33-'[7]Balance Sheet'!K$23)/'[7]Balance Sheet'!K$59</f>
        <v>0.93357896191221823</v>
      </c>
      <c r="L35" s="93">
        <f>('[7]Balance Sheet'!L$33-'[7]Balance Sheet'!L$23)/'[7]Balance Sheet'!L$59</f>
        <v>1.9450537928994016</v>
      </c>
      <c r="M35" s="93">
        <f>('[7]Balance Sheet'!M$33-'[7]Balance Sheet'!M$23)/'[7]Balance Sheet'!M$59</f>
        <v>1.9855972949425564</v>
      </c>
      <c r="N35" s="93">
        <f>('[7]Balance Sheet'!N$33-'[7]Balance Sheet'!N$23)/'[7]Balance Sheet'!N$59</f>
        <v>0.53332792362998593</v>
      </c>
      <c r="O35" s="93">
        <f>('[7]Balance Sheet'!O$33-'[7]Balance Sheet'!O$23)/'[7]Balance Sheet'!O$59</f>
        <v>0.65280231564549374</v>
      </c>
      <c r="P35" s="2">
        <f t="shared" si="10"/>
        <v>0.78766661519698211</v>
      </c>
      <c r="Q35" s="2">
        <f t="shared" si="10"/>
        <v>0.74981360557472143</v>
      </c>
    </row>
    <row r="36" spans="1:17" s="99" customFormat="1">
      <c r="A36" s="101" t="s">
        <v>162</v>
      </c>
      <c r="B36" s="100">
        <f>'[7]Balance Sheet'!B$64/'[7]Balance Sheet'!B$42</f>
        <v>0.33844108230920167</v>
      </c>
      <c r="C36" s="100">
        <f>'[7]Balance Sheet'!C$64/'[7]Balance Sheet'!C$42</f>
        <v>0.40123497024064769</v>
      </c>
      <c r="D36" s="100">
        <f>'[7]Balance Sheet'!D$64/'[7]Balance Sheet'!D$42</f>
        <v>1.0962289413537361</v>
      </c>
      <c r="E36" s="100">
        <f>'[7]Balance Sheet'!E$64/'[7]Balance Sheet'!E$42</f>
        <v>2.6705664291135491</v>
      </c>
      <c r="F36" s="100">
        <f>'[7]Balance Sheet'!F$64/'[7]Balance Sheet'!F$42</f>
        <v>0.61601249516817203</v>
      </c>
      <c r="G36" s="100">
        <f>'[7]Balance Sheet'!G$64/'[7]Balance Sheet'!G$42</f>
        <v>0.50237761181308394</v>
      </c>
      <c r="H36" s="100">
        <f>'[7]Balance Sheet'!H$64/'[7]Balance Sheet'!H$42</f>
        <v>5.5000524716148753</v>
      </c>
      <c r="I36" s="100">
        <f>'[7]Balance Sheet'!I$64/'[7]Balance Sheet'!I$42</f>
        <v>1.0845914731548121</v>
      </c>
      <c r="J36" s="100">
        <f>'[7]Balance Sheet'!J$64/'[7]Balance Sheet'!J$42</f>
        <v>0.16900586161786613</v>
      </c>
      <c r="K36" s="100">
        <f>'[7]Balance Sheet'!K$64/'[7]Balance Sheet'!K$42</f>
        <v>0.17757723771913855</v>
      </c>
      <c r="L36" s="100">
        <f>'[7]Balance Sheet'!L$64/'[7]Balance Sheet'!L$42</f>
        <v>3.435257706805177E-3</v>
      </c>
      <c r="M36" s="100">
        <f>'[7]Balance Sheet'!M$64/'[7]Balance Sheet'!M$42</f>
        <v>3.5207266162215014E-3</v>
      </c>
      <c r="N36" s="100">
        <f>'[7]Balance Sheet'!N$64/'[7]Balance Sheet'!N$42</f>
        <v>0.81307547949118497</v>
      </c>
      <c r="O36" s="100">
        <f>'[7]Balance Sheet'!O$64/'[7]Balance Sheet'!O$42</f>
        <v>0.91459482888800736</v>
      </c>
      <c r="P36" s="2">
        <f t="shared" si="10"/>
        <v>1.0670314486577301</v>
      </c>
      <c r="Q36" s="2">
        <f t="shared" si="10"/>
        <v>0.71930790969318248</v>
      </c>
    </row>
    <row r="37" spans="1:17" s="99" customFormat="1" ht="28.8">
      <c r="A37" s="101" t="s">
        <v>161</v>
      </c>
      <c r="B37" s="100">
        <f>'[7]Balance Sheet'!B$64/('[7]Balance Sheet'!B$64+'[7]Balance Sheet'!B$42)</f>
        <v>0.25286214446234123</v>
      </c>
      <c r="C37" s="100">
        <f>'[7]Balance Sheet'!C$64/('[7]Balance Sheet'!C$64+'[7]Balance Sheet'!C$42)</f>
        <v>0.28634381724839464</v>
      </c>
      <c r="D37" s="100">
        <f>'[7]Balance Sheet'!D$64/('[7]Balance Sheet'!D$64+'[7]Balance Sheet'!D$42)</f>
        <v>0.52295287014108105</v>
      </c>
      <c r="E37" s="100">
        <f>'[7]Balance Sheet'!E$64/('[7]Balance Sheet'!E$64+'[7]Balance Sheet'!E$42)</f>
        <v>0.72756248407102053</v>
      </c>
      <c r="F37" s="100">
        <f>'[7]Balance Sheet'!F$64/('[7]Balance Sheet'!F$64+'[7]Balance Sheet'!F$42)</f>
        <v>0.38119290352644586</v>
      </c>
      <c r="G37" s="100">
        <f>'[7]Balance Sheet'!G$64/('[7]Balance Sheet'!G$64+'[7]Balance Sheet'!G$42)</f>
        <v>0.33438837737125876</v>
      </c>
      <c r="H37" s="100">
        <f>'[7]Balance Sheet'!H$64/('[7]Balance Sheet'!H$64+'[7]Balance Sheet'!H$42)</f>
        <v>0.84615508807553375</v>
      </c>
      <c r="I37" s="100">
        <f>'[7]Balance Sheet'!I$64/('[7]Balance Sheet'!I$64+'[7]Balance Sheet'!I$42)</f>
        <v>0.52028970046269818</v>
      </c>
      <c r="J37" s="100">
        <f>'[7]Balance Sheet'!J$64/('[7]Balance Sheet'!J$64+'[7]Balance Sheet'!J$42)</f>
        <v>0.14457229614226871</v>
      </c>
      <c r="K37" s="100">
        <f>'[7]Balance Sheet'!K$64/('[7]Balance Sheet'!K$64+'[7]Balance Sheet'!K$42)</f>
        <v>0.15079880285652408</v>
      </c>
      <c r="L37" s="100">
        <f>'[7]Balance Sheet'!L$64/('[7]Balance Sheet'!L$64+'[7]Balance Sheet'!L$42)</f>
        <v>3.4234971119670673E-3</v>
      </c>
      <c r="M37" s="100">
        <f>'[7]Balance Sheet'!M$64/('[7]Balance Sheet'!M$64+'[7]Balance Sheet'!M$42)</f>
        <v>3.5083745884283463E-3</v>
      </c>
      <c r="N37" s="100">
        <f>'[7]Balance Sheet'!N$64/('[7]Balance Sheet'!N$64+'[7]Balance Sheet'!N$42)</f>
        <v>0.44845098215070645</v>
      </c>
      <c r="O37" s="100">
        <f>'[7]Balance Sheet'!O$64/('[7]Balance Sheet'!O$64+'[7]Balance Sheet'!O$42)</f>
        <v>0.47769628074217779</v>
      </c>
      <c r="P37" s="2">
        <f t="shared" si="10"/>
        <v>0.32495122270129301</v>
      </c>
      <c r="Q37" s="2">
        <f t="shared" si="10"/>
        <v>0.31257347966756277</v>
      </c>
    </row>
    <row r="38" spans="1:17" ht="43.2">
      <c r="A38" s="94" t="s">
        <v>160</v>
      </c>
      <c r="B38" s="93">
        <f>B$4/'[7]P and L'!B$14</f>
        <v>1.8565052294983753</v>
      </c>
      <c r="C38" s="93">
        <f>C$4/'[7]P and L'!C$14</f>
        <v>3.2141890367696724</v>
      </c>
      <c r="D38" s="93">
        <f>D$4/'[7]P and L'!D$14</f>
        <v>4.3988857501569401</v>
      </c>
      <c r="E38" s="93">
        <f>E$4/'[7]P and L'!E$14</f>
        <v>5.1566486348990814</v>
      </c>
      <c r="F38" s="93">
        <f>F$4/'[7]P and L'!F$14</f>
        <v>2.2821081719698042</v>
      </c>
      <c r="G38" s="93">
        <f>G$4/'[7]P and L'!G$14</f>
        <v>2.7664958627143932</v>
      </c>
      <c r="H38" s="93">
        <f>H$4/'[7]P and L'!H$14</f>
        <v>0.31658967256666454</v>
      </c>
      <c r="I38" s="93">
        <f>I$4/'[7]P and L'!I$14</f>
        <v>0.93093661661691784</v>
      </c>
      <c r="J38" s="93">
        <f>J$4/'[7]P and L'!J$14</f>
        <v>13.171512634129456</v>
      </c>
      <c r="K38" s="93">
        <f>K$4/'[7]P and L'!K$14</f>
        <v>5.5783588747249242</v>
      </c>
      <c r="L38" s="93">
        <f>L$4/'[7]P and L'!L$14</f>
        <v>69.448715645769653</v>
      </c>
      <c r="M38" s="93">
        <f>M$4/'[7]P and L'!M$14</f>
        <v>92.829450281711559</v>
      </c>
      <c r="N38" s="93">
        <f>N$4/'[7]P and L'!N$14</f>
        <v>1.2339177480891681</v>
      </c>
      <c r="O38" s="93">
        <f>O$4/'[7]P and L'!O$14</f>
        <v>1.534467267165154</v>
      </c>
      <c r="P38" s="2">
        <f t="shared" si="10"/>
        <v>11.588529356522507</v>
      </c>
      <c r="Q38" s="2">
        <f t="shared" si="10"/>
        <v>14.001318321825213</v>
      </c>
    </row>
    <row r="39" spans="1:17" ht="28.8">
      <c r="A39" s="102" t="s">
        <v>159</v>
      </c>
      <c r="P39" s="2"/>
      <c r="Q39" s="2"/>
    </row>
    <row r="40" spans="1:17" s="99" customFormat="1" ht="28.8">
      <c r="A40" s="101" t="s">
        <v>158</v>
      </c>
      <c r="B40" s="100">
        <f>B$3/'[7]Balance Sheet'!B$35</f>
        <v>1.3837810145287977E-2</v>
      </c>
      <c r="C40" s="100">
        <f>C$3/'[7]Balance Sheet'!C$35</f>
        <v>3.9346970336004344E-2</v>
      </c>
      <c r="D40" s="100">
        <f>D$3/'[7]Balance Sheet'!D$35</f>
        <v>2.9473127956624278E-2</v>
      </c>
      <c r="E40" s="100">
        <f>E$3/'[7]Balance Sheet'!E$35</f>
        <v>8.1800348029511007E-3</v>
      </c>
      <c r="F40" s="100">
        <f>F$3/'[7]Balance Sheet'!F$35</f>
        <v>2.852367219026828E-2</v>
      </c>
      <c r="G40" s="100">
        <f>G$3/'[7]Balance Sheet'!G$35</f>
        <v>3.4208097430298387E-2</v>
      </c>
      <c r="H40" s="100">
        <f>H$3/'[7]Balance Sheet'!H$35</f>
        <v>-2.499329251342234E-2</v>
      </c>
      <c r="I40" s="100">
        <f>I$3/'[7]Balance Sheet'!I$35</f>
        <v>-2.1424885508749152E-3</v>
      </c>
      <c r="J40" s="100">
        <f>J$3/'[7]Balance Sheet'!J$35</f>
        <v>4.8053303434503675E-2</v>
      </c>
      <c r="K40" s="100">
        <f>K$3/'[7]Balance Sheet'!K$35</f>
        <v>3.5033810330525335E-2</v>
      </c>
      <c r="L40" s="100">
        <f>L$3/'[7]Balance Sheet'!L$35</f>
        <v>4.3780454753997458E-2</v>
      </c>
      <c r="M40" s="100">
        <f>M$3/'[7]Balance Sheet'!M$35</f>
        <v>6.3998444717041539E-2</v>
      </c>
      <c r="N40" s="100">
        <f>N$3/'[7]Balance Sheet'!N$35</f>
        <v>5.9204946112417708E-3</v>
      </c>
      <c r="O40" s="100">
        <f>O$3/'[7]Balance Sheet'!O$35</f>
        <v>2.0339846455783891E-2</v>
      </c>
      <c r="P40" s="2">
        <f t="shared" ref="P40:Q46" si="11">AVERAGE(B40,D40,F40,H40,J40,L40,N40,)</f>
        <v>1.8074446322312636E-2</v>
      </c>
      <c r="Q40" s="2">
        <f t="shared" si="11"/>
        <v>2.4870589440216209E-2</v>
      </c>
    </row>
    <row r="41" spans="1:17" s="99" customFormat="1" ht="28.8">
      <c r="A41" s="101" t="s">
        <v>155</v>
      </c>
      <c r="B41" s="100">
        <f>B$3/'[7]Balance Sheet'!B$42</f>
        <v>2.3710553104852591E-2</v>
      </c>
      <c r="C41" s="100">
        <f>C$3/'[7]Balance Sheet'!C$42</f>
        <v>6.9127459220253221E-2</v>
      </c>
      <c r="D41" s="100">
        <f>D$3/'[7]Balance Sheet'!D$42</f>
        <v>0.17971556260116014</v>
      </c>
      <c r="E41" s="100">
        <f>E$3/'[7]Balance Sheet'!E$42</f>
        <v>0.19158164066017316</v>
      </c>
      <c r="F41" s="100">
        <f>F$3/'[7]Balance Sheet'!F$42</f>
        <v>5.6903832333739815E-2</v>
      </c>
      <c r="G41" s="100">
        <f>G$3/'[7]Balance Sheet'!G$42</f>
        <v>6.2045026869029483E-2</v>
      </c>
      <c r="H41" s="100">
        <f>H$3/'[7]Balance Sheet'!H$42</f>
        <v>-0.18743466274878587</v>
      </c>
      <c r="I41" s="100">
        <f>I$3/'[7]Balance Sheet'!I$42</f>
        <v>-5.3505872878127983E-3</v>
      </c>
      <c r="J41" s="100">
        <f>J$3/'[7]Balance Sheet'!J$42</f>
        <v>6.6299371575234009E-2</v>
      </c>
      <c r="K41" s="100">
        <f>K$3/'[7]Balance Sheet'!K$42</f>
        <v>4.833110589157532E-2</v>
      </c>
      <c r="L41" s="100">
        <f>L$3/'[7]Balance Sheet'!L$42</f>
        <v>9.5986302374362412E-2</v>
      </c>
      <c r="M41" s="100">
        <f>M$3/'[7]Balance Sheet'!M$42</f>
        <v>0.12987542067843361</v>
      </c>
      <c r="N41" s="100">
        <f>N$3/'[7]Balance Sheet'!N$42</f>
        <v>1.1703882508254238E-2</v>
      </c>
      <c r="O41" s="100">
        <f>O$3/'[7]Balance Sheet'!O$42</f>
        <v>4.3129166417407744E-2</v>
      </c>
      <c r="P41" s="2">
        <f t="shared" si="11"/>
        <v>3.0860605218602167E-2</v>
      </c>
      <c r="Q41" s="2">
        <f t="shared" si="11"/>
        <v>6.7342404056132468E-2</v>
      </c>
    </row>
    <row r="42" spans="1:17">
      <c r="A42" s="94" t="s">
        <v>157</v>
      </c>
      <c r="B42" s="93">
        <f>'[7]P and L'!B$17/'[7]P and L'!B$4</f>
        <v>1.132901097390557E-2</v>
      </c>
      <c r="C42" s="93">
        <f>'[7]P and L'!C$17/'[7]P and L'!C$4</f>
        <v>2.8754157730489047E-2</v>
      </c>
      <c r="D42" s="93">
        <f>'[7]P and L'!D$17/'[7]P and L'!D$4</f>
        <v>5.7306639849455394E-2</v>
      </c>
      <c r="E42" s="93">
        <f>'[7]P and L'!E$17/'[7]P and L'!E$4</f>
        <v>2.6606564663695126E-2</v>
      </c>
      <c r="F42" s="93">
        <f>'[7]P and L'!F$17/'[7]P and L'!F$4</f>
        <v>7.2877609189787862E-2</v>
      </c>
      <c r="G42" s="93">
        <f>'[7]P and L'!G$17/'[7]P and L'!G$4</f>
        <v>7.672814419331811E-2</v>
      </c>
      <c r="H42" s="93">
        <f>'[7]P and L'!H$17/'[7]P and L'!H$4</f>
        <v>-0.11674357391832271</v>
      </c>
      <c r="I42" s="93">
        <f>'[7]P and L'!I$17/'[7]P and L'!I$4</f>
        <v>-7.7261027195841478E-3</v>
      </c>
      <c r="J42" s="93">
        <f>'[7]P and L'!J$17/'[7]P and L'!J$4</f>
        <v>0.12244994968230108</v>
      </c>
      <c r="K42" s="93">
        <f>'[7]P and L'!K$17/'[7]P and L'!K$4</f>
        <v>8.2259418385041E-2</v>
      </c>
      <c r="L42" s="93">
        <f>'[7]P and L'!L$17/'[7]P and L'!L$4</f>
        <v>8.4422116075384482E-2</v>
      </c>
      <c r="M42" s="93">
        <f>'[7]P and L'!M$17/'[7]P and L'!M$4</f>
        <v>0.11911828867474437</v>
      </c>
      <c r="N42" s="93">
        <f>'[7]P and L'!N$17/'[7]P and L'!N$4</f>
        <v>3.0053184075132997E-2</v>
      </c>
      <c r="O42" s="93">
        <f>'[7]P and L'!O$17/'[7]P and L'!O$4</f>
        <v>0.10259902436041672</v>
      </c>
      <c r="P42" s="2">
        <f t="shared" si="11"/>
        <v>3.2711866990955588E-2</v>
      </c>
      <c r="Q42" s="2">
        <f t="shared" si="11"/>
        <v>5.3542436911015033E-2</v>
      </c>
    </row>
    <row r="43" spans="1:17" ht="28.8">
      <c r="A43" s="94" t="s">
        <v>156</v>
      </c>
      <c r="B43" s="93">
        <f>'[7]Balance Sheet'!B$35/'[7]Balance Sheet'!B$40</f>
        <v>1.7134771679855709</v>
      </c>
      <c r="C43" s="93">
        <f>'[7]Balance Sheet'!C$35/'[7]Balance Sheet'!C$40</f>
        <v>1.7568686643453795</v>
      </c>
      <c r="D43" s="93">
        <f>'[7]Balance Sheet'!D$35/'[7]Balance Sheet'!D$40</f>
        <v>6.3320659683837173</v>
      </c>
      <c r="E43" s="93">
        <f>'[7]Balance Sheet'!E$35/'[7]Balance Sheet'!E$40</f>
        <v>25.86404349289916</v>
      </c>
      <c r="F43" s="93">
        <f>'[7]Balance Sheet'!F$35/'[7]Balance Sheet'!F$40</f>
        <v>1.9949686686258541</v>
      </c>
      <c r="G43" s="93">
        <f>'[7]Balance Sheet'!G$35/'[7]Balance Sheet'!G$40</f>
        <v>1.8137526354820219</v>
      </c>
      <c r="H43" s="93">
        <f>'[7]Balance Sheet'!H$35/'[7]Balance Sheet'!H$40</f>
        <v>7.4993985945679782</v>
      </c>
      <c r="I43" s="93">
        <f>'[7]Balance Sheet'!I$35/'[7]Balance Sheet'!I$40</f>
        <v>2.5022485857597534</v>
      </c>
      <c r="J43" s="93">
        <f>'[7]Balance Sheet'!J$35/'[7]Balance Sheet'!J$40</f>
        <v>1.413277128561478</v>
      </c>
      <c r="K43" s="93">
        <f>'[7]Balance Sheet'!K$35/'[7]Balance Sheet'!K$40</f>
        <v>1.4203967135632662</v>
      </c>
      <c r="L43" s="93">
        <f>'[7]Balance Sheet'!L$35/'[7]Balance Sheet'!L$40</f>
        <v>2.1695764761314709</v>
      </c>
      <c r="M43" s="93">
        <f>'[7]Balance Sheet'!M$35/'[7]Balance Sheet'!M$40</f>
        <v>1.9989828818809359</v>
      </c>
      <c r="N43" s="93">
        <f>'[7]Balance Sheet'!N$35/'[7]Balance Sheet'!N$40</f>
        <v>3.0167506237104091</v>
      </c>
      <c r="O43" s="93">
        <f>'[7]Balance Sheet'!O$35/'[7]Balance Sheet'!O$40</f>
        <v>3.1677306185579623</v>
      </c>
      <c r="P43" s="2">
        <f t="shared" si="11"/>
        <v>3.0174393284958096</v>
      </c>
      <c r="Q43" s="2">
        <f t="shared" si="11"/>
        <v>4.8155029490610595</v>
      </c>
    </row>
    <row r="44" spans="1:17" s="99" customFormat="1" ht="28.8">
      <c r="A44" s="101" t="s">
        <v>155</v>
      </c>
      <c r="B44" s="100">
        <f t="shared" ref="B44:O44" si="12">B42*B43*B32</f>
        <v>2.371077173887004E-2</v>
      </c>
      <c r="C44" s="100">
        <f t="shared" si="12"/>
        <v>6.9127459220253207E-2</v>
      </c>
      <c r="D44" s="100">
        <f t="shared" si="12"/>
        <v>0.18662579051595929</v>
      </c>
      <c r="E44" s="100">
        <f t="shared" si="12"/>
        <v>0.21156877591695608</v>
      </c>
      <c r="F44" s="100">
        <f t="shared" si="12"/>
        <v>5.6903832333739815E-2</v>
      </c>
      <c r="G44" s="100">
        <f t="shared" si="12"/>
        <v>6.2045026869029483E-2</v>
      </c>
      <c r="H44" s="100">
        <f t="shared" si="12"/>
        <v>-0.18743466274878587</v>
      </c>
      <c r="I44" s="100">
        <f t="shared" si="12"/>
        <v>-5.3610389464332194E-3</v>
      </c>
      <c r="J44" s="100">
        <f t="shared" si="12"/>
        <v>6.7912634695808771E-2</v>
      </c>
      <c r="K44" s="100">
        <f t="shared" si="12"/>
        <v>4.9761909057076996E-2</v>
      </c>
      <c r="L44" s="100">
        <f t="shared" si="12"/>
        <v>9.4985044748611094E-2</v>
      </c>
      <c r="M44" s="100">
        <f t="shared" si="12"/>
        <v>0.12793179545636946</v>
      </c>
      <c r="N44" s="100">
        <f t="shared" si="12"/>
        <v>1.7860655811137726E-2</v>
      </c>
      <c r="O44" s="100">
        <f t="shared" si="12"/>
        <v>6.4431154394754289E-2</v>
      </c>
      <c r="P44" s="2">
        <f t="shared" si="11"/>
        <v>3.2570508386917607E-2</v>
      </c>
      <c r="Q44" s="2">
        <f t="shared" si="11"/>
        <v>7.2438135246000804E-2</v>
      </c>
    </row>
    <row r="45" spans="1:17" s="99" customFormat="1" ht="28.8">
      <c r="A45" s="101" t="s">
        <v>154</v>
      </c>
      <c r="B45" s="100">
        <f>B$5/('[7]Balance Sheet'!B$64+'[7]Balance Sheet'!B$42)</f>
        <v>3.8397998255638666E-2</v>
      </c>
      <c r="C45" s="100">
        <f>C$5/('[7]Balance Sheet'!C$64+'[7]Balance Sheet'!C$42)</f>
        <v>6.8492681171306163E-2</v>
      </c>
      <c r="D45" s="100">
        <f>D$5/('[7]Balance Sheet'!D$64+'[7]Balance Sheet'!D$42)</f>
        <v>0.23509889965565461</v>
      </c>
      <c r="E45" s="100">
        <f>E$5/('[7]Balance Sheet'!E$64+'[7]Balance Sheet'!E$42)</f>
        <v>0.14028070785916236</v>
      </c>
      <c r="F45" s="100">
        <f>F$5/('[7]Balance Sheet'!F$64+'[7]Balance Sheet'!F$42)</f>
        <v>0.11396615362953383</v>
      </c>
      <c r="G45" s="100">
        <f>G$5/('[7]Balance Sheet'!G$64+'[7]Balance Sheet'!G$42)</f>
        <v>0.12489277720044965</v>
      </c>
      <c r="H45" s="100">
        <f>H$5/('[7]Balance Sheet'!H$64+'[7]Balance Sheet'!H$42)</f>
        <v>4.7000526264315435E-3</v>
      </c>
      <c r="I45" s="100">
        <f>I$5/('[7]Balance Sheet'!I$64+'[7]Balance Sheet'!I$42)</f>
        <v>7.9623541511090565E-2</v>
      </c>
      <c r="J45" s="100">
        <f>J$5/('[7]Balance Sheet'!J$64+'[7]Balance Sheet'!J$42)</f>
        <v>0.11296340124849254</v>
      </c>
      <c r="K45" s="100">
        <f>K$5/('[7]Balance Sheet'!K$64+'[7]Balance Sheet'!K$42)</f>
        <v>0.10011776356140814</v>
      </c>
      <c r="L45" s="100">
        <f>L$5/('[7]Balance Sheet'!L$64+'[7]Balance Sheet'!L$42)</f>
        <v>0.15591052177281234</v>
      </c>
      <c r="M45" s="100">
        <f>M$5/('[7]Balance Sheet'!M$64+'[7]Balance Sheet'!M$42)</f>
        <v>0.24072534896789249</v>
      </c>
      <c r="N45" s="100">
        <f>N$5/('[7]Balance Sheet'!N$64+'[7]Balance Sheet'!N$42)</f>
        <v>4.4567657018632433E-2</v>
      </c>
      <c r="O45" s="100">
        <f>O$5/('[7]Balance Sheet'!O$64+'[7]Balance Sheet'!O$42)</f>
        <v>4.7488225924796429E-2</v>
      </c>
      <c r="P45" s="2">
        <f t="shared" si="11"/>
        <v>8.8200585525899489E-2</v>
      </c>
      <c r="Q45" s="2">
        <f t="shared" si="11"/>
        <v>0.10020263077451322</v>
      </c>
    </row>
    <row r="46" spans="1:17" ht="43.2">
      <c r="A46" s="94" t="s">
        <v>153</v>
      </c>
      <c r="B46" s="100"/>
      <c r="C46" s="103">
        <f>C$5/('[7]Balance Sheet'!C$64+('[7]Balance Sheet'!C$42*'[7]Stock Price'!C$2))</f>
        <v>3.3979083176212459E-4</v>
      </c>
      <c r="D46" s="100"/>
      <c r="E46" s="103">
        <f>E$5/('[7]Balance Sheet'!E$64+('[7]Balance Sheet'!E$42*'[7]Stock Price'!E$2))</f>
        <v>2.1235965441218233E-3</v>
      </c>
      <c r="F46" s="100"/>
      <c r="G46" s="103">
        <f>G$5/('[7]Balance Sheet'!G$64+('[7]Balance Sheet'!G$42*'[7]Stock Price'!G$2))</f>
        <v>8.1016487947118809E-4</v>
      </c>
      <c r="H46" s="100"/>
      <c r="I46" s="103">
        <f>I$5/('[7]Balance Sheet'!I$64+('[7]Balance Sheet'!I$42*'[7]Stock Price'!I$2))</f>
        <v>4.8273954922702084E-4</v>
      </c>
      <c r="J46" s="100"/>
      <c r="K46" s="103">
        <f>K$5/('[7]Balance Sheet'!K$64+('[7]Balance Sheet'!K$42*'[7]Stock Price'!K$2))</f>
        <v>5.8057717073783043E-4</v>
      </c>
      <c r="L46" s="100"/>
      <c r="M46" s="103">
        <f>M$5/('[7]Balance Sheet'!M$64+('[7]Balance Sheet'!M$42*'[7]Stock Price'!M$2))</f>
        <v>8.6689810162916456E-4</v>
      </c>
      <c r="N46" s="100"/>
      <c r="O46" s="103">
        <f>O$5/('[7]Balance Sheet'!O$64+('[7]Balance Sheet'!O$42*'[7]Stock Price'!O$2))</f>
        <v>1.1236626962163353E-3</v>
      </c>
      <c r="P46" s="2">
        <f t="shared" si="11"/>
        <v>0</v>
      </c>
      <c r="Q46" s="103">
        <f t="shared" si="11"/>
        <v>7.909287216456859E-4</v>
      </c>
    </row>
    <row r="47" spans="1:17" ht="43.2">
      <c r="A47" s="102" t="s">
        <v>152</v>
      </c>
      <c r="P47" s="2"/>
      <c r="Q47" s="2"/>
    </row>
    <row r="48" spans="1:17" ht="28.8">
      <c r="A48" s="94" t="s">
        <v>151</v>
      </c>
      <c r="B48" s="95">
        <f>'[7]Cash Flow Statemenyts'!B$8/B$3</f>
        <v>2.4254491716574433</v>
      </c>
      <c r="C48" s="95">
        <f>'[7]Cash Flow Statemenyts'!C$8/C$3</f>
        <v>-0.68984169520123362</v>
      </c>
      <c r="D48" s="95">
        <f>'[7]Cash Flow Statemenyts'!D$8/D$3</f>
        <v>2.4688657268806042</v>
      </c>
      <c r="E48" s="95">
        <f>'[7]Cash Flow Statemenyts'!E$8/E$3</f>
        <v>-2.5616394352722849</v>
      </c>
      <c r="F48" s="95">
        <f>'[7]Cash Flow Statemenyts'!F$8/F$3</f>
        <v>3.158090160422713</v>
      </c>
      <c r="G48" s="95">
        <f>'[7]Cash Flow Statemenyts'!G$8/G$3</f>
        <v>1.7442253590642118</v>
      </c>
      <c r="H48" s="95">
        <f>'[7]Cash Flow Statemenyts'!H$8/H$3</f>
        <v>-2.023181695827728</v>
      </c>
      <c r="I48" s="95">
        <f>'[7]Cash Flow Statemenyts'!I$8/I$3</f>
        <v>-43.265504130064009</v>
      </c>
      <c r="J48" s="95">
        <f>'[7]Cash Flow Statemenyts'!J$8/J$3</f>
        <v>-0.18770239761362309</v>
      </c>
      <c r="K48" s="95">
        <f>'[7]Cash Flow Statemenyts'!K$8/K$3</f>
        <v>0.89537249004746422</v>
      </c>
      <c r="L48" s="95">
        <f>'[7]Cash Flow Statemenyts'!L$8/L$3</f>
        <v>-2.6529179013720306E-2</v>
      </c>
      <c r="M48" s="95">
        <f>'[7]Cash Flow Statemenyts'!M$8/M$3</f>
        <v>-0.56518867924528327</v>
      </c>
      <c r="N48" s="95">
        <f>'[7]Cash Flow Statemenyts'!N$8/N$3</f>
        <v>-8.8249024296393888</v>
      </c>
      <c r="O48" s="95">
        <f>'[7]Cash Flow Statemenyts'!O$8/O$3</f>
        <v>-1.6554697865154981</v>
      </c>
      <c r="P48" s="2">
        <f t="shared" ref="P48:Q50" si="13">AVERAGE(B48,D48,F48,H48,J48,L48,N48,)</f>
        <v>-0.37623883039171246</v>
      </c>
      <c r="Q48" s="2">
        <f t="shared" si="13"/>
        <v>-5.7622557346483285</v>
      </c>
    </row>
    <row r="49" spans="1:17" s="100" customFormat="1">
      <c r="A49" s="100" t="s">
        <v>150</v>
      </c>
      <c r="B49" s="100">
        <f>1-(-1*'[7]Cash Flow Statemenyts'!B$10/B$3)</f>
        <v>1</v>
      </c>
      <c r="C49" s="100">
        <f>1-(-1*'[7]Cash Flow Statemenyts'!C$10/C$3)</f>
        <v>1</v>
      </c>
      <c r="D49" s="100">
        <f>1-(-1*'[7]Cash Flow Statemenyts'!D$10/D$3)</f>
        <v>0.6107532372458957</v>
      </c>
      <c r="E49" s="100">
        <f>1-(-1*'[7]Cash Flow Statemenyts'!E$10/E$3)</f>
        <v>-7.5231273360843787E-2</v>
      </c>
      <c r="F49" s="100">
        <f>1-(-1*'[7]Cash Flow Statemenyts'!F$10/F$3)</f>
        <v>0.85994668443852063</v>
      </c>
      <c r="G49" s="100">
        <f>1-(-1*'[7]Cash Flow Statemenyts'!G$10/G$3)</f>
        <v>0.81823042627050324</v>
      </c>
      <c r="H49" s="100">
        <f>1-(-1*'[7]Cash Flow Statemenyts'!H$10/H$3)</f>
        <v>1</v>
      </c>
      <c r="I49" s="100">
        <f>1-(-1*'[7]Cash Flow Statemenyts'!I$10/I$3)</f>
        <v>1</v>
      </c>
      <c r="J49" s="100">
        <f>1-(-1*'[7]Cash Flow Statemenyts'!J$10/J$3)</f>
        <v>0.74114047543646366</v>
      </c>
      <c r="K49" s="100">
        <f>1-(-1*'[7]Cash Flow Statemenyts'!K$10/K$3)</f>
        <v>0.64541444846499307</v>
      </c>
      <c r="L49" s="100">
        <f>1-(-1*'[7]Cash Flow Statemenyts'!L$10/L$3)</f>
        <v>0.67783354173446808</v>
      </c>
      <c r="M49" s="100">
        <f>1-(-1*'[7]Cash Flow Statemenyts'!M$10/M$3)</f>
        <v>0.54589858490566012</v>
      </c>
      <c r="N49" s="100">
        <f>1-(-1*'[7]Cash Flow Statemenyts'!N$10/N$3)</f>
        <v>1</v>
      </c>
      <c r="O49" s="100">
        <f>1-(-1*'[7]Cash Flow Statemenyts'!O$10/O$3)</f>
        <v>1</v>
      </c>
      <c r="P49" s="2">
        <f t="shared" si="13"/>
        <v>0.73620924235691865</v>
      </c>
      <c r="Q49" s="2">
        <f t="shared" si="13"/>
        <v>0.61678902328503904</v>
      </c>
    </row>
    <row r="50" spans="1:17" s="99" customFormat="1" ht="43.2">
      <c r="A50" s="101" t="s">
        <v>149</v>
      </c>
      <c r="B50" s="100">
        <f t="shared" ref="B50:O50" si="14">(B40*B49)/(1-(B40*B49))</f>
        <v>1.4031982048841941E-2</v>
      </c>
      <c r="C50" s="100">
        <f t="shared" si="14"/>
        <v>4.095856580993306E-2</v>
      </c>
      <c r="D50" s="100">
        <f t="shared" si="14"/>
        <v>1.8330777116338633E-2</v>
      </c>
      <c r="E50" s="100">
        <f t="shared" si="14"/>
        <v>-6.1501595696507002E-4</v>
      </c>
      <c r="F50" s="100">
        <f t="shared" si="14"/>
        <v>2.5145630405766312E-2</v>
      </c>
      <c r="G50" s="100">
        <f t="shared" si="14"/>
        <v>2.8796112384421393E-2</v>
      </c>
      <c r="H50" s="100">
        <f t="shared" si="14"/>
        <v>-2.4383859578373825E-2</v>
      </c>
      <c r="I50" s="100">
        <f t="shared" si="14"/>
        <v>-2.1379081072323471E-3</v>
      </c>
      <c r="J50" s="100">
        <f t="shared" si="14"/>
        <v>3.6929463221080719E-2</v>
      </c>
      <c r="K50" s="100">
        <f t="shared" si="14"/>
        <v>2.3134427485545023E-2</v>
      </c>
      <c r="L50" s="100">
        <f t="shared" si="14"/>
        <v>3.0583450934445765E-2</v>
      </c>
      <c r="M50" s="100">
        <f t="shared" si="14"/>
        <v>3.6201417019878897E-2</v>
      </c>
      <c r="N50" s="100">
        <f t="shared" si="14"/>
        <v>5.9557556303571737E-3</v>
      </c>
      <c r="O50" s="100">
        <f t="shared" si="14"/>
        <v>2.0762145303346639E-2</v>
      </c>
      <c r="P50" s="2">
        <f t="shared" si="13"/>
        <v>1.3324149972307091E-2</v>
      </c>
      <c r="Q50" s="2">
        <f t="shared" si="13"/>
        <v>1.8387467992365947E-2</v>
      </c>
    </row>
    <row r="51" spans="1:17">
      <c r="A51" s="94"/>
      <c r="P51" s="2"/>
      <c r="Q51" s="2"/>
    </row>
    <row r="52" spans="1:17">
      <c r="A52" s="94"/>
      <c r="P52" s="2"/>
      <c r="Q52" s="2"/>
    </row>
    <row r="53" spans="1:17">
      <c r="A53" s="94"/>
      <c r="P53" s="2"/>
      <c r="Q53" s="2"/>
    </row>
    <row r="54" spans="1:17">
      <c r="A54" s="94"/>
      <c r="P54" s="2"/>
      <c r="Q54" s="2"/>
    </row>
    <row r="55" spans="1:17">
      <c r="A55" s="94"/>
      <c r="P55" s="2"/>
      <c r="Q55" s="2"/>
    </row>
    <row r="56" spans="1:17" ht="43.2">
      <c r="A56" s="94" t="s">
        <v>148</v>
      </c>
      <c r="C56" s="92">
        <f>C$7/(AVERAGE('[7]Balance Sheet'!B$26:C$26))</f>
        <v>173.14465719579985</v>
      </c>
      <c r="E56" s="92">
        <f>E$7/(AVERAGE('[7]Balance Sheet'!D$26:E$26))</f>
        <v>2.0473208617700136</v>
      </c>
      <c r="G56" s="92">
        <f>G$7/(AVERAGE('[7]Balance Sheet'!F$26:G$26))</f>
        <v>16.677391086959382</v>
      </c>
      <c r="I56" s="92">
        <f>I$7/(AVERAGE('[7]Balance Sheet'!H$26:I$26))</f>
        <v>19.196176993903801</v>
      </c>
      <c r="K56" s="92">
        <f>K$7/(AVERAGE('[7]Balance Sheet'!J$26:K$26))</f>
        <v>7.6754703865244167</v>
      </c>
      <c r="M56" s="92">
        <f>M$7/(AVERAGE('[7]Balance Sheet'!L$26:M$26))</f>
        <v>3.5718957658907038</v>
      </c>
      <c r="O56" s="92">
        <f>O$7/(AVERAGE('[7]Balance Sheet'!N$26:O$26))</f>
        <v>8.0253331863134196</v>
      </c>
      <c r="P56" s="2">
        <f>AVERAGE(B56,D56,F56,H56,J56,L56,N56,)</f>
        <v>0</v>
      </c>
      <c r="Q56" s="95">
        <f>AVERAGE(C56,E56,G56,I56,K56,M56,O56,)</f>
        <v>28.792280684645196</v>
      </c>
    </row>
    <row r="57" spans="1:17" ht="43.2">
      <c r="A57" s="94" t="s">
        <v>147</v>
      </c>
      <c r="C57" s="92">
        <f>365/C$56</f>
        <v>2.1080638924205521</v>
      </c>
      <c r="E57" s="92">
        <f>365/E$56</f>
        <v>178.28177635255415</v>
      </c>
      <c r="G57" s="92">
        <f>365/G$56</f>
        <v>21.88591717354436</v>
      </c>
      <c r="I57" s="92">
        <f>365/I$56</f>
        <v>19.014202677747466</v>
      </c>
      <c r="K57" s="92">
        <f>365/K$56</f>
        <v>47.554088755370493</v>
      </c>
      <c r="M57" s="92">
        <f>365/M$56</f>
        <v>102.18663251193222</v>
      </c>
      <c r="O57" s="92">
        <f>365/O$56</f>
        <v>45.480977739650619</v>
      </c>
      <c r="P57" s="2">
        <f>AVERAGE(B57,D57,F57,H57,J57,L57,N57,)</f>
        <v>0</v>
      </c>
      <c r="Q57" s="95">
        <f>AVERAGE(C57,E57,G57,I57,K57,M57,O57,)</f>
        <v>52.063957387902477</v>
      </c>
    </row>
    <row r="58" spans="1:17" ht="28.8">
      <c r="A58" s="98" t="s">
        <v>146</v>
      </c>
      <c r="B58" s="97"/>
      <c r="C58" s="96">
        <f>'[7]Balance Sheet'!C$23/(AVERAGE('[7]Balance Sheet'!B$53:C$53))</f>
        <v>0.36247562878831419</v>
      </c>
      <c r="D58" s="97"/>
      <c r="E58" s="96">
        <f>'[7]Balance Sheet'!E$23/(AVERAGE('[7]Balance Sheet'!D$53:E$53))</f>
        <v>2.0843693752712862</v>
      </c>
      <c r="F58" s="97"/>
      <c r="G58" s="96">
        <f>'[7]Balance Sheet'!G$23/(AVERAGE('[7]Balance Sheet'!F$53:G$53))</f>
        <v>0.1422191088349726</v>
      </c>
      <c r="I58" s="96">
        <f>'[7]Balance Sheet'!I$23/(AVERAGE('[7]Balance Sheet'!H$53:I$53))</f>
        <v>3.8102321996338762</v>
      </c>
      <c r="K58" s="96">
        <f>'[7]Balance Sheet'!K$23/(AVERAGE('[7]Balance Sheet'!J$53:K$53))</f>
        <v>0.28297376866060187</v>
      </c>
      <c r="M58" s="96" t="e">
        <f>'[7]Balance Sheet'!M$23/(AVERAGE('[7]Balance Sheet'!L$53:M$53))</f>
        <v>#DIV/0!</v>
      </c>
      <c r="O58" s="96">
        <f>'[7]Balance Sheet'!O$23/(AVERAGE('[7]Balance Sheet'!N$53:O$53))</f>
        <v>6.7651453182881197E-2</v>
      </c>
      <c r="P58" s="2">
        <f>AVERAGE(B58,D58,F58,H58,J58,L58,N58,)</f>
        <v>0</v>
      </c>
      <c r="Q58" s="95">
        <f>AVERAGE(C58,E58,G58,I58,K58,O58,)</f>
        <v>0.964274504910276</v>
      </c>
    </row>
    <row r="59" spans="1:17" ht="28.8">
      <c r="A59" s="98" t="s">
        <v>145</v>
      </c>
      <c r="B59" s="97"/>
      <c r="C59" s="96">
        <f>365*C$58</f>
        <v>132.30360450773469</v>
      </c>
      <c r="D59" s="97"/>
      <c r="E59" s="96">
        <f>365*E$58</f>
        <v>760.79482197401944</v>
      </c>
      <c r="F59" s="97"/>
      <c r="G59" s="96">
        <f>365*G$58</f>
        <v>51.909974724765</v>
      </c>
      <c r="I59" s="96">
        <f>365*I$58</f>
        <v>1390.7347528663647</v>
      </c>
      <c r="K59" s="96">
        <f>365*K$58</f>
        <v>103.28542556111968</v>
      </c>
      <c r="M59" s="96" t="e">
        <f>365*M$58</f>
        <v>#DIV/0!</v>
      </c>
      <c r="O59" s="96">
        <f>365*O$58</f>
        <v>24.692780411751638</v>
      </c>
      <c r="P59" s="2">
        <f>AVERAGE(B59,D59,F59,H59,J59,L59,N59,)</f>
        <v>0</v>
      </c>
      <c r="Q59" s="95">
        <f>AVERAGE(C59,E59,G59,I59,K59,O59,)</f>
        <v>351.96019429225078</v>
      </c>
    </row>
    <row r="60" spans="1:17">
      <c r="A60" s="94"/>
    </row>
    <row r="61" spans="1:17">
      <c r="A61" s="94"/>
    </row>
    <row r="62" spans="1:17">
      <c r="A62" s="94"/>
    </row>
    <row r="63" spans="1:17">
      <c r="A63" s="94"/>
    </row>
    <row r="64" spans="1:17">
      <c r="A64" s="94"/>
    </row>
    <row r="65" spans="1:1">
      <c r="A65" s="94"/>
    </row>
  </sheetData>
  <mergeCells count="12">
    <mergeCell ref="AA1:AE1"/>
    <mergeCell ref="AF1:AJ1"/>
    <mergeCell ref="AK1:AO1"/>
    <mergeCell ref="B1:C1"/>
    <mergeCell ref="D1:E1"/>
    <mergeCell ref="Q1:U1"/>
    <mergeCell ref="V1:Z1"/>
    <mergeCell ref="F1:G1"/>
    <mergeCell ref="H1:I1"/>
    <mergeCell ref="J1:K1"/>
    <mergeCell ref="L1:M1"/>
    <mergeCell ref="N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670D-911B-487B-BEFF-70156686DC08}">
  <dimension ref="A1:J60"/>
  <sheetViews>
    <sheetView zoomScaleNormal="100" workbookViewId="0">
      <pane xSplit="1" ySplit="2" topLeftCell="B3" activePane="bottomRight" state="frozen"/>
      <selection pane="topRight" activeCell="B1" sqref="B1"/>
      <selection pane="bottomLeft" activeCell="A3" sqref="A3"/>
      <selection pane="bottomRight" activeCell="G9" sqref="G9"/>
    </sheetView>
  </sheetViews>
  <sheetFormatPr defaultColWidth="11" defaultRowHeight="14.4"/>
  <cols>
    <col min="1" max="1" width="11" style="94" customWidth="1"/>
    <col min="2" max="6" width="8.109375" customWidth="1"/>
    <col min="7" max="7" width="11" style="116"/>
    <col min="8" max="8" width="11" style="115"/>
  </cols>
  <sheetData>
    <row r="1" spans="1:9">
      <c r="G1" s="136" t="s">
        <v>194</v>
      </c>
      <c r="H1" s="135"/>
    </row>
    <row r="2" spans="1:9" s="133" customFormat="1">
      <c r="A2" s="114"/>
      <c r="B2" s="133">
        <v>2015</v>
      </c>
      <c r="C2" s="133">
        <v>2016</v>
      </c>
      <c r="D2" s="133">
        <v>2017</v>
      </c>
      <c r="E2" s="133">
        <v>2018</v>
      </c>
      <c r="F2" s="133">
        <v>2019</v>
      </c>
      <c r="G2" s="112">
        <v>2018</v>
      </c>
      <c r="H2" s="134">
        <v>2019</v>
      </c>
      <c r="I2" s="133" t="s">
        <v>210</v>
      </c>
    </row>
    <row r="3" spans="1:9">
      <c r="A3" s="94" t="s">
        <v>193</v>
      </c>
      <c r="B3">
        <f>[2]Sheet1!B$17</f>
        <v>358.74000000000041</v>
      </c>
      <c r="C3">
        <f>[2]Sheet1!C$17</f>
        <v>-37.929999999999751</v>
      </c>
      <c r="D3">
        <f>[2]Sheet1!D$17</f>
        <v>-83.160000000000025</v>
      </c>
      <c r="E3">
        <f>[2]Sheet1!E$17</f>
        <v>63.229999999999905</v>
      </c>
      <c r="F3">
        <f>[2]Sheet1!F$17</f>
        <v>244.59000000000015</v>
      </c>
      <c r="G3" s="117">
        <v>39.16075000000005</v>
      </c>
      <c r="H3" s="92">
        <v>45.536990999999908</v>
      </c>
      <c r="I3" t="s">
        <v>203</v>
      </c>
    </row>
    <row r="4" spans="1:9">
      <c r="A4" s="94" t="s">
        <v>192</v>
      </c>
      <c r="B4">
        <f>[2]Sheet1!B$13</f>
        <v>648.91000000000042</v>
      </c>
      <c r="C4">
        <f>[2]Sheet1!C$13</f>
        <v>348.10000000000025</v>
      </c>
      <c r="D4">
        <f>[2]Sheet1!D$13</f>
        <v>354.40999999999997</v>
      </c>
      <c r="E4">
        <f>[2]Sheet1!E$13</f>
        <v>453.32999999999993</v>
      </c>
      <c r="F4">
        <f>[2]Sheet1!F$13</f>
        <v>591.84000000000015</v>
      </c>
      <c r="G4" s="117">
        <v>109.00288750000006</v>
      </c>
      <c r="H4" s="92">
        <v>119.74567849999991</v>
      </c>
      <c r="I4" t="s">
        <v>203</v>
      </c>
    </row>
    <row r="5" spans="1:9">
      <c r="A5" s="94" t="s">
        <v>191</v>
      </c>
      <c r="B5">
        <f>B$4-[2]Sheet1!B$16</f>
        <v>534.3100000000004</v>
      </c>
      <c r="C5">
        <f>C$4-[2]Sheet1!C$16</f>
        <v>208.03000000000026</v>
      </c>
      <c r="D5">
        <f>D$4-[2]Sheet1!D$16</f>
        <v>240.66999999999996</v>
      </c>
      <c r="E5">
        <f>E$4-[2]Sheet1!E$16</f>
        <v>332.26999999999992</v>
      </c>
      <c r="F5">
        <f>F$4-[2]Sheet1!F$16</f>
        <v>434.72000000000014</v>
      </c>
      <c r="G5" s="117">
        <v>126.63762500000004</v>
      </c>
      <c r="H5" s="92">
        <v>135.90846599999992</v>
      </c>
      <c r="I5" t="s">
        <v>203</v>
      </c>
    </row>
    <row r="6" spans="1:9">
      <c r="A6" s="94" t="s">
        <v>190</v>
      </c>
      <c r="B6">
        <f>'[5]Profit and Loss'!B$8</f>
        <v>488.58000000000038</v>
      </c>
      <c r="C6">
        <f>'[5]Profit and Loss'!C$8</f>
        <v>616.57999999999993</v>
      </c>
      <c r="D6">
        <f>'[5]Profit and Loss'!D$8</f>
        <v>609.61999999999989</v>
      </c>
      <c r="E6">
        <f>'[5]Profit and Loss'!E$8</f>
        <v>670.35000000000036</v>
      </c>
      <c r="F6">
        <f>'[5]Profit and Loss'!F$8</f>
        <v>829.73</v>
      </c>
      <c r="G6" s="117">
        <v>179.52867500000002</v>
      </c>
      <c r="H6" s="92">
        <v>190.03504099999992</v>
      </c>
      <c r="I6" t="s">
        <v>203</v>
      </c>
    </row>
    <row r="7" spans="1:9">
      <c r="A7" s="94" t="s">
        <v>209</v>
      </c>
      <c r="B7">
        <f>'[2]IHCL P&amp;L'!B$5</f>
        <v>4188.6400000000003</v>
      </c>
      <c r="C7">
        <f>'[2]IHCL P&amp;L'!C$5</f>
        <v>4590.92</v>
      </c>
      <c r="D7">
        <f>'[2]IHCL P&amp;L'!D$5</f>
        <v>4010.26</v>
      </c>
      <c r="E7">
        <f>'[2]IHCL P&amp;L'!E$5</f>
        <v>4103.55</v>
      </c>
      <c r="F7">
        <f>'[2]IHCL P&amp;L'!F$5</f>
        <v>4512</v>
      </c>
      <c r="G7" s="117">
        <v>870.5577874999999</v>
      </c>
      <c r="H7" s="92">
        <v>957.61526249999986</v>
      </c>
    </row>
    <row r="8" spans="1:9">
      <c r="A8" s="94" t="s">
        <v>188</v>
      </c>
      <c r="B8">
        <f>'[2]IHCL P&amp;L'!B$9</f>
        <v>443.09</v>
      </c>
      <c r="C8">
        <f>'[2]IHCL P&amp;L'!C$9</f>
        <v>504.48</v>
      </c>
      <c r="D8">
        <f>'[2]IHCL P&amp;L'!D$9</f>
        <v>363.95</v>
      </c>
      <c r="E8">
        <f>'[2]IHCL P&amp;L'!E$9</f>
        <v>376.44</v>
      </c>
      <c r="F8">
        <f>'[2]IHCL P&amp;L'!F$9</f>
        <v>404.05</v>
      </c>
      <c r="G8" s="117">
        <v>142.71148750000003</v>
      </c>
      <c r="H8" s="92">
        <v>171.14123749999999</v>
      </c>
    </row>
    <row r="9" spans="1:9" s="130" customFormat="1" ht="28.8">
      <c r="A9" s="98" t="s">
        <v>187</v>
      </c>
      <c r="B9" s="130">
        <f>'[2]IHCL P&amp;L'!B$12</f>
        <v>291.29000000000002</v>
      </c>
      <c r="C9" s="130">
        <f>'[2]IHCL P&amp;L'!C$12</f>
        <v>316.67</v>
      </c>
      <c r="D9" s="130">
        <f>'[2]IHCL P&amp;L'!D$12</f>
        <v>299.37</v>
      </c>
      <c r="E9" s="130">
        <f>'[2]IHCL P&amp;L'!E$12</f>
        <v>301.2</v>
      </c>
      <c r="F9" s="130">
        <f>'[2]IHCL P&amp;L'!F$12</f>
        <v>327.85</v>
      </c>
      <c r="G9" s="132">
        <v>59.163912499999995</v>
      </c>
      <c r="H9" s="131">
        <v>63.400724999999994</v>
      </c>
      <c r="I9" s="130" t="s">
        <v>203</v>
      </c>
    </row>
    <row r="10" spans="1:9" s="130" customFormat="1" ht="28.8">
      <c r="A10" s="98" t="s">
        <v>186</v>
      </c>
      <c r="B10" s="130">
        <f>B5-B9</f>
        <v>243.02000000000038</v>
      </c>
      <c r="C10" s="130">
        <f>C5-C9</f>
        <v>-108.63999999999976</v>
      </c>
      <c r="D10" s="130">
        <f>D5-D9</f>
        <v>-58.700000000000045</v>
      </c>
      <c r="E10" s="130">
        <f>E5-E9</f>
        <v>31.069999999999936</v>
      </c>
      <c r="F10" s="130">
        <f>F5-F9</f>
        <v>106.87000000000012</v>
      </c>
      <c r="G10" s="132">
        <v>185.80153750000005</v>
      </c>
      <c r="H10" s="131">
        <v>199.30919099999991</v>
      </c>
      <c r="I10" s="130" t="s">
        <v>204</v>
      </c>
    </row>
    <row r="11" spans="1:9" s="83" customFormat="1" ht="28.8">
      <c r="A11" s="129" t="s">
        <v>185</v>
      </c>
      <c r="B11" s="83">
        <f>B3/B7</f>
        <v>8.5645937583559428E-2</v>
      </c>
      <c r="C11" s="83">
        <f>C3/C7</f>
        <v>-8.2619605656382052E-3</v>
      </c>
      <c r="D11" s="83">
        <f>D3/D7</f>
        <v>-2.0736810082139318E-2</v>
      </c>
      <c r="E11" s="83">
        <f>E3/E7</f>
        <v>1.540860961850103E-2</v>
      </c>
      <c r="F11" s="83">
        <f>F3/F7</f>
        <v>5.4208776595744711E-2</v>
      </c>
      <c r="G11" s="99">
        <v>3.2711866990955588E-2</v>
      </c>
      <c r="H11" s="99">
        <v>5.3542436911015033E-2</v>
      </c>
    </row>
    <row r="12" spans="1:9" ht="28.8">
      <c r="A12" s="102" t="s">
        <v>184</v>
      </c>
      <c r="G12" s="117"/>
      <c r="H12" s="92"/>
    </row>
    <row r="13" spans="1:9" ht="28.8">
      <c r="A13" s="110" t="s">
        <v>183</v>
      </c>
      <c r="G13" s="117"/>
      <c r="H13" s="92"/>
    </row>
    <row r="14" spans="1:9" ht="43.2">
      <c r="A14" s="128" t="s">
        <v>182</v>
      </c>
      <c r="B14" s="83"/>
      <c r="C14" s="83">
        <f>([2]Sheet1!C$4/[2]Sheet1!B$4)-1</f>
        <v>9.6040719660796858E-2</v>
      </c>
      <c r="D14" s="83">
        <f>([2]Sheet1!D$4/[2]Sheet1!C$4)-1</f>
        <v>-0.12648009549284234</v>
      </c>
      <c r="E14" s="83">
        <f>([2]Sheet1!E$4/[2]Sheet1!D$4)-1</f>
        <v>2.3262830838898241E-2</v>
      </c>
      <c r="F14" s="127">
        <f>([2]Sheet1!F$4/[2]Sheet1!E$4)-1</f>
        <v>9.9535767810797982E-2</v>
      </c>
      <c r="G14" s="117">
        <v>0</v>
      </c>
      <c r="H14" s="107">
        <v>0.1047913635310149</v>
      </c>
      <c r="I14" t="s">
        <v>205</v>
      </c>
    </row>
    <row r="15" spans="1:9" ht="57.6">
      <c r="A15" s="94" t="s">
        <v>181</v>
      </c>
      <c r="B15" s="83"/>
      <c r="C15" s="83">
        <f>(([2]Sheet1!C$4/[2]Sheet1!$B$4)^(1/([2]Sheet1!C$3-[2]Sheet1!$B$3)))-1</f>
        <v>9.6040719660796858E-2</v>
      </c>
      <c r="D15" s="83">
        <f>(([2]Sheet1!D$4/[2]Sheet1!$B$4)^(1/([2]Sheet1!D$3-[2]Sheet1!$B$3)))-1</f>
        <v>-2.1524969774876945E-2</v>
      </c>
      <c r="E15" s="83">
        <f>(([2]Sheet1!E$4/[2]Sheet1!$B$4)^(1/([2]Sheet1!E$3-[2]Sheet1!$B$3)))-1</f>
        <v>-6.8178675499093178E-3</v>
      </c>
      <c r="F15" s="83">
        <f>(([2]Sheet1!F$4/[2]Sheet1!$B$4)^(1/([2]Sheet1!F$3-[2]Sheet1!$B$3)))-1</f>
        <v>1.8764994326799123E-2</v>
      </c>
      <c r="G15" s="117"/>
      <c r="H15" s="92"/>
    </row>
    <row r="16" spans="1:9" ht="28.8">
      <c r="A16" s="94" t="s">
        <v>180</v>
      </c>
      <c r="B16" s="126">
        <f>[2]Sheet1!B$18</f>
        <v>3745.55</v>
      </c>
      <c r="C16" s="126">
        <f>[2]Sheet1!C$18</f>
        <v>4086.44</v>
      </c>
      <c r="D16" s="126">
        <f>[2]Sheet1!D$18</f>
        <v>3646.3100000000004</v>
      </c>
      <c r="E16" s="126">
        <f>[2]Sheet1!E$18</f>
        <v>3727.11</v>
      </c>
      <c r="F16" s="126">
        <f>[2]Sheet1!F$18</f>
        <v>4107.95</v>
      </c>
      <c r="G16" s="117">
        <v>727.84630000000004</v>
      </c>
      <c r="H16" s="92">
        <v>786.47402499999998</v>
      </c>
      <c r="I16" t="s">
        <v>203</v>
      </c>
    </row>
    <row r="17" spans="1:9" ht="43.2">
      <c r="A17" s="94" t="s">
        <v>179</v>
      </c>
      <c r="B17" s="83">
        <f>B$16/[2]Sheet1!B$4</f>
        <v>0.89421626112532948</v>
      </c>
      <c r="C17" s="83">
        <f>C$16/[2]Sheet1!C$4</f>
        <v>0.89011352844310077</v>
      </c>
      <c r="D17" s="83">
        <f>D$16/[2]Sheet1!D$4</f>
        <v>0.90924528584181574</v>
      </c>
      <c r="E17" s="83">
        <f>E$16/[2]Sheet1!E$4</f>
        <v>0.90826479511642355</v>
      </c>
      <c r="F17" s="83">
        <f>F$16/[2]Sheet1!F$4</f>
        <v>0.91044991134751774</v>
      </c>
      <c r="G17" s="123">
        <v>0.73237453836149369</v>
      </c>
      <c r="H17" s="107">
        <v>0.726491000781323</v>
      </c>
      <c r="I17" t="s">
        <v>203</v>
      </c>
    </row>
    <row r="18" spans="1:9" ht="28.8">
      <c r="A18" s="94" t="s">
        <v>178</v>
      </c>
      <c r="B18" s="83">
        <f>[2]Sheet1!B$6/[2]Sheet1!B$4</f>
        <v>0.34914912716299323</v>
      </c>
      <c r="C18" s="83">
        <f>[2]Sheet1!C$6/[2]Sheet1!C$4</f>
        <v>0.35062906781211611</v>
      </c>
      <c r="D18" s="83">
        <f>[2]Sheet1!D$6/[2]Sheet1!D$4</f>
        <v>0.34028965702971875</v>
      </c>
      <c r="E18" s="83">
        <f>[2]Sheet1!E$6/[2]Sheet1!E$4</f>
        <v>0.32815976410668807</v>
      </c>
      <c r="F18" s="83">
        <f>[2]Sheet1!F$6/[2]Sheet1!F$4</f>
        <v>0.32597296099290779</v>
      </c>
      <c r="G18" s="123">
        <v>0.21172588603704837</v>
      </c>
      <c r="H18" s="107">
        <v>0.19472129755267037</v>
      </c>
      <c r="I18" t="s">
        <v>205</v>
      </c>
    </row>
    <row r="19" spans="1:9" ht="43.2">
      <c r="A19" s="94" t="s">
        <v>177</v>
      </c>
      <c r="B19" s="83">
        <f>B$4/[2]Sheet1!B$4</f>
        <v>0.15492140647083549</v>
      </c>
      <c r="C19" s="83">
        <f>C$4/[2]Sheet1!C$4</f>
        <v>7.5823582201388878E-2</v>
      </c>
      <c r="D19" s="83">
        <f>D$4/[2]Sheet1!D$4</f>
        <v>8.8375816031878218E-2</v>
      </c>
      <c r="E19" s="83">
        <f>E$4/[2]Sheet1!E$4</f>
        <v>0.11047263954380961</v>
      </c>
      <c r="F19" s="83">
        <f>F$4/[2]Sheet1!F$4</f>
        <v>0.13117021276595747</v>
      </c>
      <c r="G19" s="123">
        <v>0.11618220571556701</v>
      </c>
      <c r="H19" s="107">
        <v>0.13714085676723639</v>
      </c>
      <c r="I19" t="s">
        <v>204</v>
      </c>
    </row>
    <row r="20" spans="1:9" ht="28.8">
      <c r="A20" s="94" t="s">
        <v>176</v>
      </c>
      <c r="B20" s="83">
        <f>B$3/[2]Sheet1!B$4</f>
        <v>8.5645937583559428E-2</v>
      </c>
      <c r="C20" s="83">
        <f>C$3/[2]Sheet1!C$4</f>
        <v>-8.2619605656382052E-3</v>
      </c>
      <c r="D20" s="83">
        <f>D$3/[2]Sheet1!D$4</f>
        <v>-2.0736810082139318E-2</v>
      </c>
      <c r="E20" s="83">
        <f>E$3/[2]Sheet1!E$4</f>
        <v>1.540860961850103E-2</v>
      </c>
      <c r="F20" s="83">
        <f>F$3/[2]Sheet1!F$4</f>
        <v>5.4208776595744711E-2</v>
      </c>
      <c r="G20" s="123">
        <v>3.2711866990955588E-2</v>
      </c>
      <c r="H20" s="107">
        <v>5.3542436911015033E-2</v>
      </c>
      <c r="I20" t="s">
        <v>205</v>
      </c>
    </row>
    <row r="21" spans="1:9" ht="43.2">
      <c r="A21" s="102" t="s">
        <v>175</v>
      </c>
      <c r="G21" s="117"/>
      <c r="H21" s="92"/>
    </row>
    <row r="22" spans="1:9" ht="43.2">
      <c r="A22" s="94" t="s">
        <v>174</v>
      </c>
      <c r="B22" s="64">
        <f>('[2]IHCL BALANCE SHEET (2)'!B$26*365)/[2]Sheet1!B$4</f>
        <v>26.126451545131594</v>
      </c>
      <c r="C22" s="64">
        <f>('[2]IHCL BALANCE SHEET (2)'!C$26*365)/[2]Sheet1!C$4</f>
        <v>26.370934366096556</v>
      </c>
      <c r="D22" s="64">
        <f>('[2]IHCL BALANCE SHEET (2)'!D$26*365)/[2]Sheet1!D$4</f>
        <v>24.761960571135035</v>
      </c>
      <c r="E22" s="64">
        <f>('[2]IHCL BALANCE SHEET (2)'!E$26*365)/[2]Sheet1!E$4</f>
        <v>29.224549475454179</v>
      </c>
      <c r="F22" s="64">
        <f>('[2]IHCL BALANCE SHEET (2)'!F$26*365)/[2]Sheet1!F$4</f>
        <v>25.998160460992906</v>
      </c>
      <c r="G22" s="117">
        <v>9.3565750543825423</v>
      </c>
      <c r="H22" s="92">
        <v>11.633853989131548</v>
      </c>
      <c r="I22" t="s">
        <v>204</v>
      </c>
    </row>
    <row r="23" spans="1:9" ht="28.8">
      <c r="A23" s="94" t="s">
        <v>173</v>
      </c>
      <c r="B23" s="64">
        <f>[2]Sheet1!B$5/'[2]IHCL BALANCE SHEET (2)'!B$23</f>
        <v>4.3035159285159281</v>
      </c>
      <c r="C23" s="64">
        <f>[2]Sheet1!C$5/'[2]IHCL BALANCE SHEET (2)'!C$23</f>
        <v>5.1435562805872763</v>
      </c>
      <c r="D23" s="64">
        <f>[2]Sheet1!D$5/'[2]IHCL BALANCE SHEET (2)'!D$23</f>
        <v>4.5244903033316755</v>
      </c>
      <c r="E23" s="64">
        <f>[2]Sheet1!E$5/'[2]IHCL BALANCE SHEET (2)'!E$23</f>
        <v>4.3915072328511435</v>
      </c>
      <c r="F23" s="64">
        <f>[2]Sheet1!F$5/'[2]IHCL BALANCE SHEET (2)'!F$23</f>
        <v>5.025497512437811</v>
      </c>
      <c r="G23" s="117">
        <v>4.4795804580593703</v>
      </c>
      <c r="H23" s="92">
        <v>4.6509736698210711</v>
      </c>
      <c r="I23" t="s">
        <v>205</v>
      </c>
    </row>
    <row r="24" spans="1:9" ht="57.6">
      <c r="A24" s="94" t="s">
        <v>172</v>
      </c>
      <c r="B24" s="64">
        <f>365/B$23</f>
        <v>84.81437179805458</v>
      </c>
      <c r="C24" s="64">
        <f>365/C$23</f>
        <v>70.962575325087215</v>
      </c>
      <c r="D24" s="64">
        <f>365/D$23</f>
        <v>80.672070339332336</v>
      </c>
      <c r="E24" s="64">
        <f>365/E$23</f>
        <v>83.114971841462108</v>
      </c>
      <c r="F24" s="64">
        <f>365/F$23</f>
        <v>72.629625046405152</v>
      </c>
      <c r="G24" s="117">
        <v>278.63128538889373</v>
      </c>
      <c r="H24" s="92">
        <v>236.44571949261677</v>
      </c>
      <c r="I24" t="s">
        <v>203</v>
      </c>
    </row>
    <row r="25" spans="1:9" ht="28.8">
      <c r="A25" s="94" t="s">
        <v>171</v>
      </c>
      <c r="B25" s="64">
        <f>B$22+B$24</f>
        <v>110.94082334318617</v>
      </c>
      <c r="C25" s="64">
        <f>C$22+C$24</f>
        <v>97.333509691183764</v>
      </c>
      <c r="D25" s="64">
        <f>D$22+D$24</f>
        <v>105.43403091046737</v>
      </c>
      <c r="E25" s="64">
        <f>E$22+E$24</f>
        <v>112.33952131691629</v>
      </c>
      <c r="F25" s="64">
        <f>F$22+F$24</f>
        <v>98.627785507398059</v>
      </c>
      <c r="G25" s="117">
        <v>287.9878604432763</v>
      </c>
      <c r="H25" s="92">
        <v>248.07957348174833</v>
      </c>
      <c r="I25" t="s">
        <v>203</v>
      </c>
    </row>
    <row r="26" spans="1:9" s="125" customFormat="1" ht="28.8">
      <c r="A26" s="105" t="s">
        <v>169</v>
      </c>
      <c r="B26" s="125">
        <f>'[2]IHCL BALANCE SHEET (2)'!B$32-'[2]IHCL BALANCE SHEET (2)'!B$56</f>
        <v>290.22999999999979</v>
      </c>
      <c r="C26" s="125">
        <f>'[2]IHCL BALANCE SHEET (2)'!C$32-'[2]IHCL BALANCE SHEET (2)'!C$56</f>
        <v>-1181.56</v>
      </c>
      <c r="D26" s="125">
        <f>'[2]IHCL BALANCE SHEET (2)'!D$32-'[2]IHCL BALANCE SHEET (2)'!D$56</f>
        <v>-912.93000000000006</v>
      </c>
      <c r="E26" s="125">
        <f>'[2]IHCL BALANCE SHEET (2)'!E$32-'[2]IHCL BALANCE SHEET (2)'!E$56</f>
        <v>-173.91000000000008</v>
      </c>
      <c r="F26" s="125">
        <f>'[2]IHCL BALANCE SHEET (2)'!F$32-'[2]IHCL BALANCE SHEET (2)'!F$56</f>
        <v>-939.11000000000013</v>
      </c>
      <c r="G26" s="117">
        <v>111.72697499999997</v>
      </c>
      <c r="H26" s="92">
        <v>114.65381749999996</v>
      </c>
      <c r="I26" s="125" t="s">
        <v>204</v>
      </c>
    </row>
    <row r="27" spans="1:9" ht="100.8">
      <c r="A27" s="94" t="s">
        <v>168</v>
      </c>
      <c r="B27" s="83">
        <f>B26/[2]Sheet1!B$4</f>
        <v>6.9289793345811479E-2</v>
      </c>
      <c r="C27" s="83">
        <f>C26/[2]Sheet1!C$4</f>
        <v>-0.2573688933808474</v>
      </c>
      <c r="D27" s="83">
        <f>D26/[2]Sheet1!D$4</f>
        <v>-0.22764858138873789</v>
      </c>
      <c r="E27" s="83">
        <f>E26/[2]Sheet1!E$4</f>
        <v>-4.2380377965420206E-2</v>
      </c>
      <c r="F27" s="83">
        <f>F26/[2]Sheet1!F$4</f>
        <v>-0.20813608156028371</v>
      </c>
      <c r="G27" s="123">
        <v>5.5417574687387949E-2</v>
      </c>
      <c r="H27" s="107">
        <v>8.395646645699234E-2</v>
      </c>
      <c r="I27" t="s">
        <v>204</v>
      </c>
    </row>
    <row r="28" spans="1:9" ht="28.8">
      <c r="A28" s="94" t="s">
        <v>208</v>
      </c>
      <c r="B28" s="83">
        <f>'[2]IHCL BALANCE SHEET (2)'!B$60/'[2]IHCL BALANCE SHEET (2)'!B$34</f>
        <v>0.51324873722815256</v>
      </c>
      <c r="C28" s="83">
        <f>'[2]IHCL BALANCE SHEET (2)'!C$60/'[2]IHCL BALANCE SHEET (2)'!C$34</f>
        <v>0.43687508965633187</v>
      </c>
      <c r="D28" s="83">
        <f>'[2]IHCL BALANCE SHEET (2)'!D$60/'[2]IHCL BALANCE SHEET (2)'!D$34</f>
        <v>0.39180800252018705</v>
      </c>
      <c r="E28" s="83">
        <f>'[2]IHCL BALANCE SHEET (2)'!E$60/'[2]IHCL BALANCE SHEET (2)'!E$34</f>
        <v>0.25893857191926212</v>
      </c>
      <c r="F28" s="83">
        <f>'[2]IHCL BALANCE SHEET (2)'!F$60/'[2]IHCL BALANCE SHEET (2)'!F$34</f>
        <v>0.24270015108892543</v>
      </c>
      <c r="G28" s="2">
        <v>0.24435532107204766</v>
      </c>
      <c r="H28" s="2">
        <v>0.20193299527257416</v>
      </c>
      <c r="I28" t="s">
        <v>205</v>
      </c>
    </row>
    <row r="29" spans="1:9" ht="72">
      <c r="A29" s="102" t="s">
        <v>167</v>
      </c>
      <c r="B29" s="83">
        <f>[2]Sheet1!B$4/'[2]IHCL BALANCE SHEET (2)'!B$6</f>
        <v>0.72632562785140697</v>
      </c>
      <c r="C29" s="83">
        <f>[2]Sheet1!C$4/'[2]IHCL BALANCE SHEET (2)'!C$6</f>
        <v>0.69344740447372755</v>
      </c>
      <c r="D29" s="83">
        <f>[2]Sheet1!D$4/'[2]IHCL BALANCE SHEET (2)'!D$6</f>
        <v>0.86830732188945292</v>
      </c>
      <c r="E29" s="83">
        <f>[2]Sheet1!E$4/'[2]IHCL BALANCE SHEET (2)'!E$6</f>
        <v>0.82434370706072368</v>
      </c>
      <c r="F29" s="83">
        <f>[2]Sheet1!F$4/'[2]IHCL BALANCE SHEET (2)'!F$6</f>
        <v>0.86219086673877066</v>
      </c>
      <c r="G29" s="123">
        <v>1.5423863349109812</v>
      </c>
      <c r="H29" s="107">
        <v>1.5873358650110361</v>
      </c>
      <c r="I29" t="s">
        <v>204</v>
      </c>
    </row>
    <row r="30" spans="1:9" ht="28.8">
      <c r="A30" s="94" t="s">
        <v>166</v>
      </c>
      <c r="B30" s="83">
        <f>[2]Sheet1!B$4/'[2]IHCL BALANCE SHEET (2)'!B$34</f>
        <v>0.42365211621749005</v>
      </c>
      <c r="C30" s="83">
        <f>[2]Sheet1!C$4/'[2]IHCL BALANCE SHEET (2)'!C$34</f>
        <v>0.41947011166267839</v>
      </c>
      <c r="D30" s="83">
        <f>[2]Sheet1!D$4/'[2]IHCL BALANCE SHEET (2)'!D$34</f>
        <v>0.46445795132888912</v>
      </c>
      <c r="E30" s="83">
        <f>[2]Sheet1!E$4/'[2]IHCL BALANCE SHEET (2)'!E$34</f>
        <v>0.43773347812265989</v>
      </c>
      <c r="F30" s="83">
        <f>[2]Sheet1!F$4/'[2]IHCL BALANCE SHEET (2)'!F$34</f>
        <v>0.47079643062847981</v>
      </c>
      <c r="G30" s="123">
        <v>0.43115698941691638</v>
      </c>
      <c r="H30" s="107">
        <v>0.44504813846517066</v>
      </c>
      <c r="I30" t="s">
        <v>205</v>
      </c>
    </row>
    <row r="31" spans="1:9" ht="57.6">
      <c r="A31" s="102" t="s">
        <v>165</v>
      </c>
      <c r="G31" s="117"/>
      <c r="H31" s="92"/>
    </row>
    <row r="32" spans="1:9" ht="28.8">
      <c r="A32" s="94" t="s">
        <v>164</v>
      </c>
      <c r="B32" s="2">
        <f>'[2]IHCL BALANCE SHEET (2)'!B$32/'[2]IHCL BALANCE SHEET (2)'!B$56</f>
        <v>1.2026377892282125</v>
      </c>
      <c r="C32" s="2">
        <f>'[2]IHCL BALANCE SHEET (2)'!C$32/'[2]IHCL BALANCE SHEET (2)'!C$56</f>
        <v>0.48699423847586631</v>
      </c>
      <c r="D32" s="2">
        <f>'[2]IHCL BALANCE SHEET (2)'!D$32/'[2]IHCL BALANCE SHEET (2)'!D$56</f>
        <v>0.50364546803895016</v>
      </c>
      <c r="E32" s="2">
        <f>'[2]IHCL BALANCE SHEET (2)'!E$32/'[2]IHCL BALANCE SHEET (2)'!E$56</f>
        <v>0.87519376507061653</v>
      </c>
      <c r="F32" s="2">
        <f>'[2]IHCL BALANCE SHEET (2)'!F$32/'[2]IHCL BALANCE SHEET (2)'!F$56</f>
        <v>0.5505489456606012</v>
      </c>
      <c r="G32" s="117">
        <v>0.93785626821853163</v>
      </c>
      <c r="H32" s="92">
        <v>0.91238573639149789</v>
      </c>
      <c r="I32" t="s">
        <v>204</v>
      </c>
    </row>
    <row r="33" spans="1:9">
      <c r="A33" s="94" t="s">
        <v>163</v>
      </c>
      <c r="B33" s="2">
        <f>('[2]IHCL BALANCE SHEET (2)'!B$32-'[2]IHCL BALANCE SHEET (2)'!B$23)/'[2]IHCL BALANCE SHEET (2)'!B$56</f>
        <v>1.1307513998854954</v>
      </c>
      <c r="C33" s="2">
        <f>('[2]IHCL BALANCE SHEET (2)'!C$32-'[2]IHCL BALANCE SHEET (2)'!C$23)/'[2]IHCL BALANCE SHEET (2)'!C$56</f>
        <v>0.44441019273101456</v>
      </c>
      <c r="D33" s="2">
        <f>('[2]IHCL BALANCE SHEET (2)'!D$32-'[2]IHCL BALANCE SHEET (2)'!D$23)/'[2]IHCL BALANCE SHEET (2)'!D$56</f>
        <v>0.45991072545085815</v>
      </c>
      <c r="E33" s="2">
        <f>('[2]IHCL BALANCE SHEET (2)'!E$32-'[2]IHCL BALANCE SHEET (2)'!E$23)/'[2]IHCL BALANCE SHEET (2)'!E$56</f>
        <v>0.81367694339189334</v>
      </c>
      <c r="F33" s="2">
        <f>('[2]IHCL BALANCE SHEET (2)'!F$32-'[2]IHCL BALANCE SHEET (2)'!F$23)/'[2]IHCL BALANCE SHEET (2)'!F$56</f>
        <v>0.51207010423745836</v>
      </c>
      <c r="G33" s="117">
        <v>0.78766661519698211</v>
      </c>
      <c r="H33" s="92">
        <v>0.74981360557472143</v>
      </c>
      <c r="I33" t="s">
        <v>204</v>
      </c>
    </row>
    <row r="34" spans="1:9" ht="28.8">
      <c r="A34" s="94" t="s">
        <v>162</v>
      </c>
      <c r="B34">
        <f>'[2]IHCL BALANCE SHEET (2)'!B$60/'[2]IHCL BALANCE SHEET (2)'!B$41</f>
        <v>1.7114257384336238</v>
      </c>
      <c r="C34">
        <f>'[2]IHCL BALANCE SHEET (2)'!C$60/'[2]IHCL BALANCE SHEET (2)'!C$41</f>
        <v>1.1902019012722442</v>
      </c>
      <c r="D34">
        <f>'[2]IHCL BALANCE SHEET (2)'!D$60/'[2]IHCL BALANCE SHEET (2)'!D$41</f>
        <v>1.0391551554134375</v>
      </c>
      <c r="E34">
        <f>'[2]IHCL BALANCE SHEET (2)'!E$60/'[2]IHCL BALANCE SHEET (2)'!E$41</f>
        <v>0.48955024614348308</v>
      </c>
      <c r="F34">
        <f>'[2]IHCL BALANCE SHEET (2)'!F$60/'[2]IHCL BALANCE SHEET (2)'!F$41</f>
        <v>0.45183435446962428</v>
      </c>
      <c r="G34" s="117">
        <v>1.0670314486577301</v>
      </c>
      <c r="H34" s="92">
        <v>0.71930790969318248</v>
      </c>
      <c r="I34" t="s">
        <v>204</v>
      </c>
    </row>
    <row r="35" spans="1:9" ht="43.2">
      <c r="A35" s="94" t="s">
        <v>161</v>
      </c>
      <c r="B35" s="83">
        <f>('[2]IHCL BALANCE SHEET (2)'!B$60)/('[2]IHCL BALANCE SHEET (2)'!B$60+'[2]IHCL BALANCE SHEET (2)'!B$41)</f>
        <v>0.63119034173597</v>
      </c>
      <c r="C35" s="83">
        <f>('[2]IHCL BALANCE SHEET (2)'!C$60)/('[2]IHCL BALANCE SHEET (2)'!C$60+'[2]IHCL BALANCE SHEET (2)'!C$41)</f>
        <v>0.54342108852196691</v>
      </c>
      <c r="D35" s="83">
        <f>('[2]IHCL BALANCE SHEET (2)'!D$60)/('[2]IHCL BALANCE SHEET (2)'!D$60+'[2]IHCL BALANCE SHEET (2)'!D$41)</f>
        <v>0.50960082789911565</v>
      </c>
      <c r="E35" s="83">
        <f>('[2]IHCL BALANCE SHEET (2)'!E$60)/('[2]IHCL BALANCE SHEET (2)'!E$60+'[2]IHCL BALANCE SHEET (2)'!E$41)</f>
        <v>0.32865641653307914</v>
      </c>
      <c r="F35" s="83">
        <f>('[2]IHCL BALANCE SHEET (2)'!F$60)/('[2]IHCL BALANCE SHEET (2)'!F$60+'[2]IHCL BALANCE SHEET (2)'!F$41)</f>
        <v>0.31121618873296725</v>
      </c>
      <c r="G35" s="123">
        <v>0.32495122270129301</v>
      </c>
      <c r="H35" s="107">
        <v>0.31257347966756277</v>
      </c>
      <c r="I35" t="s">
        <v>205</v>
      </c>
    </row>
    <row r="36" spans="1:9" ht="72">
      <c r="A36" s="94" t="s">
        <v>160</v>
      </c>
      <c r="B36">
        <f>[2]Sheet1!B$13/[2]Sheet1!B$14</f>
        <v>3.6960186820071792</v>
      </c>
      <c r="C36">
        <f>[2]Sheet1!C$13/[2]Sheet1!C$14</f>
        <v>1.4152707757358929</v>
      </c>
      <c r="D36">
        <f>[2]Sheet1!D$13/[2]Sheet1!D$14</f>
        <v>1.0944322638421393</v>
      </c>
      <c r="E36">
        <f>[2]Sheet1!E$13/[2]Sheet1!E$14</f>
        <v>1.6849910793933984</v>
      </c>
      <c r="F36">
        <f>[2]Sheet1!F$13/[2]Sheet1!F$14</f>
        <v>3.1128175458896554</v>
      </c>
      <c r="G36" s="117">
        <v>11.588529356522507</v>
      </c>
      <c r="H36" s="92">
        <v>14.001318321825213</v>
      </c>
      <c r="I36" t="s">
        <v>204</v>
      </c>
    </row>
    <row r="37" spans="1:9" ht="57.6">
      <c r="A37" s="102" t="s">
        <v>159</v>
      </c>
      <c r="G37" s="117"/>
      <c r="H37" s="92"/>
    </row>
    <row r="38" spans="1:9" ht="28.8">
      <c r="A38" s="94" t="s">
        <v>158</v>
      </c>
      <c r="B38" s="83">
        <f>[2]Sheet1!B$17/'[2]IHCL BALANCE SHEET (2)'!B$34</f>
        <v>3.6284082702706021E-2</v>
      </c>
      <c r="C38" s="83">
        <f>[2]Sheet1!C$17/'[2]IHCL BALANCE SHEET (2)'!C$34</f>
        <v>-3.4656455210209038E-3</v>
      </c>
      <c r="D38" s="83">
        <f>[2]Sheet1!D$17/'[2]IHCL BALANCE SHEET (2)'!D$34</f>
        <v>-9.6313763278466809E-3</v>
      </c>
      <c r="E38" s="83">
        <f>[2]Sheet1!E$17/'[2]IHCL BALANCE SHEET (2)'!E$34</f>
        <v>6.7448642813407273E-3</v>
      </c>
      <c r="F38" s="83">
        <f>[2]Sheet1!F$17/'[2]IHCL BALANCE SHEET (2)'!F$34</f>
        <v>2.5521298530013288E-2</v>
      </c>
      <c r="G38" s="123">
        <v>1.8074446322312636E-2</v>
      </c>
      <c r="H38" s="107">
        <v>2.4870589440216209E-2</v>
      </c>
      <c r="I38" t="s">
        <v>205</v>
      </c>
    </row>
    <row r="39" spans="1:9" ht="28.8">
      <c r="A39" s="94" t="s">
        <v>155</v>
      </c>
      <c r="B39" s="83">
        <f>[2]Sheet1!B$17/'[2]IHCL BALANCE SHEET (2)'!B$41</f>
        <v>0.12098911995035527</v>
      </c>
      <c r="C39" s="83">
        <f>[2]Sheet1!C$17/'[2]IHCL BALANCE SHEET (2)'!C$41</f>
        <v>-9.4416412972859326E-3</v>
      </c>
      <c r="D39" s="83">
        <f>[2]Sheet1!D$17/'[2]IHCL BALANCE SHEET (2)'!D$41</f>
        <v>-2.5544384750776382E-2</v>
      </c>
      <c r="E39" s="83">
        <f>[2]Sheet1!E$17/'[2]IHCL BALANCE SHEET (2)'!E$41</f>
        <v>1.275186599146109E-2</v>
      </c>
      <c r="F39" s="83">
        <f>[2]Sheet1!F$17/'[2]IHCL BALANCE SHEET (2)'!F$41</f>
        <v>4.7512947127544294E-2</v>
      </c>
      <c r="G39" s="123">
        <v>3.0860605218602167E-2</v>
      </c>
      <c r="H39" s="107">
        <v>6.7342404056132468E-2</v>
      </c>
      <c r="I39" t="s">
        <v>204</v>
      </c>
    </row>
    <row r="40" spans="1:9">
      <c r="A40" s="94" t="s">
        <v>157</v>
      </c>
      <c r="B40">
        <f>([2]Sheet1!B$17/[2]Sheet1!B$4)</f>
        <v>8.5645937583559428E-2</v>
      </c>
      <c r="C40">
        <f>([2]Sheet1!C$17/[2]Sheet1!C$4)</f>
        <v>-8.2619605656382052E-3</v>
      </c>
      <c r="D40">
        <f>([2]Sheet1!D$17/[2]Sheet1!D$4)</f>
        <v>-2.0736810082139318E-2</v>
      </c>
      <c r="E40">
        <f>([2]Sheet1!E$17/[2]Sheet1!E$4)</f>
        <v>1.540860961850103E-2</v>
      </c>
      <c r="F40">
        <f>([2]Sheet1!F$17/[2]Sheet1!F$4)</f>
        <v>5.4208776595744711E-2</v>
      </c>
      <c r="G40" s="117">
        <v>3.2711866990955588E-2</v>
      </c>
      <c r="H40" s="92">
        <v>5.3542436911015033E-2</v>
      </c>
      <c r="I40" t="s">
        <v>205</v>
      </c>
    </row>
    <row r="41" spans="1:9" ht="28.8">
      <c r="A41" s="94" t="s">
        <v>156</v>
      </c>
      <c r="B41">
        <f>'[2]IHCL BALANCE SHEET (2)'!B$34/'[2]IHCL BALANCE SHEET (2)'!B$41</f>
        <v>3.3344957606254177</v>
      </c>
      <c r="C41">
        <f>'[2]IHCL BALANCE SHEET (2)'!C$34/'[2]IHCL BALANCE SHEET (2)'!C$41</f>
        <v>2.7243528629854303</v>
      </c>
      <c r="D41">
        <f>'[2]IHCL BALANCE SHEET (2)'!D$34/'[2]IHCL BALANCE SHEET (2)'!D$41</f>
        <v>2.65220503085538</v>
      </c>
      <c r="E41">
        <f>'[2]IHCL BALANCE SHEET (2)'!E$34/'[2]IHCL BALANCE SHEET (2)'!E$41</f>
        <v>1.8906037926868864</v>
      </c>
      <c r="F41">
        <f>'[2]IHCL BALANCE SHEET (2)'!F$34/'[2]IHCL BALANCE SHEET (2)'!F$41</f>
        <v>1.8616978705714609</v>
      </c>
      <c r="G41" s="117">
        <v>3.0174393284958096</v>
      </c>
      <c r="H41" s="92">
        <v>4.8155029490610595</v>
      </c>
      <c r="I41" t="s">
        <v>204</v>
      </c>
    </row>
    <row r="42" spans="1:9" ht="28.8">
      <c r="A42" s="124" t="s">
        <v>155</v>
      </c>
      <c r="B42" s="83">
        <f>B40*B41*B30</f>
        <v>0.12098911995035526</v>
      </c>
      <c r="C42" s="83">
        <f>C40*C41*C30</f>
        <v>-9.4416412972859309E-3</v>
      </c>
      <c r="D42" s="83">
        <f>D40*D41*D30</f>
        <v>-2.5544384750776378E-2</v>
      </c>
      <c r="E42" s="83">
        <f>E40*E41*E30</f>
        <v>1.275186599146109E-2</v>
      </c>
      <c r="F42" s="83">
        <f>F40*F41*F30</f>
        <v>4.7512947127544287E-2</v>
      </c>
      <c r="G42" s="123">
        <v>3.2570508386917607E-2</v>
      </c>
      <c r="H42" s="107">
        <v>7.2438135246000804E-2</v>
      </c>
      <c r="I42" t="s">
        <v>204</v>
      </c>
    </row>
    <row r="43" spans="1:9" ht="43.2">
      <c r="A43" s="94" t="s">
        <v>154</v>
      </c>
      <c r="B43" s="83">
        <f>B$5/('[2]IHCL BALANCE SHEET (2)'!B$41+'[2]IHCL BALANCE SHEET (2)'!B$60)</f>
        <v>6.6460270114956865E-2</v>
      </c>
      <c r="C43" s="83">
        <f>C$5/('[2]IHCL BALANCE SHEET (2)'!C$41+'[2]IHCL BALANCE SHEET (2)'!C$60)</f>
        <v>2.364321173988947E-2</v>
      </c>
      <c r="D43" s="83">
        <f>D$5/('[2]IHCL BALANCE SHEET (2)'!D$41+'[2]IHCL BALANCE SHEET (2)'!D$60)</f>
        <v>3.6253726374521913E-2</v>
      </c>
      <c r="E43" s="83">
        <f>E$5/('[2]IHCL BALANCE SHEET (2)'!E$41+'[2]IHCL BALANCE SHEET (2)'!E$60)</f>
        <v>4.498694813916207E-2</v>
      </c>
      <c r="F43" s="83">
        <f>F$5/('[2]IHCL BALANCE SHEET (2)'!F$41+'[2]IHCL BALANCE SHEET (2)'!F$60)</f>
        <v>5.8165548098434022E-2</v>
      </c>
      <c r="G43" s="123">
        <v>8.8200585525899489E-2</v>
      </c>
      <c r="H43" s="107">
        <v>0.10020263077451322</v>
      </c>
      <c r="I43" t="s">
        <v>204</v>
      </c>
    </row>
    <row r="44" spans="1:9" ht="57.6">
      <c r="A44" s="94" t="s">
        <v>153</v>
      </c>
      <c r="B44" s="122">
        <f>B5/('[2]IHCL BALANCE SHEET (2)'!B$60+('[2]IHCL BALANCE SHEET (2)'!B$41*'[6]IHCL DAILY'!$F$2287))</f>
        <v>1.1548128853747176E-3</v>
      </c>
      <c r="C44" s="122">
        <f>C5/('[2]IHCL BALANCE SHEET (2)'!C$60+('[2]IHCL BALANCE SHEET (2)'!C$41*'[6]IHCL DAILY'!$F$2287))</f>
        <v>3.3296263406344602E-4</v>
      </c>
      <c r="D44" s="122">
        <f>D5/('[2]IHCL BALANCE SHEET (2)'!D$60+('[2]IHCL BALANCE SHEET (2)'!D$41*'[6]IHCL DAILY'!$F$2287))</f>
        <v>4.7580587338280097E-4</v>
      </c>
      <c r="E44" s="122">
        <f>E5/('[2]IHCL BALANCE SHEET (2)'!E$60+('[2]IHCL BALANCE SHEET (2)'!E$41*'[6]IHCL DAILY'!$F$2287))</f>
        <v>4.3282021593276981E-4</v>
      </c>
      <c r="F44" s="122">
        <f>F5/('[2]IHCL BALANCE SHEET (2)'!F$60+('[2]IHCL BALANCE SHEET (2)'!F$41*'[6]IHCL DAILY'!$F$2287))</f>
        <v>5.4557511319681127E-4</v>
      </c>
      <c r="G44" s="117" t="s">
        <v>207</v>
      </c>
      <c r="H44" s="121">
        <v>7.909287216456859E-4</v>
      </c>
      <c r="I44" t="s">
        <v>204</v>
      </c>
    </row>
    <row r="45" spans="1:9" ht="72">
      <c r="A45" s="102" t="s">
        <v>152</v>
      </c>
      <c r="G45" s="117"/>
      <c r="H45" s="92"/>
    </row>
    <row r="46" spans="1:9" s="2" customFormat="1" ht="43.2">
      <c r="A46" s="120" t="s">
        <v>151</v>
      </c>
      <c r="B46" s="119">
        <f>'[2]cashflow templated'!B$9/[2]Sheet1!B$17</f>
        <v>0.51190277080894186</v>
      </c>
      <c r="C46" s="119">
        <f>'[2]cashflow templated'!C$9/[2]Sheet1!C$17</f>
        <v>-6.8665963617190027</v>
      </c>
      <c r="D46" s="119">
        <f>'[2]cashflow templated'!D$9/[2]Sheet1!D$17</f>
        <v>-1.6901154401154377</v>
      </c>
      <c r="E46" s="119">
        <f>'[2]cashflow templated'!E$9/[2]Sheet1!E$17</f>
        <v>-0.20385892772418254</v>
      </c>
      <c r="F46" s="119">
        <f>'[2]cashflow templated'!F$9/[2]Sheet1!F$17</f>
        <v>1.026370661106341</v>
      </c>
      <c r="G46" s="118">
        <v>-0.37623883039171246</v>
      </c>
      <c r="H46" s="106">
        <v>-5.7622557346483285</v>
      </c>
      <c r="I46" s="2" t="s">
        <v>203</v>
      </c>
    </row>
    <row r="47" spans="1:9" ht="72">
      <c r="A47" s="94" t="s">
        <v>150</v>
      </c>
      <c r="B47">
        <f>(1-(-1*'[2]cashflow templated'!B$11/[2]Sheet1!B$17))</f>
        <v>1.0215755143000502</v>
      </c>
      <c r="C47">
        <f>(1-(-1*'[2]cashflow templated'!C$11/[2]Sheet1!C$17))</f>
        <v>0.68257316108620936</v>
      </c>
      <c r="D47">
        <f>(1-(-1*'[2]cashflow templated'!D$11/[2]Sheet1!D$17))</f>
        <v>1.3537758537758537</v>
      </c>
      <c r="E47">
        <f>(1-(-1*'[2]cashflow templated'!E$11/[2]Sheet1!E$17))</f>
        <v>0.54689229795982852</v>
      </c>
      <c r="F47">
        <f>(1-(-1*'[2]cashflow templated'!F$11/[2]Sheet1!F$17))</f>
        <v>0.81041743325565241</v>
      </c>
      <c r="G47" s="117">
        <v>0.73620924235691865</v>
      </c>
      <c r="H47" s="92">
        <v>0.61678902328503904</v>
      </c>
      <c r="I47" t="s">
        <v>203</v>
      </c>
    </row>
    <row r="48" spans="1:9" ht="86.4">
      <c r="A48" s="94" t="s">
        <v>206</v>
      </c>
      <c r="B48">
        <f>(B38*B47)/(1-B38*B47)</f>
        <v>3.8493776587364151E-2</v>
      </c>
      <c r="C48">
        <f>(C38*C47)/(1-C38*C47)</f>
        <v>-2.3599739664517034E-3</v>
      </c>
      <c r="D48">
        <f>(D38*D47)/(1-D38*D47)</f>
        <v>-1.2870904530311455E-2</v>
      </c>
      <c r="E48">
        <f>(E38*E47)/(1-E38*E47)</f>
        <v>3.7023713163653704E-3</v>
      </c>
      <c r="F48">
        <f>(F38*F47)/(1-F38*F47)</f>
        <v>2.1119722466688133E-2</v>
      </c>
      <c r="G48" s="117">
        <v>1.3324149972307091E-2</v>
      </c>
      <c r="H48" s="92">
        <v>1.8387467992365947E-2</v>
      </c>
      <c r="I48" t="s">
        <v>205</v>
      </c>
    </row>
    <row r="49" spans="1:10">
      <c r="G49" s="117"/>
      <c r="H49" s="92"/>
    </row>
    <row r="50" spans="1:10">
      <c r="G50" s="117"/>
      <c r="H50" s="92"/>
    </row>
    <row r="51" spans="1:10">
      <c r="G51" s="117"/>
      <c r="H51" s="92"/>
    </row>
    <row r="52" spans="1:10">
      <c r="G52" s="117"/>
      <c r="H52" s="92"/>
    </row>
    <row r="53" spans="1:10">
      <c r="G53" s="117"/>
      <c r="H53" s="92"/>
    </row>
    <row r="54" spans="1:10" ht="43.2">
      <c r="A54" s="94" t="s">
        <v>148</v>
      </c>
      <c r="B54">
        <f>[2]Sheet1!B$4/(('[2]IHCL BALANCE SHEET (2)'!C$26+'[2]IHCL BALANCE SHEET (2)'!B$26)/2)</f>
        <v>13.265474814333899</v>
      </c>
      <c r="C54">
        <f>[2]Sheet1!C$4/(('[2]IHCL BALANCE SHEET (2)'!D$26+'[2]IHCL BALANCE SHEET (2)'!C$26)/2)</f>
        <v>15.208016563146998</v>
      </c>
      <c r="D54">
        <f>[2]Sheet1!D$4/(('[2]IHCL BALANCE SHEET (2)'!E$26+'[2]IHCL BALANCE SHEET (2)'!D$26)/2)</f>
        <v>13.353734474376479</v>
      </c>
      <c r="E54">
        <f>[2]Sheet1!E$4/(('[2]IHCL BALANCE SHEET (2)'!F$26+'[2]IHCL BALANCE SHEET (2)'!E$26)/2)</f>
        <v>12.627473305228174</v>
      </c>
      <c r="F54">
        <f>[2]Sheet1!F$4/(('[2]IHCL BALANCE SHEET (2)'!G$26+'[2]IHCL BALANCE SHEET (2)'!F$26)/2)</f>
        <v>28.72056015276894</v>
      </c>
      <c r="G54" s="117">
        <f>'hotel industry avg'!P56</f>
        <v>0</v>
      </c>
      <c r="H54" s="106">
        <f>'hotel industry avg'!Q56</f>
        <v>28.792280684645196</v>
      </c>
      <c r="I54" t="s">
        <v>205</v>
      </c>
    </row>
    <row r="55" spans="1:10" ht="43.2">
      <c r="A55" s="94" t="s">
        <v>147</v>
      </c>
      <c r="B55">
        <f>365/B$54</f>
        <v>27.515034712937847</v>
      </c>
      <c r="C55">
        <f>365/C$54</f>
        <v>24.000499899802218</v>
      </c>
      <c r="D55">
        <f>365/D$54</f>
        <v>27.333177898689858</v>
      </c>
      <c r="E55">
        <f>365/E$54</f>
        <v>28.905228399800176</v>
      </c>
      <c r="F55">
        <f>365/F$54</f>
        <v>12.708665780141843</v>
      </c>
      <c r="G55" s="117">
        <f>'hotel industry avg'!P57</f>
        <v>0</v>
      </c>
      <c r="H55" s="106">
        <f>'hotel industry avg'!Q57</f>
        <v>52.063957387902477</v>
      </c>
      <c r="I55" t="s">
        <v>204</v>
      </c>
    </row>
    <row r="56" spans="1:10" ht="43.2">
      <c r="A56" s="94" t="s">
        <v>146</v>
      </c>
      <c r="B56">
        <f>'[2]IHCL BALANCE SHEET (2)'!B$23/'[2]IHCL BALANCE SHEET (2)'!B$51</f>
        <v>0.31091650309527402</v>
      </c>
      <c r="C56">
        <f>'[2]IHCL BALANCE SHEET (2)'!C$23/'[2]IHCL BALANCE SHEET (2)'!C$51</f>
        <v>0.25719830072900823</v>
      </c>
      <c r="D56">
        <f>'[2]IHCL BALANCE SHEET (2)'!D$23/'[2]IHCL BALANCE SHEET (2)'!D$51</f>
        <v>0.2744830410154917</v>
      </c>
      <c r="E56">
        <f>'[2]IHCL BALANCE SHEET (2)'!E$23/'[2]IHCL BALANCE SHEET (2)'!E$51</f>
        <v>0.24400797039567321</v>
      </c>
      <c r="F56">
        <f>'[2]IHCL BALANCE SHEET (2)'!F$23/'[2]IHCL BALANCE SHEET (2)'!F$51</f>
        <v>0.24719446579554191</v>
      </c>
      <c r="G56" s="117">
        <f>'hotel industry avg'!P58</f>
        <v>0</v>
      </c>
      <c r="H56" s="106">
        <f>'hotel industry avg'!Q58</f>
        <v>0.964274504910276</v>
      </c>
      <c r="I56" t="s">
        <v>203</v>
      </c>
    </row>
    <row r="57" spans="1:10" ht="43.2">
      <c r="A57" s="94" t="s">
        <v>145</v>
      </c>
      <c r="B57">
        <f>365/B56</f>
        <v>1173.948620823621</v>
      </c>
      <c r="C57">
        <f>365/C56</f>
        <v>1419.1384584013051</v>
      </c>
      <c r="D57">
        <f>365/D56</f>
        <v>1329.7725012431627</v>
      </c>
      <c r="E57">
        <f>365/E56</f>
        <v>1495.8527764815678</v>
      </c>
      <c r="F57">
        <f>365/F56</f>
        <v>1476.5702736318406</v>
      </c>
      <c r="G57" s="117">
        <f>'hotel industry avg'!P59</f>
        <v>0</v>
      </c>
      <c r="H57" s="106">
        <f>'hotel industry avg'!Q59</f>
        <v>351.96019429225078</v>
      </c>
      <c r="I57" t="s">
        <v>202</v>
      </c>
    </row>
    <row r="60" spans="1:10" s="188" customFormat="1" ht="43.2">
      <c r="A60" s="102" t="s">
        <v>325</v>
      </c>
      <c r="B60" s="188">
        <f>[2]Sheet1!B$4/('[2]IHCL BALANCE SHEET (2)'!B$39+'[2]IHCL BALANCE SHEET (2)'!B$60-'[2]IHCL BALANCE SHEET (2)'!B$27)</f>
        <v>0.61614591071368152</v>
      </c>
      <c r="C60" s="188">
        <f>[2]Sheet1!C$4/('[2]IHCL BALANCE SHEET (2)'!C$39+'[2]IHCL BALANCE SHEET (2)'!C$60-'[2]IHCL BALANCE SHEET (2)'!C$27)</f>
        <v>0.59213533578566679</v>
      </c>
      <c r="D60" s="188">
        <f>[2]Sheet1!D$4/('[2]IHCL BALANCE SHEET (2)'!D$39+'[2]IHCL BALANCE SHEET (2)'!D$60-'[2]IHCL BALANCE SHEET (2)'!D$27)</f>
        <v>0.69630306145127241</v>
      </c>
      <c r="E60" s="188">
        <f>[2]Sheet1!E$4/('[2]IHCL BALANCE SHEET (2)'!E$39+'[2]IHCL BALANCE SHEET (2)'!E$60-'[2]IHCL BALANCE SHEET (2)'!E$27)</f>
        <v>0.64111056776691255</v>
      </c>
      <c r="F60" s="188">
        <f>[2]Sheet1!F$4/('[2]IHCL BALANCE SHEET (2)'!F$39+'[2]IHCL BALANCE SHEET (2)'!F$60-'[2]IHCL BALANCE SHEET (2)'!F$27)</f>
        <v>0.69579270558808526</v>
      </c>
      <c r="G60" s="189">
        <f>'[2]Peers Ratio'!P$67</f>
        <v>0.85826236259103028</v>
      </c>
      <c r="H60" s="189">
        <f>'[2]Peers Ratio'!Q$67</f>
        <v>0.95654083037029636</v>
      </c>
      <c r="I60" s="188" t="s">
        <v>204</v>
      </c>
      <c r="J60" s="190">
        <f>AVERAGE(G60:H60)</f>
        <v>0.90740159648066332</v>
      </c>
    </row>
  </sheetData>
  <dataConsolidate/>
  <conditionalFormatting sqref="F3:F6">
    <cfRule type="cellIs" dxfId="8" priority="6" operator="lessThan">
      <formula>$H3</formula>
    </cfRule>
    <cfRule type="cellIs" dxfId="7" priority="9" operator="greaterThan">
      <formula>$H3</formula>
    </cfRule>
  </conditionalFormatting>
  <conditionalFormatting sqref="F9:F10">
    <cfRule type="cellIs" dxfId="6" priority="5" operator="greaterThan">
      <formula>217.36</formula>
    </cfRule>
    <cfRule type="cellIs" dxfId="5" priority="7" operator="lessThan">
      <formula>217.36</formula>
    </cfRule>
    <cfRule type="cellIs" dxfId="4" priority="8" operator="greaterThan">
      <formula>$H9</formula>
    </cfRule>
  </conditionalFormatting>
  <conditionalFormatting sqref="F14">
    <cfRule type="cellIs" dxfId="3" priority="3" operator="greaterThan">
      <formula>$H$14</formula>
    </cfRule>
    <cfRule type="cellIs" dxfId="2" priority="4" operator="greaterThan">
      <formula>$H$14</formula>
    </cfRule>
  </conditionalFormatting>
  <conditionalFormatting sqref="F42 F40 F36:F38 F45:F57 F3:F10 F12:F27 F29:F33">
    <cfRule type="cellIs" dxfId="1" priority="1" operator="lessThan">
      <formula>$H3</formula>
    </cfRule>
    <cfRule type="cellIs" dxfId="0" priority="2" operator="greaterThan">
      <formula>$H3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C336-C3D6-476F-BF15-83590A2A42A7}">
  <dimension ref="A1:M48"/>
  <sheetViews>
    <sheetView zoomScale="90" zoomScaleNormal="90" workbookViewId="0">
      <pane xSplit="1" ySplit="17" topLeftCell="B18" activePane="bottomRight" state="frozen"/>
      <selection pane="topRight" activeCell="B1" sqref="B1"/>
      <selection pane="bottomLeft" activeCell="A18" sqref="A18"/>
      <selection pane="bottomRight" activeCell="B11" sqref="B11"/>
    </sheetView>
  </sheetViews>
  <sheetFormatPr defaultColWidth="9.109375" defaultRowHeight="15.6"/>
  <cols>
    <col min="1" max="1" width="30.109375" style="139" bestFit="1" customWidth="1"/>
    <col min="2" max="2" width="16.5546875" bestFit="1" customWidth="1"/>
    <col min="3" max="3" width="30.109375" bestFit="1" customWidth="1"/>
    <col min="4" max="4" width="12.77734375" bestFit="1" customWidth="1"/>
    <col min="5" max="12" width="12" bestFit="1" customWidth="1"/>
    <col min="13" max="13" width="13.44140625" bestFit="1" customWidth="1"/>
  </cols>
  <sheetData>
    <row r="1" spans="1:13">
      <c r="A1" s="138"/>
      <c r="B1" s="142" t="s">
        <v>243</v>
      </c>
      <c r="C1" s="142">
        <v>1</v>
      </c>
      <c r="D1" s="142">
        <v>2</v>
      </c>
      <c r="E1" s="142">
        <v>3</v>
      </c>
      <c r="F1" s="142">
        <v>4</v>
      </c>
      <c r="G1" s="142">
        <v>5</v>
      </c>
      <c r="H1" s="142">
        <v>6</v>
      </c>
      <c r="I1" s="142">
        <v>7</v>
      </c>
      <c r="J1" s="142">
        <v>8</v>
      </c>
      <c r="K1" s="142">
        <v>9</v>
      </c>
      <c r="L1" s="142">
        <v>10</v>
      </c>
      <c r="M1" s="143" t="s">
        <v>242</v>
      </c>
    </row>
    <row r="2" spans="1:13">
      <c r="A2" s="139" t="s">
        <v>211</v>
      </c>
      <c r="C2" s="18">
        <f>'Input Sheet'!B23</f>
        <v>2.3089805704412686E-2</v>
      </c>
      <c r="D2" s="18">
        <f>C2</f>
        <v>2.3089805704412686E-2</v>
      </c>
      <c r="E2" s="18">
        <f t="shared" ref="E2:G2" si="0">D2</f>
        <v>2.3089805704412686E-2</v>
      </c>
      <c r="F2" s="18">
        <f t="shared" si="0"/>
        <v>2.3089805704412686E-2</v>
      </c>
      <c r="G2" s="18">
        <f t="shared" si="0"/>
        <v>2.3089805704412686E-2</v>
      </c>
      <c r="H2" s="18">
        <f>G2+($M$2-G2)/5</f>
        <v>2.2471844563530147E-2</v>
      </c>
      <c r="I2" s="18">
        <f t="shared" ref="I2:L2" si="1">H2+($M$2-H2)/5</f>
        <v>2.1977475650824117E-2</v>
      </c>
      <c r="J2" s="18">
        <f t="shared" si="1"/>
        <v>2.1581980520659294E-2</v>
      </c>
      <c r="K2" s="18">
        <f t="shared" si="1"/>
        <v>2.1265584416527435E-2</v>
      </c>
      <c r="L2" s="18">
        <f t="shared" si="1"/>
        <v>2.1012467533221949E-2</v>
      </c>
      <c r="M2" s="18">
        <v>0.02</v>
      </c>
    </row>
    <row r="3" spans="1:13">
      <c r="A3" s="139" t="s">
        <v>5</v>
      </c>
      <c r="B3">
        <f>'Input Sheet'!B7</f>
        <v>4512</v>
      </c>
      <c r="C3">
        <f>B3*(1+C2)</f>
        <v>4616.1812033383103</v>
      </c>
      <c r="D3">
        <f t="shared" ref="D3:L3" si="2">C3*(1+D2)</f>
        <v>4722.7679304197536</v>
      </c>
      <c r="E3">
        <f t="shared" si="2"/>
        <v>4831.8157243201767</v>
      </c>
      <c r="F3">
        <f t="shared" si="2"/>
        <v>4943.3814105942556</v>
      </c>
      <c r="G3">
        <f t="shared" si="2"/>
        <v>5057.5231268876823</v>
      </c>
      <c r="H3">
        <f t="shared" si="2"/>
        <v>5171.1750004715614</v>
      </c>
      <c r="I3">
        <f t="shared" si="2"/>
        <v>5284.8243731305756</v>
      </c>
      <c r="J3">
        <f t="shared" si="2"/>
        <v>5398.8813498065847</v>
      </c>
      <c r="K3">
        <f t="shared" si="2"/>
        <v>5513.6917169057124</v>
      </c>
      <c r="L3" s="2">
        <f t="shared" si="2"/>
        <v>5629.5479850953889</v>
      </c>
      <c r="M3">
        <f>L3*(1+M2)</f>
        <v>5742.138944797297</v>
      </c>
    </row>
    <row r="4" spans="1:13">
      <c r="A4" s="139" t="s">
        <v>212</v>
      </c>
      <c r="B4" s="83">
        <f>B6/B3</f>
        <v>0.15323981394683456</v>
      </c>
      <c r="C4" s="83">
        <f>C6/C3</f>
        <v>0.22296860592443074</v>
      </c>
      <c r="D4" s="83">
        <f t="shared" ref="D4:K4" si="3">D6/D3</f>
        <v>0.24004741050685158</v>
      </c>
      <c r="E4" s="83">
        <f t="shared" si="3"/>
        <v>0.25843440627948588</v>
      </c>
      <c r="F4" s="83">
        <f>F6/F3</f>
        <v>0.27822979722217861</v>
      </c>
      <c r="G4" s="83">
        <f t="shared" si="3"/>
        <v>0.29954146267419596</v>
      </c>
      <c r="H4" s="83">
        <f t="shared" si="3"/>
        <v>0.32268044893645709</v>
      </c>
      <c r="I4" s="83">
        <f t="shared" si="3"/>
        <v>0.34777502668724941</v>
      </c>
      <c r="J4" s="83">
        <f t="shared" si="3"/>
        <v>0.37496629614650484</v>
      </c>
      <c r="K4" s="83">
        <f t="shared" si="3"/>
        <v>0.40440880268132595</v>
      </c>
      <c r="L4" s="83">
        <f>L6/L3</f>
        <v>0.43627127505557112</v>
      </c>
      <c r="M4" s="83">
        <f>M6/M3</f>
        <v>0.47048862996189045</v>
      </c>
    </row>
    <row r="5" spans="1:13">
      <c r="A5" s="139" t="s">
        <v>337</v>
      </c>
      <c r="B5" s="83"/>
      <c r="C5" s="21">
        <f>'Estimating Cash Flows'!B63</f>
        <v>0.4886268903494827</v>
      </c>
      <c r="D5" s="18">
        <f>'Estimating Cash Flows'!B64</f>
        <v>0.10145577471358636</v>
      </c>
      <c r="E5" s="18">
        <f>D5</f>
        <v>0.10145577471358636</v>
      </c>
      <c r="F5" s="18">
        <f>E5</f>
        <v>0.10145577471358636</v>
      </c>
      <c r="G5" s="18">
        <f t="shared" ref="F5:L5" si="4">F5</f>
        <v>0.10145577471358636</v>
      </c>
      <c r="H5" s="18">
        <f t="shared" si="4"/>
        <v>0.10145577471358636</v>
      </c>
      <c r="I5" s="18">
        <f t="shared" si="4"/>
        <v>0.10145577471358636</v>
      </c>
      <c r="J5" s="18">
        <f t="shared" si="4"/>
        <v>0.10145577471358636</v>
      </c>
      <c r="K5" s="18">
        <f t="shared" si="4"/>
        <v>0.10145577471358636</v>
      </c>
      <c r="L5" s="18">
        <f t="shared" si="4"/>
        <v>0.10145577471358636</v>
      </c>
      <c r="M5" s="21">
        <v>0.1</v>
      </c>
    </row>
    <row r="6" spans="1:13">
      <c r="A6" s="139" t="s">
        <v>213</v>
      </c>
      <c r="B6" s="145">
        <f>'Operating Leases'!D47</f>
        <v>691.41804052811756</v>
      </c>
      <c r="C6" s="145">
        <f>B6*(1+C5)</f>
        <v>1029.2634876029042</v>
      </c>
      <c r="D6" s="145">
        <f t="shared" ref="D6:K6" si="5">C6*(1+D5)</f>
        <v>1133.6882121220644</v>
      </c>
      <c r="E6" s="145">
        <f t="shared" si="5"/>
        <v>1248.707427966569</v>
      </c>
      <c r="F6" s="145">
        <f t="shared" si="5"/>
        <v>1375.396007461527</v>
      </c>
      <c r="G6" s="145">
        <f t="shared" si="5"/>
        <v>1514.9378749365096</v>
      </c>
      <c r="H6" s="145">
        <f t="shared" si="5"/>
        <v>1668.6370706811472</v>
      </c>
      <c r="I6" s="145">
        <f t="shared" si="5"/>
        <v>1837.9299374029122</v>
      </c>
      <c r="J6" s="145">
        <f t="shared" si="5"/>
        <v>2024.3985430714176</v>
      </c>
      <c r="K6" s="145">
        <f t="shared" si="5"/>
        <v>2229.7854655877836</v>
      </c>
      <c r="L6" s="145">
        <f>K6*(1+L5)</f>
        <v>2456.0100774440866</v>
      </c>
      <c r="M6" s="145">
        <f>L6*(1+M5)</f>
        <v>2701.6110851884955</v>
      </c>
    </row>
    <row r="7" spans="1:13">
      <c r="A7" s="139" t="s">
        <v>214</v>
      </c>
      <c r="B7" s="18">
        <f>'Input Sheet'!B19</f>
        <v>0.39112792810734115</v>
      </c>
      <c r="C7" s="18">
        <f>B7</f>
        <v>0.39112792810734115</v>
      </c>
      <c r="D7" s="18">
        <f>C7</f>
        <v>0.39112792810734115</v>
      </c>
      <c r="E7" s="18">
        <f t="shared" ref="E7:G7" si="6">D7</f>
        <v>0.39112792810734115</v>
      </c>
      <c r="F7" s="18">
        <f t="shared" si="6"/>
        <v>0.39112792810734115</v>
      </c>
      <c r="G7" s="18">
        <f t="shared" si="6"/>
        <v>0.39112792810734115</v>
      </c>
      <c r="H7" s="21">
        <f>G7+($M$7-$G$7)/5</f>
        <v>0.3827823424858729</v>
      </c>
      <c r="I7" s="21">
        <f t="shared" ref="I7:L7" si="7">H7+($M$7-$G$7)/5</f>
        <v>0.37443675686440464</v>
      </c>
      <c r="J7" s="21">
        <f t="shared" si="7"/>
        <v>0.36609117124293639</v>
      </c>
      <c r="K7" s="21">
        <f t="shared" si="7"/>
        <v>0.35774558562146813</v>
      </c>
      <c r="L7" s="21">
        <f t="shared" si="7"/>
        <v>0.34939999999999988</v>
      </c>
      <c r="M7" s="18">
        <f>'Input Sheet'!B20</f>
        <v>0.34939999999999999</v>
      </c>
    </row>
    <row r="8" spans="1:13">
      <c r="A8" s="139" t="s">
        <v>215</v>
      </c>
      <c r="B8" s="145">
        <f>B6*(1-B7)</f>
        <v>420.98513488031728</v>
      </c>
      <c r="C8" s="145">
        <f>C6*(1-C7)</f>
        <v>626.68979222024416</v>
      </c>
      <c r="D8" s="145">
        <f t="shared" ref="D8:M8" si="8">D6*(1-D7)</f>
        <v>690.27109059504539</v>
      </c>
      <c r="E8" s="145">
        <f t="shared" si="8"/>
        <v>760.30307885375782</v>
      </c>
      <c r="F8" s="145">
        <f t="shared" si="8"/>
        <v>837.4402167359907</v>
      </c>
      <c r="G8" s="145">
        <f t="shared" si="8"/>
        <v>922.4033627012542</v>
      </c>
      <c r="H8" s="145">
        <f t="shared" si="8"/>
        <v>1029.9122640070525</v>
      </c>
      <c r="I8" s="145">
        <f t="shared" si="8"/>
        <v>1149.7414122977675</v>
      </c>
      <c r="J8" s="145">
        <f t="shared" si="8"/>
        <v>1283.2841093759082</v>
      </c>
      <c r="K8" s="145">
        <f t="shared" si="8"/>
        <v>1432.0895583908439</v>
      </c>
      <c r="L8" s="145">
        <f t="shared" si="8"/>
        <v>1597.880156385123</v>
      </c>
      <c r="M8" s="145">
        <f t="shared" si="8"/>
        <v>1757.6681720236354</v>
      </c>
    </row>
    <row r="9" spans="1:13">
      <c r="B9" s="21">
        <f>'Norm Capital Expenditure'!G9</f>
        <v>0.37081614356866199</v>
      </c>
      <c r="C9" s="21">
        <f>B9</f>
        <v>0.37081614356866199</v>
      </c>
      <c r="D9" s="21">
        <f t="shared" ref="D9:F9" si="9">C9</f>
        <v>0.37081614356866199</v>
      </c>
      <c r="E9" s="21">
        <f t="shared" si="9"/>
        <v>0.37081614356866199</v>
      </c>
      <c r="F9" s="21">
        <f t="shared" si="9"/>
        <v>0.37081614356866199</v>
      </c>
      <c r="G9" s="83">
        <f>F9+($L$9-$F$9)/6</f>
        <v>0.33401345297388502</v>
      </c>
      <c r="H9" s="83">
        <f>G9+($L$9-$F$9)/6</f>
        <v>0.29721076237910804</v>
      </c>
      <c r="I9" s="83">
        <f t="shared" ref="I9:K9" si="10">H9+($L$9-$F$9)/6</f>
        <v>0.26040807178433106</v>
      </c>
      <c r="J9" s="83">
        <f t="shared" si="10"/>
        <v>0.22360538118955406</v>
      </c>
      <c r="K9" s="83">
        <f t="shared" si="10"/>
        <v>0.18680269059477705</v>
      </c>
      <c r="L9" s="21">
        <v>0.15</v>
      </c>
      <c r="M9" s="21">
        <v>0.1</v>
      </c>
    </row>
    <row r="10" spans="1:13">
      <c r="A10" s="200" t="s">
        <v>338</v>
      </c>
      <c r="B10" s="145">
        <f>'Norm Capital Expenditure'!F5</f>
        <v>132.53999999999996</v>
      </c>
      <c r="C10" s="145">
        <f>C9*C8</f>
        <v>232.38669196495701</v>
      </c>
      <c r="D10" s="145">
        <f t="shared" ref="D10:M10" si="11">D9*D8</f>
        <v>255.96366383138925</v>
      </c>
      <c r="E10" s="145">
        <f>E9*E8</f>
        <v>281.93265564393079</v>
      </c>
      <c r="F10" s="145">
        <f t="shared" si="11"/>
        <v>310.53635163934456</v>
      </c>
      <c r="G10" s="145">
        <f t="shared" si="11"/>
        <v>308.09513221056875</v>
      </c>
      <c r="H10" s="145">
        <f t="shared" si="11"/>
        <v>306.10100916912927</v>
      </c>
      <c r="I10" s="145">
        <f t="shared" si="11"/>
        <v>299.4019442270552</v>
      </c>
      <c r="J10" s="145">
        <f t="shared" si="11"/>
        <v>286.94923245149732</v>
      </c>
      <c r="K10" s="145">
        <f t="shared" si="11"/>
        <v>267.51818268009572</v>
      </c>
      <c r="L10" s="145">
        <f t="shared" si="11"/>
        <v>239.68202345776842</v>
      </c>
      <c r="M10" s="145">
        <f t="shared" si="11"/>
        <v>175.76681720236354</v>
      </c>
    </row>
    <row r="11" spans="1:13">
      <c r="A11" s="200"/>
      <c r="B11" s="21">
        <f>'Change in Non Cash WCTota'!G10</f>
        <v>-0.28374235940903247</v>
      </c>
      <c r="C11" s="83">
        <f>B11+($L$11-B11)/5</f>
        <v>-0.22699388752722599</v>
      </c>
      <c r="D11" s="83">
        <f t="shared" ref="D11:K11" si="12">C11+($L$11-C11)/5</f>
        <v>-0.1815951100217808</v>
      </c>
      <c r="E11" s="83">
        <f t="shared" si="12"/>
        <v>-0.14527608801742464</v>
      </c>
      <c r="F11" s="83">
        <f t="shared" si="12"/>
        <v>-0.11622087041393972</v>
      </c>
      <c r="G11" s="83">
        <f>F11+($L$11-F11)/5</f>
        <v>-9.297669633115177E-2</v>
      </c>
      <c r="H11" s="83">
        <f t="shared" si="12"/>
        <v>-7.4381357064921411E-2</v>
      </c>
      <c r="I11" s="83">
        <f t="shared" si="12"/>
        <v>-5.9505085651937129E-2</v>
      </c>
      <c r="J11" s="83">
        <f t="shared" si="12"/>
        <v>-4.7604068521549706E-2</v>
      </c>
      <c r="K11" s="83">
        <f t="shared" si="12"/>
        <v>-3.8083254817239766E-2</v>
      </c>
      <c r="L11" s="83">
        <v>0</v>
      </c>
      <c r="M11" s="21">
        <f>L11</f>
        <v>0</v>
      </c>
    </row>
    <row r="12" spans="1:13">
      <c r="A12" s="200" t="s">
        <v>339</v>
      </c>
      <c r="B12" s="145">
        <f>'Change in Non Cash WCTota'!F7</f>
        <v>-875.38000000000056</v>
      </c>
      <c r="C12" s="145">
        <f>C3*C11</f>
        <v>-1047.8449168758711</v>
      </c>
      <c r="D12" s="145">
        <f t="shared" ref="D12:M12" si="13">D3*D11</f>
        <v>-857.63156193191321</v>
      </c>
      <c r="E12" s="145">
        <f t="shared" si="13"/>
        <v>-701.94728645031444</v>
      </c>
      <c r="F12" s="145">
        <f t="shared" si="13"/>
        <v>-574.52409032735352</v>
      </c>
      <c r="G12" s="145">
        <f t="shared" si="13"/>
        <v>-470.23179195641319</v>
      </c>
      <c r="H12" s="145">
        <f t="shared" si="13"/>
        <v>-384.63901415527033</v>
      </c>
      <c r="I12" s="145">
        <f t="shared" si="13"/>
        <v>-314.47392697857987</v>
      </c>
      <c r="J12" s="145">
        <f t="shared" si="13"/>
        <v>-257.00871771590943</v>
      </c>
      <c r="K12" s="145">
        <f t="shared" si="13"/>
        <v>-209.97932663862446</v>
      </c>
      <c r="L12" s="145">
        <f t="shared" si="13"/>
        <v>0</v>
      </c>
      <c r="M12" s="145">
        <f t="shared" si="13"/>
        <v>0</v>
      </c>
    </row>
    <row r="13" spans="1:13">
      <c r="A13" s="139" t="s">
        <v>216</v>
      </c>
      <c r="B13" s="145">
        <f>B8-B10-B12</f>
        <v>1163.8251348803178</v>
      </c>
      <c r="C13" s="145">
        <f t="shared" ref="C13:L13" si="14">C8-C10-C12</f>
        <v>1442.1480171311582</v>
      </c>
      <c r="D13" s="145">
        <f t="shared" si="14"/>
        <v>1291.9389886955694</v>
      </c>
      <c r="E13" s="145">
        <f t="shared" si="14"/>
        <v>1180.3177096601414</v>
      </c>
      <c r="F13" s="145">
        <f t="shared" si="14"/>
        <v>1101.4279554239997</v>
      </c>
      <c r="G13" s="145">
        <f t="shared" si="14"/>
        <v>1084.5400224470986</v>
      </c>
      <c r="H13" s="145">
        <f t="shared" si="14"/>
        <v>1108.4502689931935</v>
      </c>
      <c r="I13" s="145">
        <f t="shared" si="14"/>
        <v>1164.8133950492922</v>
      </c>
      <c r="J13" s="145">
        <f t="shared" si="14"/>
        <v>1253.3435946403204</v>
      </c>
      <c r="K13" s="145">
        <f t="shared" si="14"/>
        <v>1374.5507023493728</v>
      </c>
      <c r="L13" s="145">
        <f t="shared" si="14"/>
        <v>1358.1981329273544</v>
      </c>
      <c r="M13" s="145">
        <f>M8-M10-M12</f>
        <v>1581.901354821272</v>
      </c>
    </row>
    <row r="16" spans="1:13">
      <c r="A16" s="200" t="s">
        <v>340</v>
      </c>
      <c r="C16">
        <f>(C3-B3)/C46</f>
        <v>160.69967989256926</v>
      </c>
      <c r="D16">
        <f t="shared" ref="D16:M16" si="15">(D3-C3)/D46</f>
        <v>164.41020427804926</v>
      </c>
      <c r="E16">
        <f t="shared" si="15"/>
        <v>168.20640395065226</v>
      </c>
      <c r="F16">
        <f t="shared" si="15"/>
        <v>172.09025713611098</v>
      </c>
      <c r="G16">
        <f t="shared" si="15"/>
        <v>176.06378773700607</v>
      </c>
      <c r="H16">
        <f t="shared" si="15"/>
        <v>175.30820454061694</v>
      </c>
      <c r="I16">
        <f t="shared" si="15"/>
        <v>175.30434685984224</v>
      </c>
      <c r="J16">
        <f t="shared" si="15"/>
        <v>175.93307673581887</v>
      </c>
      <c r="K16">
        <f t="shared" si="15"/>
        <v>177.09518271991024</v>
      </c>
      <c r="L16">
        <f t="shared" si="15"/>
        <v>178.70848689633334</v>
      </c>
      <c r="M16">
        <f t="shared" si="15"/>
        <v>173.67174310838834</v>
      </c>
    </row>
    <row r="17" spans="1:13">
      <c r="A17" s="139" t="s">
        <v>216</v>
      </c>
      <c r="C17" s="145">
        <f>C8-C16</f>
        <v>465.99011232767486</v>
      </c>
      <c r="D17" s="145">
        <f t="shared" ref="D17:L17" si="16">D8-D16</f>
        <v>525.86088631699613</v>
      </c>
      <c r="E17" s="145">
        <f t="shared" si="16"/>
        <v>592.09667490310562</v>
      </c>
      <c r="F17" s="145">
        <f t="shared" si="16"/>
        <v>665.34995959987975</v>
      </c>
      <c r="G17" s="145">
        <f t="shared" si="16"/>
        <v>746.33957496424819</v>
      </c>
      <c r="H17" s="145">
        <f t="shared" si="16"/>
        <v>854.6040594664355</v>
      </c>
      <c r="I17" s="145">
        <f t="shared" si="16"/>
        <v>974.4370654379253</v>
      </c>
      <c r="J17" s="145">
        <f t="shared" si="16"/>
        <v>1107.3510326400892</v>
      </c>
      <c r="K17" s="145">
        <f t="shared" si="16"/>
        <v>1254.9943756709336</v>
      </c>
      <c r="L17" s="145">
        <f t="shared" si="16"/>
        <v>1419.1716694887896</v>
      </c>
      <c r="M17" s="145">
        <f>M8-M16</f>
        <v>1583.9964289152472</v>
      </c>
    </row>
    <row r="20" spans="1:13">
      <c r="A20" s="139" t="s">
        <v>217</v>
      </c>
      <c r="B20" s="18"/>
      <c r="C20" s="18">
        <f>'Input Sheet'!B28</f>
        <v>0.14125029650766394</v>
      </c>
      <c r="D20" s="18">
        <f t="shared" ref="D20:H20" si="17">C20</f>
        <v>0.14125029650766394</v>
      </c>
      <c r="E20" s="18">
        <f t="shared" si="17"/>
        <v>0.14125029650766394</v>
      </c>
      <c r="F20" s="18">
        <f t="shared" si="17"/>
        <v>0.14125029650766394</v>
      </c>
      <c r="G20" s="18">
        <f t="shared" si="17"/>
        <v>0.14125029650766394</v>
      </c>
      <c r="H20" s="18">
        <f t="shared" si="17"/>
        <v>0.14125029650766394</v>
      </c>
      <c r="I20" s="18">
        <f>H20+($L$20-H20)/3</f>
        <v>0.10416686433844263</v>
      </c>
      <c r="J20" s="18">
        <f t="shared" ref="J20:K20" si="18">I20+($L$20-I20)/3</f>
        <v>7.9444576225628422E-2</v>
      </c>
      <c r="K20" s="18">
        <f t="shared" si="18"/>
        <v>6.2963050817085614E-2</v>
      </c>
      <c r="L20" s="18">
        <v>0.03</v>
      </c>
    </row>
    <row r="21" spans="1:13">
      <c r="A21" s="139" t="s">
        <v>218</v>
      </c>
      <c r="C21">
        <f>1/(1+C20)</f>
        <v>0.8762319738799601</v>
      </c>
      <c r="D21">
        <f>C21*(1/(1+D20))</f>
        <v>0.76778247204957106</v>
      </c>
      <c r="E21">
        <f t="shared" ref="E21:L21" si="19">D21*(1/(1+E20))</f>
        <v>0.67275555099443096</v>
      </c>
      <c r="F21">
        <f t="shared" si="19"/>
        <v>0.58948992438655035</v>
      </c>
      <c r="G21">
        <f t="shared" si="19"/>
        <v>0.51652992002757547</v>
      </c>
      <c r="H21">
        <f t="shared" si="19"/>
        <v>0.45260003139382038</v>
      </c>
      <c r="I21">
        <f t="shared" si="19"/>
        <v>0.40990184184253164</v>
      </c>
      <c r="J21">
        <f t="shared" si="19"/>
        <v>0.37973403254828425</v>
      </c>
      <c r="K21">
        <f t="shared" si="19"/>
        <v>0.35724104639045334</v>
      </c>
      <c r="L21">
        <f t="shared" si="19"/>
        <v>0.34683596736937217</v>
      </c>
    </row>
    <row r="22" spans="1:13">
      <c r="A22" s="139" t="s">
        <v>219</v>
      </c>
      <c r="C22" s="145">
        <f>C21*C13</f>
        <v>1263.6562036779053</v>
      </c>
      <c r="D22" s="145">
        <f t="shared" ref="D22:L22" si="20">D21*D13</f>
        <v>991.92811047790713</v>
      </c>
      <c r="E22" s="145">
        <f t="shared" si="20"/>
        <v>794.06529111089321</v>
      </c>
      <c r="F22" s="145">
        <f t="shared" si="20"/>
        <v>649.28068216012639</v>
      </c>
      <c r="G22" s="145">
        <f t="shared" si="20"/>
        <v>560.19737106130481</v>
      </c>
      <c r="H22" s="145">
        <f t="shared" si="20"/>
        <v>501.684626544808</v>
      </c>
      <c r="I22" s="145">
        <f t="shared" si="20"/>
        <v>477.45915603355729</v>
      </c>
      <c r="J22" s="145">
        <f t="shared" si="20"/>
        <v>475.93721736133102</v>
      </c>
      <c r="K22" s="145">
        <f t="shared" si="20"/>
        <v>491.04593122402252</v>
      </c>
      <c r="L22" s="145">
        <f t="shared" si="20"/>
        <v>471.07196331313412</v>
      </c>
    </row>
    <row r="24" spans="1:13">
      <c r="A24" s="140" t="s">
        <v>220</v>
      </c>
      <c r="B24" s="145">
        <f>M13</f>
        <v>1581.901354821272</v>
      </c>
      <c r="C24" s="140" t="s">
        <v>220</v>
      </c>
      <c r="D24" s="145">
        <f>M17</f>
        <v>1583.9964289152472</v>
      </c>
    </row>
    <row r="25" spans="1:13">
      <c r="A25" s="140" t="s">
        <v>221</v>
      </c>
      <c r="B25" s="122">
        <v>0.06</v>
      </c>
      <c r="C25" s="140" t="s">
        <v>221</v>
      </c>
      <c r="D25" s="122">
        <f>L20</f>
        <v>0.03</v>
      </c>
    </row>
    <row r="26" spans="1:13">
      <c r="A26" s="140" t="s">
        <v>222</v>
      </c>
      <c r="B26" s="145">
        <f>(B24/($B$25-$M$2))</f>
        <v>39547.533870531806</v>
      </c>
      <c r="C26" s="140" t="s">
        <v>222</v>
      </c>
      <c r="D26" s="145">
        <f>(D24/($B$25-$M$2))</f>
        <v>39599.910722881184</v>
      </c>
      <c r="G26" s="18"/>
    </row>
    <row r="27" spans="1:13">
      <c r="A27" s="140" t="s">
        <v>223</v>
      </c>
      <c r="B27" s="145">
        <f>B26*L21</f>
        <v>13716.50716705891</v>
      </c>
      <c r="C27" s="140" t="s">
        <v>223</v>
      </c>
      <c r="D27" s="145">
        <f>D26*L21</f>
        <v>13734.673343311269</v>
      </c>
    </row>
    <row r="28" spans="1:13">
      <c r="A28" s="140" t="s">
        <v>224</v>
      </c>
      <c r="B28" s="145">
        <f>SUM(C22:L22)</f>
        <v>6676.3265529649907</v>
      </c>
      <c r="C28" s="140" t="s">
        <v>224</v>
      </c>
      <c r="D28" s="145">
        <f>SUM(C17:M17)</f>
        <v>10190.191839731324</v>
      </c>
    </row>
    <row r="29" spans="1:13">
      <c r="A29" s="140" t="s">
        <v>225</v>
      </c>
      <c r="B29" s="145">
        <f>B27+B28</f>
        <v>20392.8337200239</v>
      </c>
      <c r="C29" s="140" t="s">
        <v>225</v>
      </c>
      <c r="D29" s="145">
        <f>D27+D28</f>
        <v>23924.865183042595</v>
      </c>
    </row>
    <row r="30" spans="1:13">
      <c r="A30" s="140" t="s">
        <v>226</v>
      </c>
      <c r="B30" s="21">
        <v>0</v>
      </c>
      <c r="C30" s="140" t="s">
        <v>226</v>
      </c>
      <c r="D30" s="21">
        <v>0</v>
      </c>
    </row>
    <row r="31" spans="1:13">
      <c r="A31" s="140" t="s">
        <v>227</v>
      </c>
      <c r="C31" s="140" t="s">
        <v>227</v>
      </c>
    </row>
    <row r="32" spans="1:13">
      <c r="A32" s="140" t="s">
        <v>228</v>
      </c>
      <c r="B32" s="145">
        <f>B29</f>
        <v>20392.8337200239</v>
      </c>
      <c r="C32" s="140" t="s">
        <v>228</v>
      </c>
      <c r="D32" s="145">
        <f>D29</f>
        <v>23924.865183042595</v>
      </c>
    </row>
    <row r="33" spans="1:13">
      <c r="A33" s="140" t="s">
        <v>229</v>
      </c>
      <c r="B33" s="145">
        <f>'Operating Leases'!E40</f>
        <v>9445.5925004596575</v>
      </c>
      <c r="C33" s="140" t="s">
        <v>229</v>
      </c>
      <c r="D33" s="145">
        <f>B33</f>
        <v>9445.5925004596575</v>
      </c>
    </row>
    <row r="34" spans="1:13">
      <c r="A34" s="140" t="s">
        <v>230</v>
      </c>
      <c r="B34">
        <f>'Input Sheet'!B16</f>
        <v>799.86</v>
      </c>
      <c r="C34" s="140" t="s">
        <v>230</v>
      </c>
      <c r="D34" s="145">
        <f t="shared" ref="D34:D36" si="21">B34</f>
        <v>799.86</v>
      </c>
    </row>
    <row r="35" spans="1:13">
      <c r="A35" s="140" t="s">
        <v>231</v>
      </c>
      <c r="B35">
        <f>'Input Sheet'!B14</f>
        <v>452.15</v>
      </c>
      <c r="C35" s="140" t="s">
        <v>231</v>
      </c>
      <c r="D35" s="145">
        <f t="shared" si="21"/>
        <v>452.15</v>
      </c>
    </row>
    <row r="36" spans="1:13">
      <c r="A36" s="140" t="s">
        <v>232</v>
      </c>
      <c r="B36">
        <f>'Input Sheet'!B15</f>
        <v>455.43</v>
      </c>
      <c r="C36" s="140" t="s">
        <v>232</v>
      </c>
      <c r="D36" s="145">
        <f t="shared" si="21"/>
        <v>455.43</v>
      </c>
    </row>
    <row r="37" spans="1:13">
      <c r="A37" s="140" t="s">
        <v>233</v>
      </c>
      <c r="B37" s="145">
        <f>B32-B33-B34+B35+B36</f>
        <v>11054.961219564242</v>
      </c>
      <c r="C37" s="140" t="s">
        <v>233</v>
      </c>
      <c r="D37" s="145">
        <f>D32-D33-D34+D35+D36</f>
        <v>14586.992682582937</v>
      </c>
    </row>
    <row r="38" spans="1:13">
      <c r="A38" s="140" t="s">
        <v>234</v>
      </c>
      <c r="B38">
        <v>0</v>
      </c>
      <c r="C38" s="140" t="s">
        <v>234</v>
      </c>
      <c r="D38">
        <v>0</v>
      </c>
    </row>
    <row r="39" spans="1:13">
      <c r="A39" s="140" t="s">
        <v>235</v>
      </c>
      <c r="B39" s="145">
        <f>B37-B38</f>
        <v>11054.961219564242</v>
      </c>
      <c r="C39" s="140" t="s">
        <v>235</v>
      </c>
      <c r="D39" s="145">
        <f>D37-D38</f>
        <v>14586.992682582937</v>
      </c>
    </row>
    <row r="40" spans="1:13">
      <c r="A40" s="140" t="s">
        <v>236</v>
      </c>
      <c r="B40">
        <f>'Input Sheet'!B17</f>
        <v>1189258445</v>
      </c>
      <c r="C40" s="140" t="s">
        <v>236</v>
      </c>
      <c r="D40">
        <f>B40</f>
        <v>1189258445</v>
      </c>
    </row>
    <row r="41" spans="1:13">
      <c r="A41" s="140" t="s">
        <v>237</v>
      </c>
      <c r="B41" s="145">
        <f>(B39*10^7)/B40</f>
        <v>92.956760290772976</v>
      </c>
      <c r="C41" s="140" t="s">
        <v>237</v>
      </c>
      <c r="D41" s="145">
        <f>(D39*10^7)/D40</f>
        <v>122.65620432556977</v>
      </c>
    </row>
    <row r="42" spans="1:13">
      <c r="A42" s="140" t="s">
        <v>238</v>
      </c>
      <c r="B42">
        <f>'Input Sheet'!B18</f>
        <v>154.33000000000001</v>
      </c>
      <c r="C42" s="140" t="s">
        <v>238</v>
      </c>
      <c r="D42">
        <f>B42</f>
        <v>154.33000000000001</v>
      </c>
    </row>
    <row r="43" spans="1:13">
      <c r="A43" s="140" t="s">
        <v>239</v>
      </c>
      <c r="B43" s="145">
        <f>B42/B41</f>
        <v>1.6602342800808543</v>
      </c>
      <c r="C43" s="140" t="s">
        <v>239</v>
      </c>
      <c r="D43" s="145">
        <f>D42/D41</f>
        <v>1.2582323156711877</v>
      </c>
    </row>
    <row r="45" spans="1:13" ht="16.2">
      <c r="A45" s="141" t="s">
        <v>240</v>
      </c>
    </row>
    <row r="46" spans="1:13">
      <c r="A46" s="140" t="s">
        <v>241</v>
      </c>
      <c r="C46" s="2">
        <f>Ratios!J69</f>
        <v>0.64829751626112375</v>
      </c>
      <c r="D46" s="2">
        <f>C46</f>
        <v>0.64829751626112375</v>
      </c>
      <c r="E46" s="2">
        <f t="shared" ref="E46:M46" si="22">D46</f>
        <v>0.64829751626112375</v>
      </c>
      <c r="F46" s="2">
        <f t="shared" si="22"/>
        <v>0.64829751626112375</v>
      </c>
      <c r="G46" s="2">
        <f t="shared" si="22"/>
        <v>0.64829751626112375</v>
      </c>
      <c r="H46" s="2">
        <f t="shared" si="22"/>
        <v>0.64829751626112375</v>
      </c>
      <c r="I46" s="2">
        <f t="shared" si="22"/>
        <v>0.64829751626112375</v>
      </c>
      <c r="J46" s="2">
        <f t="shared" si="22"/>
        <v>0.64829751626112375</v>
      </c>
      <c r="K46" s="2">
        <f t="shared" si="22"/>
        <v>0.64829751626112375</v>
      </c>
      <c r="L46" s="2">
        <f t="shared" si="22"/>
        <v>0.64829751626112375</v>
      </c>
      <c r="M46" s="2">
        <f t="shared" si="22"/>
        <v>0.64829751626112375</v>
      </c>
    </row>
    <row r="47" spans="1:13">
      <c r="A47" s="140" t="s">
        <v>387</v>
      </c>
      <c r="B47" s="145">
        <f>'Input Sheet'!B10-'Input Sheet'!B14+'Operating Leases'!E40</f>
        <v>14141.302500459657</v>
      </c>
      <c r="C47" s="145">
        <f>B47+C10</f>
        <v>14373.689192424614</v>
      </c>
      <c r="D47" s="145">
        <f t="shared" ref="D47:L47" si="23">C47+D10</f>
        <v>14629.652856256003</v>
      </c>
      <c r="E47" s="145">
        <f t="shared" si="23"/>
        <v>14911.585511899933</v>
      </c>
      <c r="F47" s="145">
        <f t="shared" si="23"/>
        <v>15222.121863539278</v>
      </c>
      <c r="G47" s="145">
        <f t="shared" si="23"/>
        <v>15530.216995749846</v>
      </c>
      <c r="H47" s="145">
        <f t="shared" si="23"/>
        <v>15836.318004918976</v>
      </c>
      <c r="I47" s="145">
        <f t="shared" si="23"/>
        <v>16135.719949146031</v>
      </c>
      <c r="J47" s="145">
        <f t="shared" si="23"/>
        <v>16422.669181597528</v>
      </c>
      <c r="K47" s="145">
        <f t="shared" si="23"/>
        <v>16690.187364277623</v>
      </c>
      <c r="L47" s="145">
        <f t="shared" si="23"/>
        <v>16929.869387735391</v>
      </c>
    </row>
    <row r="48" spans="1:13">
      <c r="A48" s="140" t="s">
        <v>388</v>
      </c>
      <c r="B48" s="83">
        <f>B8/B47</f>
        <v>2.9769898131139855E-2</v>
      </c>
      <c r="C48" s="83">
        <f t="shared" ref="C48:L48" si="24">C8/C47</f>
        <v>4.3599787349689556E-2</v>
      </c>
      <c r="D48" s="83">
        <f t="shared" si="24"/>
        <v>4.7183012295460472E-2</v>
      </c>
      <c r="E48" s="83">
        <f t="shared" si="24"/>
        <v>5.0987406955954558E-2</v>
      </c>
      <c r="F48" s="83">
        <f t="shared" si="24"/>
        <v>5.5014683514120706E-2</v>
      </c>
      <c r="G48" s="83">
        <f t="shared" si="24"/>
        <v>5.9394106531395423E-2</v>
      </c>
      <c r="H48" s="83">
        <f t="shared" si="24"/>
        <v>6.5034830930216711E-2</v>
      </c>
      <c r="I48" s="83">
        <f t="shared" si="24"/>
        <v>7.1254422853231081E-2</v>
      </c>
      <c r="J48" s="83">
        <f t="shared" si="24"/>
        <v>7.8141019293860955E-2</v>
      </c>
      <c r="K48" s="83">
        <f t="shared" si="24"/>
        <v>8.580428290793049E-2</v>
      </c>
      <c r="L48" s="83">
        <f t="shared" si="24"/>
        <v>9.4382308557128328E-2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ADC4-E1C9-4786-AF26-2D7331563F79}">
  <dimension ref="A1:K57"/>
  <sheetViews>
    <sheetView topLeftCell="A40" zoomScale="88" zoomScaleNormal="88" workbookViewId="0">
      <selection activeCell="G60" sqref="G60"/>
    </sheetView>
  </sheetViews>
  <sheetFormatPr defaultColWidth="9.77734375" defaultRowHeight="15.6"/>
  <cols>
    <col min="1" max="1" width="20.5546875" style="247" bestFit="1" customWidth="1"/>
    <col min="2" max="2" width="11.44140625" style="247" bestFit="1" customWidth="1"/>
    <col min="3" max="3" width="22" style="247" bestFit="1" customWidth="1"/>
    <col min="4" max="4" width="14.6640625" style="247" customWidth="1"/>
    <col min="5" max="5" width="14" style="247" bestFit="1" customWidth="1"/>
    <col min="6" max="6" width="21.88671875" style="252" customWidth="1"/>
    <col min="7" max="7" width="31.5546875" style="247" customWidth="1"/>
    <col min="8" max="8" width="15.109375" style="201" customWidth="1"/>
    <col min="9" max="256" width="9.77734375" style="201"/>
    <col min="257" max="257" width="18.109375" style="201" customWidth="1"/>
    <col min="258" max="258" width="11.44140625" style="201" bestFit="1" customWidth="1"/>
    <col min="259" max="259" width="15.6640625" style="201" customWidth="1"/>
    <col min="260" max="260" width="14.6640625" style="201" customWidth="1"/>
    <col min="261" max="261" width="12.33203125" style="201" customWidth="1"/>
    <col min="262" max="262" width="21.88671875" style="201" customWidth="1"/>
    <col min="263" max="263" width="31.5546875" style="201" customWidth="1"/>
    <col min="264" max="264" width="15.109375" style="201" customWidth="1"/>
    <col min="265" max="512" width="9.77734375" style="201"/>
    <col min="513" max="513" width="18.109375" style="201" customWidth="1"/>
    <col min="514" max="514" width="11.44140625" style="201" bestFit="1" customWidth="1"/>
    <col min="515" max="515" width="15.6640625" style="201" customWidth="1"/>
    <col min="516" max="516" width="14.6640625" style="201" customWidth="1"/>
    <col min="517" max="517" width="12.33203125" style="201" customWidth="1"/>
    <col min="518" max="518" width="21.88671875" style="201" customWidth="1"/>
    <col min="519" max="519" width="31.5546875" style="201" customWidth="1"/>
    <col min="520" max="520" width="15.109375" style="201" customWidth="1"/>
    <col min="521" max="768" width="9.77734375" style="201"/>
    <col min="769" max="769" width="18.109375" style="201" customWidth="1"/>
    <col min="770" max="770" width="11.44140625" style="201" bestFit="1" customWidth="1"/>
    <col min="771" max="771" width="15.6640625" style="201" customWidth="1"/>
    <col min="772" max="772" width="14.6640625" style="201" customWidth="1"/>
    <col min="773" max="773" width="12.33203125" style="201" customWidth="1"/>
    <col min="774" max="774" width="21.88671875" style="201" customWidth="1"/>
    <col min="775" max="775" width="31.5546875" style="201" customWidth="1"/>
    <col min="776" max="776" width="15.109375" style="201" customWidth="1"/>
    <col min="777" max="1024" width="9.77734375" style="201"/>
    <col min="1025" max="1025" width="18.109375" style="201" customWidth="1"/>
    <col min="1026" max="1026" width="11.44140625" style="201" bestFit="1" customWidth="1"/>
    <col min="1027" max="1027" width="15.6640625" style="201" customWidth="1"/>
    <col min="1028" max="1028" width="14.6640625" style="201" customWidth="1"/>
    <col min="1029" max="1029" width="12.33203125" style="201" customWidth="1"/>
    <col min="1030" max="1030" width="21.88671875" style="201" customWidth="1"/>
    <col min="1031" max="1031" width="31.5546875" style="201" customWidth="1"/>
    <col min="1032" max="1032" width="15.109375" style="201" customWidth="1"/>
    <col min="1033" max="1280" width="9.77734375" style="201"/>
    <col min="1281" max="1281" width="18.109375" style="201" customWidth="1"/>
    <col min="1282" max="1282" width="11.44140625" style="201" bestFit="1" customWidth="1"/>
    <col min="1283" max="1283" width="15.6640625" style="201" customWidth="1"/>
    <col min="1284" max="1284" width="14.6640625" style="201" customWidth="1"/>
    <col min="1285" max="1285" width="12.33203125" style="201" customWidth="1"/>
    <col min="1286" max="1286" width="21.88671875" style="201" customWidth="1"/>
    <col min="1287" max="1287" width="31.5546875" style="201" customWidth="1"/>
    <col min="1288" max="1288" width="15.109375" style="201" customWidth="1"/>
    <col min="1289" max="1536" width="9.77734375" style="201"/>
    <col min="1537" max="1537" width="18.109375" style="201" customWidth="1"/>
    <col min="1538" max="1538" width="11.44140625" style="201" bestFit="1" customWidth="1"/>
    <col min="1539" max="1539" width="15.6640625" style="201" customWidth="1"/>
    <col min="1540" max="1540" width="14.6640625" style="201" customWidth="1"/>
    <col min="1541" max="1541" width="12.33203125" style="201" customWidth="1"/>
    <col min="1542" max="1542" width="21.88671875" style="201" customWidth="1"/>
    <col min="1543" max="1543" width="31.5546875" style="201" customWidth="1"/>
    <col min="1544" max="1544" width="15.109375" style="201" customWidth="1"/>
    <col min="1545" max="1792" width="9.77734375" style="201"/>
    <col min="1793" max="1793" width="18.109375" style="201" customWidth="1"/>
    <col min="1794" max="1794" width="11.44140625" style="201" bestFit="1" customWidth="1"/>
    <col min="1795" max="1795" width="15.6640625" style="201" customWidth="1"/>
    <col min="1796" max="1796" width="14.6640625" style="201" customWidth="1"/>
    <col min="1797" max="1797" width="12.33203125" style="201" customWidth="1"/>
    <col min="1798" max="1798" width="21.88671875" style="201" customWidth="1"/>
    <col min="1799" max="1799" width="31.5546875" style="201" customWidth="1"/>
    <col min="1800" max="1800" width="15.109375" style="201" customWidth="1"/>
    <col min="1801" max="2048" width="9.77734375" style="201"/>
    <col min="2049" max="2049" width="18.109375" style="201" customWidth="1"/>
    <col min="2050" max="2050" width="11.44140625" style="201" bestFit="1" customWidth="1"/>
    <col min="2051" max="2051" width="15.6640625" style="201" customWidth="1"/>
    <col min="2052" max="2052" width="14.6640625" style="201" customWidth="1"/>
    <col min="2053" max="2053" width="12.33203125" style="201" customWidth="1"/>
    <col min="2054" max="2054" width="21.88671875" style="201" customWidth="1"/>
    <col min="2055" max="2055" width="31.5546875" style="201" customWidth="1"/>
    <col min="2056" max="2056" width="15.109375" style="201" customWidth="1"/>
    <col min="2057" max="2304" width="9.77734375" style="201"/>
    <col min="2305" max="2305" width="18.109375" style="201" customWidth="1"/>
    <col min="2306" max="2306" width="11.44140625" style="201" bestFit="1" customWidth="1"/>
    <col min="2307" max="2307" width="15.6640625" style="201" customWidth="1"/>
    <col min="2308" max="2308" width="14.6640625" style="201" customWidth="1"/>
    <col min="2309" max="2309" width="12.33203125" style="201" customWidth="1"/>
    <col min="2310" max="2310" width="21.88671875" style="201" customWidth="1"/>
    <col min="2311" max="2311" width="31.5546875" style="201" customWidth="1"/>
    <col min="2312" max="2312" width="15.109375" style="201" customWidth="1"/>
    <col min="2313" max="2560" width="9.77734375" style="201"/>
    <col min="2561" max="2561" width="18.109375" style="201" customWidth="1"/>
    <col min="2562" max="2562" width="11.44140625" style="201" bestFit="1" customWidth="1"/>
    <col min="2563" max="2563" width="15.6640625" style="201" customWidth="1"/>
    <col min="2564" max="2564" width="14.6640625" style="201" customWidth="1"/>
    <col min="2565" max="2565" width="12.33203125" style="201" customWidth="1"/>
    <col min="2566" max="2566" width="21.88671875" style="201" customWidth="1"/>
    <col min="2567" max="2567" width="31.5546875" style="201" customWidth="1"/>
    <col min="2568" max="2568" width="15.109375" style="201" customWidth="1"/>
    <col min="2569" max="2816" width="9.77734375" style="201"/>
    <col min="2817" max="2817" width="18.109375" style="201" customWidth="1"/>
    <col min="2818" max="2818" width="11.44140625" style="201" bestFit="1" customWidth="1"/>
    <col min="2819" max="2819" width="15.6640625" style="201" customWidth="1"/>
    <col min="2820" max="2820" width="14.6640625" style="201" customWidth="1"/>
    <col min="2821" max="2821" width="12.33203125" style="201" customWidth="1"/>
    <col min="2822" max="2822" width="21.88671875" style="201" customWidth="1"/>
    <col min="2823" max="2823" width="31.5546875" style="201" customWidth="1"/>
    <col min="2824" max="2824" width="15.109375" style="201" customWidth="1"/>
    <col min="2825" max="3072" width="9.77734375" style="201"/>
    <col min="3073" max="3073" width="18.109375" style="201" customWidth="1"/>
    <col min="3074" max="3074" width="11.44140625" style="201" bestFit="1" customWidth="1"/>
    <col min="3075" max="3075" width="15.6640625" style="201" customWidth="1"/>
    <col min="3076" max="3076" width="14.6640625" style="201" customWidth="1"/>
    <col min="3077" max="3077" width="12.33203125" style="201" customWidth="1"/>
    <col min="3078" max="3078" width="21.88671875" style="201" customWidth="1"/>
    <col min="3079" max="3079" width="31.5546875" style="201" customWidth="1"/>
    <col min="3080" max="3080" width="15.109375" style="201" customWidth="1"/>
    <col min="3081" max="3328" width="9.77734375" style="201"/>
    <col min="3329" max="3329" width="18.109375" style="201" customWidth="1"/>
    <col min="3330" max="3330" width="11.44140625" style="201" bestFit="1" customWidth="1"/>
    <col min="3331" max="3331" width="15.6640625" style="201" customWidth="1"/>
    <col min="3332" max="3332" width="14.6640625" style="201" customWidth="1"/>
    <col min="3333" max="3333" width="12.33203125" style="201" customWidth="1"/>
    <col min="3334" max="3334" width="21.88671875" style="201" customWidth="1"/>
    <col min="3335" max="3335" width="31.5546875" style="201" customWidth="1"/>
    <col min="3336" max="3336" width="15.109375" style="201" customWidth="1"/>
    <col min="3337" max="3584" width="9.77734375" style="201"/>
    <col min="3585" max="3585" width="18.109375" style="201" customWidth="1"/>
    <col min="3586" max="3586" width="11.44140625" style="201" bestFit="1" customWidth="1"/>
    <col min="3587" max="3587" width="15.6640625" style="201" customWidth="1"/>
    <col min="3588" max="3588" width="14.6640625" style="201" customWidth="1"/>
    <col min="3589" max="3589" width="12.33203125" style="201" customWidth="1"/>
    <col min="3590" max="3590" width="21.88671875" style="201" customWidth="1"/>
    <col min="3591" max="3591" width="31.5546875" style="201" customWidth="1"/>
    <col min="3592" max="3592" width="15.109375" style="201" customWidth="1"/>
    <col min="3593" max="3840" width="9.77734375" style="201"/>
    <col min="3841" max="3841" width="18.109375" style="201" customWidth="1"/>
    <col min="3842" max="3842" width="11.44140625" style="201" bestFit="1" customWidth="1"/>
    <col min="3843" max="3843" width="15.6640625" style="201" customWidth="1"/>
    <col min="3844" max="3844" width="14.6640625" style="201" customWidth="1"/>
    <col min="3845" max="3845" width="12.33203125" style="201" customWidth="1"/>
    <col min="3846" max="3846" width="21.88671875" style="201" customWidth="1"/>
    <col min="3847" max="3847" width="31.5546875" style="201" customWidth="1"/>
    <col min="3848" max="3848" width="15.109375" style="201" customWidth="1"/>
    <col min="3849" max="4096" width="9.77734375" style="201"/>
    <col min="4097" max="4097" width="18.109375" style="201" customWidth="1"/>
    <col min="4098" max="4098" width="11.44140625" style="201" bestFit="1" customWidth="1"/>
    <col min="4099" max="4099" width="15.6640625" style="201" customWidth="1"/>
    <col min="4100" max="4100" width="14.6640625" style="201" customWidth="1"/>
    <col min="4101" max="4101" width="12.33203125" style="201" customWidth="1"/>
    <col min="4102" max="4102" width="21.88671875" style="201" customWidth="1"/>
    <col min="4103" max="4103" width="31.5546875" style="201" customWidth="1"/>
    <col min="4104" max="4104" width="15.109375" style="201" customWidth="1"/>
    <col min="4105" max="4352" width="9.77734375" style="201"/>
    <col min="4353" max="4353" width="18.109375" style="201" customWidth="1"/>
    <col min="4354" max="4354" width="11.44140625" style="201" bestFit="1" customWidth="1"/>
    <col min="4355" max="4355" width="15.6640625" style="201" customWidth="1"/>
    <col min="4356" max="4356" width="14.6640625" style="201" customWidth="1"/>
    <col min="4357" max="4357" width="12.33203125" style="201" customWidth="1"/>
    <col min="4358" max="4358" width="21.88671875" style="201" customWidth="1"/>
    <col min="4359" max="4359" width="31.5546875" style="201" customWidth="1"/>
    <col min="4360" max="4360" width="15.109375" style="201" customWidth="1"/>
    <col min="4361" max="4608" width="9.77734375" style="201"/>
    <col min="4609" max="4609" width="18.109375" style="201" customWidth="1"/>
    <col min="4610" max="4610" width="11.44140625" style="201" bestFit="1" customWidth="1"/>
    <col min="4611" max="4611" width="15.6640625" style="201" customWidth="1"/>
    <col min="4612" max="4612" width="14.6640625" style="201" customWidth="1"/>
    <col min="4613" max="4613" width="12.33203125" style="201" customWidth="1"/>
    <col min="4614" max="4614" width="21.88671875" style="201" customWidth="1"/>
    <col min="4615" max="4615" width="31.5546875" style="201" customWidth="1"/>
    <col min="4616" max="4616" width="15.109375" style="201" customWidth="1"/>
    <col min="4617" max="4864" width="9.77734375" style="201"/>
    <col min="4865" max="4865" width="18.109375" style="201" customWidth="1"/>
    <col min="4866" max="4866" width="11.44140625" style="201" bestFit="1" customWidth="1"/>
    <col min="4867" max="4867" width="15.6640625" style="201" customWidth="1"/>
    <col min="4868" max="4868" width="14.6640625" style="201" customWidth="1"/>
    <col min="4869" max="4869" width="12.33203125" style="201" customWidth="1"/>
    <col min="4870" max="4870" width="21.88671875" style="201" customWidth="1"/>
    <col min="4871" max="4871" width="31.5546875" style="201" customWidth="1"/>
    <col min="4872" max="4872" width="15.109375" style="201" customWidth="1"/>
    <col min="4873" max="5120" width="9.77734375" style="201"/>
    <col min="5121" max="5121" width="18.109375" style="201" customWidth="1"/>
    <col min="5122" max="5122" width="11.44140625" style="201" bestFit="1" customWidth="1"/>
    <col min="5123" max="5123" width="15.6640625" style="201" customWidth="1"/>
    <col min="5124" max="5124" width="14.6640625" style="201" customWidth="1"/>
    <col min="5125" max="5125" width="12.33203125" style="201" customWidth="1"/>
    <col min="5126" max="5126" width="21.88671875" style="201" customWidth="1"/>
    <col min="5127" max="5127" width="31.5546875" style="201" customWidth="1"/>
    <col min="5128" max="5128" width="15.109375" style="201" customWidth="1"/>
    <col min="5129" max="5376" width="9.77734375" style="201"/>
    <col min="5377" max="5377" width="18.109375" style="201" customWidth="1"/>
    <col min="5378" max="5378" width="11.44140625" style="201" bestFit="1" customWidth="1"/>
    <col min="5379" max="5379" width="15.6640625" style="201" customWidth="1"/>
    <col min="5380" max="5380" width="14.6640625" style="201" customWidth="1"/>
    <col min="5381" max="5381" width="12.33203125" style="201" customWidth="1"/>
    <col min="5382" max="5382" width="21.88671875" style="201" customWidth="1"/>
    <col min="5383" max="5383" width="31.5546875" style="201" customWidth="1"/>
    <col min="5384" max="5384" width="15.109375" style="201" customWidth="1"/>
    <col min="5385" max="5632" width="9.77734375" style="201"/>
    <col min="5633" max="5633" width="18.109375" style="201" customWidth="1"/>
    <col min="5634" max="5634" width="11.44140625" style="201" bestFit="1" customWidth="1"/>
    <col min="5635" max="5635" width="15.6640625" style="201" customWidth="1"/>
    <col min="5636" max="5636" width="14.6640625" style="201" customWidth="1"/>
    <col min="5637" max="5637" width="12.33203125" style="201" customWidth="1"/>
    <col min="5638" max="5638" width="21.88671875" style="201" customWidth="1"/>
    <col min="5639" max="5639" width="31.5546875" style="201" customWidth="1"/>
    <col min="5640" max="5640" width="15.109375" style="201" customWidth="1"/>
    <col min="5641" max="5888" width="9.77734375" style="201"/>
    <col min="5889" max="5889" width="18.109375" style="201" customWidth="1"/>
    <col min="5890" max="5890" width="11.44140625" style="201" bestFit="1" customWidth="1"/>
    <col min="5891" max="5891" width="15.6640625" style="201" customWidth="1"/>
    <col min="5892" max="5892" width="14.6640625" style="201" customWidth="1"/>
    <col min="5893" max="5893" width="12.33203125" style="201" customWidth="1"/>
    <col min="5894" max="5894" width="21.88671875" style="201" customWidth="1"/>
    <col min="5895" max="5895" width="31.5546875" style="201" customWidth="1"/>
    <col min="5896" max="5896" width="15.109375" style="201" customWidth="1"/>
    <col min="5897" max="6144" width="9.77734375" style="201"/>
    <col min="6145" max="6145" width="18.109375" style="201" customWidth="1"/>
    <col min="6146" max="6146" width="11.44140625" style="201" bestFit="1" customWidth="1"/>
    <col min="6147" max="6147" width="15.6640625" style="201" customWidth="1"/>
    <col min="6148" max="6148" width="14.6640625" style="201" customWidth="1"/>
    <col min="6149" max="6149" width="12.33203125" style="201" customWidth="1"/>
    <col min="6150" max="6150" width="21.88671875" style="201" customWidth="1"/>
    <col min="6151" max="6151" width="31.5546875" style="201" customWidth="1"/>
    <col min="6152" max="6152" width="15.109375" style="201" customWidth="1"/>
    <col min="6153" max="6400" width="9.77734375" style="201"/>
    <col min="6401" max="6401" width="18.109375" style="201" customWidth="1"/>
    <col min="6402" max="6402" width="11.44140625" style="201" bestFit="1" customWidth="1"/>
    <col min="6403" max="6403" width="15.6640625" style="201" customWidth="1"/>
    <col min="6404" max="6404" width="14.6640625" style="201" customWidth="1"/>
    <col min="6405" max="6405" width="12.33203125" style="201" customWidth="1"/>
    <col min="6406" max="6406" width="21.88671875" style="201" customWidth="1"/>
    <col min="6407" max="6407" width="31.5546875" style="201" customWidth="1"/>
    <col min="6408" max="6408" width="15.109375" style="201" customWidth="1"/>
    <col min="6409" max="6656" width="9.77734375" style="201"/>
    <col min="6657" max="6657" width="18.109375" style="201" customWidth="1"/>
    <col min="6658" max="6658" width="11.44140625" style="201" bestFit="1" customWidth="1"/>
    <col min="6659" max="6659" width="15.6640625" style="201" customWidth="1"/>
    <col min="6660" max="6660" width="14.6640625" style="201" customWidth="1"/>
    <col min="6661" max="6661" width="12.33203125" style="201" customWidth="1"/>
    <col min="6662" max="6662" width="21.88671875" style="201" customWidth="1"/>
    <col min="6663" max="6663" width="31.5546875" style="201" customWidth="1"/>
    <col min="6664" max="6664" width="15.109375" style="201" customWidth="1"/>
    <col min="6665" max="6912" width="9.77734375" style="201"/>
    <col min="6913" max="6913" width="18.109375" style="201" customWidth="1"/>
    <col min="6914" max="6914" width="11.44140625" style="201" bestFit="1" customWidth="1"/>
    <col min="6915" max="6915" width="15.6640625" style="201" customWidth="1"/>
    <col min="6916" max="6916" width="14.6640625" style="201" customWidth="1"/>
    <col min="6917" max="6917" width="12.33203125" style="201" customWidth="1"/>
    <col min="6918" max="6918" width="21.88671875" style="201" customWidth="1"/>
    <col min="6919" max="6919" width="31.5546875" style="201" customWidth="1"/>
    <col min="6920" max="6920" width="15.109375" style="201" customWidth="1"/>
    <col min="6921" max="7168" width="9.77734375" style="201"/>
    <col min="7169" max="7169" width="18.109375" style="201" customWidth="1"/>
    <col min="7170" max="7170" width="11.44140625" style="201" bestFit="1" customWidth="1"/>
    <col min="7171" max="7171" width="15.6640625" style="201" customWidth="1"/>
    <col min="7172" max="7172" width="14.6640625" style="201" customWidth="1"/>
    <col min="7173" max="7173" width="12.33203125" style="201" customWidth="1"/>
    <col min="7174" max="7174" width="21.88671875" style="201" customWidth="1"/>
    <col min="7175" max="7175" width="31.5546875" style="201" customWidth="1"/>
    <col min="7176" max="7176" width="15.109375" style="201" customWidth="1"/>
    <col min="7177" max="7424" width="9.77734375" style="201"/>
    <col min="7425" max="7425" width="18.109375" style="201" customWidth="1"/>
    <col min="7426" max="7426" width="11.44140625" style="201" bestFit="1" customWidth="1"/>
    <col min="7427" max="7427" width="15.6640625" style="201" customWidth="1"/>
    <col min="7428" max="7428" width="14.6640625" style="201" customWidth="1"/>
    <col min="7429" max="7429" width="12.33203125" style="201" customWidth="1"/>
    <col min="7430" max="7430" width="21.88671875" style="201" customWidth="1"/>
    <col min="7431" max="7431" width="31.5546875" style="201" customWidth="1"/>
    <col min="7432" max="7432" width="15.109375" style="201" customWidth="1"/>
    <col min="7433" max="7680" width="9.77734375" style="201"/>
    <col min="7681" max="7681" width="18.109375" style="201" customWidth="1"/>
    <col min="7682" max="7682" width="11.44140625" style="201" bestFit="1" customWidth="1"/>
    <col min="7683" max="7683" width="15.6640625" style="201" customWidth="1"/>
    <col min="7684" max="7684" width="14.6640625" style="201" customWidth="1"/>
    <col min="7685" max="7685" width="12.33203125" style="201" customWidth="1"/>
    <col min="7686" max="7686" width="21.88671875" style="201" customWidth="1"/>
    <col min="7687" max="7687" width="31.5546875" style="201" customWidth="1"/>
    <col min="7688" max="7688" width="15.109375" style="201" customWidth="1"/>
    <col min="7689" max="7936" width="9.77734375" style="201"/>
    <col min="7937" max="7937" width="18.109375" style="201" customWidth="1"/>
    <col min="7938" max="7938" width="11.44140625" style="201" bestFit="1" customWidth="1"/>
    <col min="7939" max="7939" width="15.6640625" style="201" customWidth="1"/>
    <col min="7940" max="7940" width="14.6640625" style="201" customWidth="1"/>
    <col min="7941" max="7941" width="12.33203125" style="201" customWidth="1"/>
    <col min="7942" max="7942" width="21.88671875" style="201" customWidth="1"/>
    <col min="7943" max="7943" width="31.5546875" style="201" customWidth="1"/>
    <col min="7944" max="7944" width="15.109375" style="201" customWidth="1"/>
    <col min="7945" max="8192" width="9.77734375" style="201"/>
    <col min="8193" max="8193" width="18.109375" style="201" customWidth="1"/>
    <col min="8194" max="8194" width="11.44140625" style="201" bestFit="1" customWidth="1"/>
    <col min="8195" max="8195" width="15.6640625" style="201" customWidth="1"/>
    <col min="8196" max="8196" width="14.6640625" style="201" customWidth="1"/>
    <col min="8197" max="8197" width="12.33203125" style="201" customWidth="1"/>
    <col min="8198" max="8198" width="21.88671875" style="201" customWidth="1"/>
    <col min="8199" max="8199" width="31.5546875" style="201" customWidth="1"/>
    <col min="8200" max="8200" width="15.109375" style="201" customWidth="1"/>
    <col min="8201" max="8448" width="9.77734375" style="201"/>
    <col min="8449" max="8449" width="18.109375" style="201" customWidth="1"/>
    <col min="8450" max="8450" width="11.44140625" style="201" bestFit="1" customWidth="1"/>
    <col min="8451" max="8451" width="15.6640625" style="201" customWidth="1"/>
    <col min="8452" max="8452" width="14.6640625" style="201" customWidth="1"/>
    <col min="8453" max="8453" width="12.33203125" style="201" customWidth="1"/>
    <col min="8454" max="8454" width="21.88671875" style="201" customWidth="1"/>
    <col min="8455" max="8455" width="31.5546875" style="201" customWidth="1"/>
    <col min="8456" max="8456" width="15.109375" style="201" customWidth="1"/>
    <col min="8457" max="8704" width="9.77734375" style="201"/>
    <col min="8705" max="8705" width="18.109375" style="201" customWidth="1"/>
    <col min="8706" max="8706" width="11.44140625" style="201" bestFit="1" customWidth="1"/>
    <col min="8707" max="8707" width="15.6640625" style="201" customWidth="1"/>
    <col min="8708" max="8708" width="14.6640625" style="201" customWidth="1"/>
    <col min="8709" max="8709" width="12.33203125" style="201" customWidth="1"/>
    <col min="8710" max="8710" width="21.88671875" style="201" customWidth="1"/>
    <col min="8711" max="8711" width="31.5546875" style="201" customWidth="1"/>
    <col min="8712" max="8712" width="15.109375" style="201" customWidth="1"/>
    <col min="8713" max="8960" width="9.77734375" style="201"/>
    <col min="8961" max="8961" width="18.109375" style="201" customWidth="1"/>
    <col min="8962" max="8962" width="11.44140625" style="201" bestFit="1" customWidth="1"/>
    <col min="8963" max="8963" width="15.6640625" style="201" customWidth="1"/>
    <col min="8964" max="8964" width="14.6640625" style="201" customWidth="1"/>
    <col min="8965" max="8965" width="12.33203125" style="201" customWidth="1"/>
    <col min="8966" max="8966" width="21.88671875" style="201" customWidth="1"/>
    <col min="8967" max="8967" width="31.5546875" style="201" customWidth="1"/>
    <col min="8968" max="8968" width="15.109375" style="201" customWidth="1"/>
    <col min="8969" max="9216" width="9.77734375" style="201"/>
    <col min="9217" max="9217" width="18.109375" style="201" customWidth="1"/>
    <col min="9218" max="9218" width="11.44140625" style="201" bestFit="1" customWidth="1"/>
    <col min="9219" max="9219" width="15.6640625" style="201" customWidth="1"/>
    <col min="9220" max="9220" width="14.6640625" style="201" customWidth="1"/>
    <col min="9221" max="9221" width="12.33203125" style="201" customWidth="1"/>
    <col min="9222" max="9222" width="21.88671875" style="201" customWidth="1"/>
    <col min="9223" max="9223" width="31.5546875" style="201" customWidth="1"/>
    <col min="9224" max="9224" width="15.109375" style="201" customWidth="1"/>
    <col min="9225" max="9472" width="9.77734375" style="201"/>
    <col min="9473" max="9473" width="18.109375" style="201" customWidth="1"/>
    <col min="9474" max="9474" width="11.44140625" style="201" bestFit="1" customWidth="1"/>
    <col min="9475" max="9475" width="15.6640625" style="201" customWidth="1"/>
    <col min="9476" max="9476" width="14.6640625" style="201" customWidth="1"/>
    <col min="9477" max="9477" width="12.33203125" style="201" customWidth="1"/>
    <col min="9478" max="9478" width="21.88671875" style="201" customWidth="1"/>
    <col min="9479" max="9479" width="31.5546875" style="201" customWidth="1"/>
    <col min="9480" max="9480" width="15.109375" style="201" customWidth="1"/>
    <col min="9481" max="9728" width="9.77734375" style="201"/>
    <col min="9729" max="9729" width="18.109375" style="201" customWidth="1"/>
    <col min="9730" max="9730" width="11.44140625" style="201" bestFit="1" customWidth="1"/>
    <col min="9731" max="9731" width="15.6640625" style="201" customWidth="1"/>
    <col min="9732" max="9732" width="14.6640625" style="201" customWidth="1"/>
    <col min="9733" max="9733" width="12.33203125" style="201" customWidth="1"/>
    <col min="9734" max="9734" width="21.88671875" style="201" customWidth="1"/>
    <col min="9735" max="9735" width="31.5546875" style="201" customWidth="1"/>
    <col min="9736" max="9736" width="15.109375" style="201" customWidth="1"/>
    <col min="9737" max="9984" width="9.77734375" style="201"/>
    <col min="9985" max="9985" width="18.109375" style="201" customWidth="1"/>
    <col min="9986" max="9986" width="11.44140625" style="201" bestFit="1" customWidth="1"/>
    <col min="9987" max="9987" width="15.6640625" style="201" customWidth="1"/>
    <col min="9988" max="9988" width="14.6640625" style="201" customWidth="1"/>
    <col min="9989" max="9989" width="12.33203125" style="201" customWidth="1"/>
    <col min="9990" max="9990" width="21.88671875" style="201" customWidth="1"/>
    <col min="9991" max="9991" width="31.5546875" style="201" customWidth="1"/>
    <col min="9992" max="9992" width="15.109375" style="201" customWidth="1"/>
    <col min="9993" max="10240" width="9.77734375" style="201"/>
    <col min="10241" max="10241" width="18.109375" style="201" customWidth="1"/>
    <col min="10242" max="10242" width="11.44140625" style="201" bestFit="1" customWidth="1"/>
    <col min="10243" max="10243" width="15.6640625" style="201" customWidth="1"/>
    <col min="10244" max="10244" width="14.6640625" style="201" customWidth="1"/>
    <col min="10245" max="10245" width="12.33203125" style="201" customWidth="1"/>
    <col min="10246" max="10246" width="21.88671875" style="201" customWidth="1"/>
    <col min="10247" max="10247" width="31.5546875" style="201" customWidth="1"/>
    <col min="10248" max="10248" width="15.109375" style="201" customWidth="1"/>
    <col min="10249" max="10496" width="9.77734375" style="201"/>
    <col min="10497" max="10497" width="18.109375" style="201" customWidth="1"/>
    <col min="10498" max="10498" width="11.44140625" style="201" bestFit="1" customWidth="1"/>
    <col min="10499" max="10499" width="15.6640625" style="201" customWidth="1"/>
    <col min="10500" max="10500" width="14.6640625" style="201" customWidth="1"/>
    <col min="10501" max="10501" width="12.33203125" style="201" customWidth="1"/>
    <col min="10502" max="10502" width="21.88671875" style="201" customWidth="1"/>
    <col min="10503" max="10503" width="31.5546875" style="201" customWidth="1"/>
    <col min="10504" max="10504" width="15.109375" style="201" customWidth="1"/>
    <col min="10505" max="10752" width="9.77734375" style="201"/>
    <col min="10753" max="10753" width="18.109375" style="201" customWidth="1"/>
    <col min="10754" max="10754" width="11.44140625" style="201" bestFit="1" customWidth="1"/>
    <col min="10755" max="10755" width="15.6640625" style="201" customWidth="1"/>
    <col min="10756" max="10756" width="14.6640625" style="201" customWidth="1"/>
    <col min="10757" max="10757" width="12.33203125" style="201" customWidth="1"/>
    <col min="10758" max="10758" width="21.88671875" style="201" customWidth="1"/>
    <col min="10759" max="10759" width="31.5546875" style="201" customWidth="1"/>
    <col min="10760" max="10760" width="15.109375" style="201" customWidth="1"/>
    <col min="10761" max="11008" width="9.77734375" style="201"/>
    <col min="11009" max="11009" width="18.109375" style="201" customWidth="1"/>
    <col min="11010" max="11010" width="11.44140625" style="201" bestFit="1" customWidth="1"/>
    <col min="11011" max="11011" width="15.6640625" style="201" customWidth="1"/>
    <col min="11012" max="11012" width="14.6640625" style="201" customWidth="1"/>
    <col min="11013" max="11013" width="12.33203125" style="201" customWidth="1"/>
    <col min="11014" max="11014" width="21.88671875" style="201" customWidth="1"/>
    <col min="11015" max="11015" width="31.5546875" style="201" customWidth="1"/>
    <col min="11016" max="11016" width="15.109375" style="201" customWidth="1"/>
    <col min="11017" max="11264" width="9.77734375" style="201"/>
    <col min="11265" max="11265" width="18.109375" style="201" customWidth="1"/>
    <col min="11266" max="11266" width="11.44140625" style="201" bestFit="1" customWidth="1"/>
    <col min="11267" max="11267" width="15.6640625" style="201" customWidth="1"/>
    <col min="11268" max="11268" width="14.6640625" style="201" customWidth="1"/>
    <col min="11269" max="11269" width="12.33203125" style="201" customWidth="1"/>
    <col min="11270" max="11270" width="21.88671875" style="201" customWidth="1"/>
    <col min="11271" max="11271" width="31.5546875" style="201" customWidth="1"/>
    <col min="11272" max="11272" width="15.109375" style="201" customWidth="1"/>
    <col min="11273" max="11520" width="9.77734375" style="201"/>
    <col min="11521" max="11521" width="18.109375" style="201" customWidth="1"/>
    <col min="11522" max="11522" width="11.44140625" style="201" bestFit="1" customWidth="1"/>
    <col min="11523" max="11523" width="15.6640625" style="201" customWidth="1"/>
    <col min="11524" max="11524" width="14.6640625" style="201" customWidth="1"/>
    <col min="11525" max="11525" width="12.33203125" style="201" customWidth="1"/>
    <col min="11526" max="11526" width="21.88671875" style="201" customWidth="1"/>
    <col min="11527" max="11527" width="31.5546875" style="201" customWidth="1"/>
    <col min="11528" max="11528" width="15.109375" style="201" customWidth="1"/>
    <col min="11529" max="11776" width="9.77734375" style="201"/>
    <col min="11777" max="11777" width="18.109375" style="201" customWidth="1"/>
    <col min="11778" max="11778" width="11.44140625" style="201" bestFit="1" customWidth="1"/>
    <col min="11779" max="11779" width="15.6640625" style="201" customWidth="1"/>
    <col min="11780" max="11780" width="14.6640625" style="201" customWidth="1"/>
    <col min="11781" max="11781" width="12.33203125" style="201" customWidth="1"/>
    <col min="11782" max="11782" width="21.88671875" style="201" customWidth="1"/>
    <col min="11783" max="11783" width="31.5546875" style="201" customWidth="1"/>
    <col min="11784" max="11784" width="15.109375" style="201" customWidth="1"/>
    <col min="11785" max="12032" width="9.77734375" style="201"/>
    <col min="12033" max="12033" width="18.109375" style="201" customWidth="1"/>
    <col min="12034" max="12034" width="11.44140625" style="201" bestFit="1" customWidth="1"/>
    <col min="12035" max="12035" width="15.6640625" style="201" customWidth="1"/>
    <col min="12036" max="12036" width="14.6640625" style="201" customWidth="1"/>
    <col min="12037" max="12037" width="12.33203125" style="201" customWidth="1"/>
    <col min="12038" max="12038" width="21.88671875" style="201" customWidth="1"/>
    <col min="12039" max="12039" width="31.5546875" style="201" customWidth="1"/>
    <col min="12040" max="12040" width="15.109375" style="201" customWidth="1"/>
    <col min="12041" max="12288" width="9.77734375" style="201"/>
    <col min="12289" max="12289" width="18.109375" style="201" customWidth="1"/>
    <col min="12290" max="12290" width="11.44140625" style="201" bestFit="1" customWidth="1"/>
    <col min="12291" max="12291" width="15.6640625" style="201" customWidth="1"/>
    <col min="12292" max="12292" width="14.6640625" style="201" customWidth="1"/>
    <col min="12293" max="12293" width="12.33203125" style="201" customWidth="1"/>
    <col min="12294" max="12294" width="21.88671875" style="201" customWidth="1"/>
    <col min="12295" max="12295" width="31.5546875" style="201" customWidth="1"/>
    <col min="12296" max="12296" width="15.109375" style="201" customWidth="1"/>
    <col min="12297" max="12544" width="9.77734375" style="201"/>
    <col min="12545" max="12545" width="18.109375" style="201" customWidth="1"/>
    <col min="12546" max="12546" width="11.44140625" style="201" bestFit="1" customWidth="1"/>
    <col min="12547" max="12547" width="15.6640625" style="201" customWidth="1"/>
    <col min="12548" max="12548" width="14.6640625" style="201" customWidth="1"/>
    <col min="12549" max="12549" width="12.33203125" style="201" customWidth="1"/>
    <col min="12550" max="12550" width="21.88671875" style="201" customWidth="1"/>
    <col min="12551" max="12551" width="31.5546875" style="201" customWidth="1"/>
    <col min="12552" max="12552" width="15.109375" style="201" customWidth="1"/>
    <col min="12553" max="12800" width="9.77734375" style="201"/>
    <col min="12801" max="12801" width="18.109375" style="201" customWidth="1"/>
    <col min="12802" max="12802" width="11.44140625" style="201" bestFit="1" customWidth="1"/>
    <col min="12803" max="12803" width="15.6640625" style="201" customWidth="1"/>
    <col min="12804" max="12804" width="14.6640625" style="201" customWidth="1"/>
    <col min="12805" max="12805" width="12.33203125" style="201" customWidth="1"/>
    <col min="12806" max="12806" width="21.88671875" style="201" customWidth="1"/>
    <col min="12807" max="12807" width="31.5546875" style="201" customWidth="1"/>
    <col min="12808" max="12808" width="15.109375" style="201" customWidth="1"/>
    <col min="12809" max="13056" width="9.77734375" style="201"/>
    <col min="13057" max="13057" width="18.109375" style="201" customWidth="1"/>
    <col min="13058" max="13058" width="11.44140625" style="201" bestFit="1" customWidth="1"/>
    <col min="13059" max="13059" width="15.6640625" style="201" customWidth="1"/>
    <col min="13060" max="13060" width="14.6640625" style="201" customWidth="1"/>
    <col min="13061" max="13061" width="12.33203125" style="201" customWidth="1"/>
    <col min="13062" max="13062" width="21.88671875" style="201" customWidth="1"/>
    <col min="13063" max="13063" width="31.5546875" style="201" customWidth="1"/>
    <col min="13064" max="13064" width="15.109375" style="201" customWidth="1"/>
    <col min="13065" max="13312" width="9.77734375" style="201"/>
    <col min="13313" max="13313" width="18.109375" style="201" customWidth="1"/>
    <col min="13314" max="13314" width="11.44140625" style="201" bestFit="1" customWidth="1"/>
    <col min="13315" max="13315" width="15.6640625" style="201" customWidth="1"/>
    <col min="13316" max="13316" width="14.6640625" style="201" customWidth="1"/>
    <col min="13317" max="13317" width="12.33203125" style="201" customWidth="1"/>
    <col min="13318" max="13318" width="21.88671875" style="201" customWidth="1"/>
    <col min="13319" max="13319" width="31.5546875" style="201" customWidth="1"/>
    <col min="13320" max="13320" width="15.109375" style="201" customWidth="1"/>
    <col min="13321" max="13568" width="9.77734375" style="201"/>
    <col min="13569" max="13569" width="18.109375" style="201" customWidth="1"/>
    <col min="13570" max="13570" width="11.44140625" style="201" bestFit="1" customWidth="1"/>
    <col min="13571" max="13571" width="15.6640625" style="201" customWidth="1"/>
    <col min="13572" max="13572" width="14.6640625" style="201" customWidth="1"/>
    <col min="13573" max="13573" width="12.33203125" style="201" customWidth="1"/>
    <col min="13574" max="13574" width="21.88671875" style="201" customWidth="1"/>
    <col min="13575" max="13575" width="31.5546875" style="201" customWidth="1"/>
    <col min="13576" max="13576" width="15.109375" style="201" customWidth="1"/>
    <col min="13577" max="13824" width="9.77734375" style="201"/>
    <col min="13825" max="13825" width="18.109375" style="201" customWidth="1"/>
    <col min="13826" max="13826" width="11.44140625" style="201" bestFit="1" customWidth="1"/>
    <col min="13827" max="13827" width="15.6640625" style="201" customWidth="1"/>
    <col min="13828" max="13828" width="14.6640625" style="201" customWidth="1"/>
    <col min="13829" max="13829" width="12.33203125" style="201" customWidth="1"/>
    <col min="13830" max="13830" width="21.88671875" style="201" customWidth="1"/>
    <col min="13831" max="13831" width="31.5546875" style="201" customWidth="1"/>
    <col min="13832" max="13832" width="15.109375" style="201" customWidth="1"/>
    <col min="13833" max="14080" width="9.77734375" style="201"/>
    <col min="14081" max="14081" width="18.109375" style="201" customWidth="1"/>
    <col min="14082" max="14082" width="11.44140625" style="201" bestFit="1" customWidth="1"/>
    <col min="14083" max="14083" width="15.6640625" style="201" customWidth="1"/>
    <col min="14084" max="14084" width="14.6640625" style="201" customWidth="1"/>
    <col min="14085" max="14085" width="12.33203125" style="201" customWidth="1"/>
    <col min="14086" max="14086" width="21.88671875" style="201" customWidth="1"/>
    <col min="14087" max="14087" width="31.5546875" style="201" customWidth="1"/>
    <col min="14088" max="14088" width="15.109375" style="201" customWidth="1"/>
    <col min="14089" max="14336" width="9.77734375" style="201"/>
    <col min="14337" max="14337" width="18.109375" style="201" customWidth="1"/>
    <col min="14338" max="14338" width="11.44140625" style="201" bestFit="1" customWidth="1"/>
    <col min="14339" max="14339" width="15.6640625" style="201" customWidth="1"/>
    <col min="14340" max="14340" width="14.6640625" style="201" customWidth="1"/>
    <col min="14341" max="14341" width="12.33203125" style="201" customWidth="1"/>
    <col min="14342" max="14342" width="21.88671875" style="201" customWidth="1"/>
    <col min="14343" max="14343" width="31.5546875" style="201" customWidth="1"/>
    <col min="14344" max="14344" width="15.109375" style="201" customWidth="1"/>
    <col min="14345" max="14592" width="9.77734375" style="201"/>
    <col min="14593" max="14593" width="18.109375" style="201" customWidth="1"/>
    <col min="14594" max="14594" width="11.44140625" style="201" bestFit="1" customWidth="1"/>
    <col min="14595" max="14595" width="15.6640625" style="201" customWidth="1"/>
    <col min="14596" max="14596" width="14.6640625" style="201" customWidth="1"/>
    <col min="14597" max="14597" width="12.33203125" style="201" customWidth="1"/>
    <col min="14598" max="14598" width="21.88671875" style="201" customWidth="1"/>
    <col min="14599" max="14599" width="31.5546875" style="201" customWidth="1"/>
    <col min="14600" max="14600" width="15.109375" style="201" customWidth="1"/>
    <col min="14601" max="14848" width="9.77734375" style="201"/>
    <col min="14849" max="14849" width="18.109375" style="201" customWidth="1"/>
    <col min="14850" max="14850" width="11.44140625" style="201" bestFit="1" customWidth="1"/>
    <col min="14851" max="14851" width="15.6640625" style="201" customWidth="1"/>
    <col min="14852" max="14852" width="14.6640625" style="201" customWidth="1"/>
    <col min="14853" max="14853" width="12.33203125" style="201" customWidth="1"/>
    <col min="14854" max="14854" width="21.88671875" style="201" customWidth="1"/>
    <col min="14855" max="14855" width="31.5546875" style="201" customWidth="1"/>
    <col min="14856" max="14856" width="15.109375" style="201" customWidth="1"/>
    <col min="14857" max="15104" width="9.77734375" style="201"/>
    <col min="15105" max="15105" width="18.109375" style="201" customWidth="1"/>
    <col min="15106" max="15106" width="11.44140625" style="201" bestFit="1" customWidth="1"/>
    <col min="15107" max="15107" width="15.6640625" style="201" customWidth="1"/>
    <col min="15108" max="15108" width="14.6640625" style="201" customWidth="1"/>
    <col min="15109" max="15109" width="12.33203125" style="201" customWidth="1"/>
    <col min="15110" max="15110" width="21.88671875" style="201" customWidth="1"/>
    <col min="15111" max="15111" width="31.5546875" style="201" customWidth="1"/>
    <col min="15112" max="15112" width="15.109375" style="201" customWidth="1"/>
    <col min="15113" max="15360" width="9.77734375" style="201"/>
    <col min="15361" max="15361" width="18.109375" style="201" customWidth="1"/>
    <col min="15362" max="15362" width="11.44140625" style="201" bestFit="1" customWidth="1"/>
    <col min="15363" max="15363" width="15.6640625" style="201" customWidth="1"/>
    <col min="15364" max="15364" width="14.6640625" style="201" customWidth="1"/>
    <col min="15365" max="15365" width="12.33203125" style="201" customWidth="1"/>
    <col min="15366" max="15366" width="21.88671875" style="201" customWidth="1"/>
    <col min="15367" max="15367" width="31.5546875" style="201" customWidth="1"/>
    <col min="15368" max="15368" width="15.109375" style="201" customWidth="1"/>
    <col min="15369" max="15616" width="9.77734375" style="201"/>
    <col min="15617" max="15617" width="18.109375" style="201" customWidth="1"/>
    <col min="15618" max="15618" width="11.44140625" style="201" bestFit="1" customWidth="1"/>
    <col min="15619" max="15619" width="15.6640625" style="201" customWidth="1"/>
    <col min="15620" max="15620" width="14.6640625" style="201" customWidth="1"/>
    <col min="15621" max="15621" width="12.33203125" style="201" customWidth="1"/>
    <col min="15622" max="15622" width="21.88671875" style="201" customWidth="1"/>
    <col min="15623" max="15623" width="31.5546875" style="201" customWidth="1"/>
    <col min="15624" max="15624" width="15.109375" style="201" customWidth="1"/>
    <col min="15625" max="15872" width="9.77734375" style="201"/>
    <col min="15873" max="15873" width="18.109375" style="201" customWidth="1"/>
    <col min="15874" max="15874" width="11.44140625" style="201" bestFit="1" customWidth="1"/>
    <col min="15875" max="15875" width="15.6640625" style="201" customWidth="1"/>
    <col min="15876" max="15876" width="14.6640625" style="201" customWidth="1"/>
    <col min="15877" max="15877" width="12.33203125" style="201" customWidth="1"/>
    <col min="15878" max="15878" width="21.88671875" style="201" customWidth="1"/>
    <col min="15879" max="15879" width="31.5546875" style="201" customWidth="1"/>
    <col min="15880" max="15880" width="15.109375" style="201" customWidth="1"/>
    <col min="15881" max="16128" width="9.77734375" style="201"/>
    <col min="16129" max="16129" width="18.109375" style="201" customWidth="1"/>
    <col min="16130" max="16130" width="11.44140625" style="201" bestFit="1" customWidth="1"/>
    <col min="16131" max="16131" width="15.6640625" style="201" customWidth="1"/>
    <col min="16132" max="16132" width="14.6640625" style="201" customWidth="1"/>
    <col min="16133" max="16133" width="12.33203125" style="201" customWidth="1"/>
    <col min="16134" max="16134" width="21.88671875" style="201" customWidth="1"/>
    <col min="16135" max="16135" width="31.5546875" style="201" customWidth="1"/>
    <col min="16136" max="16136" width="15.109375" style="201" customWidth="1"/>
    <col min="16137" max="16384" width="9.77734375" style="201"/>
  </cols>
  <sheetData>
    <row r="1" spans="1:11">
      <c r="A1" s="286" t="str">
        <f>'[1]Input sheet'!B2</f>
        <v>Apple</v>
      </c>
      <c r="B1" s="286"/>
      <c r="C1" s="286"/>
      <c r="D1" s="286"/>
      <c r="E1" s="286"/>
      <c r="F1" s="286"/>
      <c r="G1" s="286"/>
    </row>
    <row r="2" spans="1:11">
      <c r="A2" s="287" t="s">
        <v>355</v>
      </c>
      <c r="B2" s="287"/>
      <c r="C2" s="287"/>
      <c r="D2" s="287"/>
      <c r="E2" s="287"/>
      <c r="F2" s="287"/>
      <c r="G2" s="287"/>
    </row>
    <row r="3" spans="1:11" ht="16.05" customHeight="1">
      <c r="A3" s="288"/>
      <c r="B3" s="289"/>
      <c r="C3" s="289"/>
      <c r="D3" s="289"/>
      <c r="E3" s="289"/>
      <c r="F3" s="289"/>
      <c r="G3" s="290"/>
      <c r="H3" s="297" t="s">
        <v>383</v>
      </c>
      <c r="I3" s="298"/>
      <c r="J3" s="298"/>
      <c r="K3" s="299"/>
    </row>
    <row r="4" spans="1:11" ht="16.05" customHeight="1">
      <c r="A4" s="291"/>
      <c r="B4" s="292"/>
      <c r="C4" s="292"/>
      <c r="D4" s="292"/>
      <c r="E4" s="292"/>
      <c r="F4" s="292"/>
      <c r="G4" s="293"/>
      <c r="H4" s="300"/>
      <c r="I4" s="301"/>
      <c r="J4" s="301"/>
      <c r="K4" s="302"/>
    </row>
    <row r="5" spans="1:11" ht="12" customHeight="1">
      <c r="A5" s="291"/>
      <c r="B5" s="292"/>
      <c r="C5" s="292"/>
      <c r="D5" s="292"/>
      <c r="E5" s="292"/>
      <c r="F5" s="292"/>
      <c r="G5" s="293"/>
      <c r="H5" s="300"/>
      <c r="I5" s="301"/>
      <c r="J5" s="301"/>
      <c r="K5" s="302"/>
    </row>
    <row r="6" spans="1:11" ht="12" customHeight="1">
      <c r="A6" s="294"/>
      <c r="B6" s="295"/>
      <c r="C6" s="295"/>
      <c r="D6" s="295"/>
      <c r="E6" s="295"/>
      <c r="F6" s="295"/>
      <c r="G6" s="296"/>
      <c r="H6" s="303"/>
      <c r="I6" s="304"/>
      <c r="J6" s="304"/>
      <c r="K6" s="305"/>
    </row>
    <row r="7" spans="1:11">
      <c r="A7" s="306" t="s">
        <v>356</v>
      </c>
      <c r="B7" s="307"/>
      <c r="C7" s="307"/>
      <c r="D7" s="307"/>
      <c r="E7" s="307"/>
      <c r="F7" s="307"/>
      <c r="G7" s="308"/>
    </row>
    <row r="8" spans="1:11">
      <c r="A8" s="202"/>
      <c r="B8" s="203" t="s">
        <v>357</v>
      </c>
      <c r="C8" s="204" t="s">
        <v>358</v>
      </c>
      <c r="D8" s="203" t="s">
        <v>359</v>
      </c>
      <c r="E8" s="203"/>
      <c r="F8" s="203" t="s">
        <v>360</v>
      </c>
      <c r="G8" s="205" t="s">
        <v>361</v>
      </c>
    </row>
    <row r="9" spans="1:11">
      <c r="A9" s="206" t="s">
        <v>362</v>
      </c>
      <c r="B9" s="207">
        <f>'Valuation Output'!B3</f>
        <v>4512</v>
      </c>
      <c r="C9" s="208">
        <f>'Input Sheet'!B23</f>
        <v>2.3089805704412686E-2</v>
      </c>
      <c r="D9" s="208">
        <f>'Valuation Output'!L2</f>
        <v>2.1012467533221949E-2</v>
      </c>
      <c r="E9" s="209"/>
      <c r="F9" s="208">
        <f>'Valuation Output'!M2</f>
        <v>0.02</v>
      </c>
      <c r="G9" s="210"/>
      <c r="H9" s="274" t="s">
        <v>384</v>
      </c>
      <c r="I9" s="275"/>
      <c r="J9" s="275"/>
      <c r="K9" s="276"/>
    </row>
    <row r="10" spans="1:11">
      <c r="A10" s="206" t="s">
        <v>363</v>
      </c>
      <c r="B10" s="208">
        <f>'Valuation Output'!B4</f>
        <v>0.15323981394683456</v>
      </c>
      <c r="C10" s="211">
        <f>'Valuation Output'!C4</f>
        <v>0.22296860592443074</v>
      </c>
      <c r="D10" s="212">
        <f>'Valuation Output'!L4</f>
        <v>0.43627127505557112</v>
      </c>
      <c r="E10" s="212"/>
      <c r="F10" s="208">
        <f>'Valuation Output'!M4</f>
        <v>0.47048862996189045</v>
      </c>
      <c r="G10" s="213"/>
      <c r="H10" s="277"/>
      <c r="I10" s="278"/>
      <c r="J10" s="278"/>
      <c r="K10" s="279"/>
    </row>
    <row r="11" spans="1:11">
      <c r="A11" s="206" t="s">
        <v>214</v>
      </c>
      <c r="B11" s="208">
        <f>'Input Sheet'!B19</f>
        <v>0.39112792810734115</v>
      </c>
      <c r="C11" s="211">
        <f>B11</f>
        <v>0.39112792810734115</v>
      </c>
      <c r="D11" s="212">
        <f>'Valuation Output'!L7</f>
        <v>0.34939999999999988</v>
      </c>
      <c r="E11" s="212"/>
      <c r="F11" s="208">
        <f>D11</f>
        <v>0.34939999999999988</v>
      </c>
      <c r="G11" s="213"/>
      <c r="H11" s="277"/>
      <c r="I11" s="278"/>
      <c r="J11" s="278"/>
      <c r="K11" s="279"/>
    </row>
    <row r="12" spans="1:11">
      <c r="A12" s="206" t="s">
        <v>364</v>
      </c>
      <c r="B12" s="209"/>
      <c r="C12" s="214" t="s">
        <v>365</v>
      </c>
      <c r="D12" s="215">
        <f>'Valuation Output'!H46</f>
        <v>0.64829751626112375</v>
      </c>
      <c r="E12" s="216" t="s">
        <v>366</v>
      </c>
      <c r="F12" s="217">
        <f>'[1]Valuation output'!M2/'[1]Valuation output'!M40</f>
        <v>0.14347202295552369</v>
      </c>
      <c r="G12" s="213"/>
      <c r="H12" s="277"/>
      <c r="I12" s="278"/>
      <c r="J12" s="278"/>
      <c r="K12" s="279"/>
    </row>
    <row r="13" spans="1:11">
      <c r="A13" s="218" t="s">
        <v>322</v>
      </c>
      <c r="B13" s="219">
        <f>'Valuation Output'!B48</f>
        <v>2.9769898131139855E-2</v>
      </c>
      <c r="C13" s="220" t="s">
        <v>367</v>
      </c>
      <c r="D13" s="221">
        <f>[1]Diagnostics!B6</f>
        <v>-0.36137124095549455</v>
      </c>
      <c r="E13" s="222"/>
      <c r="F13" s="223">
        <f>'[1]Valuation output'!M40</f>
        <v>6.9699999999999998E-2</v>
      </c>
      <c r="G13" s="224"/>
      <c r="H13" s="277"/>
      <c r="I13" s="278"/>
      <c r="J13" s="278"/>
      <c r="K13" s="279"/>
    </row>
    <row r="14" spans="1:11" ht="16.2" thickBot="1">
      <c r="A14" s="225" t="s">
        <v>368</v>
      </c>
      <c r="B14" s="226"/>
      <c r="C14" s="211">
        <f>'[1]Valuation output'!C12</f>
        <v>8.4418454445523594E-2</v>
      </c>
      <c r="D14" s="212">
        <f>F14</f>
        <v>6.9699999999999998E-2</v>
      </c>
      <c r="E14" s="227"/>
      <c r="F14" s="228">
        <f>'[1]Valuation output'!M12</f>
        <v>6.9699999999999998E-2</v>
      </c>
      <c r="G14" s="229"/>
      <c r="H14" s="280"/>
      <c r="I14" s="281"/>
      <c r="J14" s="281"/>
      <c r="K14" s="282"/>
    </row>
    <row r="15" spans="1:11" ht="16.2" thickBot="1">
      <c r="A15" s="309" t="s">
        <v>369</v>
      </c>
      <c r="B15" s="309"/>
      <c r="C15" s="309"/>
      <c r="D15" s="309"/>
      <c r="E15" s="309"/>
      <c r="F15" s="309"/>
      <c r="G15" s="309"/>
    </row>
    <row r="16" spans="1:11">
      <c r="A16" s="230"/>
      <c r="B16" s="231" t="s">
        <v>5</v>
      </c>
      <c r="C16" s="231" t="s">
        <v>370</v>
      </c>
      <c r="D16" s="231" t="s">
        <v>192</v>
      </c>
      <c r="E16" s="231" t="s">
        <v>371</v>
      </c>
      <c r="F16" s="231" t="s">
        <v>372</v>
      </c>
      <c r="G16" s="232" t="s">
        <v>216</v>
      </c>
      <c r="H16" s="310" t="s">
        <v>385</v>
      </c>
      <c r="I16" s="311"/>
      <c r="J16" s="311"/>
      <c r="K16" s="312"/>
    </row>
    <row r="17" spans="1:11">
      <c r="A17" s="233">
        <v>1</v>
      </c>
      <c r="B17" s="234">
        <f>'[1]Valuation output'!C3</f>
        <v>221389.77</v>
      </c>
      <c r="C17" s="235">
        <f>'[1]Valuation output'!C4</f>
        <v>0.31145071543482516</v>
      </c>
      <c r="D17" s="207">
        <f>B17*C17</f>
        <v>68952.002256451393</v>
      </c>
      <c r="E17" s="234">
        <f>'[1]Valuation output'!C7</f>
        <v>51018.208121181633</v>
      </c>
      <c r="F17" s="234">
        <f>'[1]Valuation output'!C8</f>
        <v>2044.8562499999935</v>
      </c>
      <c r="G17" s="236">
        <f>E17-F17</f>
        <v>48973.351871181643</v>
      </c>
      <c r="H17" s="313"/>
      <c r="I17" s="314"/>
      <c r="J17" s="314"/>
      <c r="K17" s="315"/>
    </row>
    <row r="18" spans="1:11">
      <c r="A18" s="233">
        <v>2</v>
      </c>
      <c r="B18" s="234">
        <f>'[1]Valuation output'!D3</f>
        <v>224710.61654999998</v>
      </c>
      <c r="C18" s="235">
        <f>'[1]Valuation output'!D4</f>
        <v>0.30462285816428902</v>
      </c>
      <c r="D18" s="207">
        <f t="shared" ref="D18:D27" si="0">B18*C18</f>
        <v>68451.990273320582</v>
      </c>
      <c r="E18" s="234">
        <f>'[1]Valuation output'!D7</f>
        <v>50648.244746897377</v>
      </c>
      <c r="F18" s="234">
        <f>'[1]Valuation output'!D8</f>
        <v>2075.5290937499922</v>
      </c>
      <c r="G18" s="236">
        <f t="shared" ref="G18:G27" si="1">E18-F18</f>
        <v>48572.715653147388</v>
      </c>
      <c r="H18" s="313"/>
      <c r="I18" s="314"/>
      <c r="J18" s="314"/>
      <c r="K18" s="315"/>
    </row>
    <row r="19" spans="1:11">
      <c r="A19" s="233">
        <v>3</v>
      </c>
      <c r="B19" s="234">
        <f>'[1]Valuation output'!E3</f>
        <v>228081.27579824996</v>
      </c>
      <c r="C19" s="235">
        <f>'[1]Valuation output'!E4</f>
        <v>0.29779500089375294</v>
      </c>
      <c r="D19" s="207">
        <f t="shared" si="0"/>
        <v>67921.463730188159</v>
      </c>
      <c r="E19" s="234">
        <f>'[1]Valuation output'!E7</f>
        <v>50255.703374557335</v>
      </c>
      <c r="F19" s="234">
        <f>'[1]Valuation output'!E8</f>
        <v>2106.6620301562398</v>
      </c>
      <c r="G19" s="236">
        <f t="shared" si="1"/>
        <v>48149.041344401092</v>
      </c>
      <c r="H19" s="313"/>
      <c r="I19" s="314"/>
      <c r="J19" s="314"/>
      <c r="K19" s="315"/>
    </row>
    <row r="20" spans="1:11">
      <c r="A20" s="233">
        <v>4</v>
      </c>
      <c r="B20" s="234">
        <f>'[1]Valuation output'!F3</f>
        <v>231502.49493522369</v>
      </c>
      <c r="C20" s="235">
        <f>'[1]Valuation output'!F4</f>
        <v>0.2909671436232168</v>
      </c>
      <c r="D20" s="207">
        <f t="shared" si="0"/>
        <v>67359.619692950248</v>
      </c>
      <c r="E20" s="234">
        <f>'[1]Valuation output'!F7</f>
        <v>49839.989905979033</v>
      </c>
      <c r="F20" s="234">
        <f>'[1]Valuation output'!F8</f>
        <v>2138.2619606085791</v>
      </c>
      <c r="G20" s="236">
        <f t="shared" si="1"/>
        <v>47701.727945370454</v>
      </c>
      <c r="H20" s="313"/>
      <c r="I20" s="314"/>
      <c r="J20" s="314"/>
      <c r="K20" s="315"/>
    </row>
    <row r="21" spans="1:11">
      <c r="A21" s="233">
        <v>5</v>
      </c>
      <c r="B21" s="234">
        <f>'[1]Valuation output'!G3</f>
        <v>234975.03235925201</v>
      </c>
      <c r="C21" s="235">
        <f>'[1]Valuation output'!G4</f>
        <v>0.28413928635268065</v>
      </c>
      <c r="D21" s="207">
        <f t="shared" si="0"/>
        <v>66765.638005255911</v>
      </c>
      <c r="E21" s="234">
        <f>'[1]Valuation output'!G7</f>
        <v>49400.4975000841</v>
      </c>
      <c r="F21" s="234">
        <f>'[1]Valuation output'!G8</f>
        <v>2170.3358900177045</v>
      </c>
      <c r="G21" s="236">
        <f t="shared" si="1"/>
        <v>47230.161610066396</v>
      </c>
      <c r="H21" s="313"/>
      <c r="I21" s="314"/>
      <c r="J21" s="314"/>
      <c r="K21" s="315"/>
    </row>
    <row r="22" spans="1:11">
      <c r="A22" s="233">
        <v>6</v>
      </c>
      <c r="B22" s="234">
        <f>'[1]Valuation output'!H3</f>
        <v>238264.68281228154</v>
      </c>
      <c r="C22" s="235">
        <f>'[1]Valuation output'!H4</f>
        <v>0.27731142908214451</v>
      </c>
      <c r="D22" s="207">
        <f t="shared" si="0"/>
        <v>66073.519690477668</v>
      </c>
      <c r="E22" s="234">
        <f>'[1]Valuation output'!H7</f>
        <v>47700.271894992402</v>
      </c>
      <c r="F22" s="234">
        <f>'[1]Valuation output'!H8</f>
        <v>2056.0315331434504</v>
      </c>
      <c r="G22" s="236">
        <f t="shared" si="1"/>
        <v>45644.240361848948</v>
      </c>
      <c r="H22" s="313"/>
      <c r="I22" s="314"/>
      <c r="J22" s="314"/>
      <c r="K22" s="315"/>
    </row>
    <row r="23" spans="1:11">
      <c r="A23" s="233">
        <v>7</v>
      </c>
      <c r="B23" s="234">
        <f>'[1]Valuation output'!I3</f>
        <v>241362.12368884118</v>
      </c>
      <c r="C23" s="235">
        <f>'[1]Valuation output'!I4</f>
        <v>0.27048357181160837</v>
      </c>
      <c r="D23" s="207">
        <f t="shared" si="0"/>
        <v>65284.489315392973</v>
      </c>
      <c r="E23" s="234">
        <f>'[1]Valuation output'!I7</f>
        <v>45956.716560505796</v>
      </c>
      <c r="F23" s="234">
        <f>'[1]Valuation output'!I8</f>
        <v>1935.9005478497784</v>
      </c>
      <c r="G23" s="236">
        <f t="shared" si="1"/>
        <v>44020.816012656018</v>
      </c>
      <c r="H23" s="313"/>
      <c r="I23" s="314"/>
      <c r="J23" s="314"/>
      <c r="K23" s="315"/>
    </row>
    <row r="24" spans="1:11">
      <c r="A24" s="233">
        <v>8</v>
      </c>
      <c r="B24" s="234">
        <f>'[1]Valuation output'!J3</f>
        <v>244258.46917310727</v>
      </c>
      <c r="C24" s="235">
        <f>'[1]Valuation output'!J4</f>
        <v>0.26365571454107228</v>
      </c>
      <c r="D24" s="207">
        <f t="shared" si="0"/>
        <v>64400.141222544073</v>
      </c>
      <c r="E24" s="234">
        <f>'[1]Valuation output'!J7</f>
        <v>44176.153118356066</v>
      </c>
      <c r="F24" s="234">
        <f>'[1]Valuation output'!J8</f>
        <v>1810.2159276663042</v>
      </c>
      <c r="G24" s="236">
        <f t="shared" si="1"/>
        <v>42365.937190689758</v>
      </c>
      <c r="H24" s="313"/>
      <c r="I24" s="314"/>
      <c r="J24" s="314"/>
      <c r="K24" s="315"/>
    </row>
    <row r="25" spans="1:11">
      <c r="A25" s="233">
        <v>9</v>
      </c>
      <c r="B25" s="234">
        <f>'[1]Valuation output'!K3</f>
        <v>246945.31233401143</v>
      </c>
      <c r="C25" s="235">
        <f>'[1]Valuation output'!K4</f>
        <v>0.25682785727053614</v>
      </c>
      <c r="D25" s="207">
        <f t="shared" si="0"/>
        <v>63422.435429747457</v>
      </c>
      <c r="E25" s="234">
        <f>'[1]Valuation output'!K7</f>
        <v>42365.032778089124</v>
      </c>
      <c r="F25" s="234">
        <f>'[1]Valuation output'!K8</f>
        <v>1679.2769755650988</v>
      </c>
      <c r="G25" s="236">
        <f t="shared" si="1"/>
        <v>40685.755802524029</v>
      </c>
      <c r="H25" s="313"/>
      <c r="I25" s="314"/>
      <c r="J25" s="314"/>
      <c r="K25" s="315"/>
    </row>
    <row r="26" spans="1:11">
      <c r="A26" s="233">
        <v>10</v>
      </c>
      <c r="B26" s="234">
        <f>'[1]Valuation output'!L3</f>
        <v>249414.76545735155</v>
      </c>
      <c r="C26" s="235">
        <f>'[1]Valuation output'!L4</f>
        <v>0.25</v>
      </c>
      <c r="D26" s="207">
        <f t="shared" si="0"/>
        <v>62353.691364337887</v>
      </c>
      <c r="E26" s="234">
        <f>'[1]Valuation output'!L7</f>
        <v>40529.899386819634</v>
      </c>
      <c r="F26" s="234">
        <f>'[1]Valuation output'!L8</f>
        <v>1543.4082020875758</v>
      </c>
      <c r="G26" s="236">
        <f t="shared" si="1"/>
        <v>38986.491184732062</v>
      </c>
      <c r="H26" s="313"/>
      <c r="I26" s="314"/>
      <c r="J26" s="314"/>
      <c r="K26" s="315"/>
    </row>
    <row r="27" spans="1:11" ht="16.2" thickBot="1">
      <c r="A27" s="237" t="s">
        <v>242</v>
      </c>
      <c r="B27" s="238">
        <f>'[1]Valuation output'!M3</f>
        <v>251908.91311192507</v>
      </c>
      <c r="C27" s="239">
        <f>'[1]Valuation output'!M4</f>
        <v>0.25</v>
      </c>
      <c r="D27" s="207">
        <f t="shared" si="0"/>
        <v>62977.228277981267</v>
      </c>
      <c r="E27" s="238">
        <f>'[1]Valuation output'!M7</f>
        <v>40935.198380687827</v>
      </c>
      <c r="F27" s="238">
        <f>'[1]Valuation output'!M8</f>
        <v>5873.0557217629603</v>
      </c>
      <c r="G27" s="236">
        <f t="shared" si="1"/>
        <v>35062.142658924866</v>
      </c>
      <c r="H27" s="316"/>
      <c r="I27" s="317"/>
      <c r="J27" s="317"/>
      <c r="K27" s="318"/>
    </row>
    <row r="28" spans="1:11" ht="16.2" thickBot="1">
      <c r="A28" s="309" t="s">
        <v>373</v>
      </c>
      <c r="B28" s="309"/>
      <c r="C28" s="309"/>
      <c r="D28" s="309"/>
      <c r="E28" s="309"/>
      <c r="F28" s="309"/>
      <c r="G28" s="309"/>
    </row>
    <row r="29" spans="1:11">
      <c r="A29" s="319" t="s">
        <v>374</v>
      </c>
      <c r="B29" s="320"/>
      <c r="C29" s="321"/>
      <c r="D29" s="240">
        <f>'[1]Valuation output'!B18</f>
        <v>587305.57217629591</v>
      </c>
      <c r="E29" s="241"/>
      <c r="F29" s="242"/>
      <c r="G29" s="243"/>
      <c r="H29" s="322" t="s">
        <v>386</v>
      </c>
      <c r="I29" s="278"/>
      <c r="J29" s="278"/>
      <c r="K29" s="278"/>
    </row>
    <row r="30" spans="1:11">
      <c r="A30" s="323" t="s">
        <v>375</v>
      </c>
      <c r="B30" s="324"/>
      <c r="C30" s="325"/>
      <c r="D30" s="245">
        <f>'[1]Valuation output'!B19</f>
        <v>272061.69177812478</v>
      </c>
      <c r="E30" s="246"/>
      <c r="F30" s="247"/>
      <c r="G30" s="248"/>
      <c r="H30" s="322"/>
      <c r="I30" s="278"/>
      <c r="J30" s="278"/>
      <c r="K30" s="278"/>
    </row>
    <row r="31" spans="1:11">
      <c r="A31" s="323" t="s">
        <v>224</v>
      </c>
      <c r="B31" s="324"/>
      <c r="C31" s="325"/>
      <c r="D31" s="245">
        <f>'[1]Valuation output'!B20</f>
        <v>304260.99117297214</v>
      </c>
      <c r="E31" s="246"/>
      <c r="F31" s="247"/>
      <c r="G31" s="248"/>
      <c r="H31" s="322"/>
      <c r="I31" s="278"/>
      <c r="J31" s="278"/>
      <c r="K31" s="278"/>
    </row>
    <row r="32" spans="1:11">
      <c r="A32" s="323" t="s">
        <v>228</v>
      </c>
      <c r="B32" s="324"/>
      <c r="C32" s="325"/>
      <c r="D32" s="245">
        <f>'[1]Valuation output'!B21</f>
        <v>576322.68295109691</v>
      </c>
      <c r="E32" s="246"/>
      <c r="F32" s="247"/>
      <c r="G32" s="248"/>
      <c r="H32" s="322"/>
      <c r="I32" s="278"/>
      <c r="J32" s="278"/>
      <c r="K32" s="278"/>
    </row>
    <row r="33" spans="1:11">
      <c r="A33" s="323" t="s">
        <v>376</v>
      </c>
      <c r="B33" s="324"/>
      <c r="C33" s="325"/>
      <c r="D33" s="249">
        <f>D32-'[1]Valuation output'!B24</f>
        <v>0</v>
      </c>
      <c r="E33" s="326" t="s">
        <v>226</v>
      </c>
      <c r="F33" s="327"/>
      <c r="G33" s="250">
        <f>'[1]Valuation output'!B22</f>
        <v>0</v>
      </c>
      <c r="H33" s="278"/>
      <c r="I33" s="278"/>
      <c r="J33" s="278"/>
      <c r="K33" s="278"/>
    </row>
    <row r="34" spans="1:11">
      <c r="A34" s="323" t="s">
        <v>377</v>
      </c>
      <c r="B34" s="324"/>
      <c r="C34" s="325"/>
      <c r="D34" s="245">
        <f>'[1]Valuation output'!B25+'[1]Valuation output'!B26</f>
        <v>87815.333283897271</v>
      </c>
      <c r="E34" s="246"/>
      <c r="F34" s="247"/>
      <c r="G34" s="248"/>
      <c r="H34" s="322"/>
      <c r="I34" s="278"/>
      <c r="J34" s="278"/>
      <c r="K34" s="278"/>
    </row>
    <row r="35" spans="1:11">
      <c r="A35" s="323" t="s">
        <v>378</v>
      </c>
      <c r="B35" s="324"/>
      <c r="C35" s="325"/>
      <c r="D35" s="245">
        <f>'[1]Valuation output'!B27+'[1]Valuation output'!B28</f>
        <v>245090</v>
      </c>
      <c r="E35" s="246"/>
      <c r="F35" s="247"/>
      <c r="G35" s="248"/>
      <c r="H35" s="322"/>
      <c r="I35" s="278"/>
      <c r="J35" s="278"/>
      <c r="K35" s="278"/>
    </row>
    <row r="36" spans="1:11">
      <c r="A36" s="323" t="s">
        <v>233</v>
      </c>
      <c r="B36" s="324"/>
      <c r="C36" s="325"/>
      <c r="D36" s="245">
        <f>D32-D33-D34+D35</f>
        <v>733597.34966719965</v>
      </c>
      <c r="E36" s="246"/>
      <c r="F36" s="247"/>
      <c r="G36" s="248"/>
      <c r="H36" s="322"/>
      <c r="I36" s="278"/>
      <c r="J36" s="278"/>
      <c r="K36" s="278"/>
    </row>
    <row r="37" spans="1:11">
      <c r="A37" s="323" t="s">
        <v>379</v>
      </c>
      <c r="B37" s="324"/>
      <c r="C37" s="325"/>
      <c r="D37" s="245">
        <f>'[1]Valuation output'!B30</f>
        <v>125.25640103930094</v>
      </c>
      <c r="E37" s="246"/>
      <c r="F37" s="247"/>
      <c r="G37" s="248"/>
      <c r="H37" s="322"/>
      <c r="I37" s="278"/>
      <c r="J37" s="278"/>
      <c r="K37" s="278"/>
    </row>
    <row r="38" spans="1:11" ht="16.2" thickBot="1">
      <c r="A38" s="330" t="s">
        <v>380</v>
      </c>
      <c r="B38" s="331"/>
      <c r="C38" s="331"/>
      <c r="D38" s="251">
        <f>'[1]Valuation output'!B32</f>
        <v>5336.1660000000002</v>
      </c>
      <c r="G38" s="248"/>
      <c r="H38" s="322"/>
      <c r="I38" s="278"/>
      <c r="J38" s="278"/>
      <c r="K38" s="278"/>
    </row>
    <row r="39" spans="1:11" ht="16.2" thickBot="1">
      <c r="A39" s="332" t="s">
        <v>381</v>
      </c>
      <c r="B39" s="333"/>
      <c r="C39" s="333"/>
      <c r="D39" s="253">
        <f>(D36-D37)/D38</f>
        <v>137.45301275600502</v>
      </c>
      <c r="E39" s="328" t="s">
        <v>382</v>
      </c>
      <c r="F39" s="329"/>
      <c r="G39" s="254">
        <f>'[1]Input sheet'!B19</f>
        <v>128</v>
      </c>
      <c r="H39" s="322"/>
      <c r="I39" s="278"/>
      <c r="J39" s="278"/>
      <c r="K39" s="278"/>
    </row>
    <row r="42" spans="1:11">
      <c r="C42" s="247" t="s">
        <v>389</v>
      </c>
      <c r="D42" s="247" t="s">
        <v>390</v>
      </c>
      <c r="E42" s="247" t="s">
        <v>242</v>
      </c>
    </row>
    <row r="43" spans="1:11">
      <c r="B43" s="247" t="s">
        <v>391</v>
      </c>
      <c r="C43" s="255">
        <f>AVERAGE('Valuation Output'!C2:G2)</f>
        <v>2.3089805704412686E-2</v>
      </c>
      <c r="D43" s="255">
        <f>AVERAGE('Valuation Output'!H2:L2)</f>
        <v>2.1661870536952586E-2</v>
      </c>
      <c r="E43" s="255">
        <f>'Valuation Output'!M2</f>
        <v>0.02</v>
      </c>
    </row>
    <row r="44" spans="1:11">
      <c r="B44" s="247" t="s">
        <v>392</v>
      </c>
      <c r="C44" s="256">
        <f>AVERAGE('Valuation Output'!C9:G9)</f>
        <v>0.36345560544970656</v>
      </c>
      <c r="D44" s="256">
        <f>AVERAGE('Valuation Output'!H9:L9)</f>
        <v>0.22360538118955406</v>
      </c>
      <c r="E44" s="256">
        <f>'Valuation Output'!M9</f>
        <v>0.1</v>
      </c>
    </row>
    <row r="45" spans="1:11" ht="62.4">
      <c r="B45" s="257" t="s">
        <v>393</v>
      </c>
      <c r="C45" s="256">
        <f>AVERAGE('Valuation Output'!C11:G11)</f>
        <v>-0.15261253046230458</v>
      </c>
      <c r="D45" s="256">
        <f>AVERAGE('Valuation Output'!H11:L11)</f>
        <v>-4.3914753211129601E-2</v>
      </c>
      <c r="E45" s="256">
        <f>'Valuation Output'!M11</f>
        <v>0</v>
      </c>
    </row>
    <row r="48" spans="1:11" ht="16.2" thickBot="1"/>
    <row r="49" spans="1:7" ht="16.2" thickBot="1">
      <c r="A49" s="283" t="s">
        <v>356</v>
      </c>
      <c r="B49" s="284"/>
      <c r="C49" s="284"/>
      <c r="D49" s="284"/>
      <c r="E49" s="285"/>
      <c r="F49" s="264"/>
      <c r="G49" s="265"/>
    </row>
    <row r="50" spans="1:7">
      <c r="A50" s="202"/>
      <c r="B50" s="203" t="s">
        <v>357</v>
      </c>
      <c r="C50" s="204" t="s">
        <v>358</v>
      </c>
      <c r="D50" s="203" t="s">
        <v>359</v>
      </c>
      <c r="E50" s="270" t="s">
        <v>360</v>
      </c>
      <c r="G50" s="205" t="s">
        <v>361</v>
      </c>
    </row>
    <row r="51" spans="1:7">
      <c r="A51" s="206" t="s">
        <v>362</v>
      </c>
      <c r="B51" s="207">
        <v>4512</v>
      </c>
      <c r="C51" s="208">
        <v>2.3089805704412686E-2</v>
      </c>
      <c r="D51" s="208">
        <v>2.1012467533221949E-2</v>
      </c>
      <c r="E51" s="266">
        <v>0.02</v>
      </c>
      <c r="G51" s="244"/>
    </row>
    <row r="52" spans="1:7">
      <c r="A52" s="206" t="s">
        <v>363</v>
      </c>
      <c r="B52" s="208">
        <v>0.15323981394683456</v>
      </c>
      <c r="C52" s="208">
        <v>0.22296860592443074</v>
      </c>
      <c r="D52" s="208">
        <v>0.43627127505557112</v>
      </c>
      <c r="E52" s="266">
        <v>0.47048862996189045</v>
      </c>
      <c r="G52" s="213"/>
    </row>
    <row r="53" spans="1:7">
      <c r="A53" s="206" t="s">
        <v>214</v>
      </c>
      <c r="B53" s="208">
        <v>0.39112792810734115</v>
      </c>
      <c r="C53" s="208">
        <v>0.39112792810734115</v>
      </c>
      <c r="D53" s="208">
        <v>0.34939999999999988</v>
      </c>
      <c r="E53" s="266">
        <v>0.34939999999999988</v>
      </c>
      <c r="G53" s="213"/>
    </row>
    <row r="54" spans="1:7">
      <c r="A54" s="206" t="s">
        <v>364</v>
      </c>
      <c r="B54" s="271"/>
      <c r="C54" s="208" t="s">
        <v>365</v>
      </c>
      <c r="D54" s="208">
        <v>0.64829751626112375</v>
      </c>
      <c r="E54" s="267"/>
      <c r="G54" s="213"/>
    </row>
    <row r="55" spans="1:7">
      <c r="A55" s="206" t="s">
        <v>394</v>
      </c>
      <c r="B55" s="208">
        <f>'Valuation Output'!B9</f>
        <v>0.37081614356866199</v>
      </c>
      <c r="C55" s="208">
        <f>AVERAGE('Valuation Output'!C9:G9)</f>
        <v>0.36345560544970656</v>
      </c>
      <c r="D55" s="208">
        <f>AVERAGE('Valuation Output'!H9:L9)</f>
        <v>0.22360538118955406</v>
      </c>
      <c r="E55" s="267">
        <f>'Valuation Output'!M9</f>
        <v>0.1</v>
      </c>
      <c r="G55" s="224"/>
    </row>
    <row r="56" spans="1:7" ht="16.2" thickBot="1">
      <c r="A56" s="206" t="s">
        <v>395</v>
      </c>
      <c r="B56" s="272">
        <f>'Valuation Output'!B11</f>
        <v>-0.28374235940903247</v>
      </c>
      <c r="C56" s="208">
        <f>AVERAGE('Valuation Output'!C11:G11)</f>
        <v>-0.15261253046230458</v>
      </c>
      <c r="D56" s="208">
        <f>AVERAGE('Valuation Output'!H11:L11)</f>
        <v>-4.3914753211129601E-2</v>
      </c>
      <c r="E56" s="266">
        <f>'Valuation Output'!M11</f>
        <v>0</v>
      </c>
      <c r="G56" s="229"/>
    </row>
    <row r="57" spans="1:7" ht="16.2" thickBot="1">
      <c r="A57" s="225" t="s">
        <v>397</v>
      </c>
      <c r="B57" s="268">
        <f>'Input Sheet'!B28</f>
        <v>0.14125029650766394</v>
      </c>
      <c r="C57" s="268">
        <f>AVERAGE('Valuation Output'!C20:G20)</f>
        <v>0.14125029650766394</v>
      </c>
      <c r="D57" s="268">
        <f>AVERAGE('Valuation Output'!H20:L20)</f>
        <v>8.3564957577764123E-2</v>
      </c>
      <c r="E57" s="269">
        <v>0.06</v>
      </c>
    </row>
  </sheetData>
  <mergeCells count="24">
    <mergeCell ref="E33:F33"/>
    <mergeCell ref="E39:F39"/>
    <mergeCell ref="A34:C34"/>
    <mergeCell ref="A35:C35"/>
    <mergeCell ref="A36:C36"/>
    <mergeCell ref="A37:C37"/>
    <mergeCell ref="A38:C38"/>
    <mergeCell ref="A39:C39"/>
    <mergeCell ref="H9:K14"/>
    <mergeCell ref="A49:E49"/>
    <mergeCell ref="A1:G1"/>
    <mergeCell ref="A2:G2"/>
    <mergeCell ref="A3:G6"/>
    <mergeCell ref="H3:K6"/>
    <mergeCell ref="A7:G7"/>
    <mergeCell ref="A15:G15"/>
    <mergeCell ref="H16:K27"/>
    <mergeCell ref="A28:G28"/>
    <mergeCell ref="A29:C29"/>
    <mergeCell ref="H29:K39"/>
    <mergeCell ref="A30:C30"/>
    <mergeCell ref="A31:C31"/>
    <mergeCell ref="A32:C32"/>
    <mergeCell ref="A33:C33"/>
  </mergeCells>
  <pageMargins left="0.75" right="0.75" top="1" bottom="1"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3FF20-75FE-4A4D-A69E-D7810919441D}">
  <dimension ref="A1:L44"/>
  <sheetViews>
    <sheetView zoomScale="110" zoomScaleNormal="110" workbookViewId="0">
      <pane xSplit="1" ySplit="3" topLeftCell="B4" activePane="bottomRight" state="frozen"/>
      <selection pane="topRight" activeCell="B1" sqref="B1"/>
      <selection pane="bottomLeft" activeCell="A4" sqref="A4"/>
      <selection pane="bottomRight" activeCell="D17" sqref="D17"/>
    </sheetView>
  </sheetViews>
  <sheetFormatPr defaultRowHeight="14.4"/>
  <cols>
    <col min="1" max="1" width="49.109375" bestFit="1" customWidth="1"/>
    <col min="2" max="5" width="8" bestFit="1" customWidth="1"/>
    <col min="6" max="6" width="8" customWidth="1"/>
    <col min="7" max="7" width="7.88671875" customWidth="1"/>
    <col min="8" max="8" width="7" customWidth="1"/>
    <col min="9" max="10" width="12" bestFit="1" customWidth="1"/>
  </cols>
  <sheetData>
    <row r="1" spans="1:9" ht="14.4" customHeight="1">
      <c r="A1" s="334" t="s">
        <v>259</v>
      </c>
      <c r="B1" s="334"/>
      <c r="C1" s="334"/>
      <c r="D1" s="334"/>
      <c r="E1" s="334"/>
      <c r="F1" s="334"/>
      <c r="G1" s="147"/>
      <c r="H1" s="147"/>
      <c r="I1" s="147"/>
    </row>
    <row r="2" spans="1:9" ht="6" customHeight="1" thickBot="1">
      <c r="A2" s="335"/>
      <c r="B2" s="334"/>
      <c r="C2" s="335"/>
      <c r="D2" s="335"/>
      <c r="E2" s="335"/>
      <c r="F2" s="335"/>
      <c r="G2" s="147"/>
      <c r="H2" s="147"/>
      <c r="I2" s="147"/>
    </row>
    <row r="3" spans="1:9" ht="15" thickBot="1">
      <c r="A3" s="87"/>
      <c r="B3" s="88">
        <v>2015</v>
      </c>
      <c r="C3" s="88">
        <v>2016</v>
      </c>
      <c r="D3" s="88">
        <v>2017</v>
      </c>
      <c r="E3" s="88">
        <v>2018</v>
      </c>
      <c r="F3" s="88">
        <v>2019</v>
      </c>
    </row>
    <row r="4" spans="1:9" ht="15" thickBot="1">
      <c r="A4" s="148" t="s">
        <v>260</v>
      </c>
      <c r="B4" s="146"/>
      <c r="C4" s="146"/>
      <c r="D4" s="146"/>
      <c r="E4" s="146"/>
      <c r="F4" s="146"/>
    </row>
    <row r="5" spans="1:9">
      <c r="A5" s="149" t="s">
        <v>261</v>
      </c>
      <c r="B5" s="150">
        <v>4188.6400000000003</v>
      </c>
      <c r="C5" s="151">
        <v>4590.92</v>
      </c>
      <c r="D5" s="150">
        <v>4010.26</v>
      </c>
      <c r="E5" s="150">
        <v>4103.55</v>
      </c>
      <c r="F5" s="150">
        <v>4512</v>
      </c>
    </row>
    <row r="6" spans="1:9" ht="15" thickBot="1">
      <c r="A6" s="149" t="s">
        <v>262</v>
      </c>
      <c r="B6" s="152">
        <v>98.71</v>
      </c>
      <c r="C6" s="153">
        <v>115.35</v>
      </c>
      <c r="D6" s="152">
        <v>54.94</v>
      </c>
      <c r="E6" s="152">
        <v>61.73</v>
      </c>
      <c r="F6" s="152">
        <v>83.38</v>
      </c>
    </row>
    <row r="7" spans="1:9" ht="15" thickBot="1">
      <c r="A7" s="154" t="s">
        <v>263</v>
      </c>
      <c r="B7" s="155">
        <f>SUM(B5:B6)</f>
        <v>4287.3500000000004</v>
      </c>
      <c r="C7" s="155">
        <f>SUM(C5:C6)</f>
        <v>4706.2700000000004</v>
      </c>
      <c r="D7" s="155">
        <f>SUM(D5:D6)</f>
        <v>4065.2000000000003</v>
      </c>
      <c r="E7" s="155">
        <f>SUM(E5:E6)</f>
        <v>4165.28</v>
      </c>
      <c r="F7" s="155">
        <f>SUM(F5:F6)</f>
        <v>4595.38</v>
      </c>
    </row>
    <row r="8" spans="1:9" ht="15" thickBot="1">
      <c r="A8" s="148" t="s">
        <v>264</v>
      </c>
      <c r="B8" s="156"/>
      <c r="C8" s="156"/>
      <c r="D8" s="156"/>
      <c r="E8" s="156"/>
      <c r="F8" s="156"/>
    </row>
    <row r="9" spans="1:9">
      <c r="A9" s="149" t="s">
        <v>265</v>
      </c>
      <c r="B9" s="150">
        <v>443.09</v>
      </c>
      <c r="C9" s="151">
        <v>504.48</v>
      </c>
      <c r="D9" s="150">
        <v>363.95</v>
      </c>
      <c r="E9" s="150">
        <v>376.44</v>
      </c>
      <c r="F9" s="150">
        <v>404.05</v>
      </c>
    </row>
    <row r="10" spans="1:9">
      <c r="A10" s="149" t="s">
        <v>266</v>
      </c>
      <c r="B10" s="157">
        <v>1462.46</v>
      </c>
      <c r="C10" s="158">
        <v>1609.71</v>
      </c>
      <c r="D10" s="157">
        <v>1364.65</v>
      </c>
      <c r="E10" s="157">
        <v>1346.62</v>
      </c>
      <c r="F10" s="157">
        <v>1470.79</v>
      </c>
    </row>
    <row r="11" spans="1:9">
      <c r="A11" s="149" t="s">
        <v>267</v>
      </c>
      <c r="B11" s="157">
        <v>175.57</v>
      </c>
      <c r="C11" s="158">
        <v>245.96</v>
      </c>
      <c r="D11" s="157">
        <v>323.83</v>
      </c>
      <c r="E11" s="157">
        <v>269.04000000000002</v>
      </c>
      <c r="F11" s="157">
        <v>190.13</v>
      </c>
    </row>
    <row r="12" spans="1:9">
      <c r="A12" s="149" t="s">
        <v>268</v>
      </c>
      <c r="B12" s="157">
        <v>291.29000000000002</v>
      </c>
      <c r="C12" s="158">
        <v>316.67</v>
      </c>
      <c r="D12" s="157">
        <v>299.37</v>
      </c>
      <c r="E12" s="157">
        <v>301.2</v>
      </c>
      <c r="F12" s="157">
        <v>327.85</v>
      </c>
    </row>
    <row r="13" spans="1:9" ht="15" thickBot="1">
      <c r="A13" s="149" t="s">
        <v>269</v>
      </c>
      <c r="B13" s="157">
        <v>1794.51</v>
      </c>
      <c r="C13" s="158">
        <v>1860.15</v>
      </c>
      <c r="D13" s="157">
        <v>1672.04</v>
      </c>
      <c r="E13" s="157">
        <v>1710.14</v>
      </c>
      <c r="F13" s="157">
        <v>1807.43</v>
      </c>
    </row>
    <row r="14" spans="1:9" ht="15" thickBot="1">
      <c r="A14" s="154" t="s">
        <v>270</v>
      </c>
      <c r="B14" s="155">
        <f>SUM(B9:B13)</f>
        <v>4166.92</v>
      </c>
      <c r="C14" s="155">
        <f>SUM(C9:C13)</f>
        <v>4536.97</v>
      </c>
      <c r="D14" s="155">
        <f>SUM(D9:D13)</f>
        <v>4023.84</v>
      </c>
      <c r="E14" s="155">
        <f>SUM(E9:E13)</f>
        <v>4003.4399999999996</v>
      </c>
      <c r="F14" s="155">
        <f>SUM(F9:F13)</f>
        <v>4200.25</v>
      </c>
    </row>
    <row r="15" spans="1:9">
      <c r="A15" s="154" t="s">
        <v>271</v>
      </c>
      <c r="B15" s="157">
        <v>120.43</v>
      </c>
      <c r="C15" s="158">
        <f>C7-C14</f>
        <v>169.30000000000018</v>
      </c>
      <c r="D15" s="157">
        <v>41.36</v>
      </c>
      <c r="E15" s="157">
        <v>161.84</v>
      </c>
      <c r="F15" s="157">
        <v>395.13</v>
      </c>
    </row>
    <row r="16" spans="1:9">
      <c r="A16" s="149" t="s">
        <v>272</v>
      </c>
      <c r="B16" s="157">
        <v>-352.91</v>
      </c>
      <c r="C16" s="158">
        <v>67.16</v>
      </c>
      <c r="D16" s="157">
        <v>10.78</v>
      </c>
      <c r="E16" s="157">
        <v>-22.45</v>
      </c>
      <c r="F16" s="157">
        <v>-6.58</v>
      </c>
    </row>
    <row r="17" spans="1:12" ht="15" thickBot="1">
      <c r="A17" s="154" t="s">
        <v>273</v>
      </c>
      <c r="B17" s="159">
        <f>B15+B16</f>
        <v>-232.48000000000002</v>
      </c>
      <c r="C17" s="159">
        <f>C15-C16</f>
        <v>102.14000000000019</v>
      </c>
      <c r="D17" s="159">
        <f>D15-D16</f>
        <v>30.58</v>
      </c>
      <c r="E17" s="159">
        <f>E15-E16</f>
        <v>184.29</v>
      </c>
      <c r="F17" s="159">
        <f>F15-F16</f>
        <v>401.71</v>
      </c>
    </row>
    <row r="18" spans="1:12" ht="15" thickBot="1">
      <c r="A18" s="148" t="s">
        <v>274</v>
      </c>
      <c r="B18" s="156"/>
      <c r="C18" s="156"/>
      <c r="D18" s="156"/>
      <c r="E18" s="156"/>
      <c r="F18" s="156"/>
    </row>
    <row r="19" spans="1:12">
      <c r="A19" s="149" t="s">
        <v>275</v>
      </c>
      <c r="B19" s="150">
        <v>72.31</v>
      </c>
      <c r="C19" s="151">
        <v>81.13</v>
      </c>
      <c r="D19" s="150">
        <v>125.76</v>
      </c>
      <c r="E19" s="150">
        <v>138.37</v>
      </c>
      <c r="F19" s="150">
        <v>178.54</v>
      </c>
    </row>
    <row r="20" spans="1:12">
      <c r="A20" s="149" t="s">
        <v>276</v>
      </c>
      <c r="B20" s="157">
        <v>87.28</v>
      </c>
      <c r="C20" s="158">
        <v>118.35</v>
      </c>
      <c r="D20" s="157">
        <v>-12.02</v>
      </c>
      <c r="E20" s="157">
        <v>-17.309999999999999</v>
      </c>
      <c r="F20" s="157">
        <v>-21.42</v>
      </c>
    </row>
    <row r="21" spans="1:12">
      <c r="A21" s="149" t="s">
        <v>277</v>
      </c>
      <c r="B21" s="157">
        <v>-42.94</v>
      </c>
      <c r="C21" s="158">
        <v>-56.75</v>
      </c>
      <c r="D21" s="157">
        <v>0</v>
      </c>
      <c r="E21" s="157">
        <v>0</v>
      </c>
      <c r="F21" s="157">
        <v>0</v>
      </c>
    </row>
    <row r="22" spans="1:12" ht="15" thickBot="1">
      <c r="A22" s="160" t="s">
        <v>278</v>
      </c>
      <c r="B22" s="152">
        <v>-2.0499999999999998</v>
      </c>
      <c r="C22" s="153">
        <v>-2.66</v>
      </c>
      <c r="D22" s="152">
        <v>0</v>
      </c>
      <c r="E22" s="152">
        <v>0</v>
      </c>
      <c r="F22" s="152">
        <v>0</v>
      </c>
    </row>
    <row r="23" spans="1:12" ht="15" thickBot="1">
      <c r="A23" s="161" t="s">
        <v>279</v>
      </c>
      <c r="B23" s="155">
        <f>SUM(B19:B22:B22)</f>
        <v>114.60000000000001</v>
      </c>
      <c r="C23" s="155">
        <f>SUM(C19:C22:C22)</f>
        <v>140.07</v>
      </c>
      <c r="D23" s="155">
        <f>SUM(D19:D22:D22)</f>
        <v>113.74000000000001</v>
      </c>
      <c r="E23" s="155">
        <f>SUM(E19:E22:E22)</f>
        <v>121.06</v>
      </c>
      <c r="F23" s="155">
        <f>SUM(F19:F22:F22)</f>
        <v>157.12</v>
      </c>
      <c r="H23" s="83">
        <f>B23/B17</f>
        <v>-0.49294562973158979</v>
      </c>
      <c r="I23" s="83">
        <f t="shared" ref="I23:L23" si="0">C23/C17</f>
        <v>1.3713530448404125</v>
      </c>
      <c r="J23" s="83">
        <f t="shared" si="0"/>
        <v>3.7194244604316551</v>
      </c>
      <c r="K23" s="83">
        <f t="shared" si="0"/>
        <v>0.65689945195072985</v>
      </c>
      <c r="L23" s="83">
        <f t="shared" si="0"/>
        <v>0.39112792810734115</v>
      </c>
    </row>
    <row r="24" spans="1:12" ht="15" thickBot="1">
      <c r="A24" s="161" t="s">
        <v>280</v>
      </c>
      <c r="B24" s="162">
        <f>B17-B23</f>
        <v>-347.08000000000004</v>
      </c>
      <c r="C24" s="162">
        <f>C17-C23</f>
        <v>-37.929999999999808</v>
      </c>
      <c r="D24" s="162">
        <f>D17-D23</f>
        <v>-83.160000000000011</v>
      </c>
      <c r="E24" s="162">
        <f>E17-E23</f>
        <v>63.22999999999999</v>
      </c>
      <c r="F24" s="162">
        <f>F17-F23</f>
        <v>244.58999999999997</v>
      </c>
    </row>
    <row r="25" spans="1:12">
      <c r="A25" s="163" t="s">
        <v>281</v>
      </c>
      <c r="B25" s="164"/>
      <c r="C25" s="164"/>
      <c r="D25" s="164"/>
      <c r="E25" s="164">
        <v>40.29</v>
      </c>
      <c r="F25" s="164">
        <v>51.53</v>
      </c>
    </row>
    <row r="26" spans="1:12">
      <c r="A26" s="163" t="s">
        <v>282</v>
      </c>
      <c r="B26" s="164"/>
      <c r="C26" s="164"/>
      <c r="D26" s="164"/>
      <c r="E26" s="164">
        <v>-2.65</v>
      </c>
      <c r="F26" s="164">
        <v>-9.3000000000000007</v>
      </c>
    </row>
    <row r="27" spans="1:12">
      <c r="A27" s="165" t="s">
        <v>283</v>
      </c>
      <c r="B27" s="164">
        <f>SUM(B24:B26)</f>
        <v>-347.08000000000004</v>
      </c>
      <c r="C27" s="164">
        <f>SUM(C24:C26)</f>
        <v>-37.929999999999808</v>
      </c>
      <c r="D27" s="164">
        <f>SUM(D24:D26)</f>
        <v>-83.160000000000011</v>
      </c>
      <c r="E27" s="164">
        <f>SUM(E24:E26)</f>
        <v>100.86999999999998</v>
      </c>
      <c r="F27" s="164">
        <f>SUM(F24:F26)</f>
        <v>286.82</v>
      </c>
    </row>
    <row r="29" spans="1:12">
      <c r="A29" t="s">
        <v>284</v>
      </c>
      <c r="B29">
        <f>SUM([2]Sheet2!B68+[2]Sheet2!B71+[2]Sheet2!B72+[2]Sheet2!B73+[2]Sheet2!B69)</f>
        <v>0</v>
      </c>
      <c r="C29">
        <f>SUM([2]Sheet2!D68+[2]Sheet2!D71+[2]Sheet2!D72+[2]Sheet2!D73+[2]Sheet2!D69)</f>
        <v>0</v>
      </c>
      <c r="D29">
        <f>SUM([2]Sheet2!F68+[2]Sheet2!F71+[2]Sheet2!F72+[2]Sheet2!F73+[2]Sheet2!F69)</f>
        <v>0</v>
      </c>
      <c r="E29">
        <f>SUM([2]Sheet2!H68+[2]Sheet2!H71+[2]Sheet2!H72+[2]Sheet2!H73+[2]Sheet2!H69)</f>
        <v>0</v>
      </c>
      <c r="F29">
        <f>SUM([2]Sheet2!J68+[2]Sheet2!J71+[2]Sheet2!J72+[2]Sheet2!J73+[2]Sheet2!J69)</f>
        <v>0</v>
      </c>
    </row>
    <row r="30" spans="1:12">
      <c r="A30" t="s">
        <v>285</v>
      </c>
      <c r="B30">
        <f>(B15-B29)</f>
        <v>120.43</v>
      </c>
      <c r="C30">
        <f>(C15-C29)</f>
        <v>169.30000000000018</v>
      </c>
      <c r="D30">
        <f>(D15-D29)</f>
        <v>41.36</v>
      </c>
      <c r="E30">
        <f>(E15-E29)</f>
        <v>161.84</v>
      </c>
      <c r="F30">
        <f>(F15-F29)</f>
        <v>395.13</v>
      </c>
    </row>
    <row r="32" spans="1:12">
      <c r="A32" t="s">
        <v>286</v>
      </c>
      <c r="B32" t="e">
        <f>B30/B29</f>
        <v>#DIV/0!</v>
      </c>
      <c r="C32" t="e">
        <f>C30/C29</f>
        <v>#DIV/0!</v>
      </c>
      <c r="D32" t="e">
        <f>D30/D29</f>
        <v>#DIV/0!</v>
      </c>
      <c r="E32" t="e">
        <f>E30/E29</f>
        <v>#DIV/0!</v>
      </c>
      <c r="F32" t="e">
        <f>F30/F29</f>
        <v>#DIV/0!</v>
      </c>
    </row>
    <row r="33" spans="1:8">
      <c r="H33">
        <f>F19/F17</f>
        <v>0.44444997635109906</v>
      </c>
    </row>
    <row r="34" spans="1:8">
      <c r="A34">
        <f>B29/'[2]IHCL BALANCE SHEET'!J70</f>
        <v>0</v>
      </c>
    </row>
    <row r="35" spans="1:8">
      <c r="B35">
        <f>[2]Sheet2!B68</f>
        <v>0</v>
      </c>
      <c r="C35">
        <f>[2]Sheet2!D68</f>
        <v>0</v>
      </c>
      <c r="D35">
        <f>[2]Sheet2!F68</f>
        <v>0</v>
      </c>
      <c r="E35">
        <f>[2]Sheet2!H68</f>
        <v>0</v>
      </c>
      <c r="F35">
        <f>[2]Sheet2!J68</f>
        <v>0</v>
      </c>
    </row>
    <row r="36" spans="1:8">
      <c r="B36">
        <f>B17-B35</f>
        <v>-232.48000000000002</v>
      </c>
      <c r="C36">
        <f>C17-C35</f>
        <v>102.14000000000019</v>
      </c>
      <c r="D36">
        <f>D17-D35</f>
        <v>30.58</v>
      </c>
      <c r="E36">
        <f>E17-E35</f>
        <v>184.29</v>
      </c>
      <c r="F36">
        <f>F17-F35</f>
        <v>401.71</v>
      </c>
    </row>
    <row r="38" spans="1:8">
      <c r="B38">
        <f>B35/B36</f>
        <v>0</v>
      </c>
      <c r="C38">
        <f>C35/C36</f>
        <v>0</v>
      </c>
      <c r="D38">
        <f>D35/D36</f>
        <v>0</v>
      </c>
      <c r="E38">
        <f>E35/E36</f>
        <v>0</v>
      </c>
      <c r="F38">
        <f>F35/F36</f>
        <v>0</v>
      </c>
    </row>
    <row r="40" spans="1:8">
      <c r="B40">
        <f>B29/B36</f>
        <v>0</v>
      </c>
      <c r="C40">
        <f>C29/C36</f>
        <v>0</v>
      </c>
      <c r="D40">
        <f>D29/D36</f>
        <v>0</v>
      </c>
      <c r="E40">
        <f>E29/E36</f>
        <v>0</v>
      </c>
      <c r="F40">
        <f>F29/F36</f>
        <v>0</v>
      </c>
    </row>
    <row r="44" spans="1:8">
      <c r="A44" t="s">
        <v>214</v>
      </c>
      <c r="B44" s="83">
        <f>(B23)/B17</f>
        <v>-0.49294562973158979</v>
      </c>
      <c r="C44" s="83">
        <f>(C23)/C17</f>
        <v>1.3713530448404125</v>
      </c>
      <c r="D44" s="83">
        <f>(D23)/D17</f>
        <v>3.7194244604316551</v>
      </c>
      <c r="E44" s="83">
        <f>(E23)/E17</f>
        <v>0.65689945195072985</v>
      </c>
      <c r="F44" s="83">
        <f>(F23)/F17</f>
        <v>0.39112792810734115</v>
      </c>
    </row>
  </sheetData>
  <mergeCells count="1">
    <mergeCell ref="A1: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B1569-6695-40C7-9E0A-DE7F36CFD198}">
  <dimension ref="A1:E32"/>
  <sheetViews>
    <sheetView topLeftCell="A6" workbookViewId="0">
      <selection activeCell="B36" sqref="B36"/>
    </sheetView>
  </sheetViews>
  <sheetFormatPr defaultColWidth="9.77734375" defaultRowHeight="14.4"/>
  <cols>
    <col min="1" max="1" width="30.21875" style="19" bestFit="1" customWidth="1"/>
    <col min="2" max="2" width="26.77734375" style="13" bestFit="1" customWidth="1"/>
    <col min="3" max="3" width="17.6640625" style="13" bestFit="1" customWidth="1"/>
    <col min="4" max="4" width="19.6640625" style="13" bestFit="1" customWidth="1"/>
    <col min="5" max="5" width="12.5546875" bestFit="1" customWidth="1"/>
    <col min="257" max="257" width="30.21875" bestFit="1" customWidth="1"/>
    <col min="258" max="258" width="14.21875" customWidth="1"/>
    <col min="259" max="259" width="17.6640625" bestFit="1" customWidth="1"/>
    <col min="260" max="260" width="19.6640625" bestFit="1" customWidth="1"/>
    <col min="261" max="261" width="12.5546875" bestFit="1" customWidth="1"/>
    <col min="513" max="513" width="30.21875" bestFit="1" customWidth="1"/>
    <col min="514" max="514" width="14.21875" customWidth="1"/>
    <col min="515" max="515" width="17.6640625" bestFit="1" customWidth="1"/>
    <col min="516" max="516" width="19.6640625" bestFit="1" customWidth="1"/>
    <col min="517" max="517" width="12.5546875" bestFit="1" customWidth="1"/>
    <col min="769" max="769" width="30.21875" bestFit="1" customWidth="1"/>
    <col min="770" max="770" width="14.21875" customWidth="1"/>
    <col min="771" max="771" width="17.6640625" bestFit="1" customWidth="1"/>
    <col min="772" max="772" width="19.6640625" bestFit="1" customWidth="1"/>
    <col min="773" max="773" width="12.5546875" bestFit="1" customWidth="1"/>
    <col min="1025" max="1025" width="30.21875" bestFit="1" customWidth="1"/>
    <col min="1026" max="1026" width="14.21875" customWidth="1"/>
    <col min="1027" max="1027" width="17.6640625" bestFit="1" customWidth="1"/>
    <col min="1028" max="1028" width="19.6640625" bestFit="1" customWidth="1"/>
    <col min="1029" max="1029" width="12.5546875" bestFit="1" customWidth="1"/>
    <col min="1281" max="1281" width="30.21875" bestFit="1" customWidth="1"/>
    <col min="1282" max="1282" width="14.21875" customWidth="1"/>
    <col min="1283" max="1283" width="17.6640625" bestFit="1" customWidth="1"/>
    <col min="1284" max="1284" width="19.6640625" bestFit="1" customWidth="1"/>
    <col min="1285" max="1285" width="12.5546875" bestFit="1" customWidth="1"/>
    <col min="1537" max="1537" width="30.21875" bestFit="1" customWidth="1"/>
    <col min="1538" max="1538" width="14.21875" customWidth="1"/>
    <col min="1539" max="1539" width="17.6640625" bestFit="1" customWidth="1"/>
    <col min="1540" max="1540" width="19.6640625" bestFit="1" customWidth="1"/>
    <col min="1541" max="1541" width="12.5546875" bestFit="1" customWidth="1"/>
    <col min="1793" max="1793" width="30.21875" bestFit="1" customWidth="1"/>
    <col min="1794" max="1794" width="14.21875" customWidth="1"/>
    <col min="1795" max="1795" width="17.6640625" bestFit="1" customWidth="1"/>
    <col min="1796" max="1796" width="19.6640625" bestFit="1" customWidth="1"/>
    <col min="1797" max="1797" width="12.5546875" bestFit="1" customWidth="1"/>
    <col min="2049" max="2049" width="30.21875" bestFit="1" customWidth="1"/>
    <col min="2050" max="2050" width="14.21875" customWidth="1"/>
    <col min="2051" max="2051" width="17.6640625" bestFit="1" customWidth="1"/>
    <col min="2052" max="2052" width="19.6640625" bestFit="1" customWidth="1"/>
    <col min="2053" max="2053" width="12.5546875" bestFit="1" customWidth="1"/>
    <col min="2305" max="2305" width="30.21875" bestFit="1" customWidth="1"/>
    <col min="2306" max="2306" width="14.21875" customWidth="1"/>
    <col min="2307" max="2307" width="17.6640625" bestFit="1" customWidth="1"/>
    <col min="2308" max="2308" width="19.6640625" bestFit="1" customWidth="1"/>
    <col min="2309" max="2309" width="12.5546875" bestFit="1" customWidth="1"/>
    <col min="2561" max="2561" width="30.21875" bestFit="1" customWidth="1"/>
    <col min="2562" max="2562" width="14.21875" customWidth="1"/>
    <col min="2563" max="2563" width="17.6640625" bestFit="1" customWidth="1"/>
    <col min="2564" max="2564" width="19.6640625" bestFit="1" customWidth="1"/>
    <col min="2565" max="2565" width="12.5546875" bestFit="1" customWidth="1"/>
    <col min="2817" max="2817" width="30.21875" bestFit="1" customWidth="1"/>
    <col min="2818" max="2818" width="14.21875" customWidth="1"/>
    <col min="2819" max="2819" width="17.6640625" bestFit="1" customWidth="1"/>
    <col min="2820" max="2820" width="19.6640625" bestFit="1" customWidth="1"/>
    <col min="2821" max="2821" width="12.5546875" bestFit="1" customWidth="1"/>
    <col min="3073" max="3073" width="30.21875" bestFit="1" customWidth="1"/>
    <col min="3074" max="3074" width="14.21875" customWidth="1"/>
    <col min="3075" max="3075" width="17.6640625" bestFit="1" customWidth="1"/>
    <col min="3076" max="3076" width="19.6640625" bestFit="1" customWidth="1"/>
    <col min="3077" max="3077" width="12.5546875" bestFit="1" customWidth="1"/>
    <col min="3329" max="3329" width="30.21875" bestFit="1" customWidth="1"/>
    <col min="3330" max="3330" width="14.21875" customWidth="1"/>
    <col min="3331" max="3331" width="17.6640625" bestFit="1" customWidth="1"/>
    <col min="3332" max="3332" width="19.6640625" bestFit="1" customWidth="1"/>
    <col min="3333" max="3333" width="12.5546875" bestFit="1" customWidth="1"/>
    <col min="3585" max="3585" width="30.21875" bestFit="1" customWidth="1"/>
    <col min="3586" max="3586" width="14.21875" customWidth="1"/>
    <col min="3587" max="3587" width="17.6640625" bestFit="1" customWidth="1"/>
    <col min="3588" max="3588" width="19.6640625" bestFit="1" customWidth="1"/>
    <col min="3589" max="3589" width="12.5546875" bestFit="1" customWidth="1"/>
    <col min="3841" max="3841" width="30.21875" bestFit="1" customWidth="1"/>
    <col min="3842" max="3842" width="14.21875" customWidth="1"/>
    <col min="3843" max="3843" width="17.6640625" bestFit="1" customWidth="1"/>
    <col min="3844" max="3844" width="19.6640625" bestFit="1" customWidth="1"/>
    <col min="3845" max="3845" width="12.5546875" bestFit="1" customWidth="1"/>
    <col min="4097" max="4097" width="30.21875" bestFit="1" customWidth="1"/>
    <col min="4098" max="4098" width="14.21875" customWidth="1"/>
    <col min="4099" max="4099" width="17.6640625" bestFit="1" customWidth="1"/>
    <col min="4100" max="4100" width="19.6640625" bestFit="1" customWidth="1"/>
    <col min="4101" max="4101" width="12.5546875" bestFit="1" customWidth="1"/>
    <col min="4353" max="4353" width="30.21875" bestFit="1" customWidth="1"/>
    <col min="4354" max="4354" width="14.21875" customWidth="1"/>
    <col min="4355" max="4355" width="17.6640625" bestFit="1" customWidth="1"/>
    <col min="4356" max="4356" width="19.6640625" bestFit="1" customWidth="1"/>
    <col min="4357" max="4357" width="12.5546875" bestFit="1" customWidth="1"/>
    <col min="4609" max="4609" width="30.21875" bestFit="1" customWidth="1"/>
    <col min="4610" max="4610" width="14.21875" customWidth="1"/>
    <col min="4611" max="4611" width="17.6640625" bestFit="1" customWidth="1"/>
    <col min="4612" max="4612" width="19.6640625" bestFit="1" customWidth="1"/>
    <col min="4613" max="4613" width="12.5546875" bestFit="1" customWidth="1"/>
    <col min="4865" max="4865" width="30.21875" bestFit="1" customWidth="1"/>
    <col min="4866" max="4866" width="14.21875" customWidth="1"/>
    <col min="4867" max="4867" width="17.6640625" bestFit="1" customWidth="1"/>
    <col min="4868" max="4868" width="19.6640625" bestFit="1" customWidth="1"/>
    <col min="4869" max="4869" width="12.5546875" bestFit="1" customWidth="1"/>
    <col min="5121" max="5121" width="30.21875" bestFit="1" customWidth="1"/>
    <col min="5122" max="5122" width="14.21875" customWidth="1"/>
    <col min="5123" max="5123" width="17.6640625" bestFit="1" customWidth="1"/>
    <col min="5124" max="5124" width="19.6640625" bestFit="1" customWidth="1"/>
    <col min="5125" max="5125" width="12.5546875" bestFit="1" customWidth="1"/>
    <col min="5377" max="5377" width="30.21875" bestFit="1" customWidth="1"/>
    <col min="5378" max="5378" width="14.21875" customWidth="1"/>
    <col min="5379" max="5379" width="17.6640625" bestFit="1" customWidth="1"/>
    <col min="5380" max="5380" width="19.6640625" bestFit="1" customWidth="1"/>
    <col min="5381" max="5381" width="12.5546875" bestFit="1" customWidth="1"/>
    <col min="5633" max="5633" width="30.21875" bestFit="1" customWidth="1"/>
    <col min="5634" max="5634" width="14.21875" customWidth="1"/>
    <col min="5635" max="5635" width="17.6640625" bestFit="1" customWidth="1"/>
    <col min="5636" max="5636" width="19.6640625" bestFit="1" customWidth="1"/>
    <col min="5637" max="5637" width="12.5546875" bestFit="1" customWidth="1"/>
    <col min="5889" max="5889" width="30.21875" bestFit="1" customWidth="1"/>
    <col min="5890" max="5890" width="14.21875" customWidth="1"/>
    <col min="5891" max="5891" width="17.6640625" bestFit="1" customWidth="1"/>
    <col min="5892" max="5892" width="19.6640625" bestFit="1" customWidth="1"/>
    <col min="5893" max="5893" width="12.5546875" bestFit="1" customWidth="1"/>
    <col min="6145" max="6145" width="30.21875" bestFit="1" customWidth="1"/>
    <col min="6146" max="6146" width="14.21875" customWidth="1"/>
    <col min="6147" max="6147" width="17.6640625" bestFit="1" customWidth="1"/>
    <col min="6148" max="6148" width="19.6640625" bestFit="1" customWidth="1"/>
    <col min="6149" max="6149" width="12.5546875" bestFit="1" customWidth="1"/>
    <col min="6401" max="6401" width="30.21875" bestFit="1" customWidth="1"/>
    <col min="6402" max="6402" width="14.21875" customWidth="1"/>
    <col min="6403" max="6403" width="17.6640625" bestFit="1" customWidth="1"/>
    <col min="6404" max="6404" width="19.6640625" bestFit="1" customWidth="1"/>
    <col min="6405" max="6405" width="12.5546875" bestFit="1" customWidth="1"/>
    <col min="6657" max="6657" width="30.21875" bestFit="1" customWidth="1"/>
    <col min="6658" max="6658" width="14.21875" customWidth="1"/>
    <col min="6659" max="6659" width="17.6640625" bestFit="1" customWidth="1"/>
    <col min="6660" max="6660" width="19.6640625" bestFit="1" customWidth="1"/>
    <col min="6661" max="6661" width="12.5546875" bestFit="1" customWidth="1"/>
    <col min="6913" max="6913" width="30.21875" bestFit="1" customWidth="1"/>
    <col min="6914" max="6914" width="14.21875" customWidth="1"/>
    <col min="6915" max="6915" width="17.6640625" bestFit="1" customWidth="1"/>
    <col min="6916" max="6916" width="19.6640625" bestFit="1" customWidth="1"/>
    <col min="6917" max="6917" width="12.5546875" bestFit="1" customWidth="1"/>
    <col min="7169" max="7169" width="30.21875" bestFit="1" customWidth="1"/>
    <col min="7170" max="7170" width="14.21875" customWidth="1"/>
    <col min="7171" max="7171" width="17.6640625" bestFit="1" customWidth="1"/>
    <col min="7172" max="7172" width="19.6640625" bestFit="1" customWidth="1"/>
    <col min="7173" max="7173" width="12.5546875" bestFit="1" customWidth="1"/>
    <col min="7425" max="7425" width="30.21875" bestFit="1" customWidth="1"/>
    <col min="7426" max="7426" width="14.21875" customWidth="1"/>
    <col min="7427" max="7427" width="17.6640625" bestFit="1" customWidth="1"/>
    <col min="7428" max="7428" width="19.6640625" bestFit="1" customWidth="1"/>
    <col min="7429" max="7429" width="12.5546875" bestFit="1" customWidth="1"/>
    <col min="7681" max="7681" width="30.21875" bestFit="1" customWidth="1"/>
    <col min="7682" max="7682" width="14.21875" customWidth="1"/>
    <col min="7683" max="7683" width="17.6640625" bestFit="1" customWidth="1"/>
    <col min="7684" max="7684" width="19.6640625" bestFit="1" customWidth="1"/>
    <col min="7685" max="7685" width="12.5546875" bestFit="1" customWidth="1"/>
    <col min="7937" max="7937" width="30.21875" bestFit="1" customWidth="1"/>
    <col min="7938" max="7938" width="14.21875" customWidth="1"/>
    <col min="7939" max="7939" width="17.6640625" bestFit="1" customWidth="1"/>
    <col min="7940" max="7940" width="19.6640625" bestFit="1" customWidth="1"/>
    <col min="7941" max="7941" width="12.5546875" bestFit="1" customWidth="1"/>
    <col min="8193" max="8193" width="30.21875" bestFit="1" customWidth="1"/>
    <col min="8194" max="8194" width="14.21875" customWidth="1"/>
    <col min="8195" max="8195" width="17.6640625" bestFit="1" customWidth="1"/>
    <col min="8196" max="8196" width="19.6640625" bestFit="1" customWidth="1"/>
    <col min="8197" max="8197" width="12.5546875" bestFit="1" customWidth="1"/>
    <col min="8449" max="8449" width="30.21875" bestFit="1" customWidth="1"/>
    <col min="8450" max="8450" width="14.21875" customWidth="1"/>
    <col min="8451" max="8451" width="17.6640625" bestFit="1" customWidth="1"/>
    <col min="8452" max="8452" width="19.6640625" bestFit="1" customWidth="1"/>
    <col min="8453" max="8453" width="12.5546875" bestFit="1" customWidth="1"/>
    <col min="8705" max="8705" width="30.21875" bestFit="1" customWidth="1"/>
    <col min="8706" max="8706" width="14.21875" customWidth="1"/>
    <col min="8707" max="8707" width="17.6640625" bestFit="1" customWidth="1"/>
    <col min="8708" max="8708" width="19.6640625" bestFit="1" customWidth="1"/>
    <col min="8709" max="8709" width="12.5546875" bestFit="1" customWidth="1"/>
    <col min="8961" max="8961" width="30.21875" bestFit="1" customWidth="1"/>
    <col min="8962" max="8962" width="14.21875" customWidth="1"/>
    <col min="8963" max="8963" width="17.6640625" bestFit="1" customWidth="1"/>
    <col min="8964" max="8964" width="19.6640625" bestFit="1" customWidth="1"/>
    <col min="8965" max="8965" width="12.5546875" bestFit="1" customWidth="1"/>
    <col min="9217" max="9217" width="30.21875" bestFit="1" customWidth="1"/>
    <col min="9218" max="9218" width="14.21875" customWidth="1"/>
    <col min="9219" max="9219" width="17.6640625" bestFit="1" customWidth="1"/>
    <col min="9220" max="9220" width="19.6640625" bestFit="1" customWidth="1"/>
    <col min="9221" max="9221" width="12.5546875" bestFit="1" customWidth="1"/>
    <col min="9473" max="9473" width="30.21875" bestFit="1" customWidth="1"/>
    <col min="9474" max="9474" width="14.21875" customWidth="1"/>
    <col min="9475" max="9475" width="17.6640625" bestFit="1" customWidth="1"/>
    <col min="9476" max="9476" width="19.6640625" bestFit="1" customWidth="1"/>
    <col min="9477" max="9477" width="12.5546875" bestFit="1" customWidth="1"/>
    <col min="9729" max="9729" width="30.21875" bestFit="1" customWidth="1"/>
    <col min="9730" max="9730" width="14.21875" customWidth="1"/>
    <col min="9731" max="9731" width="17.6640625" bestFit="1" customWidth="1"/>
    <col min="9732" max="9732" width="19.6640625" bestFit="1" customWidth="1"/>
    <col min="9733" max="9733" width="12.5546875" bestFit="1" customWidth="1"/>
    <col min="9985" max="9985" width="30.21875" bestFit="1" customWidth="1"/>
    <col min="9986" max="9986" width="14.21875" customWidth="1"/>
    <col min="9987" max="9987" width="17.6640625" bestFit="1" customWidth="1"/>
    <col min="9988" max="9988" width="19.6640625" bestFit="1" customWidth="1"/>
    <col min="9989" max="9989" width="12.5546875" bestFit="1" customWidth="1"/>
    <col min="10241" max="10241" width="30.21875" bestFit="1" customWidth="1"/>
    <col min="10242" max="10242" width="14.21875" customWidth="1"/>
    <col min="10243" max="10243" width="17.6640625" bestFit="1" customWidth="1"/>
    <col min="10244" max="10244" width="19.6640625" bestFit="1" customWidth="1"/>
    <col min="10245" max="10245" width="12.5546875" bestFit="1" customWidth="1"/>
    <col min="10497" max="10497" width="30.21875" bestFit="1" customWidth="1"/>
    <col min="10498" max="10498" width="14.21875" customWidth="1"/>
    <col min="10499" max="10499" width="17.6640625" bestFit="1" customWidth="1"/>
    <col min="10500" max="10500" width="19.6640625" bestFit="1" customWidth="1"/>
    <col min="10501" max="10501" width="12.5546875" bestFit="1" customWidth="1"/>
    <col min="10753" max="10753" width="30.21875" bestFit="1" customWidth="1"/>
    <col min="10754" max="10754" width="14.21875" customWidth="1"/>
    <col min="10755" max="10755" width="17.6640625" bestFit="1" customWidth="1"/>
    <col min="10756" max="10756" width="19.6640625" bestFit="1" customWidth="1"/>
    <col min="10757" max="10757" width="12.5546875" bestFit="1" customWidth="1"/>
    <col min="11009" max="11009" width="30.21875" bestFit="1" customWidth="1"/>
    <col min="11010" max="11010" width="14.21875" customWidth="1"/>
    <col min="11011" max="11011" width="17.6640625" bestFit="1" customWidth="1"/>
    <col min="11012" max="11012" width="19.6640625" bestFit="1" customWidth="1"/>
    <col min="11013" max="11013" width="12.5546875" bestFit="1" customWidth="1"/>
    <col min="11265" max="11265" width="30.21875" bestFit="1" customWidth="1"/>
    <col min="11266" max="11266" width="14.21875" customWidth="1"/>
    <col min="11267" max="11267" width="17.6640625" bestFit="1" customWidth="1"/>
    <col min="11268" max="11268" width="19.6640625" bestFit="1" customWidth="1"/>
    <col min="11269" max="11269" width="12.5546875" bestFit="1" customWidth="1"/>
    <col min="11521" max="11521" width="30.21875" bestFit="1" customWidth="1"/>
    <col min="11522" max="11522" width="14.21875" customWidth="1"/>
    <col min="11523" max="11523" width="17.6640625" bestFit="1" customWidth="1"/>
    <col min="11524" max="11524" width="19.6640625" bestFit="1" customWidth="1"/>
    <col min="11525" max="11525" width="12.5546875" bestFit="1" customWidth="1"/>
    <col min="11777" max="11777" width="30.21875" bestFit="1" customWidth="1"/>
    <col min="11778" max="11778" width="14.21875" customWidth="1"/>
    <col min="11779" max="11779" width="17.6640625" bestFit="1" customWidth="1"/>
    <col min="11780" max="11780" width="19.6640625" bestFit="1" customWidth="1"/>
    <col min="11781" max="11781" width="12.5546875" bestFit="1" customWidth="1"/>
    <col min="12033" max="12033" width="30.21875" bestFit="1" customWidth="1"/>
    <col min="12034" max="12034" width="14.21875" customWidth="1"/>
    <col min="12035" max="12035" width="17.6640625" bestFit="1" customWidth="1"/>
    <col min="12036" max="12036" width="19.6640625" bestFit="1" customWidth="1"/>
    <col min="12037" max="12037" width="12.5546875" bestFit="1" customWidth="1"/>
    <col min="12289" max="12289" width="30.21875" bestFit="1" customWidth="1"/>
    <col min="12290" max="12290" width="14.21875" customWidth="1"/>
    <col min="12291" max="12291" width="17.6640625" bestFit="1" customWidth="1"/>
    <col min="12292" max="12292" width="19.6640625" bestFit="1" customWidth="1"/>
    <col min="12293" max="12293" width="12.5546875" bestFit="1" customWidth="1"/>
    <col min="12545" max="12545" width="30.21875" bestFit="1" customWidth="1"/>
    <col min="12546" max="12546" width="14.21875" customWidth="1"/>
    <col min="12547" max="12547" width="17.6640625" bestFit="1" customWidth="1"/>
    <col min="12548" max="12548" width="19.6640625" bestFit="1" customWidth="1"/>
    <col min="12549" max="12549" width="12.5546875" bestFit="1" customWidth="1"/>
    <col min="12801" max="12801" width="30.21875" bestFit="1" customWidth="1"/>
    <col min="12802" max="12802" width="14.21875" customWidth="1"/>
    <col min="12803" max="12803" width="17.6640625" bestFit="1" customWidth="1"/>
    <col min="12804" max="12804" width="19.6640625" bestFit="1" customWidth="1"/>
    <col min="12805" max="12805" width="12.5546875" bestFit="1" customWidth="1"/>
    <col min="13057" max="13057" width="30.21875" bestFit="1" customWidth="1"/>
    <col min="13058" max="13058" width="14.21875" customWidth="1"/>
    <col min="13059" max="13059" width="17.6640625" bestFit="1" customWidth="1"/>
    <col min="13060" max="13060" width="19.6640625" bestFit="1" customWidth="1"/>
    <col min="13061" max="13061" width="12.5546875" bestFit="1" customWidth="1"/>
    <col min="13313" max="13313" width="30.21875" bestFit="1" customWidth="1"/>
    <col min="13314" max="13314" width="14.21875" customWidth="1"/>
    <col min="13315" max="13315" width="17.6640625" bestFit="1" customWidth="1"/>
    <col min="13316" max="13316" width="19.6640625" bestFit="1" customWidth="1"/>
    <col min="13317" max="13317" width="12.5546875" bestFit="1" customWidth="1"/>
    <col min="13569" max="13569" width="30.21875" bestFit="1" customWidth="1"/>
    <col min="13570" max="13570" width="14.21875" customWidth="1"/>
    <col min="13571" max="13571" width="17.6640625" bestFit="1" customWidth="1"/>
    <col min="13572" max="13572" width="19.6640625" bestFit="1" customWidth="1"/>
    <col min="13573" max="13573" width="12.5546875" bestFit="1" customWidth="1"/>
    <col min="13825" max="13825" width="30.21875" bestFit="1" customWidth="1"/>
    <col min="13826" max="13826" width="14.21875" customWidth="1"/>
    <col min="13827" max="13827" width="17.6640625" bestFit="1" customWidth="1"/>
    <col min="13828" max="13828" width="19.6640625" bestFit="1" customWidth="1"/>
    <col min="13829" max="13829" width="12.5546875" bestFit="1" customWidth="1"/>
    <col min="14081" max="14081" width="30.21875" bestFit="1" customWidth="1"/>
    <col min="14082" max="14082" width="14.21875" customWidth="1"/>
    <col min="14083" max="14083" width="17.6640625" bestFit="1" customWidth="1"/>
    <col min="14084" max="14084" width="19.6640625" bestFit="1" customWidth="1"/>
    <col min="14085" max="14085" width="12.5546875" bestFit="1" customWidth="1"/>
    <col min="14337" max="14337" width="30.21875" bestFit="1" customWidth="1"/>
    <col min="14338" max="14338" width="14.21875" customWidth="1"/>
    <col min="14339" max="14339" width="17.6640625" bestFit="1" customWidth="1"/>
    <col min="14340" max="14340" width="19.6640625" bestFit="1" customWidth="1"/>
    <col min="14341" max="14341" width="12.5546875" bestFit="1" customWidth="1"/>
    <col min="14593" max="14593" width="30.21875" bestFit="1" customWidth="1"/>
    <col min="14594" max="14594" width="14.21875" customWidth="1"/>
    <col min="14595" max="14595" width="17.6640625" bestFit="1" customWidth="1"/>
    <col min="14596" max="14596" width="19.6640625" bestFit="1" customWidth="1"/>
    <col min="14597" max="14597" width="12.5546875" bestFit="1" customWidth="1"/>
    <col min="14849" max="14849" width="30.21875" bestFit="1" customWidth="1"/>
    <col min="14850" max="14850" width="14.21875" customWidth="1"/>
    <col min="14851" max="14851" width="17.6640625" bestFit="1" customWidth="1"/>
    <col min="14852" max="14852" width="19.6640625" bestFit="1" customWidth="1"/>
    <col min="14853" max="14853" width="12.5546875" bestFit="1" customWidth="1"/>
    <col min="15105" max="15105" width="30.21875" bestFit="1" customWidth="1"/>
    <col min="15106" max="15106" width="14.21875" customWidth="1"/>
    <col min="15107" max="15107" width="17.6640625" bestFit="1" customWidth="1"/>
    <col min="15108" max="15108" width="19.6640625" bestFit="1" customWidth="1"/>
    <col min="15109" max="15109" width="12.5546875" bestFit="1" customWidth="1"/>
    <col min="15361" max="15361" width="30.21875" bestFit="1" customWidth="1"/>
    <col min="15362" max="15362" width="14.21875" customWidth="1"/>
    <col min="15363" max="15363" width="17.6640625" bestFit="1" customWidth="1"/>
    <col min="15364" max="15364" width="19.6640625" bestFit="1" customWidth="1"/>
    <col min="15365" max="15365" width="12.5546875" bestFit="1" customWidth="1"/>
    <col min="15617" max="15617" width="30.21875" bestFit="1" customWidth="1"/>
    <col min="15618" max="15618" width="14.21875" customWidth="1"/>
    <col min="15619" max="15619" width="17.6640625" bestFit="1" customWidth="1"/>
    <col min="15620" max="15620" width="19.6640625" bestFit="1" customWidth="1"/>
    <col min="15621" max="15621" width="12.5546875" bestFit="1" customWidth="1"/>
    <col min="15873" max="15873" width="30.21875" bestFit="1" customWidth="1"/>
    <col min="15874" max="15874" width="14.21875" customWidth="1"/>
    <col min="15875" max="15875" width="17.6640625" bestFit="1" customWidth="1"/>
    <col min="15876" max="15876" width="19.6640625" bestFit="1" customWidth="1"/>
    <col min="15877" max="15877" width="12.5546875" bestFit="1" customWidth="1"/>
    <col min="16129" max="16129" width="30.21875" bestFit="1" customWidth="1"/>
    <col min="16130" max="16130" width="14.21875" customWidth="1"/>
    <col min="16131" max="16131" width="17.6640625" bestFit="1" customWidth="1"/>
    <col min="16132" max="16132" width="19.6640625" bestFit="1" customWidth="1"/>
    <col min="16133" max="16133" width="12.5546875" bestFit="1" customWidth="1"/>
  </cols>
  <sheetData>
    <row r="1" spans="1:5">
      <c r="B1" s="3" t="s">
        <v>37</v>
      </c>
      <c r="C1" s="3"/>
      <c r="D1" s="3"/>
      <c r="E1" s="3"/>
    </row>
    <row r="2" spans="1:5">
      <c r="A2" s="19" t="s">
        <v>5</v>
      </c>
      <c r="B2" s="14">
        <f>[2]Sheet1!$F$4</f>
        <v>4512</v>
      </c>
      <c r="C2" s="4"/>
      <c r="D2" s="4"/>
      <c r="E2" s="5"/>
    </row>
    <row r="3" spans="1:5">
      <c r="A3" s="19" t="s">
        <v>24</v>
      </c>
      <c r="B3" s="14">
        <f>0</f>
        <v>0</v>
      </c>
      <c r="C3" s="4"/>
      <c r="D3" s="4"/>
      <c r="E3" s="5"/>
    </row>
    <row r="4" spans="1:5">
      <c r="A4" s="19" t="s">
        <v>6</v>
      </c>
      <c r="B4" s="14">
        <f>[2]Sheet1!$F$13</f>
        <v>591.84000000000015</v>
      </c>
      <c r="C4" s="4"/>
      <c r="D4" s="4"/>
      <c r="E4" s="5"/>
    </row>
    <row r="5" spans="1:5">
      <c r="A5" s="19" t="s">
        <v>25</v>
      </c>
      <c r="B5" s="14">
        <f>[2]Sheet1!$F$14</f>
        <v>190.13</v>
      </c>
      <c r="C5" s="4"/>
      <c r="D5" s="4"/>
      <c r="E5" s="5"/>
    </row>
    <row r="6" spans="1:5">
      <c r="A6" s="19" t="s">
        <v>8</v>
      </c>
      <c r="B6" s="14">
        <f>'[2]weighted average cost of capita'!$B$40</f>
        <v>5147.8599999999997</v>
      </c>
      <c r="C6" s="4"/>
      <c r="D6" s="4"/>
      <c r="E6" s="5"/>
    </row>
    <row r="7" spans="1:5">
      <c r="A7" s="19" t="s">
        <v>9</v>
      </c>
      <c r="B7" s="14">
        <f>'[2]IHCL BALANCE SHEET (2)'!$F$60</f>
        <v>2325.98</v>
      </c>
      <c r="C7" s="4"/>
      <c r="D7" s="4"/>
      <c r="E7" s="5"/>
    </row>
    <row r="8" spans="1:5">
      <c r="A8" s="19" t="s">
        <v>11</v>
      </c>
      <c r="B8" s="14"/>
      <c r="C8" s="4"/>
      <c r="D8" s="4"/>
      <c r="E8" s="5"/>
    </row>
    <row r="9" spans="1:5">
      <c r="A9" s="19" t="s">
        <v>26</v>
      </c>
      <c r="B9" s="14">
        <f>'[2]IHCL BALANCE SHEET (2)'!$F$25+'[2]IHCL BALANCE SHEET (2)'!$F$27+'[2]IHCL BALANCE SHEET (2)'!$F$28</f>
        <v>452.15</v>
      </c>
      <c r="C9" s="4"/>
      <c r="D9" s="4"/>
      <c r="E9" s="5"/>
    </row>
    <row r="10" spans="1:5">
      <c r="A10" s="19" t="s">
        <v>27</v>
      </c>
      <c r="B10" s="14">
        <f>'[2]IHCL BALANCE SHEET (2)'!$F$15+'[2]IHCL BALANCE SHEET (2)'!$F$29+'[2]IHCL BALANCE SHEET (2)'!$F$14</f>
        <v>455.43</v>
      </c>
      <c r="C10" s="4"/>
      <c r="D10" s="4"/>
      <c r="E10" s="5"/>
    </row>
    <row r="11" spans="1:5">
      <c r="A11" s="19" t="s">
        <v>14</v>
      </c>
      <c r="B11" s="14">
        <f>'[2]IHCL BALANCE SHEET (2)'!$F$40</f>
        <v>799.86</v>
      </c>
      <c r="C11" s="4"/>
      <c r="D11" s="4"/>
      <c r="E11" s="5"/>
    </row>
    <row r="12" spans="1:5">
      <c r="A12" s="19" t="s">
        <v>15</v>
      </c>
      <c r="B12" s="15">
        <f>'[2]weighted average cost of capita'!$C$29</f>
        <v>1189258445</v>
      </c>
      <c r="C12" s="4"/>
      <c r="D12" s="4"/>
      <c r="E12" s="5"/>
    </row>
    <row r="13" spans="1:5">
      <c r="A13" s="19" t="s">
        <v>16</v>
      </c>
      <c r="B13" s="14">
        <f>'[2]weighted average cost of capita'!$B$28</f>
        <v>154.33000000000001</v>
      </c>
      <c r="C13" s="4"/>
      <c r="D13" s="4"/>
      <c r="E13" s="5"/>
    </row>
    <row r="14" spans="1:5">
      <c r="A14" s="19" t="s">
        <v>17</v>
      </c>
      <c r="B14" s="6">
        <f>'[2]IHCL P&amp;L'!$F$23/'[2]IHCL P&amp;L'!$F$17</f>
        <v>0.39112792810734115</v>
      </c>
      <c r="C14" s="6"/>
      <c r="D14" s="6"/>
      <c r="E14" s="7"/>
    </row>
    <row r="15" spans="1:5">
      <c r="A15" s="19" t="s">
        <v>18</v>
      </c>
      <c r="B15" s="16">
        <v>0.34939999999999999</v>
      </c>
      <c r="C15" s="3"/>
      <c r="D15" s="3"/>
      <c r="E15" s="7"/>
    </row>
    <row r="16" spans="1:5" s="10" customFormat="1">
      <c r="A16" s="19" t="s">
        <v>28</v>
      </c>
      <c r="B16" s="17" t="s">
        <v>36</v>
      </c>
      <c r="C16" s="8"/>
      <c r="D16" s="8"/>
      <c r="E16" s="9"/>
    </row>
    <row r="17" spans="1:5">
      <c r="A17" s="19" t="s">
        <v>29</v>
      </c>
      <c r="B17" s="14">
        <f>156.05*(1.9)</f>
        <v>296.495</v>
      </c>
      <c r="C17" s="11"/>
      <c r="D17" s="11"/>
      <c r="E17" s="12"/>
    </row>
    <row r="18" spans="1:5">
      <c r="A18" s="19" t="s">
        <v>30</v>
      </c>
      <c r="B18" s="14">
        <f>((649.51/4)*1.9)</f>
        <v>308.51724999999999</v>
      </c>
      <c r="C18" s="336"/>
      <c r="D18" s="11"/>
      <c r="E18" s="12"/>
    </row>
    <row r="19" spans="1:5">
      <c r="A19" s="19" t="s">
        <v>31</v>
      </c>
      <c r="B19" s="14">
        <f t="shared" ref="B19:B21" si="0">((649.51/4)*1.9)</f>
        <v>308.51724999999999</v>
      </c>
      <c r="C19" s="336"/>
      <c r="D19" s="11"/>
      <c r="E19" s="12"/>
    </row>
    <row r="20" spans="1:5">
      <c r="A20" s="19" t="s">
        <v>32</v>
      </c>
      <c r="B20" s="14">
        <f t="shared" si="0"/>
        <v>308.51724999999999</v>
      </c>
      <c r="C20" s="336"/>
      <c r="D20" s="11"/>
      <c r="E20" s="12"/>
    </row>
    <row r="21" spans="1:5">
      <c r="A21" s="19" t="s">
        <v>33</v>
      </c>
      <c r="B21" s="14">
        <f t="shared" si="0"/>
        <v>308.51724999999999</v>
      </c>
      <c r="C21" s="336"/>
      <c r="D21" s="11"/>
      <c r="E21" s="12"/>
    </row>
    <row r="22" spans="1:5">
      <c r="A22" s="19" t="s">
        <v>34</v>
      </c>
      <c r="B22" s="14">
        <f>5107.62*1.9</f>
        <v>9704.4779999999992</v>
      </c>
      <c r="C22" s="336"/>
      <c r="D22" s="11"/>
      <c r="E22" s="12"/>
    </row>
    <row r="23" spans="1:5">
      <c r="C23" s="336"/>
    </row>
    <row r="24" spans="1:5">
      <c r="B24" s="14"/>
    </row>
    <row r="25" spans="1:5">
      <c r="A25" s="19" t="s">
        <v>35</v>
      </c>
      <c r="B25" s="14">
        <v>292</v>
      </c>
    </row>
    <row r="29" spans="1:5">
      <c r="D29" s="4"/>
    </row>
    <row r="30" spans="1:5">
      <c r="D30" s="4"/>
    </row>
    <row r="31" spans="1:5">
      <c r="D31" s="4"/>
    </row>
    <row r="32" spans="1:5">
      <c r="D32" s="4"/>
    </row>
  </sheetData>
  <mergeCells count="1">
    <mergeCell ref="C18:C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576FC-E893-4C93-8E49-D6B574EFCF15}">
  <dimension ref="A1:K47"/>
  <sheetViews>
    <sheetView topLeftCell="A18" workbookViewId="0">
      <selection activeCell="A18" sqref="A18"/>
    </sheetView>
  </sheetViews>
  <sheetFormatPr defaultRowHeight="14.4"/>
  <cols>
    <col min="1" max="1" width="19.77734375" style="26" customWidth="1"/>
    <col min="2" max="2" width="11" style="26" bestFit="1" customWidth="1"/>
    <col min="3" max="3" width="11.5546875" style="26" bestFit="1" customWidth="1"/>
    <col min="4" max="4" width="10.21875" style="26" bestFit="1" customWidth="1"/>
    <col min="5" max="5" width="11.21875" style="26" bestFit="1" customWidth="1"/>
    <col min="6" max="16384" width="8.88671875" style="26"/>
  </cols>
  <sheetData>
    <row r="1" spans="1:11" s="36" customFormat="1" ht="17.399999999999999">
      <c r="A1" s="35" t="s">
        <v>56</v>
      </c>
      <c r="B1" s="35"/>
      <c r="C1" s="35"/>
      <c r="D1" s="35"/>
      <c r="E1" s="35"/>
      <c r="F1" s="35"/>
      <c r="G1" s="35"/>
      <c r="H1" s="35"/>
      <c r="I1" s="35"/>
      <c r="J1" s="35"/>
      <c r="K1" s="35"/>
    </row>
    <row r="2" spans="1:11" s="36" customFormat="1" ht="17.399999999999999">
      <c r="A2" s="35" t="s">
        <v>57</v>
      </c>
      <c r="B2" s="35"/>
      <c r="C2" s="35"/>
      <c r="D2" s="35"/>
      <c r="E2" s="35"/>
      <c r="F2" s="35"/>
      <c r="G2" s="35"/>
      <c r="H2" s="35"/>
      <c r="I2" s="35"/>
      <c r="J2" s="35"/>
      <c r="K2" s="35"/>
    </row>
    <row r="3" spans="1:11">
      <c r="A3" s="37" t="s">
        <v>58</v>
      </c>
      <c r="B3" s="28"/>
    </row>
    <row r="4" spans="1:11">
      <c r="A4" s="37"/>
      <c r="B4" s="28"/>
    </row>
    <row r="5" spans="1:11">
      <c r="A5" s="38" t="s">
        <v>44</v>
      </c>
      <c r="B5" s="29"/>
      <c r="D5" s="51">
        <f>'Last AR'!B25</f>
        <v>292</v>
      </c>
    </row>
    <row r="6" spans="1:11">
      <c r="A6" s="39" t="s">
        <v>45</v>
      </c>
      <c r="B6" s="30"/>
    </row>
    <row r="7" spans="1:11">
      <c r="A7" s="40" t="s">
        <v>46</v>
      </c>
      <c r="B7" s="40" t="s">
        <v>47</v>
      </c>
    </row>
    <row r="8" spans="1:11">
      <c r="A8" s="40">
        <v>1</v>
      </c>
      <c r="B8" s="41">
        <f>'Last AR'!B17</f>
        <v>296.495</v>
      </c>
    </row>
    <row r="9" spans="1:11">
      <c r="A9" s="40">
        <v>2</v>
      </c>
      <c r="B9" s="41">
        <f>'Last AR'!B18</f>
        <v>308.51724999999999</v>
      </c>
    </row>
    <row r="10" spans="1:11">
      <c r="A10" s="40">
        <v>3</v>
      </c>
      <c r="B10" s="41">
        <f>'Last AR'!B19</f>
        <v>308.51724999999999</v>
      </c>
      <c r="C10" s="31"/>
      <c r="D10" s="31"/>
      <c r="E10" s="31"/>
    </row>
    <row r="11" spans="1:11">
      <c r="A11" s="40">
        <v>4</v>
      </c>
      <c r="B11" s="41">
        <f>'Last AR'!B20</f>
        <v>308.51724999999999</v>
      </c>
      <c r="C11" s="31"/>
      <c r="D11" s="31"/>
      <c r="E11" s="31"/>
    </row>
    <row r="12" spans="1:11">
      <c r="A12" s="40">
        <v>5</v>
      </c>
      <c r="B12" s="41">
        <f>'Last AR'!B21</f>
        <v>308.51724999999999</v>
      </c>
      <c r="C12" s="31"/>
      <c r="D12" s="31"/>
      <c r="E12" s="31"/>
    </row>
    <row r="13" spans="1:11">
      <c r="A13" s="40" t="s">
        <v>48</v>
      </c>
      <c r="B13" s="41">
        <f>'Last AR'!B22</f>
        <v>9704.4779999999992</v>
      </c>
      <c r="C13" s="32"/>
      <c r="D13" s="31"/>
      <c r="E13" s="31"/>
    </row>
    <row r="14" spans="1:11">
      <c r="B14" s="31"/>
      <c r="C14" s="31"/>
      <c r="D14" s="31"/>
      <c r="E14" s="31"/>
    </row>
    <row r="15" spans="1:11" ht="15.6">
      <c r="A15" s="42" t="s">
        <v>54</v>
      </c>
      <c r="B15" s="31"/>
      <c r="C15" s="31"/>
      <c r="D15" s="31"/>
      <c r="E15" s="31"/>
    </row>
    <row r="16" spans="1:11">
      <c r="A16" s="38" t="s">
        <v>49</v>
      </c>
      <c r="B16" s="137">
        <f>'weighted average cost of capita'!B10</f>
        <v>2.64E-2</v>
      </c>
      <c r="C16" s="31"/>
      <c r="D16" s="33"/>
      <c r="E16" s="31"/>
    </row>
    <row r="17" spans="1:5">
      <c r="A17" s="27"/>
      <c r="B17" s="31"/>
      <c r="C17" s="31"/>
      <c r="D17" s="33"/>
      <c r="E17" s="31"/>
    </row>
    <row r="18" spans="1:5">
      <c r="A18" s="27"/>
      <c r="B18" s="31"/>
      <c r="C18" s="31"/>
      <c r="D18" s="33"/>
      <c r="E18" s="31"/>
    </row>
    <row r="19" spans="1:5">
      <c r="A19" s="38" t="s">
        <v>55</v>
      </c>
      <c r="B19" s="31"/>
      <c r="C19" s="31"/>
      <c r="D19" s="43">
        <f>IF(B13&gt;0,ROUND(B13/AVERAGE(B8:B12),0),0)</f>
        <v>32</v>
      </c>
      <c r="E19" s="31"/>
    </row>
    <row r="20" spans="1:5">
      <c r="A20" s="27"/>
      <c r="B20" s="31"/>
      <c r="C20" s="31"/>
      <c r="D20" s="34"/>
      <c r="E20" s="31"/>
    </row>
    <row r="21" spans="1:5">
      <c r="A21" s="39" t="s">
        <v>59</v>
      </c>
      <c r="B21" s="39"/>
      <c r="C21" s="39"/>
    </row>
    <row r="22" spans="1:5">
      <c r="A22" s="40" t="s">
        <v>46</v>
      </c>
      <c r="B22" s="40" t="s">
        <v>47</v>
      </c>
      <c r="C22" s="40" t="s">
        <v>60</v>
      </c>
    </row>
    <row r="23" spans="1:5">
      <c r="A23" s="44">
        <f>A8</f>
        <v>1</v>
      </c>
      <c r="B23" s="45">
        <f>B8</f>
        <v>296.495</v>
      </c>
      <c r="C23" s="46">
        <f>B23/(1+$B$16)^A23</f>
        <v>288.86886204208889</v>
      </c>
    </row>
    <row r="24" spans="1:5">
      <c r="A24" s="44">
        <f t="shared" ref="A24:B27" si="0">A9</f>
        <v>2</v>
      </c>
      <c r="B24" s="45">
        <f t="shared" si="0"/>
        <v>308.51724999999999</v>
      </c>
      <c r="C24" s="46">
        <f>B24/(1+$B$16)^A24</f>
        <v>292.85063148165136</v>
      </c>
    </row>
    <row r="25" spans="1:5">
      <c r="A25" s="44">
        <f t="shared" si="0"/>
        <v>3</v>
      </c>
      <c r="B25" s="45">
        <f t="shared" si="0"/>
        <v>308.51724999999999</v>
      </c>
      <c r="C25" s="46">
        <f>B25/(1+$B$16)^A25</f>
        <v>285.31823020425895</v>
      </c>
    </row>
    <row r="26" spans="1:5">
      <c r="A26" s="44">
        <f t="shared" si="0"/>
        <v>4</v>
      </c>
      <c r="B26" s="45">
        <f t="shared" si="0"/>
        <v>308.51724999999999</v>
      </c>
      <c r="C26" s="46">
        <f>B26/(1+$B$16)^A26</f>
        <v>277.9795695676724</v>
      </c>
    </row>
    <row r="27" spans="1:5">
      <c r="A27" s="44">
        <f t="shared" si="0"/>
        <v>5</v>
      </c>
      <c r="B27" s="45">
        <f t="shared" si="0"/>
        <v>308.51724999999999</v>
      </c>
      <c r="C27" s="46">
        <f>B27/(1+$B$16)^A27</f>
        <v>270.82966637536282</v>
      </c>
    </row>
    <row r="28" spans="1:5" ht="15" thickBot="1">
      <c r="A28" s="47" t="str">
        <f>A13</f>
        <v>6 and beyond</v>
      </c>
      <c r="B28" s="45">
        <f>IF(B13&gt;0,IF(D19&gt;0,B13/D19,B13),0)</f>
        <v>303.26493749999997</v>
      </c>
      <c r="C28" s="46">
        <f>(B28/(1+B16)^6+(B28*(1-(1+B16)^(-D19+1))/B16)*(1+B16)^(-6))</f>
        <v>5703.7655407886223</v>
      </c>
    </row>
    <row r="29" spans="1:5" ht="15" thickBot="1">
      <c r="A29" s="48" t="s">
        <v>61</v>
      </c>
      <c r="B29" s="49"/>
      <c r="C29" s="50">
        <f>SUM(C23:C28)</f>
        <v>7119.612500459657</v>
      </c>
    </row>
    <row r="31" spans="1:5">
      <c r="A31" s="39"/>
    </row>
    <row r="32" spans="1:5">
      <c r="A32" s="23" t="s">
        <v>50</v>
      </c>
      <c r="B32" s="23"/>
      <c r="C32" s="23"/>
      <c r="D32" s="23"/>
    </row>
    <row r="33" spans="1:5">
      <c r="A33" s="22" t="s">
        <v>51</v>
      </c>
      <c r="B33" s="22"/>
      <c r="C33" s="22"/>
      <c r="D33" s="24">
        <f>'Last AR'!B4</f>
        <v>591.84000000000015</v>
      </c>
    </row>
    <row r="34" spans="1:5">
      <c r="A34" s="22" t="s">
        <v>52</v>
      </c>
      <c r="B34" s="22"/>
      <c r="C34" s="22"/>
      <c r="D34" s="25">
        <f>'Last AR'!B7</f>
        <v>2325.98</v>
      </c>
    </row>
    <row r="35" spans="1:5">
      <c r="A35" s="22" t="s">
        <v>53</v>
      </c>
      <c r="B35" s="22"/>
      <c r="C35" s="22"/>
      <c r="D35" s="24">
        <f>'Last AR'!B5</f>
        <v>190.13</v>
      </c>
    </row>
    <row r="38" spans="1:5">
      <c r="A38" s="23" t="s">
        <v>62</v>
      </c>
      <c r="D38" s="52"/>
      <c r="E38" s="31"/>
    </row>
    <row r="39" spans="1:5">
      <c r="A39" s="22" t="s">
        <v>63</v>
      </c>
      <c r="D39" s="53"/>
      <c r="E39" s="24">
        <f>D33+C29*B16</f>
        <v>779.79777001213506</v>
      </c>
    </row>
    <row r="40" spans="1:5">
      <c r="A40" s="22" t="s">
        <v>64</v>
      </c>
      <c r="D40" s="54"/>
      <c r="E40" s="24">
        <f>D34+C29</f>
        <v>9445.5925004596575</v>
      </c>
    </row>
    <row r="41" spans="1:5">
      <c r="A41"/>
      <c r="D41" s="55"/>
      <c r="E41" s="31"/>
    </row>
    <row r="42" spans="1:5">
      <c r="A42"/>
    </row>
    <row r="43" spans="1:5">
      <c r="A43" t="s">
        <v>65</v>
      </c>
    </row>
    <row r="44" spans="1:5">
      <c r="A44" t="s">
        <v>66</v>
      </c>
      <c r="D44" s="56">
        <f>D33</f>
        <v>591.84000000000015</v>
      </c>
    </row>
    <row r="45" spans="1:5">
      <c r="A45" t="s">
        <v>67</v>
      </c>
      <c r="D45" s="56">
        <f>D5</f>
        <v>292</v>
      </c>
    </row>
    <row r="46" spans="1:5">
      <c r="A46" t="s">
        <v>68</v>
      </c>
      <c r="D46" s="57">
        <f>C29/(5+D19)</f>
        <v>192.42195947188262</v>
      </c>
    </row>
    <row r="47" spans="1:5">
      <c r="A47" t="s">
        <v>69</v>
      </c>
      <c r="D47" s="56">
        <f>D44+D45-D46</f>
        <v>691.41804052811756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0A7CC-FB79-4EC8-ADFF-FE252DFF46AA}">
  <dimension ref="A1:G9"/>
  <sheetViews>
    <sheetView workbookViewId="0">
      <selection activeCell="F10" sqref="F10"/>
    </sheetView>
  </sheetViews>
  <sheetFormatPr defaultRowHeight="14.4"/>
  <cols>
    <col min="1" max="1" width="21.44140625" bestFit="1" customWidth="1"/>
  </cols>
  <sheetData>
    <row r="1" spans="1:7" ht="15" thickBot="1"/>
    <row r="2" spans="1:7" ht="15" thickBot="1">
      <c r="A2" s="87" t="s">
        <v>124</v>
      </c>
      <c r="B2" s="88">
        <v>2015</v>
      </c>
      <c r="C2" s="88">
        <v>2016</v>
      </c>
      <c r="D2" s="88">
        <v>2017</v>
      </c>
      <c r="E2" s="88">
        <v>2018</v>
      </c>
      <c r="F2" s="88">
        <v>2019</v>
      </c>
      <c r="G2" s="89"/>
    </row>
    <row r="3" spans="1:7">
      <c r="A3" t="s">
        <v>244</v>
      </c>
      <c r="B3">
        <f>'real stories to numbers'!B6</f>
        <v>-311.13</v>
      </c>
      <c r="C3">
        <f>'real stories to numbers'!C6</f>
        <v>-398.62</v>
      </c>
      <c r="D3">
        <f>'real stories to numbers'!D6</f>
        <v>-393.96</v>
      </c>
      <c r="E3">
        <f>'real stories to numbers'!E6</f>
        <v>-504.94</v>
      </c>
      <c r="F3">
        <f>'real stories to numbers'!F6</f>
        <v>-460.39</v>
      </c>
    </row>
    <row r="4" spans="1:7">
      <c r="A4" t="s">
        <v>245</v>
      </c>
      <c r="B4">
        <f>'[2]IHCL P&amp;L'!B$12</f>
        <v>291.29000000000002</v>
      </c>
      <c r="C4">
        <f>'[2]IHCL P&amp;L'!C$12</f>
        <v>316.67</v>
      </c>
      <c r="D4">
        <f>'[2]IHCL P&amp;L'!D$12</f>
        <v>299.37</v>
      </c>
      <c r="E4">
        <f>'[2]IHCL P&amp;L'!E$12</f>
        <v>301.2</v>
      </c>
      <c r="F4">
        <f>'[2]IHCL P&amp;L'!F$12</f>
        <v>327.85</v>
      </c>
    </row>
    <row r="5" spans="1:7">
      <c r="A5" t="s">
        <v>246</v>
      </c>
      <c r="B5">
        <f>B3*-1-B4</f>
        <v>19.839999999999975</v>
      </c>
      <c r="C5">
        <f t="shared" ref="C5:E5" si="0">C3*-1-C4</f>
        <v>81.949999999999989</v>
      </c>
      <c r="D5">
        <f t="shared" si="0"/>
        <v>94.589999999999975</v>
      </c>
      <c r="E5">
        <f t="shared" si="0"/>
        <v>203.74</v>
      </c>
      <c r="F5">
        <f>F3*-1-F4</f>
        <v>132.53999999999996</v>
      </c>
    </row>
    <row r="6" spans="1:7">
      <c r="A6" t="s">
        <v>192</v>
      </c>
      <c r="B6">
        <f>[2]Sheet1!B$13</f>
        <v>648.91000000000042</v>
      </c>
      <c r="C6">
        <f>[2]Sheet1!C$13</f>
        <v>348.10000000000025</v>
      </c>
      <c r="D6">
        <f>[2]Sheet1!D$13</f>
        <v>354.40999999999997</v>
      </c>
      <c r="E6">
        <f>[2]Sheet1!E$13</f>
        <v>453.32999999999993</v>
      </c>
      <c r="F6">
        <f>[2]Sheet1!F$13</f>
        <v>591.84000000000015</v>
      </c>
    </row>
    <row r="7" spans="1:7">
      <c r="A7" t="s">
        <v>247</v>
      </c>
      <c r="B7" s="18">
        <f>'Input Sheet'!$B$20</f>
        <v>0.34939999999999999</v>
      </c>
      <c r="C7" s="18">
        <f>'Input Sheet'!$B$20</f>
        <v>0.34939999999999999</v>
      </c>
      <c r="D7" s="18">
        <f>'Input Sheet'!$B$20</f>
        <v>0.34939999999999999</v>
      </c>
      <c r="E7" s="18">
        <f>'Input Sheet'!$B$20</f>
        <v>0.34939999999999999</v>
      </c>
      <c r="F7" s="18">
        <f>'Input Sheet'!$B$20</f>
        <v>0.34939999999999999</v>
      </c>
    </row>
    <row r="8" spans="1:7">
      <c r="A8" t="s">
        <v>371</v>
      </c>
      <c r="B8">
        <f>B6*(1-B7)</f>
        <v>422.18084600000032</v>
      </c>
      <c r="C8">
        <f t="shared" ref="C8:F8" si="1">C6*(1-C7)</f>
        <v>226.47386000000017</v>
      </c>
      <c r="D8">
        <f t="shared" si="1"/>
        <v>230.57914600000001</v>
      </c>
      <c r="E8">
        <f t="shared" si="1"/>
        <v>294.93649799999997</v>
      </c>
      <c r="F8">
        <f t="shared" si="1"/>
        <v>385.05110400000012</v>
      </c>
    </row>
    <row r="9" spans="1:7">
      <c r="A9" t="s">
        <v>248</v>
      </c>
      <c r="B9" s="83">
        <f>B5/B8</f>
        <v>4.699407893080957E-2</v>
      </c>
      <c r="C9" s="83">
        <f t="shared" ref="C9:F9" si="2">C5/C8</f>
        <v>0.36185191527181071</v>
      </c>
      <c r="D9" s="83">
        <f t="shared" si="2"/>
        <v>0.41022790499883266</v>
      </c>
      <c r="E9" s="83">
        <f t="shared" si="2"/>
        <v>0.69079276855046956</v>
      </c>
      <c r="F9" s="83">
        <f>F5/F8</f>
        <v>0.34421405009138717</v>
      </c>
      <c r="G9" s="144">
        <f>AVERAGE(B9:F9)</f>
        <v>0.37081614356866199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DED69-F085-4E85-A3E4-C9A4F5A1C253}">
  <dimension ref="A1:H64"/>
  <sheetViews>
    <sheetView workbookViewId="0">
      <selection activeCell="B9" sqref="B9"/>
    </sheetView>
  </sheetViews>
  <sheetFormatPr defaultRowHeight="14.4"/>
  <cols>
    <col min="1" max="1" width="32.109375" style="31" bestFit="1" customWidth="1"/>
    <col min="2" max="2" width="28" style="31" bestFit="1" customWidth="1"/>
    <col min="3" max="16384" width="8.88671875" style="31"/>
  </cols>
  <sheetData>
    <row r="1" spans="1:8" ht="14.4" customHeight="1">
      <c r="A1" s="172" t="s">
        <v>301</v>
      </c>
      <c r="B1" s="171"/>
      <c r="C1" s="171"/>
      <c r="D1" s="171"/>
      <c r="E1" s="171"/>
      <c r="F1" s="171"/>
      <c r="G1" s="171"/>
    </row>
    <row r="2" spans="1:8" ht="15" customHeight="1">
      <c r="A2" s="171"/>
      <c r="B2" s="171"/>
      <c r="C2" s="171"/>
      <c r="D2" s="171"/>
      <c r="E2" s="171"/>
      <c r="F2" s="171"/>
      <c r="G2" s="171"/>
    </row>
    <row r="3" spans="1:8">
      <c r="B3" s="90"/>
      <c r="C3" s="90"/>
      <c r="D3" s="90"/>
      <c r="E3" s="90"/>
      <c r="F3" s="90"/>
    </row>
    <row r="4" spans="1:8">
      <c r="B4" s="91"/>
      <c r="C4" s="91"/>
      <c r="D4" s="91"/>
      <c r="E4" s="91"/>
      <c r="F4" s="91"/>
    </row>
    <row r="8" spans="1:8">
      <c r="D8" s="99">
        <f>16.2%*15.1%</f>
        <v>2.4462000000000001E-2</v>
      </c>
    </row>
    <row r="9" spans="1:8" s="175" customFormat="1" ht="18">
      <c r="A9" s="180" t="s">
        <v>309</v>
      </c>
      <c r="B9" s="181">
        <f>Ratios!F64*Ratios!J44</f>
        <v>6.319696767735767E-3</v>
      </c>
    </row>
    <row r="12" spans="1:8">
      <c r="C12" s="91"/>
    </row>
    <row r="13" spans="1:8">
      <c r="B13" s="91"/>
      <c r="C13" s="173"/>
      <c r="D13" s="173"/>
      <c r="H13" s="31" t="s">
        <v>144</v>
      </c>
    </row>
    <row r="14" spans="1:8">
      <c r="A14" s="91"/>
      <c r="C14" s="91"/>
    </row>
    <row r="15" spans="1:8">
      <c r="A15" s="91"/>
    </row>
    <row r="16" spans="1:8">
      <c r="A16" s="91"/>
      <c r="B16" s="31">
        <v>2015</v>
      </c>
      <c r="C16" s="31">
        <v>2016</v>
      </c>
      <c r="D16" s="31">
        <v>2017</v>
      </c>
      <c r="E16" s="31">
        <v>2018</v>
      </c>
      <c r="F16" s="31">
        <v>2019</v>
      </c>
    </row>
    <row r="17" spans="1:7">
      <c r="A17" s="91" t="s">
        <v>305</v>
      </c>
      <c r="B17" s="31">
        <f>'Norm Capital Expenditure'!B5+'Change in Non Cash WCTota'!B4-'real stories to numbers'!B18</f>
        <v>-376.44000000000045</v>
      </c>
      <c r="C17" s="31">
        <f>'Norm Capital Expenditure'!C5+'Change in Non Cash WCTota'!C4-'real stories to numbers'!C18</f>
        <v>-129.05999999999972</v>
      </c>
      <c r="D17" s="31">
        <f>'Norm Capital Expenditure'!D5+'Change in Non Cash WCTota'!D4-'real stories to numbers'!D18</f>
        <v>326.59999999999991</v>
      </c>
      <c r="E17" s="31">
        <f>'Norm Capital Expenditure'!E5+'Change in Non Cash WCTota'!E4-'real stories to numbers'!E18</f>
        <v>992.03</v>
      </c>
      <c r="F17" s="31">
        <f>'Norm Capital Expenditure'!F5+'Change in Non Cash WCTota'!F4-'real stories to numbers'!F18</f>
        <v>-655.51000000000022</v>
      </c>
    </row>
    <row r="18" spans="1:7">
      <c r="A18" s="91" t="s">
        <v>193</v>
      </c>
      <c r="B18" s="31">
        <f>[2]Sheet1!B$17</f>
        <v>358.74000000000041</v>
      </c>
      <c r="C18" s="31">
        <f>[2]Sheet1!C$17</f>
        <v>-37.929999999999751</v>
      </c>
      <c r="D18" s="31">
        <f>[2]Sheet1!D$17</f>
        <v>-83.160000000000025</v>
      </c>
      <c r="E18" s="31">
        <f>[2]Sheet1!E$17</f>
        <v>63.229999999999905</v>
      </c>
      <c r="F18" s="31">
        <f>[2]Sheet1!F$17</f>
        <v>244.59000000000015</v>
      </c>
    </row>
    <row r="19" spans="1:7">
      <c r="A19" s="31" t="s">
        <v>306</v>
      </c>
      <c r="B19" s="99">
        <f>B17/B18</f>
        <v>-1.0493393544070915</v>
      </c>
      <c r="C19" s="99">
        <f t="shared" ref="C19:F19" si="0">C17/C18</f>
        <v>3.4025837068283828</v>
      </c>
      <c r="D19" s="99">
        <f t="shared" si="0"/>
        <v>-3.9273689273689252</v>
      </c>
      <c r="E19" s="99">
        <f>E17/E18</f>
        <v>15.689229795982943</v>
      </c>
      <c r="F19" s="99">
        <f t="shared" si="0"/>
        <v>-2.6800359785763925</v>
      </c>
      <c r="G19" s="177">
        <f>AVERAGE(B19:F19)</f>
        <v>2.287013848491783</v>
      </c>
    </row>
    <row r="20" spans="1:7">
      <c r="A20" s="91" t="s">
        <v>307</v>
      </c>
      <c r="B20" s="176">
        <f>Ratios!F40</f>
        <v>4.7512947127544294E-2</v>
      </c>
      <c r="C20" s="91"/>
      <c r="D20" s="91"/>
      <c r="E20" s="91"/>
      <c r="F20" s="91"/>
    </row>
    <row r="21" spans="1:7">
      <c r="A21" s="178" t="s">
        <v>308</v>
      </c>
      <c r="B21" s="179">
        <f>B20*G19</f>
        <v>0.10866276806335168</v>
      </c>
    </row>
    <row r="39" spans="1:5">
      <c r="A39" s="31" t="s">
        <v>310</v>
      </c>
      <c r="B39" s="99">
        <f>[2]Sheet1!D$13*(1-C42)/('[2]IHCL BALANCE SHEET (2)'!D$60+'[2]IHCL BALANCE SHEET (2)'!D$39)</f>
        <v>2.0607535285678037E-2</v>
      </c>
      <c r="C39" s="99">
        <f>[2]Sheet1!E$13*(1-D42)/('[2]IHCL BALANCE SHEET (2)'!E$60+'[2]IHCL BALANCE SHEET (2)'!E$39)</f>
        <v>4.176722756060712E-2</v>
      </c>
      <c r="D39" s="99">
        <f>'Input Sheet'!$B$8*(1-'Input Sheet'!$B$19)/('[2]IHCL BALANCE SHEET (2)'!F$60+'[2]IHCL BALANCE SHEET (2)'!F$39)</f>
        <v>5.3993995641124379E-2</v>
      </c>
      <c r="E39" s="99"/>
    </row>
    <row r="40" spans="1:5">
      <c r="A40" s="31" t="s">
        <v>311</v>
      </c>
      <c r="B40" s="31">
        <f>'[2]IHCL BALANCE SHEET (2)'!D$60/'[2]IHCL BALANCE SHEET (2)'!D$39</f>
        <v>1.3436840913694696</v>
      </c>
      <c r="C40" s="31">
        <f>'[2]IHCL BALANCE SHEET (2)'!E$60/'[2]IHCL BALANCE SHEET (2)'!E$39</f>
        <v>0.58057209825165612</v>
      </c>
      <c r="D40" s="31">
        <f>'[2]IHCL BALANCE SHEET (2)'!F$60/'[2]IHCL BALANCE SHEET (2)'!F$39</f>
        <v>0.53495400183992636</v>
      </c>
    </row>
    <row r="41" spans="1:5">
      <c r="A41" s="31" t="s">
        <v>312</v>
      </c>
      <c r="B41" s="31">
        <f>[2]Sheet1!D$14/'[2]IHCL BALANCE SHEET (2)'!D$60</f>
        <v>9.5723297211334379E-2</v>
      </c>
      <c r="C41" s="31">
        <f>[2]Sheet1!E$14/'[2]IHCL BALANCE SHEET (2)'!E$60</f>
        <v>0.11083326810659835</v>
      </c>
      <c r="D41" s="31">
        <f>[2]Sheet1!F$14/'[2]IHCL BALANCE SHEET (2)'!F$60</f>
        <v>8.1741889440149956E-2</v>
      </c>
    </row>
    <row r="42" spans="1:5">
      <c r="A42" s="31" t="s">
        <v>313</v>
      </c>
      <c r="B42" s="174">
        <f>'[2]IHCL P&amp;L'!D$44</f>
        <v>3.7194244604316551</v>
      </c>
      <c r="C42" s="174">
        <f>'[2]IHCL P&amp;L'!E$44</f>
        <v>0.65689945195072985</v>
      </c>
      <c r="D42" s="174">
        <f>'[2]IHCL P&amp;L'!$F$44</f>
        <v>0.39112792810734115</v>
      </c>
    </row>
    <row r="43" spans="1:5">
      <c r="A43" s="91" t="s">
        <v>314</v>
      </c>
      <c r="B43" s="185">
        <f>B39+(B40*(B39-B41*(1-B42)))</f>
        <v>0.39807501648563748</v>
      </c>
      <c r="C43" s="185">
        <f>C39+(C40*(C39-C41*(1-C42)))</f>
        <v>4.3938725432044988E-2</v>
      </c>
      <c r="D43" s="185">
        <f>D39+(D40*(D39-D41*(1-D42)))</f>
        <v>5.6253449862005533E-2</v>
      </c>
      <c r="E43" s="176">
        <f>AVERAGE(C43:D43)</f>
        <v>5.0096087647025264E-2</v>
      </c>
    </row>
    <row r="44" spans="1:5">
      <c r="A44" s="178" t="s">
        <v>308</v>
      </c>
      <c r="C44" s="174">
        <f>E43*Ratios!J64</f>
        <v>5.0096087647025264E-2</v>
      </c>
    </row>
    <row r="47" spans="1:5">
      <c r="A47" s="91" t="s">
        <v>315</v>
      </c>
    </row>
    <row r="48" spans="1:5">
      <c r="A48" s="31" t="s">
        <v>316</v>
      </c>
      <c r="B48" s="31">
        <f>[2]Sheet1!F$17-[2]Sheet1!E$17</f>
        <v>181.36000000000024</v>
      </c>
    </row>
    <row r="49" spans="1:6">
      <c r="A49" s="31" t="s">
        <v>317</v>
      </c>
      <c r="B49" s="31">
        <f>'[2]IHCL BALANCE SHEET (2)'!E$39-'[2]IHCL BALANCE SHEET (2)'!D$39</f>
        <v>1663.4100000000003</v>
      </c>
    </row>
    <row r="51" spans="1:6">
      <c r="A51" s="91" t="s">
        <v>315</v>
      </c>
      <c r="B51" s="183">
        <f>B48/B49</f>
        <v>0.10902904274953271</v>
      </c>
      <c r="D51" s="184"/>
      <c r="E51" s="185"/>
    </row>
    <row r="52" spans="1:6">
      <c r="C52" s="182"/>
      <c r="D52" s="182"/>
    </row>
    <row r="54" spans="1:6">
      <c r="A54" s="91" t="s">
        <v>318</v>
      </c>
      <c r="B54" s="99">
        <f>Ratios!J41</f>
        <v>0.46355538435378801</v>
      </c>
    </row>
    <row r="56" spans="1:6">
      <c r="A56" s="31" t="s">
        <v>319</v>
      </c>
      <c r="B56" s="174">
        <f>B54+C44</f>
        <v>0.51365147200081329</v>
      </c>
    </row>
    <row r="58" spans="1:6">
      <c r="A58" s="91" t="s">
        <v>321</v>
      </c>
    </row>
    <row r="60" spans="1:6">
      <c r="A60" s="31" t="s">
        <v>320</v>
      </c>
      <c r="B60" s="99">
        <v>0</v>
      </c>
      <c r="C60" s="99">
        <v>0</v>
      </c>
      <c r="D60" s="99">
        <f>(('Norm Capital Expenditure'!E5+'Change in Non Cash WCTota'!E7))/('[2]Operating Leases 2018'!$D$47*(1-'[2]IHCL P&amp;L'!E$44))</f>
        <v>-0.89389350286428615</v>
      </c>
      <c r="E60" s="99">
        <f>(('Norm Capital Expenditure'!F5+'Change in Non Cash WCTota'!F7))/('Operating Leases'!D47*(1-D42))</f>
        <v>-1.7645278620376563</v>
      </c>
      <c r="F60" s="183">
        <f>AVERAGE(B60:E60)</f>
        <v>-0.66460534122548565</v>
      </c>
    </row>
    <row r="61" spans="1:6">
      <c r="A61" s="31" t="s">
        <v>322</v>
      </c>
      <c r="B61" s="186"/>
      <c r="C61" s="186"/>
      <c r="D61" s="99">
        <f>('[2]Operating Leases 2018'!$D$47*(1-'Estimating Cash Flows'!C42))/('[2]IHCL BALANCE SHEET (2)'!E$60+'[2]IHCL BALANCE SHEET (2)'!E$39-'[2]IHCL BALANCE SHEET (2)'!E$27)</f>
        <v>3.1126261330890234E-2</v>
      </c>
      <c r="E61" s="99">
        <f>('Operating Leases'!D47*(1-'Estimating Cash Flows'!D42))/('[2]IHCL BALANCE SHEET (2)'!F$60+'[2]IHCL BALANCE SHEET (2)'!F$39-'[2]IHCL BALANCE SHEET (2)'!F$27)</f>
        <v>6.4919855055572018E-2</v>
      </c>
      <c r="F61" s="99">
        <f>AVERAGE(C61:E61)</f>
        <v>4.8023058193231126E-2</v>
      </c>
    </row>
    <row r="62" spans="1:6">
      <c r="A62" s="31" t="s">
        <v>324</v>
      </c>
      <c r="B62" s="187">
        <f>F61*F60</f>
        <v>-3.1916380977203729E-2</v>
      </c>
    </row>
    <row r="63" spans="1:6">
      <c r="A63" s="31" t="s">
        <v>323</v>
      </c>
      <c r="B63" s="99">
        <f>B62+(1-(D61/E61))</f>
        <v>0.4886268903494827</v>
      </c>
    </row>
    <row r="64" spans="1:6">
      <c r="A64" s="31" t="s">
        <v>326</v>
      </c>
      <c r="B64" s="174">
        <f>B62+((1+(E61/D61))^(1/9)-1)</f>
        <v>0.10145577471358636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7532-730F-4D00-9B79-0AE77F47FF2A}">
  <dimension ref="A1:G19"/>
  <sheetViews>
    <sheetView zoomScale="110" zoomScaleNormal="110" workbookViewId="0">
      <selection activeCell="D2" sqref="D2"/>
    </sheetView>
  </sheetViews>
  <sheetFormatPr defaultRowHeight="14.4"/>
  <cols>
    <col min="1" max="1" width="30.109375" bestFit="1" customWidth="1"/>
    <col min="2" max="2" width="20.21875" bestFit="1" customWidth="1"/>
    <col min="3" max="3" width="11.5546875" bestFit="1" customWidth="1"/>
  </cols>
  <sheetData>
    <row r="1" spans="1:7">
      <c r="A1" t="s">
        <v>351</v>
      </c>
      <c r="B1" s="76">
        <f>D6</f>
        <v>0.84550861618676321</v>
      </c>
      <c r="C1" t="s">
        <v>352</v>
      </c>
      <c r="D1">
        <f>B1*(1+(1-B11)*(B15/B16))</f>
        <v>1.128605247647313</v>
      </c>
    </row>
    <row r="2" spans="1:7">
      <c r="A2" t="s">
        <v>341</v>
      </c>
      <c r="B2" s="18">
        <f>'weighted average cost of capita'!B4</f>
        <v>6.2700000000000006E-2</v>
      </c>
    </row>
    <row r="3" spans="1:7">
      <c r="A3" t="s">
        <v>342</v>
      </c>
      <c r="B3" s="18">
        <f>'[3]Country Lookup'!$B$11</f>
        <v>8.6020491474766508E-2</v>
      </c>
      <c r="G3" s="76">
        <v>1.1279999999999999</v>
      </c>
    </row>
    <row r="4" spans="1:7">
      <c r="A4" t="s">
        <v>343</v>
      </c>
      <c r="B4" s="18">
        <f>'[3]Country Lookup'!$B$10</f>
        <v>2.6420491474766512E-2</v>
      </c>
    </row>
    <row r="6" spans="1:7">
      <c r="A6" t="s">
        <v>344</v>
      </c>
      <c r="B6" s="18">
        <f>B2+D1*(B3+B4)</f>
        <v>0.18960148340746502</v>
      </c>
      <c r="D6" s="76">
        <f>'[2]IHCL &amp; NIFTY 200'!$J$14</f>
        <v>0.84550861618676321</v>
      </c>
    </row>
    <row r="8" spans="1:7">
      <c r="A8" t="s">
        <v>345</v>
      </c>
    </row>
    <row r="9" spans="1:7">
      <c r="A9" t="s">
        <v>341</v>
      </c>
      <c r="B9" s="18">
        <f>B2</f>
        <v>6.2700000000000006E-2</v>
      </c>
    </row>
    <row r="10" spans="1:7">
      <c r="A10" t="s">
        <v>346</v>
      </c>
      <c r="B10" s="18">
        <f>[4]Sheet1!$B$3</f>
        <v>0.01</v>
      </c>
    </row>
    <row r="11" spans="1:7">
      <c r="A11" t="s">
        <v>214</v>
      </c>
      <c r="B11" s="18">
        <f>'Input Sheet'!B20</f>
        <v>0.34939999999999999</v>
      </c>
    </row>
    <row r="12" spans="1:7">
      <c r="A12" t="s">
        <v>347</v>
      </c>
      <c r="B12" s="18">
        <f>(B9+B10)</f>
        <v>7.2700000000000001E-2</v>
      </c>
    </row>
    <row r="13" spans="1:7">
      <c r="A13" t="s">
        <v>348</v>
      </c>
      <c r="B13" s="18">
        <f>B12*(1-B11)</f>
        <v>4.7298620000000006E-2</v>
      </c>
    </row>
    <row r="15" spans="1:7">
      <c r="A15" t="s">
        <v>353</v>
      </c>
      <c r="B15" s="2">
        <f>'Operating Leases'!E40</f>
        <v>9445.5925004596575</v>
      </c>
    </row>
    <row r="16" spans="1:7">
      <c r="A16" t="s">
        <v>354</v>
      </c>
      <c r="B16" s="2">
        <f>'weighted average cost of capita'!B30</f>
        <v>18353.825581685</v>
      </c>
    </row>
    <row r="17" spans="1:2">
      <c r="A17" t="s">
        <v>349</v>
      </c>
      <c r="B17" s="83">
        <f>B15/(B15+B16)</f>
        <v>0.33977662671027226</v>
      </c>
    </row>
    <row r="18" spans="1:2">
      <c r="A18" t="s">
        <v>350</v>
      </c>
      <c r="B18" s="83">
        <f>B16/(B15+B16)</f>
        <v>0.6602233732897278</v>
      </c>
    </row>
    <row r="19" spans="1:2">
      <c r="A19" t="s">
        <v>398</v>
      </c>
      <c r="B19" s="18">
        <f>B17*B13+B18*B6</f>
        <v>0.14125029650766394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Input Sheet</vt:lpstr>
      <vt:lpstr>Valuation Output</vt:lpstr>
      <vt:lpstr>Stories to Numbers</vt:lpstr>
      <vt:lpstr>IHCL P&amp;L</vt:lpstr>
      <vt:lpstr>Last AR</vt:lpstr>
      <vt:lpstr>Operating Leases</vt:lpstr>
      <vt:lpstr>Norm Capital Expenditure</vt:lpstr>
      <vt:lpstr>Estimating Cash Flows</vt:lpstr>
      <vt:lpstr>Cost of capital</vt:lpstr>
      <vt:lpstr>Ratios</vt:lpstr>
      <vt:lpstr>Future Debt</vt:lpstr>
      <vt:lpstr>Change in Non Cash WCTota</vt:lpstr>
      <vt:lpstr>weighted average cost of capita</vt:lpstr>
      <vt:lpstr>IHCL &amp; NIFTY 200</vt:lpstr>
      <vt:lpstr>TOTAL DEBT </vt:lpstr>
      <vt:lpstr>real stories to numbers</vt:lpstr>
      <vt:lpstr>hotel industry avg</vt:lpstr>
      <vt:lpstr>IHCL vs PEERS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dc:creator>
  <cp:lastModifiedBy>Balaji</cp:lastModifiedBy>
  <dcterms:created xsi:type="dcterms:W3CDTF">2020-08-05T16:10:04Z</dcterms:created>
  <dcterms:modified xsi:type="dcterms:W3CDTF">2021-07-19T17:04:44Z</dcterms:modified>
</cp:coreProperties>
</file>