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2" documentId="11_C3CF4D81D9C04650EE556B2CA133AD2D2BA1DDEC" xr6:coauthVersionLast="47" xr6:coauthVersionMax="47" xr10:uidLastSave="{54BFD06E-9918-4808-84DC-05C5ACC201EA}"/>
  <bookViews>
    <workbookView xWindow="-108" yWindow="-108" windowWidth="23256" windowHeight="12456"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F96" i="2" l="1"/>
  <c r="CD96" i="2"/>
  <c r="CB96" i="2"/>
  <c r="BZ96" i="2"/>
  <c r="BX96" i="2"/>
  <c r="BV96" i="2"/>
  <c r="BT96" i="2"/>
  <c r="BR96" i="2"/>
  <c r="BP96" i="2"/>
  <c r="BN96" i="2"/>
  <c r="BL96" i="2"/>
  <c r="BJ96" i="2"/>
  <c r="BH96" i="2"/>
  <c r="BF96" i="2"/>
  <c r="BD96" i="2"/>
  <c r="BB96" i="2"/>
  <c r="AZ96" i="2"/>
  <c r="AX96" i="2"/>
  <c r="AV96" i="2"/>
  <c r="AT96" i="2"/>
  <c r="AR96" i="2"/>
  <c r="AP96" i="2"/>
  <c r="AN96" i="2"/>
  <c r="AL96" i="2"/>
  <c r="AJ96" i="2"/>
  <c r="AH96" i="2"/>
  <c r="AF96" i="2"/>
  <c r="AD96" i="2"/>
  <c r="AB96" i="2"/>
  <c r="Z96" i="2"/>
  <c r="X96" i="2"/>
  <c r="V96" i="2"/>
  <c r="T96" i="2"/>
  <c r="R96" i="2"/>
  <c r="P96" i="2"/>
  <c r="N96" i="2"/>
  <c r="L96" i="2"/>
  <c r="J96" i="2"/>
  <c r="H96" i="2"/>
  <c r="F96" i="2"/>
  <c r="D96" i="2"/>
  <c r="B96" i="2"/>
  <c r="CF95" i="2"/>
  <c r="CD95" i="2"/>
  <c r="CB95" i="2"/>
  <c r="BZ95" i="2"/>
  <c r="BX95" i="2"/>
  <c r="BV95" i="2"/>
  <c r="BT95" i="2"/>
  <c r="BR95" i="2"/>
  <c r="BP95" i="2"/>
  <c r="BN95" i="2"/>
  <c r="BL95" i="2"/>
  <c r="BJ95" i="2"/>
  <c r="BH95" i="2"/>
  <c r="BF95" i="2"/>
  <c r="BD95" i="2"/>
  <c r="BB95" i="2"/>
  <c r="AZ95" i="2"/>
  <c r="AX95" i="2"/>
  <c r="AV95" i="2"/>
  <c r="AT95" i="2"/>
  <c r="AR95" i="2"/>
  <c r="AP95" i="2"/>
  <c r="AN95" i="2"/>
  <c r="AL95" i="2"/>
  <c r="AJ95" i="2"/>
  <c r="AH95" i="2"/>
  <c r="AF95" i="2"/>
  <c r="AD95" i="2"/>
  <c r="AB95" i="2"/>
  <c r="Z95" i="2"/>
  <c r="X95" i="2"/>
  <c r="V95" i="2"/>
  <c r="T95" i="2"/>
  <c r="R95" i="2"/>
  <c r="P95" i="2"/>
  <c r="N95" i="2"/>
  <c r="L95" i="2"/>
  <c r="J95" i="2"/>
  <c r="H95" i="2"/>
  <c r="F95" i="2"/>
  <c r="D95" i="2"/>
  <c r="B95" i="2"/>
  <c r="CF94" i="2"/>
  <c r="CD94" i="2"/>
  <c r="CB94" i="2"/>
  <c r="BZ94" i="2"/>
  <c r="BX94" i="2"/>
  <c r="BV94" i="2"/>
  <c r="BT94" i="2"/>
  <c r="BR94" i="2"/>
  <c r="BP94" i="2"/>
  <c r="BN94" i="2"/>
  <c r="BL94" i="2"/>
  <c r="BJ94" i="2"/>
  <c r="BH94" i="2"/>
  <c r="BF94" i="2"/>
  <c r="BD94" i="2"/>
  <c r="BB94" i="2"/>
  <c r="AZ94" i="2"/>
  <c r="AX94" i="2"/>
  <c r="AV94" i="2"/>
  <c r="AT94" i="2"/>
  <c r="AR94" i="2"/>
  <c r="AP94" i="2"/>
  <c r="AN94" i="2"/>
  <c r="AL94" i="2"/>
  <c r="AJ94" i="2"/>
  <c r="AH94" i="2"/>
  <c r="AF94" i="2"/>
  <c r="AD94" i="2"/>
  <c r="AB94" i="2"/>
  <c r="Z94" i="2"/>
  <c r="X94" i="2"/>
  <c r="V94" i="2"/>
  <c r="T94" i="2"/>
  <c r="R94" i="2"/>
  <c r="P94" i="2"/>
  <c r="N94" i="2"/>
  <c r="L94" i="2"/>
  <c r="J94" i="2"/>
  <c r="H94" i="2"/>
  <c r="F94" i="2"/>
  <c r="D94" i="2"/>
  <c r="B94"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CD92" i="2"/>
  <c r="BZ92" i="2"/>
  <c r="BV92" i="2"/>
  <c r="BR92" i="2"/>
  <c r="BN92" i="2"/>
  <c r="BJ92" i="2"/>
  <c r="BF92" i="2"/>
  <c r="BB92" i="2"/>
  <c r="AX92" i="2"/>
  <c r="AT92" i="2"/>
  <c r="AP92" i="2"/>
  <c r="AL92" i="2"/>
  <c r="AH92" i="2"/>
  <c r="AD92" i="2"/>
  <c r="Z92" i="2"/>
  <c r="V92" i="2"/>
  <c r="R92" i="2"/>
  <c r="N92" i="2"/>
  <c r="J92" i="2"/>
  <c r="F92" i="2"/>
  <c r="B92" i="2"/>
  <c r="CF91" i="2"/>
  <c r="CD91" i="2"/>
  <c r="CB91" i="2"/>
  <c r="BZ91" i="2"/>
  <c r="BX91" i="2"/>
  <c r="BV91" i="2"/>
  <c r="BT91" i="2"/>
  <c r="BR91" i="2"/>
  <c r="BP91" i="2"/>
  <c r="BN91" i="2"/>
  <c r="BL91" i="2"/>
  <c r="BJ91" i="2"/>
  <c r="BH91" i="2"/>
  <c r="BF91" i="2"/>
  <c r="BD91" i="2"/>
  <c r="BB91" i="2"/>
  <c r="AZ91" i="2"/>
  <c r="AX91" i="2"/>
  <c r="AV91" i="2"/>
  <c r="AT91" i="2"/>
  <c r="AR91" i="2"/>
  <c r="AP91" i="2"/>
  <c r="AN91" i="2"/>
  <c r="AL91" i="2"/>
  <c r="AJ91" i="2"/>
  <c r="AH91" i="2"/>
  <c r="AF91" i="2"/>
  <c r="AD91" i="2"/>
  <c r="AB91" i="2"/>
  <c r="Z91" i="2"/>
  <c r="X91" i="2"/>
  <c r="V91" i="2"/>
  <c r="T91" i="2"/>
  <c r="R91" i="2"/>
  <c r="P91" i="2"/>
  <c r="N91" i="2"/>
  <c r="L91" i="2"/>
  <c r="J91" i="2"/>
  <c r="H91" i="2"/>
  <c r="F91" i="2"/>
  <c r="D91" i="2"/>
  <c r="B91" i="2"/>
  <c r="CF90" i="2"/>
  <c r="CD90" i="2"/>
  <c r="CB90" i="2"/>
  <c r="BZ90" i="2"/>
  <c r="BX90" i="2"/>
  <c r="BV90" i="2"/>
  <c r="BT90" i="2"/>
  <c r="BR90" i="2"/>
  <c r="BP90" i="2"/>
  <c r="BN90" i="2"/>
  <c r="BL90" i="2"/>
  <c r="BJ90" i="2"/>
  <c r="BH90" i="2"/>
  <c r="BF90" i="2"/>
  <c r="BD90" i="2"/>
  <c r="BB90" i="2"/>
  <c r="AZ90" i="2"/>
  <c r="AX90" i="2"/>
  <c r="AV90" i="2"/>
  <c r="AT90" i="2"/>
  <c r="AR90" i="2"/>
  <c r="AP90" i="2"/>
  <c r="AN90" i="2"/>
  <c r="AL90" i="2"/>
  <c r="AJ90" i="2"/>
  <c r="AH90" i="2"/>
  <c r="AF90" i="2"/>
  <c r="AD90" i="2"/>
  <c r="AB90" i="2"/>
  <c r="Z90" i="2"/>
  <c r="X90" i="2"/>
  <c r="V90" i="2"/>
  <c r="T90" i="2"/>
  <c r="R90" i="2"/>
  <c r="P90" i="2"/>
  <c r="N90" i="2"/>
  <c r="L90" i="2"/>
  <c r="J90" i="2"/>
  <c r="H90" i="2"/>
  <c r="F90" i="2"/>
  <c r="D90" i="2"/>
  <c r="B90" i="2"/>
  <c r="CF89" i="2"/>
  <c r="CD89" i="2"/>
  <c r="CB89" i="2"/>
  <c r="BZ89" i="2"/>
  <c r="BX89" i="2"/>
  <c r="BV89" i="2"/>
  <c r="BT89" i="2"/>
  <c r="BR89" i="2"/>
  <c r="BP89" i="2"/>
  <c r="BN89" i="2"/>
  <c r="BL89" i="2"/>
  <c r="BJ89" i="2"/>
  <c r="BH89" i="2"/>
  <c r="BF89" i="2"/>
  <c r="BD89" i="2"/>
  <c r="BB89" i="2"/>
  <c r="AZ89" i="2"/>
  <c r="AX89" i="2"/>
  <c r="AV89" i="2"/>
  <c r="AT89" i="2"/>
  <c r="AR89" i="2"/>
  <c r="AP89" i="2"/>
  <c r="AN89" i="2"/>
  <c r="AL89" i="2"/>
  <c r="AJ89" i="2"/>
  <c r="AH89" i="2"/>
  <c r="AF89" i="2"/>
  <c r="AD89" i="2"/>
  <c r="AB89" i="2"/>
  <c r="Z89" i="2"/>
  <c r="X89" i="2"/>
  <c r="V89" i="2"/>
  <c r="T89" i="2"/>
  <c r="R89" i="2"/>
  <c r="P89" i="2"/>
  <c r="N89" i="2"/>
  <c r="L89" i="2"/>
  <c r="J89" i="2"/>
  <c r="H89" i="2"/>
  <c r="F89" i="2"/>
  <c r="D89" i="2"/>
  <c r="B89" i="2"/>
  <c r="CF88" i="2"/>
  <c r="CD88" i="2"/>
  <c r="CB88" i="2"/>
  <c r="BZ88" i="2"/>
  <c r="BX88" i="2"/>
  <c r="BV88" i="2"/>
  <c r="BT88" i="2"/>
  <c r="BR88" i="2"/>
  <c r="BP88" i="2"/>
  <c r="BN88" i="2"/>
  <c r="BL88" i="2"/>
  <c r="BJ88" i="2"/>
  <c r="BH88" i="2"/>
  <c r="BF88" i="2"/>
  <c r="BD88" i="2"/>
  <c r="BB88" i="2"/>
  <c r="AZ88" i="2"/>
  <c r="AX88" i="2"/>
  <c r="AV88" i="2"/>
  <c r="AT88" i="2"/>
  <c r="AR88" i="2"/>
  <c r="AP88" i="2"/>
  <c r="AN88" i="2"/>
  <c r="AL88" i="2"/>
  <c r="AJ88" i="2"/>
  <c r="AH88" i="2"/>
  <c r="AF88" i="2"/>
  <c r="AD88" i="2"/>
  <c r="AB88" i="2"/>
  <c r="Z88" i="2"/>
  <c r="X88" i="2"/>
  <c r="V88" i="2"/>
  <c r="T88" i="2"/>
  <c r="R88" i="2"/>
  <c r="P88" i="2"/>
  <c r="N88" i="2"/>
  <c r="L88" i="2"/>
  <c r="J88" i="2"/>
  <c r="H88" i="2"/>
  <c r="F88" i="2"/>
  <c r="D88" i="2"/>
  <c r="B88" i="2"/>
  <c r="CF87" i="2"/>
  <c r="CD87" i="2"/>
  <c r="CB87" i="2"/>
  <c r="BZ87" i="2"/>
  <c r="BX87" i="2"/>
  <c r="BV87" i="2"/>
  <c r="BT87" i="2"/>
  <c r="BR87" i="2"/>
  <c r="BP87" i="2"/>
  <c r="BN87" i="2"/>
  <c r="BL87" i="2"/>
  <c r="BJ87" i="2"/>
  <c r="BH87" i="2"/>
  <c r="BF87" i="2"/>
  <c r="BD87" i="2"/>
  <c r="BB87" i="2"/>
  <c r="AZ87" i="2"/>
  <c r="AX87" i="2"/>
  <c r="AV87" i="2"/>
  <c r="AT87" i="2"/>
  <c r="AR87" i="2"/>
  <c r="AP87" i="2"/>
  <c r="AN87" i="2"/>
  <c r="AL87" i="2"/>
  <c r="AJ87" i="2"/>
  <c r="AH87" i="2"/>
  <c r="AF87" i="2"/>
  <c r="AD87" i="2"/>
  <c r="AB87" i="2"/>
  <c r="Z87" i="2"/>
  <c r="X87" i="2"/>
  <c r="V87" i="2"/>
  <c r="T87" i="2"/>
  <c r="R87" i="2"/>
  <c r="P87" i="2"/>
  <c r="N87" i="2"/>
  <c r="L87" i="2"/>
  <c r="J87" i="2"/>
  <c r="H87" i="2"/>
  <c r="F87" i="2"/>
  <c r="D87" i="2"/>
  <c r="B87" i="2"/>
  <c r="CF86" i="2"/>
  <c r="CD86" i="2"/>
  <c r="CB86" i="2"/>
  <c r="BZ86" i="2"/>
  <c r="BX86" i="2"/>
  <c r="BV86" i="2"/>
  <c r="BT86" i="2"/>
  <c r="BR86" i="2"/>
  <c r="BP86" i="2"/>
  <c r="BN86" i="2"/>
  <c r="BL86" i="2"/>
  <c r="BJ86" i="2"/>
  <c r="BH86" i="2"/>
  <c r="BF86" i="2"/>
  <c r="BD86" i="2"/>
  <c r="BB86" i="2"/>
  <c r="AZ86" i="2"/>
  <c r="AX86" i="2"/>
  <c r="AV86" i="2"/>
  <c r="AT86" i="2"/>
  <c r="AR86" i="2"/>
  <c r="AP86" i="2"/>
  <c r="AN86" i="2"/>
  <c r="AL86" i="2"/>
  <c r="AJ86" i="2"/>
  <c r="AH86" i="2"/>
  <c r="AF86" i="2"/>
  <c r="AD86" i="2"/>
  <c r="AB86" i="2"/>
  <c r="Z86" i="2"/>
  <c r="X86" i="2"/>
  <c r="V86" i="2"/>
  <c r="T86" i="2"/>
  <c r="R86" i="2"/>
  <c r="P86" i="2"/>
  <c r="N86" i="2"/>
  <c r="L86" i="2"/>
  <c r="J86" i="2"/>
  <c r="H86" i="2"/>
  <c r="F86" i="2"/>
  <c r="D86" i="2"/>
  <c r="B86" i="2"/>
  <c r="CF85" i="2"/>
  <c r="CD85" i="2"/>
  <c r="CB85" i="2"/>
  <c r="BZ85" i="2"/>
  <c r="BX85" i="2"/>
  <c r="BV85" i="2"/>
  <c r="BT85" i="2"/>
  <c r="BR85" i="2"/>
  <c r="BP85" i="2"/>
  <c r="BN85" i="2"/>
  <c r="BL85" i="2"/>
  <c r="BJ85" i="2"/>
  <c r="BH85" i="2"/>
  <c r="BF85" i="2"/>
  <c r="BD85" i="2"/>
  <c r="BB85" i="2"/>
  <c r="AZ85" i="2"/>
  <c r="AX85" i="2"/>
  <c r="AV85" i="2"/>
  <c r="AT85" i="2"/>
  <c r="AR85" i="2"/>
  <c r="AP85" i="2"/>
  <c r="AN85" i="2"/>
  <c r="AL85" i="2"/>
  <c r="AJ85" i="2"/>
  <c r="AH85" i="2"/>
  <c r="AF85" i="2"/>
  <c r="AD85" i="2"/>
  <c r="AB85" i="2"/>
  <c r="Z85" i="2"/>
  <c r="X85" i="2"/>
  <c r="V85" i="2"/>
  <c r="T85" i="2"/>
  <c r="R85" i="2"/>
  <c r="P85" i="2"/>
  <c r="N85" i="2"/>
  <c r="L85" i="2"/>
  <c r="J85" i="2"/>
  <c r="H85" i="2"/>
  <c r="F85" i="2"/>
  <c r="D85" i="2"/>
  <c r="B85" i="2"/>
  <c r="CF84" i="2"/>
  <c r="CD84" i="2"/>
  <c r="CB84" i="2"/>
  <c r="BZ84" i="2"/>
  <c r="BX84" i="2"/>
  <c r="BV84" i="2"/>
  <c r="BT84" i="2"/>
  <c r="BR84" i="2"/>
  <c r="BP84" i="2"/>
  <c r="BN84" i="2"/>
  <c r="BL84" i="2"/>
  <c r="BJ84" i="2"/>
  <c r="BH84" i="2"/>
  <c r="BF84" i="2"/>
  <c r="BD84" i="2"/>
  <c r="BB84" i="2"/>
  <c r="AZ84" i="2"/>
  <c r="AX84" i="2"/>
  <c r="AV84" i="2"/>
  <c r="AT84" i="2"/>
  <c r="AR84" i="2"/>
  <c r="AP84" i="2"/>
  <c r="AN84" i="2"/>
  <c r="AL84" i="2"/>
  <c r="AJ84" i="2"/>
  <c r="AH84" i="2"/>
  <c r="AF84" i="2"/>
  <c r="AD84" i="2"/>
  <c r="AB84" i="2"/>
  <c r="Z84" i="2"/>
  <c r="X84" i="2"/>
  <c r="V84" i="2"/>
  <c r="T84" i="2"/>
  <c r="R84" i="2"/>
  <c r="P84" i="2"/>
  <c r="N84" i="2"/>
  <c r="L84" i="2"/>
  <c r="J84" i="2"/>
  <c r="H84" i="2"/>
  <c r="F84" i="2"/>
  <c r="D84" i="2"/>
  <c r="B84" i="2"/>
  <c r="CF83" i="2"/>
  <c r="CD83" i="2"/>
  <c r="CB83" i="2"/>
  <c r="BZ83" i="2"/>
  <c r="BX83" i="2"/>
  <c r="BV83" i="2"/>
  <c r="BT83" i="2"/>
  <c r="BR83" i="2"/>
  <c r="BP83" i="2"/>
  <c r="BN83" i="2"/>
  <c r="BL83" i="2"/>
  <c r="BJ83" i="2"/>
  <c r="BH83" i="2"/>
  <c r="BF83" i="2"/>
  <c r="BD83" i="2"/>
  <c r="BB83" i="2"/>
  <c r="AZ83" i="2"/>
  <c r="AX83" i="2"/>
  <c r="AV83" i="2"/>
  <c r="AT83" i="2"/>
  <c r="AR83" i="2"/>
  <c r="AP83" i="2"/>
  <c r="AN83" i="2"/>
  <c r="AL83" i="2"/>
  <c r="AJ83" i="2"/>
  <c r="AH83" i="2"/>
  <c r="AF83" i="2"/>
  <c r="AD83" i="2"/>
  <c r="AB83" i="2"/>
  <c r="Z83" i="2"/>
  <c r="X83" i="2"/>
  <c r="V83" i="2"/>
  <c r="T83" i="2"/>
  <c r="R83" i="2"/>
  <c r="P83" i="2"/>
  <c r="N83" i="2"/>
  <c r="L83" i="2"/>
  <c r="J83" i="2"/>
  <c r="H83" i="2"/>
  <c r="F83" i="2"/>
  <c r="D83" i="2"/>
  <c r="B83" i="2"/>
  <c r="CF82" i="2"/>
  <c r="CD82" i="2"/>
  <c r="CB82" i="2"/>
  <c r="BZ82" i="2"/>
  <c r="BX82" i="2"/>
  <c r="BV82" i="2"/>
  <c r="BT82" i="2"/>
  <c r="BR82" i="2"/>
  <c r="BP82" i="2"/>
  <c r="BN82" i="2"/>
  <c r="BL82" i="2"/>
  <c r="BJ82" i="2"/>
  <c r="BH82" i="2"/>
  <c r="BF82" i="2"/>
  <c r="BD82" i="2"/>
  <c r="BB82" i="2"/>
  <c r="AZ82" i="2"/>
  <c r="AX82" i="2"/>
  <c r="AV82" i="2"/>
  <c r="AT82" i="2"/>
  <c r="AR82" i="2"/>
  <c r="AP82" i="2"/>
  <c r="AN82" i="2"/>
  <c r="AL82" i="2"/>
  <c r="AJ82" i="2"/>
  <c r="AH82" i="2"/>
  <c r="AF82" i="2"/>
  <c r="AD82" i="2"/>
  <c r="AB82" i="2"/>
  <c r="Z82" i="2"/>
  <c r="X82" i="2"/>
  <c r="V82" i="2"/>
  <c r="T82" i="2"/>
  <c r="R82" i="2"/>
  <c r="P82" i="2"/>
  <c r="N82" i="2"/>
  <c r="L82" i="2"/>
  <c r="J82" i="2"/>
  <c r="H82" i="2"/>
  <c r="F82" i="2"/>
  <c r="D82" i="2"/>
  <c r="B82" i="2"/>
  <c r="CF81" i="2"/>
  <c r="CD81" i="2"/>
  <c r="CB81" i="2"/>
  <c r="BZ81" i="2"/>
  <c r="BX81" i="2"/>
  <c r="BV81" i="2"/>
  <c r="BT81" i="2"/>
  <c r="BR81" i="2"/>
  <c r="BP81" i="2"/>
  <c r="BN81" i="2"/>
  <c r="BL81" i="2"/>
  <c r="BJ81" i="2"/>
  <c r="BH81" i="2"/>
  <c r="BF81" i="2"/>
  <c r="BD81" i="2"/>
  <c r="BB81" i="2"/>
  <c r="AZ81" i="2"/>
  <c r="AX81" i="2"/>
  <c r="AV81" i="2"/>
  <c r="AT81" i="2"/>
  <c r="AR81" i="2"/>
  <c r="AP81" i="2"/>
  <c r="AN81" i="2"/>
  <c r="AL81" i="2"/>
  <c r="AJ81" i="2"/>
  <c r="AH81" i="2"/>
  <c r="AF81" i="2"/>
  <c r="AD81" i="2"/>
  <c r="AB81" i="2"/>
  <c r="Z81" i="2"/>
  <c r="X81" i="2"/>
  <c r="V81" i="2"/>
  <c r="P81" i="2"/>
  <c r="N81" i="2"/>
  <c r="L81" i="2"/>
  <c r="J81" i="2"/>
  <c r="H81" i="2"/>
  <c r="F81" i="2"/>
  <c r="D81" i="2"/>
  <c r="B81" i="2"/>
  <c r="CF80" i="2"/>
  <c r="CD80" i="2"/>
  <c r="CB80" i="2"/>
  <c r="BZ80" i="2"/>
  <c r="BX80" i="2"/>
  <c r="BV80" i="2"/>
  <c r="BT80" i="2"/>
  <c r="BR80" i="2"/>
  <c r="BP80" i="2"/>
  <c r="BN80" i="2"/>
  <c r="BL80" i="2"/>
  <c r="BJ80" i="2"/>
  <c r="BH80" i="2"/>
  <c r="BF80" i="2"/>
  <c r="BD80" i="2"/>
  <c r="BB80" i="2"/>
  <c r="AZ80" i="2"/>
  <c r="AX80" i="2"/>
  <c r="AV80" i="2"/>
  <c r="AT80" i="2"/>
  <c r="AR80" i="2"/>
  <c r="AP80" i="2"/>
  <c r="AN80" i="2"/>
  <c r="AL80" i="2"/>
  <c r="AJ80" i="2"/>
  <c r="AH80" i="2"/>
  <c r="AF80" i="2"/>
  <c r="AD80" i="2"/>
  <c r="AB80" i="2"/>
  <c r="Z80" i="2"/>
  <c r="X80" i="2"/>
  <c r="V80" i="2"/>
  <c r="P80" i="2"/>
  <c r="N80" i="2"/>
  <c r="L80" i="2"/>
  <c r="J80" i="2"/>
  <c r="H80" i="2"/>
  <c r="F80" i="2"/>
  <c r="D80" i="2"/>
  <c r="B80" i="2"/>
  <c r="CF79" i="2"/>
  <c r="CD79" i="2"/>
  <c r="CB79" i="2"/>
  <c r="BZ79" i="2"/>
  <c r="BX79" i="2"/>
  <c r="BV79" i="2"/>
  <c r="BT79" i="2"/>
  <c r="BR79" i="2"/>
  <c r="BP79" i="2"/>
  <c r="BN79" i="2"/>
  <c r="BL79" i="2"/>
  <c r="BJ79" i="2"/>
  <c r="BH79" i="2"/>
  <c r="BF79" i="2"/>
  <c r="BD79" i="2"/>
  <c r="BB79" i="2"/>
  <c r="AZ79" i="2"/>
  <c r="AX79" i="2"/>
  <c r="AV79" i="2"/>
  <c r="AT79" i="2"/>
  <c r="AR79" i="2"/>
  <c r="AP79" i="2"/>
  <c r="AN79" i="2"/>
  <c r="AL79" i="2"/>
  <c r="AJ79" i="2"/>
  <c r="AH79" i="2"/>
  <c r="AF79" i="2"/>
  <c r="AD79" i="2"/>
  <c r="AB79" i="2"/>
  <c r="Z79" i="2"/>
  <c r="X79" i="2"/>
  <c r="V79" i="2"/>
  <c r="P79" i="2"/>
  <c r="N79" i="2"/>
  <c r="L79" i="2"/>
  <c r="J79" i="2"/>
  <c r="H79" i="2"/>
  <c r="F79" i="2"/>
  <c r="D79" i="2"/>
  <c r="B79" i="2"/>
  <c r="CF78" i="2"/>
  <c r="CD78" i="2"/>
  <c r="CB78" i="2"/>
  <c r="BZ78" i="2"/>
  <c r="BX78" i="2"/>
  <c r="BV78" i="2"/>
  <c r="BT78" i="2"/>
  <c r="BR78" i="2"/>
  <c r="BP78" i="2"/>
  <c r="BN78" i="2"/>
  <c r="BL78" i="2"/>
  <c r="BJ78" i="2"/>
  <c r="BH78" i="2"/>
  <c r="BF78" i="2"/>
  <c r="BD78" i="2"/>
  <c r="BB78" i="2"/>
  <c r="AZ78" i="2"/>
  <c r="AX78" i="2"/>
  <c r="AV78" i="2"/>
  <c r="AT78" i="2"/>
  <c r="AR78" i="2"/>
  <c r="AP78" i="2"/>
  <c r="AN78" i="2"/>
  <c r="AL78" i="2"/>
  <c r="AJ78" i="2"/>
  <c r="AH78" i="2"/>
  <c r="AF78" i="2"/>
  <c r="AD78" i="2"/>
  <c r="AB78" i="2"/>
  <c r="Z78" i="2"/>
  <c r="X78" i="2"/>
  <c r="V78" i="2"/>
  <c r="P78" i="2"/>
  <c r="N78" i="2"/>
  <c r="L78" i="2"/>
  <c r="J78" i="2"/>
  <c r="H78" i="2"/>
  <c r="F78" i="2"/>
  <c r="D78" i="2"/>
  <c r="B78" i="2"/>
  <c r="CF77" i="2"/>
  <c r="CD77" i="2"/>
  <c r="CB77" i="2"/>
  <c r="BZ77" i="2"/>
  <c r="BX77" i="2"/>
  <c r="BV77" i="2"/>
  <c r="BT77" i="2"/>
  <c r="BR77" i="2"/>
  <c r="BP77" i="2"/>
  <c r="BN77" i="2"/>
  <c r="BL77" i="2"/>
  <c r="BJ77" i="2"/>
  <c r="BH77" i="2"/>
  <c r="BF77" i="2"/>
  <c r="BD77" i="2"/>
  <c r="BB77" i="2"/>
  <c r="AZ77" i="2"/>
  <c r="AX77" i="2"/>
  <c r="AV77" i="2"/>
  <c r="AT77" i="2"/>
  <c r="AR77" i="2"/>
  <c r="AP77" i="2"/>
  <c r="AN77" i="2"/>
  <c r="AL77" i="2"/>
  <c r="AJ77" i="2"/>
  <c r="AH77" i="2"/>
  <c r="AF77" i="2"/>
  <c r="AD77" i="2"/>
  <c r="AB77" i="2"/>
  <c r="Z77" i="2"/>
  <c r="X77" i="2"/>
  <c r="V77" i="2"/>
  <c r="T77" i="2"/>
  <c r="R77" i="2"/>
  <c r="P77" i="2"/>
  <c r="N77" i="2"/>
  <c r="L77" i="2"/>
  <c r="J77" i="2"/>
  <c r="H77" i="2"/>
  <c r="F77" i="2"/>
  <c r="D77" i="2"/>
  <c r="B77" i="2"/>
  <c r="CF76" i="2"/>
  <c r="CD76" i="2"/>
  <c r="CB76" i="2"/>
  <c r="BZ76" i="2"/>
  <c r="BX76" i="2"/>
  <c r="BV76" i="2"/>
  <c r="BT76" i="2"/>
  <c r="BR76" i="2"/>
  <c r="BP76" i="2"/>
  <c r="BN76" i="2"/>
  <c r="BL76" i="2"/>
  <c r="BJ76" i="2"/>
  <c r="BH76" i="2"/>
  <c r="BF76" i="2"/>
  <c r="BD76" i="2"/>
  <c r="BB76" i="2"/>
  <c r="AZ76" i="2"/>
  <c r="AX76" i="2"/>
  <c r="AV76" i="2"/>
  <c r="AT76" i="2"/>
  <c r="AR76" i="2"/>
  <c r="AP76" i="2"/>
  <c r="AN76" i="2"/>
  <c r="AL76" i="2"/>
  <c r="AJ76" i="2"/>
  <c r="AH76" i="2"/>
  <c r="AF76" i="2"/>
  <c r="AD76" i="2"/>
  <c r="AB76" i="2"/>
  <c r="Z76" i="2"/>
  <c r="X76" i="2"/>
  <c r="V76" i="2"/>
  <c r="T76" i="2"/>
  <c r="R76" i="2"/>
  <c r="P76" i="2"/>
  <c r="N76" i="2"/>
  <c r="L76" i="2"/>
  <c r="J76" i="2"/>
  <c r="H76" i="2"/>
  <c r="F76" i="2"/>
  <c r="D76" i="2"/>
  <c r="B76"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CF74" i="2"/>
  <c r="CD74" i="2"/>
  <c r="CB74" i="2"/>
  <c r="BZ74" i="2"/>
  <c r="BX74" i="2"/>
  <c r="BV74" i="2"/>
  <c r="BT74" i="2"/>
  <c r="BR74" i="2"/>
  <c r="BP74" i="2"/>
  <c r="BN74" i="2"/>
  <c r="BL74" i="2"/>
  <c r="BJ74" i="2"/>
  <c r="BH74" i="2"/>
  <c r="BF74" i="2"/>
  <c r="BD74" i="2"/>
  <c r="BB74" i="2"/>
  <c r="AZ74" i="2"/>
  <c r="AX74" i="2"/>
  <c r="AV74" i="2"/>
  <c r="AT74" i="2"/>
  <c r="AR74" i="2"/>
  <c r="AP74" i="2"/>
  <c r="AN74" i="2"/>
  <c r="AL74" i="2"/>
  <c r="AJ74" i="2"/>
  <c r="AH74" i="2"/>
  <c r="AF74" i="2"/>
  <c r="AD74" i="2"/>
  <c r="AB74" i="2"/>
  <c r="Z74" i="2"/>
  <c r="X74" i="2"/>
  <c r="V74" i="2"/>
  <c r="T74" i="2"/>
  <c r="R74" i="2"/>
  <c r="P74" i="2"/>
  <c r="N74" i="2"/>
  <c r="L74" i="2"/>
  <c r="J74" i="2"/>
  <c r="H74" i="2"/>
  <c r="F74" i="2"/>
  <c r="D74" i="2"/>
  <c r="B74" i="2"/>
  <c r="CB73" i="2"/>
  <c r="BZ73" i="2"/>
  <c r="BT73" i="2"/>
  <c r="BR73" i="2"/>
  <c r="BP73" i="2"/>
  <c r="BN73" i="2"/>
  <c r="BL73" i="2"/>
  <c r="BJ73" i="2"/>
  <c r="BH73" i="2"/>
  <c r="BF73" i="2"/>
  <c r="AV73" i="2"/>
  <c r="AT73" i="2"/>
  <c r="AR73" i="2"/>
  <c r="AP73" i="2"/>
  <c r="AF73" i="2"/>
  <c r="AD73" i="2"/>
  <c r="AB73" i="2"/>
  <c r="Z73" i="2"/>
  <c r="P73" i="2"/>
  <c r="N73" i="2"/>
  <c r="L73" i="2"/>
  <c r="J73" i="2"/>
  <c r="H73" i="2"/>
  <c r="F73" i="2"/>
  <c r="CF72" i="2"/>
  <c r="CD72" i="2"/>
  <c r="CB72" i="2"/>
  <c r="BZ72" i="2"/>
  <c r="BX72" i="2"/>
  <c r="BV72" i="2"/>
  <c r="BT72" i="2"/>
  <c r="BR72" i="2"/>
  <c r="BP72" i="2"/>
  <c r="BN72" i="2"/>
  <c r="BL72" i="2"/>
  <c r="BJ72" i="2"/>
  <c r="BH72" i="2"/>
  <c r="BF72" i="2"/>
  <c r="BD72" i="2"/>
  <c r="BB72" i="2"/>
  <c r="AZ72" i="2"/>
  <c r="AX72" i="2"/>
  <c r="AV72" i="2"/>
  <c r="AT72" i="2"/>
  <c r="AR72" i="2"/>
  <c r="AP72" i="2"/>
  <c r="AN72" i="2"/>
  <c r="AL72" i="2"/>
  <c r="AJ72" i="2"/>
  <c r="AH72" i="2"/>
  <c r="AF72" i="2"/>
  <c r="AD72" i="2"/>
  <c r="AB72" i="2"/>
  <c r="Z72" i="2"/>
  <c r="X72" i="2"/>
  <c r="V72" i="2"/>
  <c r="T72" i="2"/>
  <c r="R72" i="2"/>
  <c r="P72" i="2"/>
  <c r="N72" i="2"/>
  <c r="L72" i="2"/>
  <c r="J72" i="2"/>
  <c r="H72" i="2"/>
  <c r="F72" i="2"/>
  <c r="D72" i="2"/>
  <c r="B72" i="2"/>
  <c r="CF71" i="2"/>
  <c r="CD71" i="2"/>
  <c r="CB71" i="2"/>
  <c r="BZ71" i="2"/>
  <c r="BX71" i="2"/>
  <c r="BV71" i="2"/>
  <c r="BT71" i="2"/>
  <c r="BR71" i="2"/>
  <c r="BP71" i="2"/>
  <c r="BN71" i="2"/>
  <c r="BL71" i="2"/>
  <c r="BJ71" i="2"/>
  <c r="BH71" i="2"/>
  <c r="BF71" i="2"/>
  <c r="BD71" i="2"/>
  <c r="BB71" i="2"/>
  <c r="AZ71" i="2"/>
  <c r="AX71" i="2"/>
  <c r="AV71" i="2"/>
  <c r="AT71" i="2"/>
  <c r="AR71" i="2"/>
  <c r="AP71" i="2"/>
  <c r="AN71" i="2"/>
  <c r="AL71" i="2"/>
  <c r="AJ71" i="2"/>
  <c r="AH71" i="2"/>
  <c r="AF71" i="2"/>
  <c r="AD71" i="2"/>
  <c r="AB71" i="2"/>
  <c r="Z71" i="2"/>
  <c r="X71" i="2"/>
  <c r="V71" i="2"/>
  <c r="T71" i="2"/>
  <c r="R71" i="2"/>
  <c r="P71" i="2"/>
  <c r="N71" i="2"/>
  <c r="L71" i="2"/>
  <c r="J71" i="2"/>
  <c r="H71" i="2"/>
  <c r="F71" i="2"/>
  <c r="D71" i="2"/>
  <c r="B71" i="2"/>
  <c r="CF70" i="2"/>
  <c r="CD70" i="2"/>
  <c r="CB70" i="2"/>
  <c r="BZ70" i="2"/>
  <c r="BX70" i="2"/>
  <c r="BV70" i="2"/>
  <c r="BT70" i="2"/>
  <c r="BR70" i="2"/>
  <c r="BP70" i="2"/>
  <c r="BN70" i="2"/>
  <c r="BL70" i="2"/>
  <c r="BJ70" i="2"/>
  <c r="BH70" i="2"/>
  <c r="BF70" i="2"/>
  <c r="BD70" i="2"/>
  <c r="BB70" i="2"/>
  <c r="AZ70" i="2"/>
  <c r="AX70" i="2"/>
  <c r="AV70" i="2"/>
  <c r="AT70" i="2"/>
  <c r="AR70" i="2"/>
  <c r="AP70" i="2"/>
  <c r="AN70" i="2"/>
  <c r="AL70" i="2"/>
  <c r="AJ70" i="2"/>
  <c r="AH70" i="2"/>
  <c r="AF70" i="2"/>
  <c r="AD70" i="2"/>
  <c r="AB70" i="2"/>
  <c r="Z70" i="2"/>
  <c r="X70" i="2"/>
  <c r="V70" i="2"/>
  <c r="T70" i="2"/>
  <c r="R70" i="2"/>
  <c r="P70" i="2"/>
  <c r="N70" i="2"/>
  <c r="L70" i="2"/>
  <c r="J70" i="2"/>
  <c r="H70" i="2"/>
  <c r="F70" i="2"/>
  <c r="D70" i="2"/>
  <c r="B70" i="2"/>
  <c r="CF69" i="2"/>
  <c r="CD69" i="2"/>
  <c r="CB69" i="2"/>
  <c r="BZ69" i="2"/>
  <c r="BX69" i="2"/>
  <c r="BV69" i="2"/>
  <c r="BT69" i="2"/>
  <c r="BR69" i="2"/>
  <c r="BP69" i="2"/>
  <c r="BN69" i="2"/>
  <c r="BL69" i="2"/>
  <c r="BJ69" i="2"/>
  <c r="BH69" i="2"/>
  <c r="BF69" i="2"/>
  <c r="BD69" i="2"/>
  <c r="BB69" i="2"/>
  <c r="AZ69" i="2"/>
  <c r="AX69" i="2"/>
  <c r="AV69" i="2"/>
  <c r="AT69" i="2"/>
  <c r="AR69" i="2"/>
  <c r="AP69" i="2"/>
  <c r="AN69" i="2"/>
  <c r="AL69" i="2"/>
  <c r="AJ69" i="2"/>
  <c r="AH69" i="2"/>
  <c r="AF69" i="2"/>
  <c r="AD69" i="2"/>
  <c r="AB69" i="2"/>
  <c r="Z69" i="2"/>
  <c r="X69" i="2"/>
  <c r="V69" i="2"/>
  <c r="T69" i="2"/>
  <c r="R69" i="2"/>
  <c r="P69" i="2"/>
  <c r="N69" i="2"/>
  <c r="L69" i="2"/>
  <c r="J69" i="2"/>
  <c r="H69" i="2"/>
  <c r="F69" i="2"/>
  <c r="D69" i="2"/>
  <c r="B69" i="2"/>
  <c r="CF68" i="2"/>
  <c r="CD68" i="2"/>
  <c r="CB68" i="2"/>
  <c r="BZ68" i="2"/>
  <c r="BX68" i="2"/>
  <c r="BV68" i="2"/>
  <c r="BT68" i="2"/>
  <c r="BR68" i="2"/>
  <c r="BP68" i="2"/>
  <c r="BN68" i="2"/>
  <c r="BL68" i="2"/>
  <c r="BJ68" i="2"/>
  <c r="BH68" i="2"/>
  <c r="BF68" i="2"/>
  <c r="BD68" i="2"/>
  <c r="BB68" i="2"/>
  <c r="AZ68" i="2"/>
  <c r="AX68" i="2"/>
  <c r="AV68" i="2"/>
  <c r="AT68" i="2"/>
  <c r="AR68" i="2"/>
  <c r="AP68" i="2"/>
  <c r="AN68" i="2"/>
  <c r="AL68" i="2"/>
  <c r="AJ68" i="2"/>
  <c r="AH68" i="2"/>
  <c r="AF68" i="2"/>
  <c r="AD68" i="2"/>
  <c r="AB68" i="2"/>
  <c r="Z68" i="2"/>
  <c r="X68" i="2"/>
  <c r="V68" i="2"/>
  <c r="T68" i="2"/>
  <c r="R68" i="2"/>
  <c r="P68" i="2"/>
  <c r="N68" i="2"/>
  <c r="L68" i="2"/>
  <c r="J68" i="2"/>
  <c r="H68" i="2"/>
  <c r="F68" i="2"/>
  <c r="D68" i="2"/>
  <c r="B68"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CF66" i="2"/>
  <c r="CD66" i="2"/>
  <c r="CB66" i="2"/>
  <c r="BZ66" i="2"/>
  <c r="BX66" i="2"/>
  <c r="BV66" i="2"/>
  <c r="BT66" i="2"/>
  <c r="BR66" i="2"/>
  <c r="BP66" i="2"/>
  <c r="BN66" i="2"/>
  <c r="BL66" i="2"/>
  <c r="BJ66" i="2"/>
  <c r="BH66" i="2"/>
  <c r="BF66" i="2"/>
  <c r="BD66" i="2"/>
  <c r="BB66" i="2"/>
  <c r="AZ66" i="2"/>
  <c r="AX66" i="2"/>
  <c r="AV66" i="2"/>
  <c r="AT66" i="2"/>
  <c r="AR66" i="2"/>
  <c r="AP66" i="2"/>
  <c r="AN66" i="2"/>
  <c r="AL66" i="2"/>
  <c r="AJ66" i="2"/>
  <c r="AH66" i="2"/>
  <c r="AF66" i="2"/>
  <c r="AD66" i="2"/>
  <c r="AB66" i="2"/>
  <c r="Z66" i="2"/>
  <c r="X66" i="2"/>
  <c r="V66" i="2"/>
  <c r="T66" i="2"/>
  <c r="R66" i="2"/>
  <c r="P66" i="2"/>
  <c r="N66" i="2"/>
  <c r="L66" i="2"/>
  <c r="J66" i="2"/>
  <c r="H66" i="2"/>
  <c r="F66" i="2"/>
  <c r="D66" i="2"/>
  <c r="B66" i="2"/>
  <c r="CF65" i="2"/>
  <c r="CD65" i="2"/>
  <c r="CB65" i="2"/>
  <c r="BZ65" i="2"/>
  <c r="BX65" i="2"/>
  <c r="BV65" i="2"/>
  <c r="BT65" i="2"/>
  <c r="BR65" i="2"/>
  <c r="BP65" i="2"/>
  <c r="BN65" i="2"/>
  <c r="BL65" i="2"/>
  <c r="BJ65" i="2"/>
  <c r="BH65" i="2"/>
  <c r="BF65" i="2"/>
  <c r="BD65" i="2"/>
  <c r="BB65" i="2"/>
  <c r="AZ65" i="2"/>
  <c r="AX65" i="2"/>
  <c r="AV65" i="2"/>
  <c r="AT65" i="2"/>
  <c r="AR65" i="2"/>
  <c r="AP65" i="2"/>
  <c r="AN65" i="2"/>
  <c r="AL65" i="2"/>
  <c r="AJ65" i="2"/>
  <c r="AH65" i="2"/>
  <c r="AF65" i="2"/>
  <c r="AD65" i="2"/>
  <c r="AB65" i="2"/>
  <c r="Z65" i="2"/>
  <c r="X65" i="2"/>
  <c r="V65" i="2"/>
  <c r="T65" i="2"/>
  <c r="R65" i="2"/>
  <c r="P65" i="2"/>
  <c r="N65" i="2"/>
  <c r="L65" i="2"/>
  <c r="J65" i="2"/>
  <c r="H65" i="2"/>
  <c r="F65" i="2"/>
  <c r="D65" i="2"/>
  <c r="B65" i="2"/>
  <c r="CF64" i="2"/>
  <c r="CD64" i="2"/>
  <c r="CB64" i="2"/>
  <c r="BZ64" i="2"/>
  <c r="BX64" i="2"/>
  <c r="BV64" i="2"/>
  <c r="BT64" i="2"/>
  <c r="BR64" i="2"/>
  <c r="BP64" i="2"/>
  <c r="BN64" i="2"/>
  <c r="BL64" i="2"/>
  <c r="BJ64" i="2"/>
  <c r="BH64" i="2"/>
  <c r="BF64" i="2"/>
  <c r="BD64" i="2"/>
  <c r="BB64" i="2"/>
  <c r="AZ64" i="2"/>
  <c r="AX64" i="2"/>
  <c r="AV64" i="2"/>
  <c r="AT64" i="2"/>
  <c r="AR64" i="2"/>
  <c r="AP64" i="2"/>
  <c r="AN64" i="2"/>
  <c r="AL64" i="2"/>
  <c r="AJ64" i="2"/>
  <c r="AH64" i="2"/>
  <c r="AF64" i="2"/>
  <c r="AD64" i="2"/>
  <c r="AB64" i="2"/>
  <c r="Z64" i="2"/>
  <c r="X64" i="2"/>
  <c r="V64" i="2"/>
  <c r="T64" i="2"/>
  <c r="R64" i="2"/>
  <c r="P64" i="2"/>
  <c r="N64" i="2"/>
  <c r="L64" i="2"/>
  <c r="J64" i="2"/>
  <c r="H64" i="2"/>
  <c r="F64" i="2"/>
  <c r="D64" i="2"/>
  <c r="B64" i="2"/>
  <c r="CF63" i="2"/>
  <c r="CD63" i="2"/>
  <c r="CB63" i="2"/>
  <c r="BZ63" i="2"/>
  <c r="BX63" i="2"/>
  <c r="BV63" i="2"/>
  <c r="BT63" i="2"/>
  <c r="BR63" i="2"/>
  <c r="BP63" i="2"/>
  <c r="BN63" i="2"/>
  <c r="BL63" i="2"/>
  <c r="BJ63" i="2"/>
  <c r="BH63" i="2"/>
  <c r="BF63" i="2"/>
  <c r="BD63" i="2"/>
  <c r="BB63" i="2"/>
  <c r="AZ63" i="2"/>
  <c r="AX63" i="2"/>
  <c r="AV63" i="2"/>
  <c r="AT63" i="2"/>
  <c r="AR63" i="2"/>
  <c r="AP63" i="2"/>
  <c r="AN63" i="2"/>
  <c r="AL63" i="2"/>
  <c r="AJ63" i="2"/>
  <c r="AH63" i="2"/>
  <c r="AF63" i="2"/>
  <c r="AD63" i="2"/>
  <c r="AB63" i="2"/>
  <c r="Z63" i="2"/>
  <c r="X63" i="2"/>
  <c r="V63" i="2"/>
  <c r="T63" i="2"/>
  <c r="R63" i="2"/>
  <c r="P63" i="2"/>
  <c r="N63" i="2"/>
  <c r="L63" i="2"/>
  <c r="J63" i="2"/>
  <c r="H63" i="2"/>
  <c r="F63" i="2"/>
  <c r="D63" i="2"/>
  <c r="B63" i="2"/>
  <c r="CF62" i="2"/>
  <c r="CD62" i="2"/>
  <c r="CB62" i="2"/>
  <c r="BZ62" i="2"/>
  <c r="BX62" i="2"/>
  <c r="BV62" i="2"/>
  <c r="BT62" i="2"/>
  <c r="BR62" i="2"/>
  <c r="BP62" i="2"/>
  <c r="BN62" i="2"/>
  <c r="BL62" i="2"/>
  <c r="BJ62" i="2"/>
  <c r="BH62" i="2"/>
  <c r="BF62" i="2"/>
  <c r="BD62" i="2"/>
  <c r="BB62" i="2"/>
  <c r="AZ62" i="2"/>
  <c r="AX62" i="2"/>
  <c r="AV62" i="2"/>
  <c r="AT62" i="2"/>
  <c r="AR62" i="2"/>
  <c r="AP62" i="2"/>
  <c r="AN62" i="2"/>
  <c r="AL62" i="2"/>
  <c r="AJ62" i="2"/>
  <c r="AH62" i="2"/>
  <c r="AF62" i="2"/>
  <c r="AD62" i="2"/>
  <c r="AB62" i="2"/>
  <c r="Z62" i="2"/>
  <c r="X62" i="2"/>
  <c r="V62" i="2"/>
  <c r="T62" i="2"/>
  <c r="R62" i="2"/>
  <c r="P62" i="2"/>
  <c r="N62" i="2"/>
  <c r="L62" i="2"/>
  <c r="J62" i="2"/>
  <c r="H62" i="2"/>
  <c r="F62" i="2"/>
  <c r="D62" i="2"/>
  <c r="B62" i="2"/>
  <c r="CF61" i="2"/>
  <c r="CD61" i="2"/>
  <c r="CB61" i="2"/>
  <c r="BZ61" i="2"/>
  <c r="BX61" i="2"/>
  <c r="BV61" i="2"/>
  <c r="BT61" i="2"/>
  <c r="BR61" i="2"/>
  <c r="BP61" i="2"/>
  <c r="BN61" i="2"/>
  <c r="BL61" i="2"/>
  <c r="BJ61" i="2"/>
  <c r="BH61" i="2"/>
  <c r="BF61" i="2"/>
  <c r="BD61" i="2"/>
  <c r="BB61" i="2"/>
  <c r="AZ61" i="2"/>
  <c r="AX61" i="2"/>
  <c r="AV61" i="2"/>
  <c r="AT61" i="2"/>
  <c r="AR61" i="2"/>
  <c r="AP61" i="2"/>
  <c r="AN61" i="2"/>
  <c r="AL61" i="2"/>
  <c r="AJ61" i="2"/>
  <c r="AH61" i="2"/>
  <c r="AF61" i="2"/>
  <c r="AD61" i="2"/>
  <c r="AB61" i="2"/>
  <c r="Z61" i="2"/>
  <c r="X61" i="2"/>
  <c r="V61" i="2"/>
  <c r="T61" i="2"/>
  <c r="R61" i="2"/>
  <c r="P61" i="2"/>
  <c r="N61" i="2"/>
  <c r="L61" i="2"/>
  <c r="J61" i="2"/>
  <c r="H61" i="2"/>
  <c r="F61" i="2"/>
  <c r="D61" i="2"/>
  <c r="B61" i="2"/>
  <c r="CF56" i="2"/>
  <c r="CD56" i="2"/>
  <c r="CB56" i="2"/>
  <c r="BZ56" i="2"/>
  <c r="BX56" i="2"/>
  <c r="BV56" i="2"/>
  <c r="BT56" i="2"/>
  <c r="BR56" i="2"/>
  <c r="BP56" i="2"/>
  <c r="BN56" i="2"/>
  <c r="BL56" i="2"/>
  <c r="BJ56" i="2"/>
  <c r="BH56" i="2"/>
  <c r="BF56" i="2"/>
  <c r="BD56" i="2"/>
  <c r="BB56" i="2"/>
  <c r="AZ56" i="2"/>
  <c r="AX56" i="2"/>
  <c r="AV56" i="2"/>
  <c r="AT56" i="2"/>
  <c r="AR56" i="2"/>
  <c r="AP56" i="2"/>
  <c r="AN56" i="2"/>
  <c r="AL56" i="2"/>
  <c r="AJ56" i="2"/>
  <c r="AH56" i="2"/>
  <c r="AF56" i="2"/>
  <c r="AD56" i="2"/>
  <c r="AB56" i="2"/>
  <c r="Z56" i="2"/>
  <c r="X56" i="2"/>
  <c r="V56" i="2"/>
  <c r="T56" i="2"/>
  <c r="R56" i="2"/>
  <c r="P56" i="2"/>
  <c r="N56" i="2"/>
  <c r="L56" i="2"/>
  <c r="J56" i="2"/>
  <c r="H56" i="2"/>
  <c r="F56" i="2"/>
  <c r="D56" i="2"/>
  <c r="B56" i="2"/>
  <c r="CB55" i="2"/>
  <c r="BZ55" i="2"/>
  <c r="BX55" i="2"/>
  <c r="BV55" i="2"/>
  <c r="BT55" i="2"/>
  <c r="BR55" i="2"/>
  <c r="BL55" i="2"/>
  <c r="BJ55" i="2"/>
  <c r="BH55" i="2"/>
  <c r="BF55" i="2"/>
  <c r="BD55" i="2"/>
  <c r="BB55" i="2"/>
  <c r="AZ55" i="2"/>
  <c r="AX55" i="2"/>
  <c r="AV55" i="2"/>
  <c r="AT55" i="2"/>
  <c r="AR55" i="2"/>
  <c r="AP55" i="2"/>
  <c r="AJ55" i="2"/>
  <c r="AH55" i="2"/>
  <c r="AF55" i="2"/>
  <c r="AD55" i="2"/>
  <c r="AB55" i="2"/>
  <c r="Z55" i="2"/>
  <c r="P55" i="2"/>
  <c r="N55" i="2"/>
  <c r="L55" i="2"/>
  <c r="J55" i="2"/>
  <c r="H55" i="2"/>
  <c r="F55" i="2"/>
  <c r="D55" i="2"/>
  <c r="B55" i="2"/>
  <c r="CB54" i="2"/>
  <c r="BZ54" i="2"/>
  <c r="BX54" i="2"/>
  <c r="BV54" i="2"/>
  <c r="BT54" i="2"/>
  <c r="BR54" i="2"/>
  <c r="BL54" i="2"/>
  <c r="BJ54" i="2"/>
  <c r="BH54" i="2"/>
  <c r="BF54" i="2"/>
  <c r="BD54" i="2"/>
  <c r="BB54" i="2"/>
  <c r="AZ54" i="2"/>
  <c r="AX54" i="2"/>
  <c r="AV54" i="2"/>
  <c r="AT54" i="2"/>
  <c r="AR54" i="2"/>
  <c r="AP54" i="2"/>
  <c r="AJ54" i="2"/>
  <c r="AH54" i="2"/>
  <c r="AF54" i="2"/>
  <c r="AD54" i="2"/>
  <c r="AB54" i="2"/>
  <c r="Z54" i="2"/>
  <c r="P54" i="2"/>
  <c r="N54" i="2"/>
  <c r="L54" i="2"/>
  <c r="J54" i="2"/>
  <c r="H54" i="2"/>
  <c r="F54" i="2"/>
  <c r="D54" i="2"/>
  <c r="B54" i="2"/>
  <c r="CB53" i="2"/>
  <c r="BZ53" i="2"/>
  <c r="BX53" i="2"/>
  <c r="BV53" i="2"/>
  <c r="BT53" i="2"/>
  <c r="BR53" i="2"/>
  <c r="BL53" i="2"/>
  <c r="BJ53" i="2"/>
  <c r="BH53" i="2"/>
  <c r="BF53" i="2"/>
  <c r="BD53" i="2"/>
  <c r="BB53" i="2"/>
  <c r="AZ53" i="2"/>
  <c r="AX53" i="2"/>
  <c r="AV53" i="2"/>
  <c r="AT53" i="2"/>
  <c r="AR53" i="2"/>
  <c r="AP53" i="2"/>
  <c r="AJ53" i="2"/>
  <c r="AH53" i="2"/>
  <c r="AF53" i="2"/>
  <c r="AD53" i="2"/>
  <c r="AB53" i="2"/>
  <c r="Z53" i="2"/>
  <c r="P53" i="2"/>
  <c r="N53" i="2"/>
  <c r="L53" i="2"/>
  <c r="J53" i="2"/>
  <c r="H53" i="2"/>
  <c r="F53" i="2"/>
  <c r="D53" i="2"/>
  <c r="B53" i="2"/>
  <c r="CB52" i="2"/>
  <c r="BZ52" i="2"/>
  <c r="BX52" i="2"/>
  <c r="BV52" i="2"/>
  <c r="BT52" i="2"/>
  <c r="BR52" i="2"/>
  <c r="BL52" i="2"/>
  <c r="BJ52" i="2"/>
  <c r="BH52" i="2"/>
  <c r="BF52" i="2"/>
  <c r="BD52" i="2"/>
  <c r="BB52" i="2"/>
  <c r="AZ52" i="2"/>
  <c r="AX52" i="2"/>
  <c r="AV52" i="2"/>
  <c r="AT52" i="2"/>
  <c r="AR52" i="2"/>
  <c r="AP52" i="2"/>
  <c r="AJ52" i="2"/>
  <c r="AH52" i="2"/>
  <c r="AF52" i="2"/>
  <c r="AD52" i="2"/>
  <c r="AB52" i="2"/>
  <c r="Z52" i="2"/>
  <c r="P52" i="2"/>
  <c r="N52" i="2"/>
  <c r="L52" i="2"/>
  <c r="J52" i="2"/>
  <c r="H52" i="2"/>
  <c r="F52" i="2"/>
  <c r="D52" i="2"/>
  <c r="B52" i="2"/>
  <c r="CB51" i="2"/>
  <c r="BZ51" i="2"/>
  <c r="BX51" i="2"/>
  <c r="BV51" i="2"/>
  <c r="BT51" i="2"/>
  <c r="BR51" i="2"/>
  <c r="BL51" i="2"/>
  <c r="BJ51" i="2"/>
  <c r="BH51" i="2"/>
  <c r="BF51" i="2"/>
  <c r="BD51" i="2"/>
  <c r="BB51" i="2"/>
  <c r="AZ51" i="2"/>
  <c r="AX51" i="2"/>
  <c r="AV51" i="2"/>
  <c r="AT51" i="2"/>
  <c r="AR51" i="2"/>
  <c r="AP51" i="2"/>
  <c r="AJ51" i="2"/>
  <c r="AH51" i="2"/>
  <c r="AF51" i="2"/>
  <c r="AD51" i="2"/>
  <c r="AB51" i="2"/>
  <c r="Z51" i="2"/>
  <c r="P51" i="2"/>
  <c r="N51" i="2"/>
  <c r="L51" i="2"/>
  <c r="J51" i="2"/>
  <c r="H51" i="2"/>
  <c r="F51" i="2"/>
  <c r="D51" i="2"/>
  <c r="B51" i="2"/>
  <c r="CB50" i="2"/>
  <c r="BZ50" i="2"/>
  <c r="BX50" i="2"/>
  <c r="BV50" i="2"/>
  <c r="BT50" i="2"/>
  <c r="BR50" i="2"/>
  <c r="BL50" i="2"/>
  <c r="BJ50" i="2"/>
  <c r="BH50" i="2"/>
  <c r="BF50" i="2"/>
  <c r="BD50" i="2"/>
  <c r="BB50" i="2"/>
  <c r="AZ50" i="2"/>
  <c r="AX50" i="2"/>
  <c r="AV50" i="2"/>
  <c r="AT50" i="2"/>
  <c r="AR50" i="2"/>
  <c r="AP50" i="2"/>
  <c r="AJ50" i="2"/>
  <c r="AH50" i="2"/>
  <c r="AF50" i="2"/>
  <c r="AD50" i="2"/>
  <c r="AB50" i="2"/>
  <c r="Z50" i="2"/>
  <c r="P50" i="2"/>
  <c r="N50" i="2"/>
  <c r="L50" i="2"/>
  <c r="J50" i="2"/>
  <c r="H50" i="2"/>
  <c r="F50" i="2"/>
  <c r="D50" i="2"/>
  <c r="B50" i="2"/>
  <c r="CB49" i="2"/>
  <c r="BZ49" i="2"/>
  <c r="BX49" i="2"/>
  <c r="BV49" i="2"/>
  <c r="BT49" i="2"/>
  <c r="BR49" i="2"/>
  <c r="BL49" i="2"/>
  <c r="BJ49" i="2"/>
  <c r="BH49" i="2"/>
  <c r="BF49" i="2"/>
  <c r="BD49" i="2"/>
  <c r="BB49" i="2"/>
  <c r="AZ49" i="2"/>
  <c r="AX49" i="2"/>
  <c r="AV49" i="2"/>
  <c r="AT49" i="2"/>
  <c r="AR49" i="2"/>
  <c r="AP49" i="2"/>
  <c r="AJ49" i="2"/>
  <c r="AH49" i="2"/>
  <c r="AF49" i="2"/>
  <c r="AD49" i="2"/>
  <c r="AB49" i="2"/>
  <c r="Z49" i="2"/>
  <c r="P49" i="2"/>
  <c r="N49" i="2"/>
  <c r="L49" i="2"/>
  <c r="J49" i="2"/>
  <c r="H49" i="2"/>
  <c r="F49" i="2"/>
  <c r="D49" i="2"/>
  <c r="B49" i="2"/>
  <c r="CF48" i="2"/>
  <c r="CD48" i="2"/>
  <c r="CB48" i="2"/>
  <c r="BZ48" i="2"/>
  <c r="BX48" i="2"/>
  <c r="BV48" i="2"/>
  <c r="BT48" i="2"/>
  <c r="BR48" i="2"/>
  <c r="BP48" i="2"/>
  <c r="BN48" i="2"/>
  <c r="BL48" i="2"/>
  <c r="BJ48" i="2"/>
  <c r="BH48" i="2"/>
  <c r="BF48" i="2"/>
  <c r="BD48" i="2"/>
  <c r="BB48" i="2"/>
  <c r="AZ48" i="2"/>
  <c r="AX48" i="2"/>
  <c r="AV48" i="2"/>
  <c r="AT48" i="2"/>
  <c r="AR48" i="2"/>
  <c r="AP48" i="2"/>
  <c r="AN48" i="2"/>
  <c r="AL48" i="2"/>
  <c r="AJ48" i="2"/>
  <c r="AH48" i="2"/>
  <c r="AF48" i="2"/>
  <c r="AD48" i="2"/>
  <c r="AB48" i="2"/>
  <c r="Z48" i="2"/>
  <c r="X48" i="2"/>
  <c r="V48" i="2"/>
  <c r="T48" i="2"/>
  <c r="R48" i="2"/>
  <c r="P48" i="2"/>
  <c r="N48" i="2"/>
  <c r="L48" i="2"/>
  <c r="J48" i="2"/>
  <c r="H48" i="2"/>
  <c r="F48" i="2"/>
  <c r="D48" i="2"/>
  <c r="B48" i="2"/>
  <c r="CF43" i="2"/>
  <c r="CD43" i="2"/>
  <c r="CB43" i="2"/>
  <c r="BZ43" i="2"/>
  <c r="BX43" i="2"/>
  <c r="BV43" i="2"/>
  <c r="BT43" i="2"/>
  <c r="BR43" i="2"/>
  <c r="BP43" i="2"/>
  <c r="BN43" i="2"/>
  <c r="BL43" i="2"/>
  <c r="BJ43" i="2"/>
  <c r="BH43" i="2"/>
  <c r="BF43" i="2"/>
  <c r="BD43" i="2"/>
  <c r="BB43" i="2"/>
  <c r="AZ43" i="2"/>
  <c r="AX43" i="2"/>
  <c r="AV43" i="2"/>
  <c r="AT43" i="2"/>
  <c r="AR43" i="2"/>
  <c r="AP43" i="2"/>
  <c r="AN43" i="2"/>
  <c r="AL43" i="2"/>
  <c r="AJ43" i="2"/>
  <c r="AH43" i="2"/>
  <c r="AF43" i="2"/>
  <c r="AD43" i="2"/>
  <c r="AB43" i="2"/>
  <c r="Z43" i="2"/>
  <c r="X43" i="2"/>
  <c r="V43" i="2"/>
  <c r="T43" i="2"/>
  <c r="R43" i="2"/>
  <c r="P43" i="2"/>
  <c r="N43" i="2"/>
  <c r="L43" i="2"/>
  <c r="J43" i="2"/>
  <c r="H43" i="2"/>
  <c r="F43" i="2"/>
  <c r="D43" i="2"/>
  <c r="B43" i="2"/>
  <c r="CF42" i="2"/>
  <c r="CD42" i="2"/>
  <c r="CB42" i="2"/>
  <c r="BZ42" i="2"/>
  <c r="BX42" i="2"/>
  <c r="BV42" i="2"/>
  <c r="BT42" i="2"/>
  <c r="BR42" i="2"/>
  <c r="BP42" i="2"/>
  <c r="BN42" i="2"/>
  <c r="BL42" i="2"/>
  <c r="BJ42" i="2"/>
  <c r="BH42" i="2"/>
  <c r="BF42" i="2"/>
  <c r="BD42" i="2"/>
  <c r="BB42" i="2"/>
  <c r="AZ42" i="2"/>
  <c r="AX42" i="2"/>
  <c r="AV42" i="2"/>
  <c r="AT42" i="2"/>
  <c r="AR42" i="2"/>
  <c r="AP42" i="2"/>
  <c r="AN42" i="2"/>
  <c r="AL42" i="2"/>
  <c r="AJ42" i="2"/>
  <c r="AH42" i="2"/>
  <c r="AF42" i="2"/>
  <c r="AD42" i="2"/>
  <c r="AB42" i="2"/>
  <c r="Z42" i="2"/>
  <c r="X42" i="2"/>
  <c r="V42" i="2"/>
  <c r="T42" i="2"/>
  <c r="R42" i="2"/>
  <c r="P42" i="2"/>
  <c r="N42" i="2"/>
  <c r="L42" i="2"/>
  <c r="J42" i="2"/>
  <c r="H42" i="2"/>
  <c r="F42" i="2"/>
  <c r="D42" i="2"/>
  <c r="B42" i="2"/>
  <c r="CF41" i="2"/>
  <c r="CD41" i="2"/>
  <c r="CB41" i="2"/>
  <c r="BZ41" i="2"/>
  <c r="BX41" i="2"/>
  <c r="BV41" i="2"/>
  <c r="BT41" i="2"/>
  <c r="BR41" i="2"/>
  <c r="BP41" i="2"/>
  <c r="BN41" i="2"/>
  <c r="BL41" i="2"/>
  <c r="BJ41" i="2"/>
  <c r="BH41" i="2"/>
  <c r="BF41" i="2"/>
  <c r="BD41" i="2"/>
  <c r="BB41" i="2"/>
  <c r="AZ41" i="2"/>
  <c r="AX41" i="2"/>
  <c r="AV41" i="2"/>
  <c r="AT41" i="2"/>
  <c r="AR41" i="2"/>
  <c r="AP41" i="2"/>
  <c r="AN41" i="2"/>
  <c r="AL41" i="2"/>
  <c r="AJ41" i="2"/>
  <c r="AH41" i="2"/>
  <c r="AF41" i="2"/>
  <c r="AD41" i="2"/>
  <c r="AB41" i="2"/>
  <c r="Z41" i="2"/>
  <c r="X41" i="2"/>
  <c r="V41" i="2"/>
  <c r="T41" i="2"/>
  <c r="R41" i="2"/>
  <c r="P41" i="2"/>
  <c r="N41" i="2"/>
  <c r="L41" i="2"/>
  <c r="J41" i="2"/>
  <c r="H41" i="2"/>
  <c r="F41" i="2"/>
  <c r="D41" i="2"/>
  <c r="B41" i="2"/>
  <c r="CF40" i="2"/>
  <c r="CD40" i="2"/>
  <c r="CB40" i="2"/>
  <c r="BZ40" i="2"/>
  <c r="BX40" i="2"/>
  <c r="BV40" i="2"/>
  <c r="BT40" i="2"/>
  <c r="BR40" i="2"/>
  <c r="BP40" i="2"/>
  <c r="BN40" i="2"/>
  <c r="BL40" i="2"/>
  <c r="BJ40" i="2"/>
  <c r="BH40" i="2"/>
  <c r="BF40" i="2"/>
  <c r="BD40" i="2"/>
  <c r="BB40" i="2"/>
  <c r="AZ40" i="2"/>
  <c r="AX40" i="2"/>
  <c r="AV40" i="2"/>
  <c r="AT40" i="2"/>
  <c r="AR40" i="2"/>
  <c r="AP40" i="2"/>
  <c r="AN40" i="2"/>
  <c r="AL40" i="2"/>
  <c r="AJ40" i="2"/>
  <c r="AH40" i="2"/>
  <c r="AF40" i="2"/>
  <c r="AD40" i="2"/>
  <c r="AB40" i="2"/>
  <c r="Z40" i="2"/>
  <c r="X40" i="2"/>
  <c r="V40" i="2"/>
  <c r="T40" i="2"/>
  <c r="R40" i="2"/>
  <c r="P40" i="2"/>
  <c r="N40" i="2"/>
  <c r="L40" i="2"/>
  <c r="J40" i="2"/>
  <c r="H40" i="2"/>
  <c r="F40" i="2"/>
  <c r="D40" i="2"/>
  <c r="B40" i="2"/>
  <c r="CF39" i="2"/>
  <c r="CD39" i="2"/>
  <c r="CB39" i="2"/>
  <c r="BZ39" i="2"/>
  <c r="BX39" i="2"/>
  <c r="BV39" i="2"/>
  <c r="BT39" i="2"/>
  <c r="BR39" i="2"/>
  <c r="BP39" i="2"/>
  <c r="BN39" i="2"/>
  <c r="BL39" i="2"/>
  <c r="BJ39" i="2"/>
  <c r="BH39" i="2"/>
  <c r="BF39" i="2"/>
  <c r="BD39" i="2"/>
  <c r="BB39" i="2"/>
  <c r="AZ39" i="2"/>
  <c r="AX39" i="2"/>
  <c r="AV39" i="2"/>
  <c r="AT39" i="2"/>
  <c r="AR39" i="2"/>
  <c r="AP39" i="2"/>
  <c r="AN39" i="2"/>
  <c r="AL39" i="2"/>
  <c r="AJ39" i="2"/>
  <c r="AH39" i="2"/>
  <c r="AF39" i="2"/>
  <c r="AD39" i="2"/>
  <c r="AB39" i="2"/>
  <c r="Z39" i="2"/>
  <c r="X39" i="2"/>
  <c r="V39" i="2"/>
  <c r="T39" i="2"/>
  <c r="R39" i="2"/>
  <c r="P39" i="2"/>
  <c r="N39" i="2"/>
  <c r="L39" i="2"/>
  <c r="J39" i="2"/>
  <c r="H39" i="2"/>
  <c r="F39" i="2"/>
  <c r="D39" i="2"/>
  <c r="B39" i="2"/>
  <c r="CF38" i="2"/>
  <c r="CD38" i="2"/>
  <c r="CB38" i="2"/>
  <c r="BZ38" i="2"/>
  <c r="BX38" i="2"/>
  <c r="BV38" i="2"/>
  <c r="BT38" i="2"/>
  <c r="BR38" i="2"/>
  <c r="BP38" i="2"/>
  <c r="BN38" i="2"/>
  <c r="BL38" i="2"/>
  <c r="BJ38" i="2"/>
  <c r="BH38" i="2"/>
  <c r="BF38" i="2"/>
  <c r="BD38" i="2"/>
  <c r="BB38" i="2"/>
  <c r="AZ38" i="2"/>
  <c r="AX38" i="2"/>
  <c r="AV38" i="2"/>
  <c r="AT38" i="2"/>
  <c r="AR38" i="2"/>
  <c r="AP38" i="2"/>
  <c r="AN38" i="2"/>
  <c r="AL38" i="2"/>
  <c r="AJ38" i="2"/>
  <c r="AH38" i="2"/>
  <c r="AF38" i="2"/>
  <c r="AD38" i="2"/>
  <c r="AB38" i="2"/>
  <c r="Z38" i="2"/>
  <c r="X38" i="2"/>
  <c r="V38" i="2"/>
  <c r="T38" i="2"/>
  <c r="R38" i="2"/>
  <c r="P38" i="2"/>
  <c r="N38" i="2"/>
  <c r="L38" i="2"/>
  <c r="J38" i="2"/>
  <c r="H38" i="2"/>
  <c r="F38" i="2"/>
  <c r="D38" i="2"/>
  <c r="B38" i="2"/>
  <c r="CF37" i="2"/>
  <c r="CD37" i="2"/>
  <c r="CB37" i="2"/>
  <c r="BZ37" i="2"/>
  <c r="BX37" i="2"/>
  <c r="BV37" i="2"/>
  <c r="BT37" i="2"/>
  <c r="BR37" i="2"/>
  <c r="BP37" i="2"/>
  <c r="BN37" i="2"/>
  <c r="BL37" i="2"/>
  <c r="BJ37" i="2"/>
  <c r="BH37" i="2"/>
  <c r="BF37" i="2"/>
  <c r="BD37" i="2"/>
  <c r="BB37" i="2"/>
  <c r="AZ37" i="2"/>
  <c r="AX37" i="2"/>
  <c r="AV37" i="2"/>
  <c r="AT37" i="2"/>
  <c r="AR37" i="2"/>
  <c r="AP37" i="2"/>
  <c r="AN37" i="2"/>
  <c r="AL37" i="2"/>
  <c r="AJ37" i="2"/>
  <c r="AH37" i="2"/>
  <c r="AF37" i="2"/>
  <c r="AD37" i="2"/>
  <c r="AB37" i="2"/>
  <c r="Z37" i="2"/>
  <c r="X37" i="2"/>
  <c r="V37" i="2"/>
  <c r="T37" i="2"/>
  <c r="R37" i="2"/>
  <c r="P37" i="2"/>
  <c r="N37" i="2"/>
  <c r="L37" i="2"/>
  <c r="J37" i="2"/>
  <c r="H37" i="2"/>
  <c r="F37" i="2"/>
  <c r="D37" i="2"/>
  <c r="B37"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CD35" i="2"/>
  <c r="BZ35" i="2"/>
  <c r="BV35" i="2"/>
  <c r="BR35" i="2"/>
  <c r="BN35" i="2"/>
  <c r="BJ35" i="2"/>
  <c r="BF35" i="2"/>
  <c r="BB35" i="2"/>
  <c r="AX35" i="2"/>
  <c r="AT35" i="2"/>
  <c r="AP35" i="2"/>
  <c r="AL35" i="2"/>
  <c r="AH35" i="2"/>
  <c r="AD35" i="2"/>
  <c r="Z35" i="2"/>
  <c r="V35" i="2"/>
  <c r="R35" i="2"/>
  <c r="N35" i="2"/>
  <c r="J35" i="2"/>
  <c r="F35" i="2"/>
  <c r="B35" i="2"/>
  <c r="CF34" i="2"/>
  <c r="CD34" i="2"/>
  <c r="CB34" i="2"/>
  <c r="BZ34" i="2"/>
  <c r="BX34" i="2"/>
  <c r="BV34" i="2"/>
  <c r="BT34" i="2"/>
  <c r="BR34" i="2"/>
  <c r="BP34" i="2"/>
  <c r="BN34" i="2"/>
  <c r="BL34" i="2"/>
  <c r="BJ34" i="2"/>
  <c r="BH34" i="2"/>
  <c r="BF34" i="2"/>
  <c r="BD34" i="2"/>
  <c r="BB34" i="2"/>
  <c r="AZ34" i="2"/>
  <c r="AX34" i="2"/>
  <c r="AV34" i="2"/>
  <c r="AT34" i="2"/>
  <c r="AR34" i="2"/>
  <c r="AP34" i="2"/>
  <c r="AN34" i="2"/>
  <c r="AL34" i="2"/>
  <c r="AJ34" i="2"/>
  <c r="AH34" i="2"/>
  <c r="AF34" i="2"/>
  <c r="AD34" i="2"/>
  <c r="AB34" i="2"/>
  <c r="Z34" i="2"/>
  <c r="X34" i="2"/>
  <c r="V34" i="2"/>
  <c r="T34" i="2"/>
  <c r="R34" i="2"/>
  <c r="P34" i="2"/>
  <c r="N34" i="2"/>
  <c r="L34" i="2"/>
  <c r="J34" i="2"/>
  <c r="H34" i="2"/>
  <c r="F34" i="2"/>
  <c r="D34" i="2"/>
  <c r="B34" i="2"/>
  <c r="CF33" i="2"/>
  <c r="CD33" i="2"/>
  <c r="CB33" i="2"/>
  <c r="BZ33" i="2"/>
  <c r="BX33" i="2"/>
  <c r="BV33" i="2"/>
  <c r="BT33" i="2"/>
  <c r="BR33" i="2"/>
  <c r="BP33" i="2"/>
  <c r="BN33" i="2"/>
  <c r="BL33" i="2"/>
  <c r="BJ33" i="2"/>
  <c r="BH33" i="2"/>
  <c r="BF33" i="2"/>
  <c r="BD33" i="2"/>
  <c r="BB33" i="2"/>
  <c r="AZ33" i="2"/>
  <c r="AX33" i="2"/>
  <c r="AV33" i="2"/>
  <c r="AT33" i="2"/>
  <c r="AR33" i="2"/>
  <c r="AP33" i="2"/>
  <c r="AN33" i="2"/>
  <c r="AL33" i="2"/>
  <c r="AJ33" i="2"/>
  <c r="AH33" i="2"/>
  <c r="AF33" i="2"/>
  <c r="AD33" i="2"/>
  <c r="AB33" i="2"/>
  <c r="Z33" i="2"/>
  <c r="X33" i="2"/>
  <c r="V33" i="2"/>
  <c r="T33" i="2"/>
  <c r="R33" i="2"/>
  <c r="P33" i="2"/>
  <c r="N33" i="2"/>
  <c r="L33" i="2"/>
  <c r="J33" i="2"/>
  <c r="H33" i="2"/>
  <c r="F33" i="2"/>
  <c r="D33" i="2"/>
  <c r="B33" i="2"/>
  <c r="CF32" i="2"/>
  <c r="CD32" i="2"/>
  <c r="CB32" i="2"/>
  <c r="BZ32" i="2"/>
  <c r="BX32" i="2"/>
  <c r="BV32" i="2"/>
  <c r="BT32" i="2"/>
  <c r="BR32" i="2"/>
  <c r="BP32" i="2"/>
  <c r="BN32" i="2"/>
  <c r="BL32" i="2"/>
  <c r="BJ32" i="2"/>
  <c r="BH32" i="2"/>
  <c r="BF32" i="2"/>
  <c r="BD32" i="2"/>
  <c r="BB32" i="2"/>
  <c r="AZ32" i="2"/>
  <c r="AX32" i="2"/>
  <c r="AV32" i="2"/>
  <c r="AT32" i="2"/>
  <c r="AR32" i="2"/>
  <c r="AP32" i="2"/>
  <c r="AN32" i="2"/>
  <c r="AL32" i="2"/>
  <c r="AJ32" i="2"/>
  <c r="AH32" i="2"/>
  <c r="AF32" i="2"/>
  <c r="AD32" i="2"/>
  <c r="AB32" i="2"/>
  <c r="Z32" i="2"/>
  <c r="X32" i="2"/>
  <c r="V32" i="2"/>
  <c r="T32" i="2"/>
  <c r="R32" i="2"/>
  <c r="P32" i="2"/>
  <c r="N32" i="2"/>
  <c r="L32" i="2"/>
  <c r="J32" i="2"/>
  <c r="H32" i="2"/>
  <c r="F32" i="2"/>
  <c r="D32" i="2"/>
  <c r="B32" i="2"/>
  <c r="CD31" i="2"/>
  <c r="BZ31" i="2"/>
  <c r="BV31" i="2"/>
  <c r="BR31" i="2"/>
  <c r="BN31" i="2"/>
  <c r="BJ31" i="2"/>
  <c r="BF31" i="2"/>
  <c r="BB31" i="2"/>
  <c r="AX31" i="2"/>
  <c r="AT31" i="2"/>
  <c r="AP31" i="2"/>
  <c r="AL31" i="2"/>
  <c r="AH31" i="2"/>
  <c r="AD31" i="2"/>
  <c r="Z31" i="2"/>
  <c r="V31" i="2"/>
  <c r="R31" i="2"/>
  <c r="N31" i="2"/>
  <c r="J31" i="2"/>
  <c r="F31" i="2"/>
  <c r="B31" i="2"/>
  <c r="CF30" i="2"/>
  <c r="CD30" i="2"/>
  <c r="CB30" i="2"/>
  <c r="BZ30" i="2"/>
  <c r="BX30" i="2"/>
  <c r="BV30" i="2"/>
  <c r="BT30" i="2"/>
  <c r="BR30" i="2"/>
  <c r="BP30" i="2"/>
  <c r="BN30" i="2"/>
  <c r="BL30" i="2"/>
  <c r="BJ30" i="2"/>
  <c r="BH30" i="2"/>
  <c r="BF30" i="2"/>
  <c r="BD30" i="2"/>
  <c r="BB30" i="2"/>
  <c r="AZ30" i="2"/>
  <c r="AX30" i="2"/>
  <c r="AV30" i="2"/>
  <c r="AT30" i="2"/>
  <c r="AR30" i="2"/>
  <c r="AP30" i="2"/>
  <c r="AN30" i="2"/>
  <c r="AL30" i="2"/>
  <c r="AJ30" i="2"/>
  <c r="AH30" i="2"/>
  <c r="AF30" i="2"/>
  <c r="AD30" i="2"/>
  <c r="AB30" i="2"/>
  <c r="Z30" i="2"/>
  <c r="X30" i="2"/>
  <c r="V30" i="2"/>
  <c r="T30" i="2"/>
  <c r="R30" i="2"/>
  <c r="P30" i="2"/>
  <c r="N30" i="2"/>
  <c r="L30" i="2"/>
  <c r="J30" i="2"/>
  <c r="H30" i="2"/>
  <c r="F30" i="2"/>
  <c r="D30" i="2"/>
  <c r="B30" i="2"/>
  <c r="CF29" i="2"/>
  <c r="CD29" i="2"/>
  <c r="CB29" i="2"/>
  <c r="BZ29" i="2"/>
  <c r="BX29" i="2"/>
  <c r="BV29" i="2"/>
  <c r="BT29" i="2"/>
  <c r="BR29" i="2"/>
  <c r="BP29" i="2"/>
  <c r="BN29" i="2"/>
  <c r="BL29" i="2"/>
  <c r="BJ29" i="2"/>
  <c r="BH29" i="2"/>
  <c r="BF29" i="2"/>
  <c r="BD29" i="2"/>
  <c r="BB29" i="2"/>
  <c r="AZ29" i="2"/>
  <c r="AX29" i="2"/>
  <c r="AV29" i="2"/>
  <c r="AT29" i="2"/>
  <c r="AR29" i="2"/>
  <c r="AP29" i="2"/>
  <c r="AN29" i="2"/>
  <c r="AL29" i="2"/>
  <c r="AJ29" i="2"/>
  <c r="AH29" i="2"/>
  <c r="AF29" i="2"/>
  <c r="AD29" i="2"/>
  <c r="AB29" i="2"/>
  <c r="Z29" i="2"/>
  <c r="X29" i="2"/>
  <c r="V29" i="2"/>
  <c r="T29" i="2"/>
  <c r="R29" i="2"/>
  <c r="P29" i="2"/>
  <c r="N29" i="2"/>
  <c r="L29" i="2"/>
  <c r="J29" i="2"/>
  <c r="H29" i="2"/>
  <c r="F29" i="2"/>
  <c r="D29" i="2"/>
  <c r="B29" i="2"/>
  <c r="CF28" i="2"/>
  <c r="CD28" i="2"/>
  <c r="CB28" i="2"/>
  <c r="BZ28" i="2"/>
  <c r="BX28" i="2"/>
  <c r="BV28" i="2"/>
  <c r="BT28" i="2"/>
  <c r="BR28" i="2"/>
  <c r="BP28" i="2"/>
  <c r="BN28" i="2"/>
  <c r="BL28" i="2"/>
  <c r="BJ28" i="2"/>
  <c r="BH28" i="2"/>
  <c r="BF28" i="2"/>
  <c r="BD28" i="2"/>
  <c r="BB28" i="2"/>
  <c r="AZ28" i="2"/>
  <c r="AX28" i="2"/>
  <c r="AV28" i="2"/>
  <c r="AT28" i="2"/>
  <c r="AR28" i="2"/>
  <c r="AP28" i="2"/>
  <c r="AN28" i="2"/>
  <c r="AL28" i="2"/>
  <c r="AJ28" i="2"/>
  <c r="AH28" i="2"/>
  <c r="AF28" i="2"/>
  <c r="AD28" i="2"/>
  <c r="AB28" i="2"/>
  <c r="Z28" i="2"/>
  <c r="X28" i="2"/>
  <c r="V28" i="2"/>
  <c r="T28" i="2"/>
  <c r="R28" i="2"/>
  <c r="P28" i="2"/>
  <c r="N28" i="2"/>
  <c r="L28" i="2"/>
  <c r="J28" i="2"/>
  <c r="H28" i="2"/>
  <c r="F28" i="2"/>
  <c r="D28" i="2"/>
  <c r="B28" i="2"/>
  <c r="CF27" i="2"/>
  <c r="CD27" i="2"/>
  <c r="CB27" i="2"/>
  <c r="BZ27" i="2"/>
  <c r="BX27" i="2"/>
  <c r="BV27" i="2"/>
  <c r="BT27" i="2"/>
  <c r="BR27" i="2"/>
  <c r="BP27" i="2"/>
  <c r="BN27" i="2"/>
  <c r="BL27" i="2"/>
  <c r="BJ27" i="2"/>
  <c r="BH27" i="2"/>
  <c r="BF27" i="2"/>
  <c r="BD27" i="2"/>
  <c r="BB27" i="2"/>
  <c r="AZ27" i="2"/>
  <c r="AX27" i="2"/>
  <c r="AV27" i="2"/>
  <c r="AT27" i="2"/>
  <c r="AR27" i="2"/>
  <c r="AP27" i="2"/>
  <c r="AN27" i="2"/>
  <c r="AL27" i="2"/>
  <c r="AJ27" i="2"/>
  <c r="AH27" i="2"/>
  <c r="AF27" i="2"/>
  <c r="AD27" i="2"/>
  <c r="AB27" i="2"/>
  <c r="Z27" i="2"/>
  <c r="X27" i="2"/>
  <c r="V27" i="2"/>
  <c r="T27" i="2"/>
  <c r="R27" i="2"/>
  <c r="P27" i="2"/>
  <c r="N27" i="2"/>
  <c r="L27" i="2"/>
  <c r="J27" i="2"/>
  <c r="H27" i="2"/>
  <c r="F27" i="2"/>
  <c r="D27" i="2"/>
  <c r="B27" i="2"/>
  <c r="CF26" i="2"/>
  <c r="CD26" i="2"/>
  <c r="CB26" i="2"/>
  <c r="BZ26" i="2"/>
  <c r="BX26" i="2"/>
  <c r="BV26" i="2"/>
  <c r="BT26" i="2"/>
  <c r="BR26" i="2"/>
  <c r="BP26" i="2"/>
  <c r="BN26" i="2"/>
  <c r="BL26" i="2"/>
  <c r="BJ26" i="2"/>
  <c r="BH26" i="2"/>
  <c r="BF26" i="2"/>
  <c r="BD26" i="2"/>
  <c r="BB26" i="2"/>
  <c r="AZ26" i="2"/>
  <c r="AX26" i="2"/>
  <c r="AV26" i="2"/>
  <c r="AT26" i="2"/>
  <c r="AR26" i="2"/>
  <c r="AP26" i="2"/>
  <c r="AN26" i="2"/>
  <c r="AL26" i="2"/>
  <c r="AJ26" i="2"/>
  <c r="AH26" i="2"/>
  <c r="AF26" i="2"/>
  <c r="AD26" i="2"/>
  <c r="AB26" i="2"/>
  <c r="Z26" i="2"/>
  <c r="X26" i="2"/>
  <c r="V26" i="2"/>
  <c r="T26" i="2"/>
  <c r="R26" i="2"/>
  <c r="P26" i="2"/>
  <c r="N26" i="2"/>
  <c r="L26" i="2"/>
  <c r="J26" i="2"/>
  <c r="H26" i="2"/>
  <c r="F26" i="2"/>
  <c r="D26" i="2"/>
  <c r="B26" i="2"/>
  <c r="CF25" i="2"/>
  <c r="CD25" i="2"/>
  <c r="CB25" i="2"/>
  <c r="BZ25" i="2"/>
  <c r="BX25" i="2"/>
  <c r="BV25" i="2"/>
  <c r="BT25" i="2"/>
  <c r="BR25" i="2"/>
  <c r="BP25" i="2"/>
  <c r="BN25" i="2"/>
  <c r="BL25" i="2"/>
  <c r="BJ25" i="2"/>
  <c r="BH25" i="2"/>
  <c r="BF25" i="2"/>
  <c r="BD25" i="2"/>
  <c r="BB25" i="2"/>
  <c r="AZ25" i="2"/>
  <c r="AX25" i="2"/>
  <c r="AV25" i="2"/>
  <c r="AT25" i="2"/>
  <c r="AR25" i="2"/>
  <c r="AP25" i="2"/>
  <c r="AN25" i="2"/>
  <c r="AL25" i="2"/>
  <c r="AJ25" i="2"/>
  <c r="AH25" i="2"/>
  <c r="AF25" i="2"/>
  <c r="AD25" i="2"/>
  <c r="AB25" i="2"/>
  <c r="Z25" i="2"/>
  <c r="X25" i="2"/>
  <c r="V25" i="2"/>
  <c r="T25" i="2"/>
  <c r="R25" i="2"/>
  <c r="P25" i="2"/>
  <c r="N25" i="2"/>
  <c r="L25" i="2"/>
  <c r="J25" i="2"/>
  <c r="H25" i="2"/>
  <c r="F25" i="2"/>
  <c r="D25" i="2"/>
  <c r="B25" i="2"/>
  <c r="CF24" i="2"/>
  <c r="CD24" i="2"/>
  <c r="CB24" i="2"/>
  <c r="BZ24" i="2"/>
  <c r="BX24" i="2"/>
  <c r="BV24" i="2"/>
  <c r="BT24" i="2"/>
  <c r="BR24" i="2"/>
  <c r="BP24" i="2"/>
  <c r="BN24" i="2"/>
  <c r="BL24" i="2"/>
  <c r="BJ24" i="2"/>
  <c r="BH24" i="2"/>
  <c r="BF24" i="2"/>
  <c r="BD24" i="2"/>
  <c r="BB24" i="2"/>
  <c r="AZ24" i="2"/>
  <c r="AX24" i="2"/>
  <c r="AV24" i="2"/>
  <c r="AT24" i="2"/>
  <c r="AR24" i="2"/>
  <c r="AP24" i="2"/>
  <c r="AN24" i="2"/>
  <c r="AL24" i="2"/>
  <c r="AJ24" i="2"/>
  <c r="AH24" i="2"/>
  <c r="AF24" i="2"/>
  <c r="AD24" i="2"/>
  <c r="AB24" i="2"/>
  <c r="Z24" i="2"/>
  <c r="X24" i="2"/>
  <c r="V24" i="2"/>
  <c r="T24" i="2"/>
  <c r="R24" i="2"/>
  <c r="P24" i="2"/>
  <c r="N24" i="2"/>
  <c r="L24" i="2"/>
  <c r="J24" i="2"/>
  <c r="H24" i="2"/>
  <c r="F24" i="2"/>
  <c r="D24" i="2"/>
  <c r="B24" i="2"/>
  <c r="CF23" i="2"/>
  <c r="CD23" i="2"/>
  <c r="CB23" i="2"/>
  <c r="BZ23" i="2"/>
  <c r="BX23" i="2"/>
  <c r="BV23" i="2"/>
  <c r="BT23" i="2"/>
  <c r="BR23" i="2"/>
  <c r="BP23" i="2"/>
  <c r="BN23" i="2"/>
  <c r="BL23" i="2"/>
  <c r="BJ23" i="2"/>
  <c r="BH23" i="2"/>
  <c r="BF23" i="2"/>
  <c r="BD23" i="2"/>
  <c r="BB23" i="2"/>
  <c r="AZ23" i="2"/>
  <c r="AX23" i="2"/>
  <c r="AV23" i="2"/>
  <c r="AT23" i="2"/>
  <c r="AR23" i="2"/>
  <c r="AP23" i="2"/>
  <c r="AN23" i="2"/>
  <c r="AL23" i="2"/>
  <c r="AJ23" i="2"/>
  <c r="AH23" i="2"/>
  <c r="AF23" i="2"/>
  <c r="AD23" i="2"/>
  <c r="AB23" i="2"/>
  <c r="Z23" i="2"/>
  <c r="X23" i="2"/>
  <c r="V23" i="2"/>
  <c r="T23" i="2"/>
  <c r="R23" i="2"/>
  <c r="P23" i="2"/>
  <c r="N23" i="2"/>
  <c r="L23" i="2"/>
  <c r="J23" i="2"/>
  <c r="H23" i="2"/>
  <c r="F23" i="2"/>
  <c r="D23" i="2"/>
  <c r="B23" i="2"/>
  <c r="CF22" i="2"/>
  <c r="CD22" i="2"/>
  <c r="CB22" i="2"/>
  <c r="BZ22" i="2"/>
  <c r="BX22" i="2"/>
  <c r="BV22" i="2"/>
  <c r="BT22" i="2"/>
  <c r="BR22" i="2"/>
  <c r="BP22" i="2"/>
  <c r="BN22" i="2"/>
  <c r="BL22" i="2"/>
  <c r="BJ22" i="2"/>
  <c r="BH22" i="2"/>
  <c r="BF22" i="2"/>
  <c r="BD22" i="2"/>
  <c r="BB22" i="2"/>
  <c r="AZ22" i="2"/>
  <c r="AX22" i="2"/>
  <c r="AV22" i="2"/>
  <c r="AT22" i="2"/>
  <c r="AR22" i="2"/>
  <c r="AP22" i="2"/>
  <c r="AN22" i="2"/>
  <c r="AL22" i="2"/>
  <c r="AJ22" i="2"/>
  <c r="AH22" i="2"/>
  <c r="AF22" i="2"/>
  <c r="AD22" i="2"/>
  <c r="AB22" i="2"/>
  <c r="Z22" i="2"/>
  <c r="X22" i="2"/>
  <c r="V22" i="2"/>
  <c r="T22" i="2"/>
  <c r="R22" i="2"/>
  <c r="P22" i="2"/>
  <c r="N22" i="2"/>
  <c r="L22" i="2"/>
  <c r="J22" i="2"/>
  <c r="H22" i="2"/>
  <c r="F22" i="2"/>
  <c r="D22" i="2"/>
  <c r="B22" i="2"/>
  <c r="CD21" i="2"/>
  <c r="BZ21" i="2"/>
  <c r="BV21" i="2"/>
  <c r="BR21" i="2"/>
  <c r="BN21" i="2"/>
  <c r="BJ21" i="2"/>
  <c r="BF21" i="2"/>
  <c r="BB21" i="2"/>
  <c r="AX21" i="2"/>
  <c r="AT21" i="2"/>
  <c r="AP21" i="2"/>
  <c r="AL21" i="2"/>
  <c r="AH21" i="2"/>
  <c r="AD21" i="2"/>
  <c r="Z21" i="2"/>
  <c r="V21" i="2"/>
  <c r="R21" i="2"/>
  <c r="N21" i="2"/>
  <c r="J21" i="2"/>
  <c r="F21" i="2"/>
  <c r="B21" i="2"/>
  <c r="CF20" i="2"/>
  <c r="CD20" i="2"/>
  <c r="CB20" i="2"/>
  <c r="BZ20" i="2"/>
  <c r="BX20" i="2"/>
  <c r="BV20" i="2"/>
  <c r="BT20" i="2"/>
  <c r="BR20" i="2"/>
  <c r="BP20" i="2"/>
  <c r="BN20" i="2"/>
  <c r="BL20" i="2"/>
  <c r="BJ20" i="2"/>
  <c r="BH20" i="2"/>
  <c r="BF20" i="2"/>
  <c r="BD20" i="2"/>
  <c r="BB20" i="2"/>
  <c r="AZ20" i="2"/>
  <c r="AX20" i="2"/>
  <c r="AV20" i="2"/>
  <c r="AT20" i="2"/>
  <c r="AR20" i="2"/>
  <c r="AP20" i="2"/>
  <c r="AN20" i="2"/>
  <c r="AL20" i="2"/>
  <c r="AJ20" i="2"/>
  <c r="AH20" i="2"/>
  <c r="AF20" i="2"/>
  <c r="AD20" i="2"/>
  <c r="AB20" i="2"/>
  <c r="Z20" i="2"/>
  <c r="X20" i="2"/>
  <c r="V20" i="2"/>
  <c r="T20" i="2"/>
  <c r="R20" i="2"/>
  <c r="P20" i="2"/>
  <c r="N20" i="2"/>
  <c r="L20" i="2"/>
  <c r="J20" i="2"/>
  <c r="H20" i="2"/>
  <c r="F20" i="2"/>
  <c r="D20" i="2"/>
  <c r="B20" i="2"/>
  <c r="CF19" i="2"/>
  <c r="CD19" i="2"/>
  <c r="CB19" i="2"/>
  <c r="BZ19" i="2"/>
  <c r="BX19" i="2"/>
  <c r="BV19" i="2"/>
  <c r="BT19" i="2"/>
  <c r="BR19" i="2"/>
  <c r="BP19" i="2"/>
  <c r="BN19" i="2"/>
  <c r="BL19" i="2"/>
  <c r="BJ19" i="2"/>
  <c r="BH19" i="2"/>
  <c r="BF19" i="2"/>
  <c r="BD19" i="2"/>
  <c r="BB19" i="2"/>
  <c r="AZ19" i="2"/>
  <c r="AX19" i="2"/>
  <c r="AV19" i="2"/>
  <c r="AT19" i="2"/>
  <c r="AR19" i="2"/>
  <c r="AP19" i="2"/>
  <c r="AN19" i="2"/>
  <c r="AL19" i="2"/>
  <c r="AJ19" i="2"/>
  <c r="AH19" i="2"/>
  <c r="AF19" i="2"/>
  <c r="AD19" i="2"/>
  <c r="AB19" i="2"/>
  <c r="Z19" i="2"/>
  <c r="X19" i="2"/>
  <c r="V19" i="2"/>
  <c r="T19" i="2"/>
  <c r="R19" i="2"/>
  <c r="P19" i="2"/>
  <c r="N19" i="2"/>
  <c r="L19" i="2"/>
  <c r="J19" i="2"/>
  <c r="H19" i="2"/>
  <c r="F19" i="2"/>
  <c r="D19" i="2"/>
  <c r="B19" i="2"/>
  <c r="CF18" i="2"/>
  <c r="CD18" i="2"/>
  <c r="CB18" i="2"/>
  <c r="BZ18" i="2"/>
  <c r="BX18" i="2"/>
  <c r="BV18" i="2"/>
  <c r="BT18" i="2"/>
  <c r="BR18" i="2"/>
  <c r="BP18" i="2"/>
  <c r="BN18" i="2"/>
  <c r="BL18" i="2"/>
  <c r="BJ18" i="2"/>
  <c r="BH18" i="2"/>
  <c r="BF18" i="2"/>
  <c r="BD18" i="2"/>
  <c r="BB18" i="2"/>
  <c r="AZ18" i="2"/>
  <c r="AX18" i="2"/>
  <c r="AV18" i="2"/>
  <c r="AT18" i="2"/>
  <c r="AR18" i="2"/>
  <c r="AP18" i="2"/>
  <c r="AN18" i="2"/>
  <c r="AL18" i="2"/>
  <c r="AJ18" i="2"/>
  <c r="AH18" i="2"/>
  <c r="AF18" i="2"/>
  <c r="AD18" i="2"/>
  <c r="AB18" i="2"/>
  <c r="Z18" i="2"/>
  <c r="X18" i="2"/>
  <c r="V18" i="2"/>
  <c r="T18" i="2"/>
  <c r="R18" i="2"/>
  <c r="P18" i="2"/>
  <c r="N18" i="2"/>
  <c r="L18" i="2"/>
  <c r="J18" i="2"/>
  <c r="H18" i="2"/>
  <c r="F18" i="2"/>
  <c r="D18" i="2"/>
  <c r="B18" i="2"/>
  <c r="CF17" i="2"/>
  <c r="CD17" i="2"/>
  <c r="CB17" i="2"/>
  <c r="BZ17" i="2"/>
  <c r="BX17" i="2"/>
  <c r="BV17" i="2"/>
  <c r="BT17" i="2"/>
  <c r="BR17" i="2"/>
  <c r="BP17" i="2"/>
  <c r="BN17" i="2"/>
  <c r="BL17" i="2"/>
  <c r="BJ17" i="2"/>
  <c r="BH17" i="2"/>
  <c r="BF17" i="2"/>
  <c r="BD17" i="2"/>
  <c r="BB17" i="2"/>
  <c r="AZ17" i="2"/>
  <c r="AX17" i="2"/>
  <c r="AV17" i="2"/>
  <c r="AT17" i="2"/>
  <c r="AR17" i="2"/>
  <c r="AP17" i="2"/>
  <c r="AN17" i="2"/>
  <c r="AL17" i="2"/>
  <c r="AJ17" i="2"/>
  <c r="AH17" i="2"/>
  <c r="AF17" i="2"/>
  <c r="AD17" i="2"/>
  <c r="AB17" i="2"/>
  <c r="Z17" i="2"/>
  <c r="X17" i="2"/>
  <c r="V17" i="2"/>
  <c r="T17" i="2"/>
  <c r="R17" i="2"/>
  <c r="P17" i="2"/>
  <c r="N17" i="2"/>
  <c r="L17" i="2"/>
  <c r="J17" i="2"/>
  <c r="H17" i="2"/>
  <c r="F17" i="2"/>
  <c r="D17" i="2"/>
  <c r="B17" i="2"/>
  <c r="CF16" i="2"/>
  <c r="CD16" i="2"/>
  <c r="CB16" i="2"/>
  <c r="BZ16" i="2"/>
  <c r="BX16" i="2"/>
  <c r="BV16" i="2"/>
  <c r="BT16" i="2"/>
  <c r="BR16" i="2"/>
  <c r="BP16" i="2"/>
  <c r="BN16" i="2"/>
  <c r="BL16" i="2"/>
  <c r="BJ16" i="2"/>
  <c r="BH16" i="2"/>
  <c r="BF16" i="2"/>
  <c r="BD16" i="2"/>
  <c r="BB16" i="2"/>
  <c r="AZ16" i="2"/>
  <c r="AX16" i="2"/>
  <c r="AV16" i="2"/>
  <c r="AT16" i="2"/>
  <c r="AR16" i="2"/>
  <c r="AP16" i="2"/>
  <c r="AN16" i="2"/>
  <c r="AL16" i="2"/>
  <c r="AJ16" i="2"/>
  <c r="AH16" i="2"/>
  <c r="AF16" i="2"/>
  <c r="AD16" i="2"/>
  <c r="AB16" i="2"/>
  <c r="Z16" i="2"/>
  <c r="X16" i="2"/>
  <c r="V16" i="2"/>
  <c r="T16" i="2"/>
  <c r="R16" i="2"/>
  <c r="P16" i="2"/>
  <c r="N16" i="2"/>
  <c r="L16" i="2"/>
  <c r="J16" i="2"/>
  <c r="H16" i="2"/>
  <c r="F16" i="2"/>
  <c r="D16" i="2"/>
  <c r="B16" i="2"/>
  <c r="CF15" i="2"/>
  <c r="CD15" i="2"/>
  <c r="CB15" i="2"/>
  <c r="BZ15" i="2"/>
  <c r="BX15" i="2"/>
  <c r="BV15" i="2"/>
  <c r="BT15" i="2"/>
  <c r="BR15" i="2"/>
  <c r="BP15" i="2"/>
  <c r="BN15" i="2"/>
  <c r="BL15" i="2"/>
  <c r="BJ15" i="2"/>
  <c r="BH15" i="2"/>
  <c r="BF15" i="2"/>
  <c r="BD15" i="2"/>
  <c r="BB15" i="2"/>
  <c r="AZ15" i="2"/>
  <c r="AX15" i="2"/>
  <c r="AV15" i="2"/>
  <c r="AT15" i="2"/>
  <c r="AR15" i="2"/>
  <c r="AP15" i="2"/>
  <c r="AN15" i="2"/>
  <c r="AL15" i="2"/>
  <c r="AJ15" i="2"/>
  <c r="AH15" i="2"/>
  <c r="AF15" i="2"/>
  <c r="AD15" i="2"/>
  <c r="AB15" i="2"/>
  <c r="Z15" i="2"/>
  <c r="X15" i="2"/>
  <c r="V15" i="2"/>
  <c r="T15" i="2"/>
  <c r="R15" i="2"/>
  <c r="P15" i="2"/>
  <c r="N15" i="2"/>
  <c r="L15" i="2"/>
  <c r="J15" i="2"/>
  <c r="H15" i="2"/>
  <c r="F15" i="2"/>
  <c r="D15" i="2"/>
  <c r="B15" i="2"/>
  <c r="CF14" i="2"/>
  <c r="CD14" i="2"/>
  <c r="CB14" i="2"/>
  <c r="BZ14" i="2"/>
  <c r="BX14" i="2"/>
  <c r="BV14" i="2"/>
  <c r="BT14" i="2"/>
  <c r="BR14" i="2"/>
  <c r="BP14" i="2"/>
  <c r="BN14" i="2"/>
  <c r="BL14" i="2"/>
  <c r="BJ14" i="2"/>
  <c r="BH14" i="2"/>
  <c r="BF14" i="2"/>
  <c r="BD14" i="2"/>
  <c r="BB14" i="2"/>
  <c r="AZ14" i="2"/>
  <c r="AX14" i="2"/>
  <c r="AV14" i="2"/>
  <c r="AT14" i="2"/>
  <c r="AR14" i="2"/>
  <c r="AP14" i="2"/>
  <c r="AN14" i="2"/>
  <c r="AL14" i="2"/>
  <c r="AJ14" i="2"/>
  <c r="AH14" i="2"/>
  <c r="AF14" i="2"/>
  <c r="AD14" i="2"/>
  <c r="AB14" i="2"/>
  <c r="Z14" i="2"/>
  <c r="X14" i="2"/>
  <c r="V14" i="2"/>
  <c r="T14" i="2"/>
  <c r="R14" i="2"/>
  <c r="P14" i="2"/>
  <c r="N14" i="2"/>
  <c r="L14" i="2"/>
  <c r="J14" i="2"/>
  <c r="H14" i="2"/>
  <c r="F14" i="2"/>
  <c r="D14" i="2"/>
  <c r="B14" i="2"/>
  <c r="CF13" i="2"/>
  <c r="CD13" i="2"/>
  <c r="CB13" i="2"/>
  <c r="BZ13" i="2"/>
  <c r="BX13" i="2"/>
  <c r="BV13" i="2"/>
  <c r="BT13" i="2"/>
  <c r="BR13" i="2"/>
  <c r="BP13" i="2"/>
  <c r="BN13" i="2"/>
  <c r="BL13" i="2"/>
  <c r="BJ13" i="2"/>
  <c r="BH13" i="2"/>
  <c r="BF13" i="2"/>
  <c r="BD13" i="2"/>
  <c r="BB13" i="2"/>
  <c r="AZ13" i="2"/>
  <c r="AX13" i="2"/>
  <c r="AV13" i="2"/>
  <c r="AT13" i="2"/>
  <c r="AR13" i="2"/>
  <c r="AP13" i="2"/>
  <c r="AN13" i="2"/>
  <c r="AL13" i="2"/>
  <c r="AJ13" i="2"/>
  <c r="AH13" i="2"/>
  <c r="AF13" i="2"/>
  <c r="AD13" i="2"/>
  <c r="AB13" i="2"/>
  <c r="Z13" i="2"/>
  <c r="X13" i="2"/>
  <c r="V13" i="2"/>
  <c r="T13" i="2"/>
  <c r="R13" i="2"/>
  <c r="P13" i="2"/>
  <c r="N13" i="2"/>
  <c r="L13" i="2"/>
  <c r="J13" i="2"/>
  <c r="H13" i="2"/>
  <c r="F13" i="2"/>
  <c r="D13" i="2"/>
  <c r="B13" i="2"/>
  <c r="CF12" i="2"/>
  <c r="CD12" i="2"/>
  <c r="CB12" i="2"/>
  <c r="BZ12" i="2"/>
  <c r="BX12" i="2"/>
  <c r="BV12" i="2"/>
  <c r="BT12" i="2"/>
  <c r="BR12" i="2"/>
  <c r="BP12" i="2"/>
  <c r="BN12" i="2"/>
  <c r="BL12" i="2"/>
  <c r="BJ12" i="2"/>
  <c r="BH12" i="2"/>
  <c r="BF12" i="2"/>
  <c r="BD12" i="2"/>
  <c r="BB12" i="2"/>
  <c r="AZ12" i="2"/>
  <c r="AX12" i="2"/>
  <c r="AV12" i="2"/>
  <c r="AT12" i="2"/>
  <c r="AR12" i="2"/>
  <c r="AP12" i="2"/>
  <c r="AN12" i="2"/>
  <c r="AL12" i="2"/>
  <c r="AJ12" i="2"/>
  <c r="AH12" i="2"/>
  <c r="AF12" i="2"/>
  <c r="AD12" i="2"/>
  <c r="AB12" i="2"/>
  <c r="Z12" i="2"/>
  <c r="X12" i="2"/>
  <c r="V12" i="2"/>
  <c r="T12" i="2"/>
  <c r="R12" i="2"/>
  <c r="P12" i="2"/>
  <c r="N12" i="2"/>
  <c r="L12" i="2"/>
  <c r="J12" i="2"/>
  <c r="H12" i="2"/>
  <c r="F12" i="2"/>
  <c r="D12" i="2"/>
  <c r="B12" i="2"/>
  <c r="CF11" i="2"/>
  <c r="CD11" i="2"/>
  <c r="CB11" i="2"/>
  <c r="BZ11" i="2"/>
  <c r="BX11" i="2"/>
  <c r="BV11" i="2"/>
  <c r="BT11" i="2"/>
  <c r="BR11" i="2"/>
  <c r="BP11" i="2"/>
  <c r="BN11" i="2"/>
  <c r="BL11" i="2"/>
  <c r="BJ11" i="2"/>
  <c r="BH11" i="2"/>
  <c r="BF11" i="2"/>
  <c r="BD11" i="2"/>
  <c r="BB11" i="2"/>
  <c r="AZ11" i="2"/>
  <c r="AX11" i="2"/>
  <c r="AV11" i="2"/>
  <c r="AT11" i="2"/>
  <c r="AR11" i="2"/>
  <c r="AP11" i="2"/>
  <c r="AN11" i="2"/>
  <c r="AL11" i="2"/>
  <c r="AJ11" i="2"/>
  <c r="AH11" i="2"/>
  <c r="AF11" i="2"/>
  <c r="AD11" i="2"/>
  <c r="AB11" i="2"/>
  <c r="Z11" i="2"/>
  <c r="X11" i="2"/>
  <c r="V11" i="2"/>
  <c r="T11" i="2"/>
  <c r="R11" i="2"/>
  <c r="P11" i="2"/>
  <c r="N11" i="2"/>
  <c r="L11" i="2"/>
  <c r="J11" i="2"/>
  <c r="H11" i="2"/>
  <c r="F11" i="2"/>
  <c r="D11" i="2"/>
  <c r="B11" i="2"/>
  <c r="CF10" i="2"/>
  <c r="CD10" i="2"/>
  <c r="CB10" i="2"/>
  <c r="BZ10" i="2"/>
  <c r="BX10" i="2"/>
  <c r="BV10" i="2"/>
  <c r="BT10" i="2"/>
  <c r="BR10" i="2"/>
  <c r="BP10" i="2"/>
  <c r="BN10" i="2"/>
  <c r="BL10" i="2"/>
  <c r="BJ10" i="2"/>
  <c r="BH10" i="2"/>
  <c r="BF10" i="2"/>
  <c r="BD10" i="2"/>
  <c r="BB10" i="2"/>
  <c r="AZ10" i="2"/>
  <c r="AX10" i="2"/>
  <c r="AV10" i="2"/>
  <c r="AT10" i="2"/>
  <c r="AR10" i="2"/>
  <c r="AP10" i="2"/>
  <c r="AN10" i="2"/>
  <c r="AL10" i="2"/>
  <c r="AJ10" i="2"/>
  <c r="AH10" i="2"/>
  <c r="AF10" i="2"/>
  <c r="AD10" i="2"/>
  <c r="AB10" i="2"/>
  <c r="Z10" i="2"/>
  <c r="X10" i="2"/>
  <c r="V10" i="2"/>
  <c r="T10" i="2"/>
  <c r="R10" i="2"/>
  <c r="P10" i="2"/>
  <c r="N10" i="2"/>
  <c r="L10" i="2"/>
  <c r="J10" i="2"/>
  <c r="H10" i="2"/>
  <c r="F10" i="2"/>
  <c r="D10" i="2"/>
  <c r="B10" i="2"/>
  <c r="CF9" i="2"/>
  <c r="CD9" i="2"/>
  <c r="CB9" i="2"/>
  <c r="BZ9" i="2"/>
  <c r="BX9" i="2"/>
  <c r="BV9" i="2"/>
  <c r="BT9" i="2"/>
  <c r="BR9" i="2"/>
  <c r="BP9" i="2"/>
  <c r="BN9" i="2"/>
  <c r="BL9" i="2"/>
  <c r="BJ9" i="2"/>
  <c r="BH9" i="2"/>
  <c r="BF9" i="2"/>
  <c r="BD9" i="2"/>
  <c r="BB9" i="2"/>
  <c r="AZ9" i="2"/>
  <c r="AX9" i="2"/>
  <c r="AV9" i="2"/>
  <c r="AT9" i="2"/>
  <c r="AR9" i="2"/>
  <c r="AP9" i="2"/>
  <c r="AN9" i="2"/>
  <c r="AL9" i="2"/>
  <c r="AJ9" i="2"/>
  <c r="AH9" i="2"/>
  <c r="AF9" i="2"/>
  <c r="AD9" i="2"/>
  <c r="AB9" i="2"/>
  <c r="Z9" i="2"/>
  <c r="X9" i="2"/>
  <c r="V9" i="2"/>
  <c r="T9" i="2"/>
  <c r="R9" i="2"/>
  <c r="P9" i="2"/>
  <c r="N9" i="2"/>
  <c r="L9" i="2"/>
  <c r="J9" i="2"/>
  <c r="H9" i="2"/>
  <c r="F9" i="2"/>
  <c r="D9" i="2"/>
  <c r="B9" i="2"/>
  <c r="CF8" i="2"/>
  <c r="CD8" i="2"/>
  <c r="CB8" i="2"/>
  <c r="BZ8" i="2"/>
  <c r="BX8" i="2"/>
  <c r="BV8" i="2"/>
  <c r="BT8" i="2"/>
  <c r="BR8" i="2"/>
  <c r="BP8" i="2"/>
  <c r="BN8" i="2"/>
  <c r="BL8" i="2"/>
  <c r="BJ8" i="2"/>
  <c r="BH8" i="2"/>
  <c r="BF8" i="2"/>
  <c r="BD8" i="2"/>
  <c r="BB8" i="2"/>
  <c r="AZ8" i="2"/>
  <c r="AX8" i="2"/>
  <c r="AV8" i="2"/>
  <c r="AT8" i="2"/>
  <c r="AR8" i="2"/>
  <c r="AP8" i="2"/>
  <c r="AN8" i="2"/>
  <c r="AL8" i="2"/>
  <c r="AJ8" i="2"/>
  <c r="AH8" i="2"/>
  <c r="AF8" i="2"/>
  <c r="AD8" i="2"/>
  <c r="AB8" i="2"/>
  <c r="Z8" i="2"/>
  <c r="X8" i="2"/>
  <c r="V8" i="2"/>
  <c r="T8" i="2"/>
  <c r="R8" i="2"/>
  <c r="P8" i="2"/>
  <c r="N8" i="2"/>
  <c r="L8" i="2"/>
  <c r="J8" i="2"/>
  <c r="H8" i="2"/>
  <c r="F8" i="2"/>
  <c r="D8" i="2"/>
  <c r="B8" i="2"/>
  <c r="CD7" i="2"/>
  <c r="BZ7" i="2"/>
  <c r="BV7" i="2"/>
  <c r="BR7" i="2"/>
  <c r="BN7" i="2"/>
  <c r="BJ7" i="2"/>
  <c r="BF7" i="2"/>
  <c r="BB7" i="2"/>
  <c r="AX7" i="2"/>
  <c r="AT7" i="2"/>
  <c r="AP7" i="2"/>
  <c r="AL7" i="2"/>
  <c r="AH7" i="2"/>
  <c r="AD7" i="2"/>
  <c r="Z7" i="2"/>
  <c r="V7" i="2"/>
  <c r="R7" i="2"/>
  <c r="N7" i="2"/>
  <c r="J7" i="2"/>
  <c r="F7" i="2"/>
  <c r="B7" i="2"/>
  <c r="CF6" i="2"/>
  <c r="CD6" i="2"/>
  <c r="CB6" i="2"/>
  <c r="BZ6" i="2"/>
  <c r="BX6" i="2"/>
  <c r="BV6" i="2"/>
  <c r="BT6" i="2"/>
  <c r="BR6" i="2"/>
  <c r="BP6" i="2"/>
  <c r="BN6" i="2"/>
  <c r="BL6" i="2"/>
  <c r="BJ6" i="2"/>
  <c r="BH6" i="2"/>
  <c r="BF6" i="2"/>
  <c r="BD6" i="2"/>
  <c r="BB6" i="2"/>
  <c r="AZ6" i="2"/>
  <c r="AX6" i="2"/>
  <c r="AV6" i="2"/>
  <c r="AT6" i="2"/>
  <c r="AR6" i="2"/>
  <c r="AP6" i="2"/>
  <c r="AN6" i="2"/>
  <c r="AL6" i="2"/>
  <c r="AJ6" i="2"/>
  <c r="AH6" i="2"/>
  <c r="AF6" i="2"/>
  <c r="AD6" i="2"/>
  <c r="AB6" i="2"/>
  <c r="Z6" i="2"/>
  <c r="X6" i="2"/>
  <c r="V6" i="2"/>
  <c r="T6" i="2"/>
  <c r="R6" i="2"/>
  <c r="P6" i="2"/>
  <c r="N6" i="2"/>
  <c r="L6" i="2"/>
  <c r="J6" i="2"/>
  <c r="H6" i="2"/>
  <c r="F6" i="2"/>
  <c r="D6" i="2"/>
  <c r="B6" i="2"/>
  <c r="CF5" i="2"/>
  <c r="CD5" i="2"/>
  <c r="CB5" i="2"/>
  <c r="BZ5" i="2"/>
  <c r="BX5" i="2"/>
  <c r="BV5" i="2"/>
  <c r="BT5" i="2"/>
  <c r="BR5" i="2"/>
  <c r="BP5" i="2"/>
  <c r="BN5" i="2"/>
  <c r="BL5" i="2"/>
  <c r="BJ5" i="2"/>
  <c r="BH5" i="2"/>
  <c r="BF5" i="2"/>
  <c r="BD5" i="2"/>
  <c r="BB5" i="2"/>
  <c r="AZ5" i="2"/>
  <c r="AX5" i="2"/>
  <c r="AV5" i="2"/>
  <c r="AT5" i="2"/>
  <c r="AR5" i="2"/>
  <c r="AP5" i="2"/>
  <c r="AN5" i="2"/>
  <c r="AL5" i="2"/>
  <c r="AJ5" i="2"/>
  <c r="AH5" i="2"/>
  <c r="AF5" i="2"/>
  <c r="AD5" i="2"/>
  <c r="AB5" i="2"/>
  <c r="Z5" i="2"/>
  <c r="X5" i="2"/>
  <c r="V5" i="2"/>
  <c r="T5" i="2"/>
  <c r="R5" i="2"/>
  <c r="P5" i="2"/>
  <c r="N5" i="2"/>
  <c r="L5" i="2"/>
  <c r="J5" i="2"/>
  <c r="H5" i="2"/>
  <c r="F5" i="2"/>
  <c r="D5" i="2"/>
  <c r="B5" i="2"/>
  <c r="CF4" i="2"/>
  <c r="CD4" i="2"/>
  <c r="CB4" i="2"/>
  <c r="BZ4" i="2"/>
  <c r="BX4" i="2"/>
  <c r="BV4" i="2"/>
  <c r="BT4" i="2"/>
  <c r="BR4" i="2"/>
  <c r="BP4" i="2"/>
  <c r="BN4" i="2"/>
  <c r="BL4" i="2"/>
  <c r="BJ4" i="2"/>
  <c r="BH4" i="2"/>
  <c r="BF4" i="2"/>
  <c r="BD4" i="2"/>
  <c r="BB4" i="2"/>
  <c r="AZ4" i="2"/>
  <c r="AX4" i="2"/>
  <c r="AV4" i="2"/>
  <c r="AT4" i="2"/>
  <c r="AR4" i="2"/>
  <c r="AP4" i="2"/>
  <c r="AN4" i="2"/>
  <c r="AL4" i="2"/>
  <c r="AJ4" i="2"/>
  <c r="AH4" i="2"/>
  <c r="AF4" i="2"/>
  <c r="AD4" i="2"/>
  <c r="AB4" i="2"/>
  <c r="Z4" i="2"/>
  <c r="X4" i="2"/>
  <c r="V4" i="2"/>
  <c r="T4" i="2"/>
  <c r="R4" i="2"/>
  <c r="P4" i="2"/>
  <c r="N4" i="2"/>
  <c r="L4" i="2"/>
  <c r="J4" i="2"/>
  <c r="H4" i="2"/>
  <c r="F4" i="2"/>
  <c r="D4" i="2"/>
  <c r="B4" i="2"/>
  <c r="A42" i="1"/>
</calcChain>
</file>

<file path=xl/sharedStrings.xml><?xml version="1.0" encoding="utf-8"?>
<sst xmlns="http://schemas.openxmlformats.org/spreadsheetml/2006/main" count="4532" uniqueCount="1213">
  <si>
    <t>ACS DEMOGRAPHIC AND HOUSING ESTIMATES</t>
  </si>
  <si>
    <t>Note: The table shown may have been modified by user selections. Some information may be missing.</t>
  </si>
  <si>
    <t>DATA NOTES</t>
  </si>
  <si>
    <t/>
  </si>
  <si>
    <t>TABLE ID:</t>
  </si>
  <si>
    <t>DP05</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</si>
  <si>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</si>
  <si>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</si>
  <si>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</si>
  <si>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</si>
  <si>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</si>
  <si>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</si>
  <si>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</si>
  <si>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</si>
  <si>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</si>
  <si>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</si>
  <si>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</si>
  <si>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</si>
  <si>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</si>
  <si>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</si>
  <si>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GEOS</t>
  </si>
  <si>
    <t>All Counties within New Jersey</t>
  </si>
  <si>
    <t>TOPICS</t>
  </si>
  <si>
    <t>Population Total</t>
  </si>
  <si>
    <t>EXCLUDED COLUMNS</t>
  </si>
  <si>
    <t>APPLIED FILTERS</t>
  </si>
  <si>
    <t>APPLIED SORTS</t>
  </si>
  <si>
    <t>PIVOT &amp; GROUPING</t>
  </si>
  <si>
    <t>WEB ADDRESS</t>
  </si>
  <si>
    <t>https://data.census.gov/cedsci/table?t=Population%20Total&amp;g=0400000US34%240500000&amp;tid=ACSDP1Y2021.DP05</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</si>
  <si>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</si>
  <si>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</si>
  <si>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</si>
  <si>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</si>
  <si>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</si>
  <si>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For more information on understanding Hispanic origin and race data, please see the America Counts: Stories Behind the Numbers article entitled, 2020 Census Illuminates Racial and Ethnic Composition of the Country, issued August 2021.</t>
  </si>
  <si>
    <t>The Hispanic origin and race codes were updated in 2020. For more information on the Hispanic origin and race code changes, please visit the American Community Survey Technical Documentation website.</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</si>
  <si>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</si>
  <si>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</si>
  <si>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</si>
  <si>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</si>
  <si>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</si>
  <si>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</si>
  <si>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</si>
  <si>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</si>
  <si>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</si>
  <si>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</si>
  <si>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</si>
  <si>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</si>
  <si>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</si>
  <si>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</si>
  <si>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</si>
  <si>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</si>
  <si>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</si>
  <si>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</si>
  <si>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</si>
  <si>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</si>
  <si>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</si>
  <si>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</si>
  <si>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</si>
  <si>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</si>
  <si>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Warren County, New Jersey</t>
  </si>
  <si>
    <t>Label</t>
  </si>
  <si>
    <t>Estimate</t>
  </si>
  <si>
    <t>Margin of Error</t>
  </si>
  <si>
    <t>Percent</t>
  </si>
  <si>
    <t>Percent Margin of Error</t>
  </si>
  <si>
    <t>SEX AND AGE</t>
  </si>
  <si>
    <t>Total population</t>
  </si>
  <si>
    <t>*****</t>
  </si>
  <si>
    <t>(X)</t>
  </si>
  <si>
    <t>Male</t>
  </si>
  <si>
    <t>±885</t>
  </si>
  <si>
    <t>±0.3</t>
  </si>
  <si>
    <t>±539</t>
  </si>
  <si>
    <t>±0.1</t>
  </si>
  <si>
    <t>±277</t>
  </si>
  <si>
    <t>±420</t>
  </si>
  <si>
    <t>±881</t>
  </si>
  <si>
    <t>±0.9</t>
  </si>
  <si>
    <t>±987</t>
  </si>
  <si>
    <t>±0.6</t>
  </si>
  <si>
    <t>±310</t>
  </si>
  <si>
    <t>±592</t>
  </si>
  <si>
    <t>±0.2</t>
  </si>
  <si>
    <t>±716</t>
  </si>
  <si>
    <t>±1,107</t>
  </si>
  <si>
    <t>±714</t>
  </si>
  <si>
    <t>±238</t>
  </si>
  <si>
    <t>±670</t>
  </si>
  <si>
    <t>±583</t>
  </si>
  <si>
    <t>±901</t>
  </si>
  <si>
    <t>±893</t>
  </si>
  <si>
    <t>±760</t>
  </si>
  <si>
    <t>±1.2</t>
  </si>
  <si>
    <t>±742</t>
  </si>
  <si>
    <t>±406</t>
  </si>
  <si>
    <t>±432</t>
  </si>
  <si>
    <t>±758</t>
  </si>
  <si>
    <t>±0.7</t>
  </si>
  <si>
    <t>Female</t>
  </si>
  <si>
    <t>Sex ratio (males per 100 females)</t>
  </si>
  <si>
    <t>±3.5</t>
  </si>
  <si>
    <t>±2.7</t>
  </si>
  <si>
    <t>±0.4</t>
  </si>
  <si>
    <t>±3.4</t>
  </si>
  <si>
    <t>±0.5</t>
  </si>
  <si>
    <t>±4.6</t>
  </si>
  <si>
    <t>±0.8</t>
  </si>
  <si>
    <t>Under 5 years</t>
  </si>
  <si>
    <t>±45</t>
  </si>
  <si>
    <t>±3</t>
  </si>
  <si>
    <t>±70</t>
  </si>
  <si>
    <t>±72</t>
  </si>
  <si>
    <t>±459</t>
  </si>
  <si>
    <t>±872</t>
  </si>
  <si>
    <t>±201</t>
  </si>
  <si>
    <t>±47</t>
  </si>
  <si>
    <t>±160</t>
  </si>
  <si>
    <t>±346</t>
  </si>
  <si>
    <t>±76</t>
  </si>
  <si>
    <t>±152</t>
  </si>
  <si>
    <t>±77</t>
  </si>
  <si>
    <t>±80</t>
  </si>
  <si>
    <t>±424</t>
  </si>
  <si>
    <t>±5</t>
  </si>
  <si>
    <t>±641</t>
  </si>
  <si>
    <t>±1.0</t>
  </si>
  <si>
    <t>±54</t>
  </si>
  <si>
    <t>±233</t>
  </si>
  <si>
    <t>±7</t>
  </si>
  <si>
    <t>±374</t>
  </si>
  <si>
    <t>5 to 9 years</t>
  </si>
  <si>
    <t>±2,061</t>
  </si>
  <si>
    <t>±3,354</t>
  </si>
  <si>
    <t>±2,278</t>
  </si>
  <si>
    <t>±2,456</t>
  </si>
  <si>
    <t>±1,214</t>
  </si>
  <si>
    <t>±1.3</t>
  </si>
  <si>
    <t>±1,736</t>
  </si>
  <si>
    <t>±1.1</t>
  </si>
  <si>
    <t>±3,235</t>
  </si>
  <si>
    <t>±1,880</t>
  </si>
  <si>
    <t>±3,102</t>
  </si>
  <si>
    <t>±1,101</t>
  </si>
  <si>
    <t>±2,001</t>
  </si>
  <si>
    <t>±3,007</t>
  </si>
  <si>
    <t>±3,174</t>
  </si>
  <si>
    <t>±2,097</t>
  </si>
  <si>
    <t>±2,457</t>
  </si>
  <si>
    <t>±2,337</t>
  </si>
  <si>
    <t>±835</t>
  </si>
  <si>
    <t>±1,054</t>
  </si>
  <si>
    <t>±2,765</t>
  </si>
  <si>
    <t>±1,047</t>
  </si>
  <si>
    <t>10 to 14 years</t>
  </si>
  <si>
    <t>±2,047</t>
  </si>
  <si>
    <t>±3,359</t>
  </si>
  <si>
    <t>±2,290</t>
  </si>
  <si>
    <t>±2,463</t>
  </si>
  <si>
    <t>±945</t>
  </si>
  <si>
    <t>±1,634</t>
  </si>
  <si>
    <t>±3,197</t>
  </si>
  <si>
    <t>±1,864</t>
  </si>
  <si>
    <t>±1,063</t>
  </si>
  <si>
    <t>±1,998</t>
  </si>
  <si>
    <t>±3,049</t>
  </si>
  <si>
    <t>±3,188</t>
  </si>
  <si>
    <t>±2,116</t>
  </si>
  <si>
    <t>±2,352</t>
  </si>
  <si>
    <t>±838</t>
  </si>
  <si>
    <t>±2,139</t>
  </si>
  <si>
    <t>±1,073</t>
  </si>
  <si>
    <t>±2,748</t>
  </si>
  <si>
    <t>±932</t>
  </si>
  <si>
    <t>15 to 19 years</t>
  </si>
  <si>
    <t>±1,300</t>
  </si>
  <si>
    <t>±611</t>
  </si>
  <si>
    <t>±833</t>
  </si>
  <si>
    <t>±815</t>
  </si>
  <si>
    <t>±470</t>
  </si>
  <si>
    <t>±1,103</t>
  </si>
  <si>
    <t>±554</t>
  </si>
  <si>
    <t>±1,011</t>
  </si>
  <si>
    <t>±1,005</t>
  </si>
  <si>
    <t>±762</t>
  </si>
  <si>
    <t>±1,129</t>
  </si>
  <si>
    <t>±1,378</t>
  </si>
  <si>
    <t>±725</t>
  </si>
  <si>
    <t>±816</t>
  </si>
  <si>
    <t>±1,035</t>
  </si>
  <si>
    <t>±771</t>
  </si>
  <si>
    <t>±683</t>
  </si>
  <si>
    <t>±1,332</t>
  </si>
  <si>
    <t>±660</t>
  </si>
  <si>
    <t>±423</t>
  </si>
  <si>
    <t>±768</t>
  </si>
  <si>
    <t>20 to 24 years</t>
  </si>
  <si>
    <t>±1,284</t>
  </si>
  <si>
    <t>±834</t>
  </si>
  <si>
    <t>±837</t>
  </si>
  <si>
    <t>±234</t>
  </si>
  <si>
    <t>±1,053</t>
  </si>
  <si>
    <t>±551</t>
  </si>
  <si>
    <t>±980</t>
  </si>
  <si>
    <t>±1,507</t>
  </si>
  <si>
    <t>±350</t>
  </si>
  <si>
    <t>±1,075</t>
  </si>
  <si>
    <t>±1,335</t>
  </si>
  <si>
    <t>±1,246</t>
  </si>
  <si>
    <t>±912</t>
  </si>
  <si>
    <t>±1,297</t>
  </si>
  <si>
    <t>±795</t>
  </si>
  <si>
    <t>±480</t>
  </si>
  <si>
    <t>±1,275</t>
  </si>
  <si>
    <t>±356</t>
  </si>
  <si>
    <t>±848</t>
  </si>
  <si>
    <t>25 to 34 years</t>
  </si>
  <si>
    <t>±1,355</t>
  </si>
  <si>
    <t>±6</t>
  </si>
  <si>
    <t>±81</t>
  </si>
  <si>
    <t>±157</t>
  </si>
  <si>
    <t>±800</t>
  </si>
  <si>
    <t>±1,379</t>
  </si>
  <si>
    <t>±266</t>
  </si>
  <si>
    <t>±1,623</t>
  </si>
  <si>
    <t>±1,177</t>
  </si>
  <si>
    <t>±731</t>
  </si>
  <si>
    <t>±116</t>
  </si>
  <si>
    <t>±227</t>
  </si>
  <si>
    <t>±1,182</t>
  </si>
  <si>
    <t>±1,761</t>
  </si>
  <si>
    <t>±849</t>
  </si>
  <si>
    <t>±826</t>
  </si>
  <si>
    <t>±1,785</t>
  </si>
  <si>
    <t>±438</t>
  </si>
  <si>
    <t>±437</t>
  </si>
  <si>
    <t>±928</t>
  </si>
  <si>
    <t>35 to 44 years</t>
  </si>
  <si>
    <t>±1,256</t>
  </si>
  <si>
    <t>±190</t>
  </si>
  <si>
    <t>±123</t>
  </si>
  <si>
    <t>±120</t>
  </si>
  <si>
    <t>±1,068</t>
  </si>
  <si>
    <t>±971</t>
  </si>
  <si>
    <t>±687</t>
  </si>
  <si>
    <t>±1,575</t>
  </si>
  <si>
    <t>±372</t>
  </si>
  <si>
    <t>±967</t>
  </si>
  <si>
    <t>±461</t>
  </si>
  <si>
    <t>±735</t>
  </si>
  <si>
    <t>±1,026</t>
  </si>
  <si>
    <t>±944</t>
  </si>
  <si>
    <t>±1,183</t>
  </si>
  <si>
    <t>±281</t>
  </si>
  <si>
    <t>±1,112</t>
  </si>
  <si>
    <t>45 to 54 years</t>
  </si>
  <si>
    <t>±956</t>
  </si>
  <si>
    <t>±222</t>
  </si>
  <si>
    <t>±91</t>
  </si>
  <si>
    <t>±95</t>
  </si>
  <si>
    <t>±1,059</t>
  </si>
  <si>
    <t>±989</t>
  </si>
  <si>
    <t>±294</t>
  </si>
  <si>
    <t>±929</t>
  </si>
  <si>
    <t>±324</t>
  </si>
  <si>
    <t>±777</t>
  </si>
  <si>
    <t>±168</t>
  </si>
  <si>
    <t>±149</t>
  </si>
  <si>
    <t>±985</t>
  </si>
  <si>
    <t>±1,200</t>
  </si>
  <si>
    <t>±720</t>
  </si>
  <si>
    <t>±968</t>
  </si>
  <si>
    <t>±1.5</t>
  </si>
  <si>
    <t>±169</t>
  </si>
  <si>
    <t>±873</t>
  </si>
  <si>
    <t>±187</t>
  </si>
  <si>
    <t>±1,089</t>
  </si>
  <si>
    <t>55 to 59 years</t>
  </si>
  <si>
    <t>±1,735</t>
  </si>
  <si>
    <t>±3,326</t>
  </si>
  <si>
    <t>±2,516</t>
  </si>
  <si>
    <t>±2,368</t>
  </si>
  <si>
    <t>±1,111</t>
  </si>
  <si>
    <t>±1,096</t>
  </si>
  <si>
    <t>±3,504</t>
  </si>
  <si>
    <t>±1,521</t>
  </si>
  <si>
    <t>±3,419</t>
  </si>
  <si>
    <t>±1,676</t>
  </si>
  <si>
    <t>±2,134</t>
  </si>
  <si>
    <t>±2,744</t>
  </si>
  <si>
    <t>±2,622</t>
  </si>
  <si>
    <t>±2,342</t>
  </si>
  <si>
    <t>±2,614</t>
  </si>
  <si>
    <t>±2,424</t>
  </si>
  <si>
    <t>±807</t>
  </si>
  <si>
    <t>±2,327</t>
  </si>
  <si>
    <t>±1,251</t>
  </si>
  <si>
    <t>±2,750</t>
  </si>
  <si>
    <t>±1,359</t>
  </si>
  <si>
    <t>60 to 64 years</t>
  </si>
  <si>
    <t>±1,726</t>
  </si>
  <si>
    <t>±3,317</t>
  </si>
  <si>
    <t>±2,503</t>
  </si>
  <si>
    <t>±2,373</t>
  </si>
  <si>
    <t>±1,087</t>
  </si>
  <si>
    <t>±1,081</t>
  </si>
  <si>
    <t>±1,684</t>
  </si>
  <si>
    <t>±3,390</t>
  </si>
  <si>
    <t>±1,551</t>
  </si>
  <si>
    <t>±2,123</t>
  </si>
  <si>
    <t>±2,698</t>
  </si>
  <si>
    <t>±2,617</t>
  </si>
  <si>
    <t>±2,202</t>
  </si>
  <si>
    <t>±2,639</t>
  </si>
  <si>
    <t>±2,413</t>
  </si>
  <si>
    <t>±727</t>
  </si>
  <si>
    <t>±2,355</t>
  </si>
  <si>
    <t>±1,230</t>
  </si>
  <si>
    <t>±2,682</t>
  </si>
  <si>
    <t>±1,082</t>
  </si>
  <si>
    <t>65 to 74 years</t>
  </si>
  <si>
    <t>±819</t>
  </si>
  <si>
    <t>±198</t>
  </si>
  <si>
    <t>±492</t>
  </si>
  <si>
    <t>±312</t>
  </si>
  <si>
    <t>±215</t>
  </si>
  <si>
    <t>±776</t>
  </si>
  <si>
    <t>±448</t>
  </si>
  <si>
    <t>±49</t>
  </si>
  <si>
    <t>±365</t>
  </si>
  <si>
    <t>±842</t>
  </si>
  <si>
    <t>±139</t>
  </si>
  <si>
    <t>±352</t>
  </si>
  <si>
    <t>±625</t>
  </si>
  <si>
    <t>±425</t>
  </si>
  <si>
    <t>±291</t>
  </si>
  <si>
    <t>±468</t>
  </si>
  <si>
    <t>±747</t>
  </si>
  <si>
    <t>±314</t>
  </si>
  <si>
    <t>±4</t>
  </si>
  <si>
    <t>±748</t>
  </si>
  <si>
    <t>75 to 84 years</t>
  </si>
  <si>
    <t>±1,477</t>
  </si>
  <si>
    <t>±2,390</t>
  </si>
  <si>
    <t>±1,211</t>
  </si>
  <si>
    <t>±608</t>
  </si>
  <si>
    <t>±993</t>
  </si>
  <si>
    <t>±1,971</t>
  </si>
  <si>
    <t>±1,209</t>
  </si>
  <si>
    <t>±1,397</t>
  </si>
  <si>
    <t>±972</t>
  </si>
  <si>
    <t>±1,171</t>
  </si>
  <si>
    <t>±1,894</t>
  </si>
  <si>
    <t>±1,660</t>
  </si>
  <si>
    <t>±1,672</t>
  </si>
  <si>
    <t>±2,161</t>
  </si>
  <si>
    <t>±1,445</t>
  </si>
  <si>
    <t>±481</t>
  </si>
  <si>
    <t>±1,255</t>
  </si>
  <si>
    <t>±684</t>
  </si>
  <si>
    <t>±1,578</t>
  </si>
  <si>
    <t>±622</t>
  </si>
  <si>
    <t>85 years and over</t>
  </si>
  <si>
    <t>±1,295</t>
  </si>
  <si>
    <t>±2,371</t>
  </si>
  <si>
    <t>±1,207</t>
  </si>
  <si>
    <t>±587</t>
  </si>
  <si>
    <t>±1,094</t>
  </si>
  <si>
    <t>±1,387</t>
  </si>
  <si>
    <t>±1,895</t>
  </si>
  <si>
    <t>±1,653</t>
  </si>
  <si>
    <t>±1,662</t>
  </si>
  <si>
    <t>±2,101</t>
  </si>
  <si>
    <t>±446</t>
  </si>
  <si>
    <t>±1,120</t>
  </si>
  <si>
    <t>±546</t>
  </si>
  <si>
    <t>±618</t>
  </si>
  <si>
    <t>Median age (years)</t>
  </si>
  <si>
    <t>Under 18 years</t>
  </si>
  <si>
    <t>±105</t>
  </si>
  <si>
    <t>±186</t>
  </si>
  <si>
    <t>±102</t>
  </si>
  <si>
    <t>±108</t>
  </si>
  <si>
    <t>±129</t>
  </si>
  <si>
    <t>±98</t>
  </si>
  <si>
    <t>±386</t>
  </si>
  <si>
    <t>±183</t>
  </si>
  <si>
    <t>±355</t>
  </si>
  <si>
    <t>±261</t>
  </si>
  <si>
    <t>±71</t>
  </si>
  <si>
    <t>±189</t>
  </si>
  <si>
    <t>16 years and over</t>
  </si>
  <si>
    <t>±1,023</t>
  </si>
  <si>
    <t>±1,444</t>
  </si>
  <si>
    <t>±1,136</t>
  </si>
  <si>
    <t>±675</t>
  </si>
  <si>
    <t>±889</t>
  </si>
  <si>
    <t>±1,741</t>
  </si>
  <si>
    <t>±922</t>
  </si>
  <si>
    <t>±1,212</t>
  </si>
  <si>
    <t>±526</t>
  </si>
  <si>
    <t>±1,037</t>
  </si>
  <si>
    <t>±1,420</t>
  </si>
  <si>
    <t>±1,446</t>
  </si>
  <si>
    <t>±1,155</t>
  </si>
  <si>
    <t>±1,479</t>
  </si>
  <si>
    <t>±389</t>
  </si>
  <si>
    <t>±1,239</t>
  </si>
  <si>
    <t>±770</t>
  </si>
  <si>
    <t>±1,418</t>
  </si>
  <si>
    <t>18 years and over</t>
  </si>
  <si>
    <t>21 years and over</t>
  </si>
  <si>
    <t>±1,302</t>
  </si>
  <si>
    <t>±1,994</t>
  </si>
  <si>
    <t>±1,450</t>
  </si>
  <si>
    <t>±1,471</t>
  </si>
  <si>
    <t>±1,825</t>
  </si>
  <si>
    <t>±1.9</t>
  </si>
  <si>
    <t>±1,092</t>
  </si>
  <si>
    <t>±1,855</t>
  </si>
  <si>
    <t>±1,386</t>
  </si>
  <si>
    <t>±1,710</t>
  </si>
  <si>
    <t>±1,086</t>
  </si>
  <si>
    <t>±1,784</t>
  </si>
  <si>
    <t>±2,125</t>
  </si>
  <si>
    <t>±1,470</t>
  </si>
  <si>
    <t>±1,318</t>
  </si>
  <si>
    <t>±2,059</t>
  </si>
  <si>
    <t>±1,553</t>
  </si>
  <si>
    <t>±1,474</t>
  </si>
  <si>
    <t>±574</t>
  </si>
  <si>
    <t>±1,503</t>
  </si>
  <si>
    <t>±781</t>
  </si>
  <si>
    <t>62 years and over</t>
  </si>
  <si>
    <t>±1,836</t>
  </si>
  <si>
    <t>±3,190</t>
  </si>
  <si>
    <t>±1,871</t>
  </si>
  <si>
    <t>±2,216</t>
  </si>
  <si>
    <t>±1,123</t>
  </si>
  <si>
    <t>±1,148</t>
  </si>
  <si>
    <t>±2,774</t>
  </si>
  <si>
    <t>±1,438</t>
  </si>
  <si>
    <t>±2,777</t>
  </si>
  <si>
    <t>±1,489</t>
  </si>
  <si>
    <t>±1,936</t>
  </si>
  <si>
    <t>±2,557</t>
  </si>
  <si>
    <t>±2,541</t>
  </si>
  <si>
    <t>±2,522</t>
  </si>
  <si>
    <t>±2,907</t>
  </si>
  <si>
    <t>±2,389</t>
  </si>
  <si>
    <t>±667</t>
  </si>
  <si>
    <t>±2,100</t>
  </si>
  <si>
    <t>±1,280</t>
  </si>
  <si>
    <t>±2,208</t>
  </si>
  <si>
    <t>±1,276</t>
  </si>
  <si>
    <t>65 years and over</t>
  </si>
  <si>
    <t>±103</t>
  </si>
  <si>
    <t>±236</t>
  </si>
  <si>
    <t>±132</t>
  </si>
  <si>
    <t>±357</t>
  </si>
  <si>
    <t>±259</t>
  </si>
  <si>
    <t>±447</t>
  </si>
  <si>
    <t>±50</t>
  </si>
  <si>
    <t>±491</t>
  </si>
  <si>
    <t>±135</t>
  </si>
  <si>
    <t>±769</t>
  </si>
  <si>
    <t>±334</t>
  </si>
  <si>
    <t>±292</t>
  </si>
  <si>
    <t>±368</t>
  </si>
  <si>
    <t>±351</t>
  </si>
  <si>
    <t>±756</t>
  </si>
  <si>
    <t>±199</t>
  </si>
  <si>
    <t>±163</t>
  </si>
  <si>
    <t>±191</t>
  </si>
  <si>
    <t>±253</t>
  </si>
  <si>
    <t>±288</t>
  </si>
  <si>
    <t>±133</t>
  </si>
  <si>
    <t>±435</t>
  </si>
  <si>
    <t>±1,020</t>
  </si>
  <si>
    <t>±247</t>
  </si>
  <si>
    <t>±414</t>
  </si>
  <si>
    <t>±154</t>
  </si>
  <si>
    <t>±137</t>
  </si>
  <si>
    <t>±439</t>
  </si>
  <si>
    <t>±204</t>
  </si>
  <si>
    <t>±212</t>
  </si>
  <si>
    <t>±369</t>
  </si>
  <si>
    <t>±591</t>
  </si>
  <si>
    <t>±159</t>
  </si>
  <si>
    <t>±100</t>
  </si>
  <si>
    <t>±445</t>
  </si>
  <si>
    <t>±905</t>
  </si>
  <si>
    <t>±283</t>
  </si>
  <si>
    <t>±138</t>
  </si>
  <si>
    <t>±127</t>
  </si>
  <si>
    <t>±286</t>
  </si>
  <si>
    <t>±208</t>
  </si>
  <si>
    <t>±211</t>
  </si>
  <si>
    <t>±251</t>
  </si>
  <si>
    <t>±599</t>
  </si>
  <si>
    <t>±2.2</t>
  </si>
  <si>
    <t>±1.4</t>
  </si>
  <si>
    <t>±2.5</t>
  </si>
  <si>
    <t>±69</t>
  </si>
  <si>
    <t>±65</t>
  </si>
  <si>
    <t>±67</t>
  </si>
  <si>
    <t>±107</t>
  </si>
  <si>
    <t>±213</t>
  </si>
  <si>
    <t>±366</t>
  </si>
  <si>
    <t>±278</t>
  </si>
  <si>
    <t>±2</t>
  </si>
  <si>
    <t>±115</t>
  </si>
  <si>
    <t>±456</t>
  </si>
  <si>
    <t>±360</t>
  </si>
  <si>
    <t>±203</t>
  </si>
  <si>
    <t>±243</t>
  </si>
  <si>
    <t>±388</t>
  </si>
  <si>
    <t>±36</t>
  </si>
  <si>
    <t>±214</t>
  </si>
  <si>
    <t>±83</t>
  </si>
  <si>
    <t>±84</t>
  </si>
  <si>
    <t>±297</t>
  </si>
  <si>
    <t>±173</t>
  </si>
  <si>
    <t>±513</t>
  </si>
  <si>
    <t>±109</t>
  </si>
  <si>
    <t>±110</t>
  </si>
  <si>
    <t>±494</t>
  </si>
  <si>
    <t>±124</t>
  </si>
  <si>
    <t>±210</t>
  </si>
  <si>
    <t>±235</t>
  </si>
  <si>
    <t>±508</t>
  </si>
  <si>
    <t>±2.3</t>
  </si>
  <si>
    <t>±2.6</t>
  </si>
  <si>
    <t>±4.1</t>
  </si>
  <si>
    <t>±3.8</t>
  </si>
  <si>
    <t>RACE</t>
  </si>
  <si>
    <t>One race</t>
  </si>
  <si>
    <t>±4,815</t>
  </si>
  <si>
    <t>±1.8</t>
  </si>
  <si>
    <t>±7,813</t>
  </si>
  <si>
    <t>±4,937</t>
  </si>
  <si>
    <t>±5,505</t>
  </si>
  <si>
    <t>±2,071</t>
  </si>
  <si>
    <t>±5,359</t>
  </si>
  <si>
    <t>±9,748</t>
  </si>
  <si>
    <t>±2,964</t>
  </si>
  <si>
    <t>±12,294</t>
  </si>
  <si>
    <t>±1,837</t>
  </si>
  <si>
    <t>±5,986</t>
  </si>
  <si>
    <t>±1.6</t>
  </si>
  <si>
    <t>±8,169</t>
  </si>
  <si>
    <t>±6,216</t>
  </si>
  <si>
    <t>±5,170</t>
  </si>
  <si>
    <t>±5,390</t>
  </si>
  <si>
    <t>±8,176</t>
  </si>
  <si>
    <t>±1,557</t>
  </si>
  <si>
    <t>±2.4</t>
  </si>
  <si>
    <t>±4,023</t>
  </si>
  <si>
    <t>±2,245</t>
  </si>
  <si>
    <t>±7,007</t>
  </si>
  <si>
    <t>±2,052</t>
  </si>
  <si>
    <t>Two or more races</t>
  </si>
  <si>
    <t>White</t>
  </si>
  <si>
    <t>±7,057</t>
  </si>
  <si>
    <t>±3,708</t>
  </si>
  <si>
    <t>±2,934</t>
  </si>
  <si>
    <t>±1,042</t>
  </si>
  <si>
    <t>±2,678</t>
  </si>
  <si>
    <t>±1.7</t>
  </si>
  <si>
    <t>±4,811</t>
  </si>
  <si>
    <t>±2,398</t>
  </si>
  <si>
    <t>±6,314</t>
  </si>
  <si>
    <t>±1,267</t>
  </si>
  <si>
    <t>±5,374</t>
  </si>
  <si>
    <t>±5,002</t>
  </si>
  <si>
    <t>±5,476</t>
  </si>
  <si>
    <t>±3,528</t>
  </si>
  <si>
    <t>±4,754</t>
  </si>
  <si>
    <t>±5,303</t>
  </si>
  <si>
    <t>±2,015</t>
  </si>
  <si>
    <t>±1,592</t>
  </si>
  <si>
    <t>±3,803</t>
  </si>
  <si>
    <t>±2,028</t>
  </si>
  <si>
    <t>Black or African American</t>
  </si>
  <si>
    <t>±2,772</t>
  </si>
  <si>
    <t>±3,228</t>
  </si>
  <si>
    <t>±3,056</t>
  </si>
  <si>
    <t>±3,037</t>
  </si>
  <si>
    <t>±1,286</t>
  </si>
  <si>
    <t>±3,288</t>
  </si>
  <si>
    <t>±2.1</t>
  </si>
  <si>
    <t>±6,408</t>
  </si>
  <si>
    <t>±2,126</t>
  </si>
  <si>
    <t>±3,760</t>
  </si>
  <si>
    <t>±624</t>
  </si>
  <si>
    <t>±2,201</t>
  </si>
  <si>
    <t>±3,689</t>
  </si>
  <si>
    <t>±2,779</t>
  </si>
  <si>
    <t>±1,964</t>
  </si>
  <si>
    <t>±1,590</t>
  </si>
  <si>
    <t>±1,916</t>
  </si>
  <si>
    <t>±1,679</t>
  </si>
  <si>
    <t>±1,691</t>
  </si>
  <si>
    <t>±3,461</t>
  </si>
  <si>
    <t>±730</t>
  </si>
  <si>
    <t>American Indian and Alaska Native</t>
  </si>
  <si>
    <t>±1,091</t>
  </si>
  <si>
    <t>±524</t>
  </si>
  <si>
    <t>±1,621</t>
  </si>
  <si>
    <t>±862</t>
  </si>
  <si>
    <t>±1,231</t>
  </si>
  <si>
    <t>±1,369</t>
  </si>
  <si>
    <t>±218</t>
  </si>
  <si>
    <t>±894</t>
  </si>
  <si>
    <t>±3,213</t>
  </si>
  <si>
    <t>±370</t>
  </si>
  <si>
    <t>±2,209</t>
  </si>
  <si>
    <t>±1,511</t>
  </si>
  <si>
    <t>±490</t>
  </si>
  <si>
    <t>±1,530</t>
  </si>
  <si>
    <t>Cherokee tribal grouping</t>
  </si>
  <si>
    <t>N</t>
  </si>
  <si>
    <t>Chippewa tribal grouping</t>
  </si>
  <si>
    <t>Navajo tribal grouping</t>
  </si>
  <si>
    <t>Sioux tribal grouping</t>
  </si>
  <si>
    <t>Asian</t>
  </si>
  <si>
    <t>±1,108</t>
  </si>
  <si>
    <t>±1,465</t>
  </si>
  <si>
    <t>±336</t>
  </si>
  <si>
    <t>±696</t>
  </si>
  <si>
    <t>±2,662</t>
  </si>
  <si>
    <t>±719</t>
  </si>
  <si>
    <t>±1,243</t>
  </si>
  <si>
    <t>±2,959</t>
  </si>
  <si>
    <t>±1,313</t>
  </si>
  <si>
    <t>±2,304</t>
  </si>
  <si>
    <t>±1,573</t>
  </si>
  <si>
    <t>±1,793</t>
  </si>
  <si>
    <t>±412</t>
  </si>
  <si>
    <t>±1,758</t>
  </si>
  <si>
    <t>±1,025</t>
  </si>
  <si>
    <t>±547</t>
  </si>
  <si>
    <t>Asian Indian</t>
  </si>
  <si>
    <t>±1,760</t>
  </si>
  <si>
    <t>±4,392</t>
  </si>
  <si>
    <t>±2,348</t>
  </si>
  <si>
    <t>±2,580</t>
  </si>
  <si>
    <t>±3,331</t>
  </si>
  <si>
    <t>±1,539</t>
  </si>
  <si>
    <t>±5,152</t>
  </si>
  <si>
    <t>±3,139</t>
  </si>
  <si>
    <t>±7,186</t>
  </si>
  <si>
    <t>±2,733</t>
  </si>
  <si>
    <t>±3,501</t>
  </si>
  <si>
    <t>±1,009</t>
  </si>
  <si>
    <t>±3,120</t>
  </si>
  <si>
    <t>±3,881</t>
  </si>
  <si>
    <t>±504</t>
  </si>
  <si>
    <t>±2,418</t>
  </si>
  <si>
    <t>Chinese</t>
  </si>
  <si>
    <t>±1,475</t>
  </si>
  <si>
    <t>±3,840</t>
  </si>
  <si>
    <t>±1,225</t>
  </si>
  <si>
    <t>±2,263</t>
  </si>
  <si>
    <t>±649</t>
  </si>
  <si>
    <t>±3,494</t>
  </si>
  <si>
    <t>±2,171</t>
  </si>
  <si>
    <t>±4,092</t>
  </si>
  <si>
    <t>±2,518</t>
  </si>
  <si>
    <t>±2,270</t>
  </si>
  <si>
    <t>±1,162</t>
  </si>
  <si>
    <t>±1,115</t>
  </si>
  <si>
    <t>±3,340</t>
  </si>
  <si>
    <t>±250</t>
  </si>
  <si>
    <t>±1,805</t>
  </si>
  <si>
    <t>Filipino</t>
  </si>
  <si>
    <t>±737</t>
  </si>
  <si>
    <t>±4,479</t>
  </si>
  <si>
    <t>±1,380</t>
  </si>
  <si>
    <t>±1,991</t>
  </si>
  <si>
    <t>±563</t>
  </si>
  <si>
    <t>±3,125</t>
  </si>
  <si>
    <t>±1,794</t>
  </si>
  <si>
    <t>±2,874</t>
  </si>
  <si>
    <t>±2,036</t>
  </si>
  <si>
    <t>±1,562</t>
  </si>
  <si>
    <t>±1,327</t>
  </si>
  <si>
    <t>±1,596</t>
  </si>
  <si>
    <t>±1,813</t>
  </si>
  <si>
    <t>±2,266</t>
  </si>
  <si>
    <t>Japanese</t>
  </si>
  <si>
    <t>±93</t>
  </si>
  <si>
    <t>±1,817</t>
  </si>
  <si>
    <t>±260</t>
  </si>
  <si>
    <t>±454</t>
  </si>
  <si>
    <t>±786</t>
  </si>
  <si>
    <t>±285</t>
  </si>
  <si>
    <t>±704</t>
  </si>
  <si>
    <t>±161</t>
  </si>
  <si>
    <t>±267</t>
  </si>
  <si>
    <t>±596</t>
  </si>
  <si>
    <t>±586</t>
  </si>
  <si>
    <t>±265</t>
  </si>
  <si>
    <t>±335</t>
  </si>
  <si>
    <t>Korean</t>
  </si>
  <si>
    <t>±1,223</t>
  </si>
  <si>
    <t>±5,368</t>
  </si>
  <si>
    <t>±865</t>
  </si>
  <si>
    <t>±854</t>
  </si>
  <si>
    <t>±2,096</t>
  </si>
  <si>
    <t>±2,280</t>
  </si>
  <si>
    <t>±1,031</t>
  </si>
  <si>
    <t>±790</t>
  </si>
  <si>
    <t>±1,367</t>
  </si>
  <si>
    <t>±85</t>
  </si>
  <si>
    <t>±616</t>
  </si>
  <si>
    <t>Vietnamese</t>
  </si>
  <si>
    <t>±782</t>
  </si>
  <si>
    <t>±1,156</t>
  </si>
  <si>
    <t>±1,400</t>
  </si>
  <si>
    <t>±693</t>
  </si>
  <si>
    <t>±1,533</t>
  </si>
  <si>
    <t>±711</t>
  </si>
  <si>
    <t>±623</t>
  </si>
  <si>
    <t>±202</t>
  </si>
  <si>
    <t>±1,451</t>
  </si>
  <si>
    <t>±166</t>
  </si>
  <si>
    <t>±1,021</t>
  </si>
  <si>
    <t>Other Asian</t>
  </si>
  <si>
    <t>±1,970</t>
  </si>
  <si>
    <t>±2,730</t>
  </si>
  <si>
    <t>±2,369</t>
  </si>
  <si>
    <t>±1,967</t>
  </si>
  <si>
    <t>±2,576</t>
  </si>
  <si>
    <t>±1,823</t>
  </si>
  <si>
    <t>±4,110</t>
  </si>
  <si>
    <t>±1,204</t>
  </si>
  <si>
    <t>±1,303</t>
  </si>
  <si>
    <t>±3,074</t>
  </si>
  <si>
    <t>±2,556</t>
  </si>
  <si>
    <t>±257</t>
  </si>
  <si>
    <t>±1,399</t>
  </si>
  <si>
    <t>Native Hawaiian and Other Pacific Islander</t>
  </si>
  <si>
    <t>±402</t>
  </si>
  <si>
    <t>±418</t>
  </si>
  <si>
    <t>±304</t>
  </si>
  <si>
    <t>±380</t>
  </si>
  <si>
    <t>±181</t>
  </si>
  <si>
    <t>±147</t>
  </si>
  <si>
    <t>±299</t>
  </si>
  <si>
    <t>±73</t>
  </si>
  <si>
    <t>±254</t>
  </si>
  <si>
    <t>Native Hawaiian</t>
  </si>
  <si>
    <t>Chamorro</t>
  </si>
  <si>
    <t>Samoan</t>
  </si>
  <si>
    <t>Other Pacific Islander</t>
  </si>
  <si>
    <t>Some other race</t>
  </si>
  <si>
    <t>±5,147</t>
  </si>
  <si>
    <t>±8,363</t>
  </si>
  <si>
    <t>±3,397</t>
  </si>
  <si>
    <t>±5,365</t>
  </si>
  <si>
    <t>±3,818</t>
  </si>
  <si>
    <t>±8,412</t>
  </si>
  <si>
    <t>±2,909</t>
  </si>
  <si>
    <t>±10,411</t>
  </si>
  <si>
    <t>±1,487</t>
  </si>
  <si>
    <t>±6,401</t>
  </si>
  <si>
    <t>±8,863</t>
  </si>
  <si>
    <t>±5,189</t>
  </si>
  <si>
    <t>±5,155</t>
  </si>
  <si>
    <t>±4,985</t>
  </si>
  <si>
    <t>±7,886</t>
  </si>
  <si>
    <t>±1,360</t>
  </si>
  <si>
    <t>±3,749</t>
  </si>
  <si>
    <t>±1,513</t>
  </si>
  <si>
    <t>±6,041</t>
  </si>
  <si>
    <t>±1,493</t>
  </si>
  <si>
    <t>White and Black or African American</t>
  </si>
  <si>
    <t>±1,602</t>
  </si>
  <si>
    <t>±1,436</t>
  </si>
  <si>
    <t>±1,144</t>
  </si>
  <si>
    <t>±2,560</t>
  </si>
  <si>
    <t>±1,472</t>
  </si>
  <si>
    <t>±3,378</t>
  </si>
  <si>
    <t>±295</t>
  </si>
  <si>
    <t>±2,302</t>
  </si>
  <si>
    <t>±2,998</t>
  </si>
  <si>
    <t>±1,528</t>
  </si>
  <si>
    <t>±2,629</t>
  </si>
  <si>
    <t>±886</t>
  </si>
  <si>
    <t>±398</t>
  </si>
  <si>
    <t>±1,065</t>
  </si>
  <si>
    <t>±1,747</t>
  </si>
  <si>
    <t>±715</t>
  </si>
  <si>
    <t>White and American Indian and Alaska Native</t>
  </si>
  <si>
    <t>±548</t>
  </si>
  <si>
    <t>±255</t>
  </si>
  <si>
    <t>±237</t>
  </si>
  <si>
    <t>±327</t>
  </si>
  <si>
    <t>±274</t>
  </si>
  <si>
    <t>±1,034</t>
  </si>
  <si>
    <t>±182</t>
  </si>
  <si>
    <t>±465</t>
  </si>
  <si>
    <t>±413</t>
  </si>
  <si>
    <t>±642</t>
  </si>
  <si>
    <t>±1,044</t>
  </si>
  <si>
    <t>±552</t>
  </si>
  <si>
    <t>±282</t>
  </si>
  <si>
    <t>±196</t>
  </si>
  <si>
    <t>±588</t>
  </si>
  <si>
    <t>±472</t>
  </si>
  <si>
    <t>White and Asian</t>
  </si>
  <si>
    <t>±1,040</t>
  </si>
  <si>
    <t>±1,532</t>
  </si>
  <si>
    <t>±1,290</t>
  </si>
  <si>
    <t>±307</t>
  </si>
  <si>
    <t>±1,268</t>
  </si>
  <si>
    <t>±659</t>
  </si>
  <si>
    <t>±1,476</t>
  </si>
  <si>
    <t>±451</t>
  </si>
  <si>
    <t>±1,342</t>
  </si>
  <si>
    <t>±1,218</t>
  </si>
  <si>
    <t>±2,233</t>
  </si>
  <si>
    <t>±1,452</t>
  </si>
  <si>
    <t>±1,186</t>
  </si>
  <si>
    <t>±337</t>
  </si>
  <si>
    <t>±555</t>
  </si>
  <si>
    <t>Black or African American and American Indian and Alaska Native</t>
  </si>
  <si>
    <t>±303</t>
  </si>
  <si>
    <t>±836</t>
  </si>
  <si>
    <t>±646</t>
  </si>
  <si>
    <t>±898</t>
  </si>
  <si>
    <t>±408</t>
  </si>
  <si>
    <t>±330</t>
  </si>
  <si>
    <t>±485</t>
  </si>
  <si>
    <t>±799</t>
  </si>
  <si>
    <t>±569</t>
  </si>
  <si>
    <t>±339</t>
  </si>
  <si>
    <t>±575</t>
  </si>
  <si>
    <t>±1,032</t>
  </si>
  <si>
    <t>±605</t>
  </si>
  <si>
    <t>Race alone or in combination with one or more other races</t>
  </si>
  <si>
    <t>±5,520</t>
  </si>
  <si>
    <t>±2.0</t>
  </si>
  <si>
    <t>±8,454</t>
  </si>
  <si>
    <t>±4,154</t>
  </si>
  <si>
    <t>±5,039</t>
  </si>
  <si>
    <t>±2,112</t>
  </si>
  <si>
    <t>±5,674</t>
  </si>
  <si>
    <t>±3.7</t>
  </si>
  <si>
    <t>±7,715</t>
  </si>
  <si>
    <t>±3,389</t>
  </si>
  <si>
    <t>±11,044</t>
  </si>
  <si>
    <t>±1,727</t>
  </si>
  <si>
    <t>±5,911</t>
  </si>
  <si>
    <t>±8,223</t>
  </si>
  <si>
    <t>±5,856</t>
  </si>
  <si>
    <t>±5,512</t>
  </si>
  <si>
    <t>±5,819</t>
  </si>
  <si>
    <t>±8,261</t>
  </si>
  <si>
    <t>±3,846</t>
  </si>
  <si>
    <t>±2,008</t>
  </si>
  <si>
    <t>±6,953</t>
  </si>
  <si>
    <t>±1,649</t>
  </si>
  <si>
    <t>±2,004</t>
  </si>
  <si>
    <t>±4,793</t>
  </si>
  <si>
    <t>±2,076</t>
  </si>
  <si>
    <t>±2,551</t>
  </si>
  <si>
    <t>±1,072</t>
  </si>
  <si>
    <t>±3,346</t>
  </si>
  <si>
    <t>±4,152</t>
  </si>
  <si>
    <t>±1,619</t>
  </si>
  <si>
    <t>±6,150</t>
  </si>
  <si>
    <t>±3,440</t>
  </si>
  <si>
    <t>±3,928</t>
  </si>
  <si>
    <t>±3,462</t>
  </si>
  <si>
    <t>±3,002</t>
  </si>
  <si>
    <t>±1,591</t>
  </si>
  <si>
    <t>±1,952</t>
  </si>
  <si>
    <t>±3,425</t>
  </si>
  <si>
    <t>±2,340</t>
  </si>
  <si>
    <t>±3,609</t>
  </si>
  <si>
    <t>±1,738</t>
  </si>
  <si>
    <t>±589</t>
  </si>
  <si>
    <t>±1,396</t>
  </si>
  <si>
    <t>±2,153</t>
  </si>
  <si>
    <t>±632</t>
  </si>
  <si>
    <t>±2,893</t>
  </si>
  <si>
    <t>±536</t>
  </si>
  <si>
    <t>±1,498</t>
  </si>
  <si>
    <t>±3,626</t>
  </si>
  <si>
    <t>±2,356</t>
  </si>
  <si>
    <t>±2,277</t>
  </si>
  <si>
    <t>±1,903</t>
  </si>
  <si>
    <t>±1,993</t>
  </si>
  <si>
    <t>±276</t>
  </si>
  <si>
    <t>±2,318</t>
  </si>
  <si>
    <t>±1,195</t>
  </si>
  <si>
    <t>±1,708</t>
  </si>
  <si>
    <t>±1,956</t>
  </si>
  <si>
    <t>±718</t>
  </si>
  <si>
    <t>±2,168</t>
  </si>
  <si>
    <t>±698</t>
  </si>
  <si>
    <t>±1,291</t>
  </si>
  <si>
    <t>±2,284</t>
  </si>
  <si>
    <t>±903</t>
  </si>
  <si>
    <t>±2,010</t>
  </si>
  <si>
    <t>±1,356</t>
  </si>
  <si>
    <t>±545</t>
  </si>
  <si>
    <t>±858</t>
  </si>
  <si>
    <t>±643</t>
  </si>
  <si>
    <t>±751</t>
  </si>
  <si>
    <t>±224</t>
  </si>
  <si>
    <t>±1,898</t>
  </si>
  <si>
    <t>±1,159</t>
  </si>
  <si>
    <t>±1,070</t>
  </si>
  <si>
    <t>±520</t>
  </si>
  <si>
    <t>±1,315</t>
  </si>
  <si>
    <t>±3,518</t>
  </si>
  <si>
    <t>±7,758</t>
  </si>
  <si>
    <t>±4,204</t>
  </si>
  <si>
    <t>±4,744</t>
  </si>
  <si>
    <t>±3,567</t>
  </si>
  <si>
    <t>±7,590</t>
  </si>
  <si>
    <t>±2,968</t>
  </si>
  <si>
    <t>±7,461</t>
  </si>
  <si>
    <t>±1,353</t>
  </si>
  <si>
    <t>±5,752</t>
  </si>
  <si>
    <t>±7,300</t>
  </si>
  <si>
    <t>±6,046</t>
  </si>
  <si>
    <t>±3,988</t>
  </si>
  <si>
    <t>±5,583</t>
  </si>
  <si>
    <t>±6,110</t>
  </si>
  <si>
    <t>±2,663</t>
  </si>
  <si>
    <t>±1,651</t>
  </si>
  <si>
    <t>±4,493</t>
  </si>
  <si>
    <t>±2,191</t>
  </si>
  <si>
    <t>HISPANIC OR LATINO AND RACE</t>
  </si>
  <si>
    <t>Hispanic or Latino (of any race)</t>
  </si>
  <si>
    <t>Mexican</t>
  </si>
  <si>
    <t>±4,140</t>
  </si>
  <si>
    <t>±2,338</t>
  </si>
  <si>
    <t>±1,143</t>
  </si>
  <si>
    <t>±3,597</t>
  </si>
  <si>
    <t>±3,559</t>
  </si>
  <si>
    <t>±3,714</t>
  </si>
  <si>
    <t>±1,142</t>
  </si>
  <si>
    <t>±7,146</t>
  </si>
  <si>
    <t>±2,252</t>
  </si>
  <si>
    <t>±6,304</t>
  </si>
  <si>
    <t>±4,513</t>
  </si>
  <si>
    <t>±3,168</t>
  </si>
  <si>
    <t>±4,643</t>
  </si>
  <si>
    <t>±7,504</t>
  </si>
  <si>
    <t>±1,046</t>
  </si>
  <si>
    <t>±2,589</t>
  </si>
  <si>
    <t>±3,342</t>
  </si>
  <si>
    <t>±487</t>
  </si>
  <si>
    <t>Puerto Rican</t>
  </si>
  <si>
    <t>±3,672</t>
  </si>
  <si>
    <t>±5,388</t>
  </si>
  <si>
    <t>±3,308</t>
  </si>
  <si>
    <t>±4,735</t>
  </si>
  <si>
    <t>±4,158</t>
  </si>
  <si>
    <t>±6,250</t>
  </si>
  <si>
    <t>±2,257</t>
  </si>
  <si>
    <t>±6,375</t>
  </si>
  <si>
    <t>±744</t>
  </si>
  <si>
    <t>±4,650</t>
  </si>
  <si>
    <t>±5,726</t>
  </si>
  <si>
    <t>±3,322</t>
  </si>
  <si>
    <t>±4,180</t>
  </si>
  <si>
    <t>±4,711</t>
  </si>
  <si>
    <t>±2,782</t>
  </si>
  <si>
    <t>±1,141</t>
  </si>
  <si>
    <t>±4,294</t>
  </si>
  <si>
    <t>±1,441</t>
  </si>
  <si>
    <t>Cuban</t>
  </si>
  <si>
    <t>±3,923</t>
  </si>
  <si>
    <t>±648</t>
  </si>
  <si>
    <t>±1,285</t>
  </si>
  <si>
    <t>±709</t>
  </si>
  <si>
    <t>±2,514</t>
  </si>
  <si>
    <t>±376</t>
  </si>
  <si>
    <t>±4,932</t>
  </si>
  <si>
    <t>±603</t>
  </si>
  <si>
    <t>±1,242</t>
  </si>
  <si>
    <t>±1,550</t>
  </si>
  <si>
    <t>±1,990</t>
  </si>
  <si>
    <t>±1,704</t>
  </si>
  <si>
    <t>±1,250</t>
  </si>
  <si>
    <t>±2,006</t>
  </si>
  <si>
    <t>±1,395</t>
  </si>
  <si>
    <t>±3,510</t>
  </si>
  <si>
    <t>±340</t>
  </si>
  <si>
    <t>Other Hispanic or Latino</t>
  </si>
  <si>
    <t>±3,649</t>
  </si>
  <si>
    <t>±7,449</t>
  </si>
  <si>
    <t>±3,085</t>
  </si>
  <si>
    <t>±4,817</t>
  </si>
  <si>
    <t>±2,940</t>
  </si>
  <si>
    <t>±6,284</t>
  </si>
  <si>
    <t>±1,918</t>
  </si>
  <si>
    <t>±9,183</t>
  </si>
  <si>
    <t>±1,361</t>
  </si>
  <si>
    <t>±4,816</t>
  </si>
  <si>
    <t>±7,473</t>
  </si>
  <si>
    <t>±4,555</t>
  </si>
  <si>
    <t>±4,734</t>
  </si>
  <si>
    <t>±4,015</t>
  </si>
  <si>
    <t>±7,706</t>
  </si>
  <si>
    <t>±4,031</t>
  </si>
  <si>
    <t>±1,381</t>
  </si>
  <si>
    <t>±5,882</t>
  </si>
  <si>
    <t>Not Hispanic or Latino</t>
  </si>
  <si>
    <t>White alone</t>
  </si>
  <si>
    <t>±3,194</t>
  </si>
  <si>
    <t>±1,889</t>
  </si>
  <si>
    <t>±3,429</t>
  </si>
  <si>
    <t>±1,715</t>
  </si>
  <si>
    <t>±2,843</t>
  </si>
  <si>
    <t>±1,076</t>
  </si>
  <si>
    <t>±2,559</t>
  </si>
  <si>
    <t>±4,233</t>
  </si>
  <si>
    <t>±3,059</t>
  </si>
  <si>
    <t>±2,091</t>
  </si>
  <si>
    <t>±1,453</t>
  </si>
  <si>
    <t>±621</t>
  </si>
  <si>
    <t>±2,891</t>
  </si>
  <si>
    <t>Black or African American alone</t>
  </si>
  <si>
    <t>±2,234</t>
  </si>
  <si>
    <t>±2,182</t>
  </si>
  <si>
    <t>±2,615</t>
  </si>
  <si>
    <t>±2,736</t>
  </si>
  <si>
    <t>±785</t>
  </si>
  <si>
    <t>±1,826</t>
  </si>
  <si>
    <t>±6,106</t>
  </si>
  <si>
    <t>±1,919</t>
  </si>
  <si>
    <t>±2,536</t>
  </si>
  <si>
    <t>±3,172</t>
  </si>
  <si>
    <t>±2,768</t>
  </si>
  <si>
    <t>±1,718</t>
  </si>
  <si>
    <t>±1,478</t>
  </si>
  <si>
    <t>±1,048</t>
  </si>
  <si>
    <t>±1,523</t>
  </si>
  <si>
    <t>±2,796</t>
  </si>
  <si>
    <t>American Indian and Alaska Native alone</t>
  </si>
  <si>
    <t>±176</t>
  </si>
  <si>
    <t>±436</t>
  </si>
  <si>
    <t>±258</t>
  </si>
  <si>
    <t>±101</t>
  </si>
  <si>
    <t>±206</t>
  </si>
  <si>
    <t>±252</t>
  </si>
  <si>
    <t>±142</t>
  </si>
  <si>
    <t>±242</t>
  </si>
  <si>
    <t>±106</t>
  </si>
  <si>
    <t>±221</t>
  </si>
  <si>
    <t>Asian alone</t>
  </si>
  <si>
    <t>±1,055</t>
  </si>
  <si>
    <t>±2,618</t>
  </si>
  <si>
    <t>±1,002</t>
  </si>
  <si>
    <t>±2,533</t>
  </si>
  <si>
    <t>±2,931</t>
  </si>
  <si>
    <t>±1,237</t>
  </si>
  <si>
    <t>±2,321</t>
  </si>
  <si>
    <t>±1,563</t>
  </si>
  <si>
    <t>Native Hawaiian and Other Pacific Islander alone</t>
  </si>
  <si>
    <t>±97</t>
  </si>
  <si>
    <t>±128</t>
  </si>
  <si>
    <t>Some other race alone</t>
  </si>
  <si>
    <t>±2,333</t>
  </si>
  <si>
    <t>±2,865</t>
  </si>
  <si>
    <t>±1,965</t>
  </si>
  <si>
    <t>±1,462</t>
  </si>
  <si>
    <t>±3,725</t>
  </si>
  <si>
    <t>±1,810</t>
  </si>
  <si>
    <t>±2,697</t>
  </si>
  <si>
    <t>±657</t>
  </si>
  <si>
    <t>±2,330</t>
  </si>
  <si>
    <t>±2,546</t>
  </si>
  <si>
    <t>±2,755</t>
  </si>
  <si>
    <t>±1,262</t>
  </si>
  <si>
    <t>±75</t>
  </si>
  <si>
    <t>±1,175</t>
  </si>
  <si>
    <t>±813</t>
  </si>
  <si>
    <t>±2,325</t>
  </si>
  <si>
    <t>±342</t>
  </si>
  <si>
    <t>±3,742</t>
  </si>
  <si>
    <t>±3,811</t>
  </si>
  <si>
    <t>±3,051</t>
  </si>
  <si>
    <t>±991</t>
  </si>
  <si>
    <t>±6,140</t>
  </si>
  <si>
    <t>±2,145</t>
  </si>
  <si>
    <t>±4,123</t>
  </si>
  <si>
    <t>±2,248</t>
  </si>
  <si>
    <t>±4,968</t>
  </si>
  <si>
    <t>±4,531</t>
  </si>
  <si>
    <t>±3,179</t>
  </si>
  <si>
    <t>±2,591</t>
  </si>
  <si>
    <t>±1,820</t>
  </si>
  <si>
    <t>±909</t>
  </si>
  <si>
    <t>±2,111</t>
  </si>
  <si>
    <t>±1,580</t>
  </si>
  <si>
    <t>±3,283</t>
  </si>
  <si>
    <t>±1,627</t>
  </si>
  <si>
    <t>Two races including Some other race</t>
  </si>
  <si>
    <t>±631</t>
  </si>
  <si>
    <t>±2,235</t>
  </si>
  <si>
    <t>±2,666</t>
  </si>
  <si>
    <t>±390</t>
  </si>
  <si>
    <t>±568</t>
  </si>
  <si>
    <t>±4,632</t>
  </si>
  <si>
    <t>±2,725</t>
  </si>
  <si>
    <t>±857</t>
  </si>
  <si>
    <t>±1,003</t>
  </si>
  <si>
    <t>±3,104</t>
  </si>
  <si>
    <t>±3,083</t>
  </si>
  <si>
    <t>±2,279</t>
  </si>
  <si>
    <t>±1,913</t>
  </si>
  <si>
    <t>±752</t>
  </si>
  <si>
    <t>±682</t>
  </si>
  <si>
    <t>±1,266</t>
  </si>
  <si>
    <t>±1,001</t>
  </si>
  <si>
    <t>±2,404</t>
  </si>
  <si>
    <t>Two races excluding Some other race, and Three or more races</t>
  </si>
  <si>
    <t>±2,436</t>
  </si>
  <si>
    <t>±2,994</t>
  </si>
  <si>
    <t>±2,654</t>
  </si>
  <si>
    <t>±2,432</t>
  </si>
  <si>
    <t>±897</t>
  </si>
  <si>
    <t>±3,531</t>
  </si>
  <si>
    <t>±1,917</t>
  </si>
  <si>
    <t>±3,151</t>
  </si>
  <si>
    <t>±2,002</t>
  </si>
  <si>
    <t>±3,245</t>
  </si>
  <si>
    <t>±2,822</t>
  </si>
  <si>
    <t>±2,030</t>
  </si>
  <si>
    <t>±1,681</t>
  </si>
  <si>
    <t>±600</t>
  </si>
  <si>
    <t>±1,695</t>
  </si>
  <si>
    <t>±1,168</t>
  </si>
  <si>
    <t>±798</t>
  </si>
  <si>
    <t>Total housing units</t>
  </si>
  <si>
    <t>±387</t>
  </si>
  <si>
    <t>±529</t>
  </si>
  <si>
    <t>±681</t>
  </si>
  <si>
    <t>±1,546</t>
  </si>
  <si>
    <t>±1,229</t>
  </si>
  <si>
    <t>±1,128</t>
  </si>
  <si>
    <t>±846</t>
  </si>
  <si>
    <t>±1,152</t>
  </si>
  <si>
    <t>±990</t>
  </si>
  <si>
    <t>±908</t>
  </si>
  <si>
    <t>±510</t>
  </si>
  <si>
    <t>±409</t>
  </si>
  <si>
    <t>CITIZEN, VOTING AGE POPULATION</t>
  </si>
  <si>
    <t>Citizen, 18 and over population</t>
  </si>
  <si>
    <t>±3,249</t>
  </si>
  <si>
    <t>±6,691</t>
  </si>
  <si>
    <t>±2,633</t>
  </si>
  <si>
    <t>±3,684</t>
  </si>
  <si>
    <t>±2,299</t>
  </si>
  <si>
    <t>±7,267</t>
  </si>
  <si>
    <t>±1,259</t>
  </si>
  <si>
    <t>±7,344</t>
  </si>
  <si>
    <t>±1,253</t>
  </si>
  <si>
    <t>±3,652</t>
  </si>
  <si>
    <t>±7,084</t>
  </si>
  <si>
    <t>±3,906</t>
  </si>
  <si>
    <t>±3,989</t>
  </si>
  <si>
    <t>±3,363</t>
  </si>
  <si>
    <t>±5,472</t>
  </si>
  <si>
    <t>±3,149</t>
  </si>
  <si>
    <t>±851</t>
  </si>
  <si>
    <t>±5,797</t>
  </si>
  <si>
    <t>±1,174</t>
  </si>
  <si>
    <t>±1,863</t>
  </si>
  <si>
    <t>±4,083</t>
  </si>
  <si>
    <t>±789</t>
  </si>
  <si>
    <t>±4,613</t>
  </si>
  <si>
    <t>±843</t>
  </si>
  <si>
    <t>±4,472</t>
  </si>
  <si>
    <t>±1,029</t>
  </si>
  <si>
    <t>±2,190</t>
  </si>
  <si>
    <t>±4,016</t>
  </si>
  <si>
    <t>±2,224</t>
  </si>
  <si>
    <t>±2,544</t>
  </si>
  <si>
    <t>±2,018</t>
  </si>
  <si>
    <t>±3,335</t>
  </si>
  <si>
    <t>±1,900</t>
  </si>
  <si>
    <t>±572</t>
  </si>
  <si>
    <t>±3,850</t>
  </si>
  <si>
    <t>±817</t>
  </si>
  <si>
    <t>±2,079</t>
  </si>
  <si>
    <t>±3,796</t>
  </si>
  <si>
    <t>±1,775</t>
  </si>
  <si>
    <t>±2,138</t>
  </si>
  <si>
    <t>±1,219</t>
  </si>
  <si>
    <t>±4,034</t>
  </si>
  <si>
    <t>±741</t>
  </si>
  <si>
    <t>±4,495</t>
  </si>
  <si>
    <t>±1,045</t>
  </si>
  <si>
    <t>±2,507</t>
  </si>
  <si>
    <t>±4,205</t>
  </si>
  <si>
    <t>±2,345</t>
  </si>
  <si>
    <t>±2,315</t>
  </si>
  <si>
    <t>±2,207</t>
  </si>
  <si>
    <t>±3,098</t>
  </si>
  <si>
    <t>±1,923</t>
  </si>
  <si>
    <t>±515</t>
  </si>
  <si>
    <t>±2,792</t>
  </si>
  <si>
    <t>±1,114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</si>
</sst>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2"/>
  <sheetViews>
    <sheetView topLeftCell="A34" workbookViewId="0">
      <selection activeCell="A42" sqref="A42"/>
    </sheetView>
  </sheetViews>
  <sheetFormatPr defaultRowHeight="14.4" x14ac:dyDescent="0.3"/>
  <cols>
    <col min="1" max="1" width="25" style="1" customWidth="1"/>
    <col min="2" max="2" width="80" style="1" customWidth="1"/>
    <col min="3" max="3" width="20" customWidth="1"/>
  </cols>
  <sheetData>
    <row r="1" spans="1:3" ht="48" customHeight="1" x14ac:dyDescent="0.3">
      <c r="A1" s="10" t="s">
        <v>0</v>
      </c>
      <c r="B1" s="10"/>
      <c r="C1" s="2"/>
    </row>
    <row r="2" spans="1:3" x14ac:dyDescent="0.3">
      <c r="A2" s="11"/>
      <c r="B2" s="11"/>
      <c r="C2" s="11"/>
    </row>
    <row r="3" spans="1:3" x14ac:dyDescent="0.3">
      <c r="A3" s="12" t="s">
        <v>1</v>
      </c>
      <c r="B3" s="12"/>
      <c r="C3" s="12"/>
    </row>
    <row r="4" spans="1:3" x14ac:dyDescent="0.3">
      <c r="A4" s="11"/>
      <c r="B4" s="11"/>
      <c r="C4" s="11"/>
    </row>
    <row r="5" spans="1:3" ht="12.75" customHeight="1" x14ac:dyDescent="0.3">
      <c r="A5" s="3" t="s">
        <v>2</v>
      </c>
      <c r="B5" s="11" t="s">
        <v>3</v>
      </c>
      <c r="C5" s="11"/>
    </row>
    <row r="6" spans="1:3" ht="12.75" customHeight="1" x14ac:dyDescent="0.3">
      <c r="A6" s="1" t="s">
        <v>4</v>
      </c>
      <c r="B6" s="11" t="s">
        <v>5</v>
      </c>
      <c r="C6" s="11"/>
    </row>
    <row r="7" spans="1:3" ht="12.75" customHeight="1" x14ac:dyDescent="0.3">
      <c r="A7" s="1" t="s">
        <v>6</v>
      </c>
      <c r="B7" s="11" t="s">
        <v>7</v>
      </c>
      <c r="C7" s="11"/>
    </row>
    <row r="8" spans="1:3" ht="12.75" customHeight="1" x14ac:dyDescent="0.3">
      <c r="A8" s="1" t="s">
        <v>8</v>
      </c>
      <c r="B8" s="11" t="s">
        <v>9</v>
      </c>
      <c r="C8" s="11"/>
    </row>
    <row r="9" spans="1:3" ht="12.75" customHeight="1" x14ac:dyDescent="0.3">
      <c r="A9" s="1" t="s">
        <v>10</v>
      </c>
      <c r="B9" s="11" t="s">
        <v>11</v>
      </c>
      <c r="C9" s="11"/>
    </row>
    <row r="10" spans="1:3" ht="12.75" customHeight="1" x14ac:dyDescent="0.3">
      <c r="A10" s="1" t="s">
        <v>12</v>
      </c>
      <c r="B10" s="11" t="s">
        <v>13</v>
      </c>
      <c r="C10" s="11"/>
    </row>
    <row r="11" spans="1:3" ht="12.75" customHeight="1" x14ac:dyDescent="0.3">
      <c r="A11" s="1" t="s">
        <v>14</v>
      </c>
      <c r="B11" s="11" t="s">
        <v>15</v>
      </c>
      <c r="C11" s="11"/>
    </row>
    <row r="12" spans="1:3" ht="12.75" customHeight="1" x14ac:dyDescent="0.3">
      <c r="A12" s="1" t="s">
        <v>16</v>
      </c>
      <c r="B12" s="11" t="s">
        <v>15</v>
      </c>
      <c r="C12" s="11"/>
    </row>
    <row r="13" spans="1:3" ht="12.75" customHeight="1" x14ac:dyDescent="0.3">
      <c r="A13" s="1" t="s">
        <v>17</v>
      </c>
      <c r="B13" s="11" t="s">
        <v>18</v>
      </c>
      <c r="C13" s="11"/>
    </row>
    <row r="14" spans="1:3" x14ac:dyDescent="0.3">
      <c r="A14" s="11"/>
      <c r="B14" s="11"/>
      <c r="C14" s="11"/>
    </row>
    <row r="15" spans="1:3" ht="12.75" customHeight="1" x14ac:dyDescent="0.3">
      <c r="A15" s="3" t="s">
        <v>19</v>
      </c>
      <c r="B15" s="11" t="s">
        <v>3</v>
      </c>
      <c r="C15" s="11"/>
    </row>
    <row r="16" spans="1:3" ht="12.75" customHeight="1" x14ac:dyDescent="0.3">
      <c r="A16" s="1" t="s">
        <v>20</v>
      </c>
      <c r="B16" s="11" t="s">
        <v>21</v>
      </c>
      <c r="C16" s="11"/>
    </row>
    <row r="17" spans="1:3" ht="12.75" customHeight="1" x14ac:dyDescent="0.3">
      <c r="A17" s="1" t="s">
        <v>22</v>
      </c>
      <c r="B17" s="11" t="s">
        <v>23</v>
      </c>
      <c r="C17" s="11"/>
    </row>
    <row r="18" spans="1:3" x14ac:dyDescent="0.3">
      <c r="A18" s="11"/>
      <c r="B18" s="11"/>
      <c r="C18" s="11"/>
    </row>
    <row r="19" spans="1:3" ht="12.75" customHeight="1" x14ac:dyDescent="0.3">
      <c r="A19" s="3" t="s">
        <v>24</v>
      </c>
      <c r="B19" s="11" t="s">
        <v>15</v>
      </c>
      <c r="C19" s="11"/>
    </row>
    <row r="20" spans="1:3" x14ac:dyDescent="0.3">
      <c r="A20" s="11"/>
      <c r="B20" s="11"/>
      <c r="C20" s="11"/>
    </row>
    <row r="21" spans="1:3" ht="12.75" customHeight="1" x14ac:dyDescent="0.3">
      <c r="A21" s="3" t="s">
        <v>25</v>
      </c>
      <c r="B21" s="11" t="s">
        <v>15</v>
      </c>
      <c r="C21" s="11"/>
    </row>
    <row r="22" spans="1:3" x14ac:dyDescent="0.3">
      <c r="A22" s="11"/>
      <c r="B22" s="11"/>
      <c r="C22" s="11"/>
    </row>
    <row r="23" spans="1:3" ht="12.75" customHeight="1" x14ac:dyDescent="0.3">
      <c r="A23" s="3" t="s">
        <v>26</v>
      </c>
      <c r="B23" s="11" t="s">
        <v>15</v>
      </c>
      <c r="C23" s="11"/>
    </row>
    <row r="24" spans="1:3" x14ac:dyDescent="0.3">
      <c r="A24" s="11"/>
      <c r="B24" s="11"/>
      <c r="C24" s="11"/>
    </row>
    <row r="25" spans="1:3" ht="12.75" customHeight="1" x14ac:dyDescent="0.3">
      <c r="A25" s="3" t="s">
        <v>27</v>
      </c>
      <c r="B25" s="11" t="s">
        <v>15</v>
      </c>
      <c r="C25" s="11"/>
    </row>
    <row r="26" spans="1:3" x14ac:dyDescent="0.3">
      <c r="A26" s="11"/>
      <c r="B26" s="11"/>
      <c r="C26" s="11"/>
    </row>
    <row r="27" spans="1:3" ht="25.65" customHeight="1" x14ac:dyDescent="0.3">
      <c r="A27" s="3" t="s">
        <v>28</v>
      </c>
      <c r="B27" s="11" t="s">
        <v>29</v>
      </c>
      <c r="C27" s="11"/>
    </row>
    <row r="28" spans="1:3" x14ac:dyDescent="0.3">
      <c r="A28" s="11"/>
      <c r="B28" s="11"/>
      <c r="C28" s="11"/>
    </row>
    <row r="29" spans="1:3" ht="51.15" customHeight="1" x14ac:dyDescent="0.3">
      <c r="A29" s="3" t="s">
        <v>30</v>
      </c>
      <c r="B29" s="11" t="s">
        <v>31</v>
      </c>
      <c r="C29" s="11"/>
    </row>
    <row r="30" spans="1:3" ht="89.55" customHeight="1" x14ac:dyDescent="0.3">
      <c r="A30" s="1" t="s">
        <v>3</v>
      </c>
      <c r="B30" s="11" t="s">
        <v>32</v>
      </c>
      <c r="C30" s="11"/>
    </row>
    <row r="31" spans="1:3" ht="25.65" customHeight="1" x14ac:dyDescent="0.3">
      <c r="A31" s="1" t="s">
        <v>3</v>
      </c>
      <c r="B31" s="11" t="s">
        <v>33</v>
      </c>
      <c r="C31" s="11"/>
    </row>
    <row r="32" spans="1:3" ht="89.55" customHeight="1" x14ac:dyDescent="0.3">
      <c r="A32" s="1" t="s">
        <v>3</v>
      </c>
      <c r="B32" s="11" t="s">
        <v>34</v>
      </c>
      <c r="C32" s="11"/>
    </row>
    <row r="33" spans="1:3" ht="38.4" customHeight="1" x14ac:dyDescent="0.3">
      <c r="A33" s="1" t="s">
        <v>3</v>
      </c>
      <c r="B33" s="11" t="s">
        <v>35</v>
      </c>
      <c r="C33" s="11"/>
    </row>
    <row r="34" spans="1:3" ht="38.4" customHeight="1" x14ac:dyDescent="0.3">
      <c r="A34" s="1" t="s">
        <v>3</v>
      </c>
      <c r="B34" s="11" t="s">
        <v>36</v>
      </c>
      <c r="C34" s="11"/>
    </row>
    <row r="35" spans="1:3" ht="51.15" customHeight="1" x14ac:dyDescent="0.3">
      <c r="A35" s="1" t="s">
        <v>3</v>
      </c>
      <c r="B35" s="11" t="s">
        <v>37</v>
      </c>
      <c r="C35" s="11"/>
    </row>
    <row r="36" spans="1:3" ht="38.4" customHeight="1" x14ac:dyDescent="0.3">
      <c r="A36" s="1" t="s">
        <v>3</v>
      </c>
      <c r="B36" s="11" t="s">
        <v>38</v>
      </c>
      <c r="C36" s="11"/>
    </row>
    <row r="37" spans="1:3" ht="153.6" customHeight="1" x14ac:dyDescent="0.3">
      <c r="A37" s="1" t="s">
        <v>3</v>
      </c>
      <c r="B37" s="11" t="s">
        <v>39</v>
      </c>
      <c r="C37" s="11"/>
    </row>
    <row r="38" spans="1:3" x14ac:dyDescent="0.3">
      <c r="A38" s="11"/>
      <c r="B38" s="11"/>
      <c r="C38" s="11"/>
    </row>
    <row r="39" spans="1:3" ht="12.75" customHeight="1" x14ac:dyDescent="0.3">
      <c r="A39" s="3" t="s">
        <v>40</v>
      </c>
      <c r="B39" s="11" t="s">
        <v>15</v>
      </c>
      <c r="C39" s="11"/>
    </row>
    <row r="40" spans="1:3" x14ac:dyDescent="0.3">
      <c r="A40" s="11"/>
      <c r="B40" s="11"/>
      <c r="C40" s="11"/>
    </row>
    <row r="42" spans="1:3" x14ac:dyDescent="0.3">
      <c r="A42" s="1">
        <f>1</f>
        <v>1</v>
      </c>
    </row>
  </sheetData>
  <mergeCells count="40">
    <mergeCell ref="B36:C36"/>
    <mergeCell ref="B37:C37"/>
    <mergeCell ref="A38:C38"/>
    <mergeCell ref="B39:C39"/>
    <mergeCell ref="A40:C40"/>
    <mergeCell ref="B31:C31"/>
    <mergeCell ref="B32:C32"/>
    <mergeCell ref="B33:C33"/>
    <mergeCell ref="B34:C34"/>
    <mergeCell ref="B35:C35"/>
    <mergeCell ref="A26:C26"/>
    <mergeCell ref="B27:C27"/>
    <mergeCell ref="A28:C28"/>
    <mergeCell ref="B29:C29"/>
    <mergeCell ref="B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96"/>
  <sheetViews>
    <sheetView tabSelected="1" workbookViewId="0">
      <pane xSplit="1" ySplit="2" topLeftCell="B4" activePane="bottomRight" state="frozen"/>
      <selection pane="topRight"/>
      <selection pane="bottomLeft"/>
      <selection pane="bottomRight" activeCell="C13" sqref="C13"/>
    </sheetView>
  </sheetViews>
  <sheetFormatPr defaultRowHeight="14.4" x14ac:dyDescent="0.3"/>
  <cols>
    <col min="1" max="1" width="30" style="4" customWidth="1"/>
    <col min="2" max="85" width="20" style="4" customWidth="1"/>
  </cols>
  <sheetData>
    <row r="1" spans="1:85" ht="30" customHeight="1" x14ac:dyDescent="0.3">
      <c r="A1" s="5" t="s">
        <v>3</v>
      </c>
      <c r="B1" s="13" t="s">
        <v>41</v>
      </c>
      <c r="C1" s="13"/>
      <c r="D1" s="13"/>
      <c r="E1" s="13"/>
      <c r="F1" s="13" t="s">
        <v>42</v>
      </c>
      <c r="G1" s="13"/>
      <c r="H1" s="13"/>
      <c r="I1" s="13"/>
      <c r="J1" s="13" t="s">
        <v>43</v>
      </c>
      <c r="K1" s="13"/>
      <c r="L1" s="13"/>
      <c r="M1" s="13"/>
      <c r="N1" s="13" t="s">
        <v>44</v>
      </c>
      <c r="O1" s="13"/>
      <c r="P1" s="13"/>
      <c r="Q1" s="13"/>
      <c r="R1" s="13" t="s">
        <v>45</v>
      </c>
      <c r="S1" s="13"/>
      <c r="T1" s="13"/>
      <c r="U1" s="13"/>
      <c r="V1" s="13" t="s">
        <v>46</v>
      </c>
      <c r="W1" s="13"/>
      <c r="X1" s="13"/>
      <c r="Y1" s="13"/>
      <c r="Z1" s="13" t="s">
        <v>47</v>
      </c>
      <c r="AA1" s="13"/>
      <c r="AB1" s="13"/>
      <c r="AC1" s="13"/>
      <c r="AD1" s="13" t="s">
        <v>48</v>
      </c>
      <c r="AE1" s="13"/>
      <c r="AF1" s="13"/>
      <c r="AG1" s="13"/>
      <c r="AH1" s="13" t="s">
        <v>49</v>
      </c>
      <c r="AI1" s="13"/>
      <c r="AJ1" s="13"/>
      <c r="AK1" s="13"/>
      <c r="AL1" s="13" t="s">
        <v>50</v>
      </c>
      <c r="AM1" s="13"/>
      <c r="AN1" s="13"/>
      <c r="AO1" s="13"/>
      <c r="AP1" s="13" t="s">
        <v>51</v>
      </c>
      <c r="AQ1" s="13"/>
      <c r="AR1" s="13"/>
      <c r="AS1" s="13"/>
      <c r="AT1" s="13" t="s">
        <v>52</v>
      </c>
      <c r="AU1" s="13"/>
      <c r="AV1" s="13"/>
      <c r="AW1" s="13"/>
      <c r="AX1" s="13" t="s">
        <v>53</v>
      </c>
      <c r="AY1" s="13"/>
      <c r="AZ1" s="13"/>
      <c r="BA1" s="13"/>
      <c r="BB1" s="13" t="s">
        <v>54</v>
      </c>
      <c r="BC1" s="13"/>
      <c r="BD1" s="13"/>
      <c r="BE1" s="13"/>
      <c r="BF1" s="13" t="s">
        <v>55</v>
      </c>
      <c r="BG1" s="13"/>
      <c r="BH1" s="13"/>
      <c r="BI1" s="13"/>
      <c r="BJ1" s="13" t="s">
        <v>56</v>
      </c>
      <c r="BK1" s="13"/>
      <c r="BL1" s="13"/>
      <c r="BM1" s="13"/>
      <c r="BN1" s="13" t="s">
        <v>57</v>
      </c>
      <c r="BO1" s="13"/>
      <c r="BP1" s="13"/>
      <c r="BQ1" s="13"/>
      <c r="BR1" s="13" t="s">
        <v>58</v>
      </c>
      <c r="BS1" s="13"/>
      <c r="BT1" s="13"/>
      <c r="BU1" s="13"/>
      <c r="BV1" s="13" t="s">
        <v>59</v>
      </c>
      <c r="BW1" s="13"/>
      <c r="BX1" s="13"/>
      <c r="BY1" s="13"/>
      <c r="BZ1" s="13" t="s">
        <v>60</v>
      </c>
      <c r="CA1" s="13"/>
      <c r="CB1" s="13"/>
      <c r="CC1" s="13"/>
      <c r="CD1" s="13" t="s">
        <v>61</v>
      </c>
      <c r="CE1" s="13"/>
      <c r="CF1" s="13"/>
      <c r="CG1" s="13"/>
    </row>
    <row r="2" spans="1:85" ht="30" customHeight="1" x14ac:dyDescent="0.3">
      <c r="A2" s="5" t="s">
        <v>62</v>
      </c>
      <c r="B2" s="5" t="s">
        <v>63</v>
      </c>
      <c r="C2" s="5" t="s">
        <v>64</v>
      </c>
      <c r="D2" s="5" t="s">
        <v>65</v>
      </c>
      <c r="E2" s="5" t="s">
        <v>66</v>
      </c>
      <c r="F2" s="5" t="s">
        <v>63</v>
      </c>
      <c r="G2" s="5" t="s">
        <v>64</v>
      </c>
      <c r="H2" s="5" t="s">
        <v>65</v>
      </c>
      <c r="I2" s="5" t="s">
        <v>66</v>
      </c>
      <c r="J2" s="5" t="s">
        <v>63</v>
      </c>
      <c r="K2" s="5" t="s">
        <v>64</v>
      </c>
      <c r="L2" s="5" t="s">
        <v>65</v>
      </c>
      <c r="M2" s="5" t="s">
        <v>66</v>
      </c>
      <c r="N2" s="5" t="s">
        <v>63</v>
      </c>
      <c r="O2" s="5" t="s">
        <v>64</v>
      </c>
      <c r="P2" s="5" t="s">
        <v>65</v>
      </c>
      <c r="Q2" s="5" t="s">
        <v>66</v>
      </c>
      <c r="R2" s="5" t="s">
        <v>63</v>
      </c>
      <c r="S2" s="5" t="s">
        <v>64</v>
      </c>
      <c r="T2" s="5" t="s">
        <v>65</v>
      </c>
      <c r="U2" s="5" t="s">
        <v>66</v>
      </c>
      <c r="V2" s="5" t="s">
        <v>63</v>
      </c>
      <c r="W2" s="5" t="s">
        <v>64</v>
      </c>
      <c r="X2" s="5" t="s">
        <v>65</v>
      </c>
      <c r="Y2" s="5" t="s">
        <v>66</v>
      </c>
      <c r="Z2" s="5" t="s">
        <v>63</v>
      </c>
      <c r="AA2" s="5" t="s">
        <v>64</v>
      </c>
      <c r="AB2" s="5" t="s">
        <v>65</v>
      </c>
      <c r="AC2" s="5" t="s">
        <v>66</v>
      </c>
      <c r="AD2" s="5" t="s">
        <v>63</v>
      </c>
      <c r="AE2" s="5" t="s">
        <v>64</v>
      </c>
      <c r="AF2" s="5" t="s">
        <v>65</v>
      </c>
      <c r="AG2" s="5" t="s">
        <v>66</v>
      </c>
      <c r="AH2" s="5" t="s">
        <v>63</v>
      </c>
      <c r="AI2" s="5" t="s">
        <v>64</v>
      </c>
      <c r="AJ2" s="5" t="s">
        <v>65</v>
      </c>
      <c r="AK2" s="5" t="s">
        <v>66</v>
      </c>
      <c r="AL2" s="5" t="s">
        <v>63</v>
      </c>
      <c r="AM2" s="5" t="s">
        <v>64</v>
      </c>
      <c r="AN2" s="5" t="s">
        <v>65</v>
      </c>
      <c r="AO2" s="5" t="s">
        <v>66</v>
      </c>
      <c r="AP2" s="5" t="s">
        <v>63</v>
      </c>
      <c r="AQ2" s="5" t="s">
        <v>64</v>
      </c>
      <c r="AR2" s="5" t="s">
        <v>65</v>
      </c>
      <c r="AS2" s="5" t="s">
        <v>66</v>
      </c>
      <c r="AT2" s="5" t="s">
        <v>63</v>
      </c>
      <c r="AU2" s="5" t="s">
        <v>64</v>
      </c>
      <c r="AV2" s="5" t="s">
        <v>65</v>
      </c>
      <c r="AW2" s="5" t="s">
        <v>66</v>
      </c>
      <c r="AX2" s="5" t="s">
        <v>63</v>
      </c>
      <c r="AY2" s="5" t="s">
        <v>64</v>
      </c>
      <c r="AZ2" s="5" t="s">
        <v>65</v>
      </c>
      <c r="BA2" s="5" t="s">
        <v>66</v>
      </c>
      <c r="BB2" s="5" t="s">
        <v>63</v>
      </c>
      <c r="BC2" s="5" t="s">
        <v>64</v>
      </c>
      <c r="BD2" s="5" t="s">
        <v>65</v>
      </c>
      <c r="BE2" s="5" t="s">
        <v>66</v>
      </c>
      <c r="BF2" s="5" t="s">
        <v>63</v>
      </c>
      <c r="BG2" s="5" t="s">
        <v>64</v>
      </c>
      <c r="BH2" s="5" t="s">
        <v>65</v>
      </c>
      <c r="BI2" s="5" t="s">
        <v>66</v>
      </c>
      <c r="BJ2" s="5" t="s">
        <v>63</v>
      </c>
      <c r="BK2" s="5" t="s">
        <v>64</v>
      </c>
      <c r="BL2" s="5" t="s">
        <v>65</v>
      </c>
      <c r="BM2" s="5" t="s">
        <v>66</v>
      </c>
      <c r="BN2" s="5" t="s">
        <v>63</v>
      </c>
      <c r="BO2" s="5" t="s">
        <v>64</v>
      </c>
      <c r="BP2" s="5" t="s">
        <v>65</v>
      </c>
      <c r="BQ2" s="5" t="s">
        <v>66</v>
      </c>
      <c r="BR2" s="5" t="s">
        <v>63</v>
      </c>
      <c r="BS2" s="5" t="s">
        <v>64</v>
      </c>
      <c r="BT2" s="5" t="s">
        <v>65</v>
      </c>
      <c r="BU2" s="5" t="s">
        <v>66</v>
      </c>
      <c r="BV2" s="5" t="s">
        <v>63</v>
      </c>
      <c r="BW2" s="5" t="s">
        <v>64</v>
      </c>
      <c r="BX2" s="5" t="s">
        <v>65</v>
      </c>
      <c r="BY2" s="5" t="s">
        <v>66</v>
      </c>
      <c r="BZ2" s="5" t="s">
        <v>63</v>
      </c>
      <c r="CA2" s="5" t="s">
        <v>64</v>
      </c>
      <c r="CB2" s="5" t="s">
        <v>65</v>
      </c>
      <c r="CC2" s="5" t="s">
        <v>66</v>
      </c>
      <c r="CD2" s="5" t="s">
        <v>63</v>
      </c>
      <c r="CE2" s="5" t="s">
        <v>64</v>
      </c>
      <c r="CF2" s="5" t="s">
        <v>65</v>
      </c>
      <c r="CG2" s="5" t="s">
        <v>66</v>
      </c>
    </row>
    <row r="3" spans="1:85" x14ac:dyDescent="0.3">
      <c r="A3" s="4" t="s">
        <v>67</v>
      </c>
    </row>
    <row r="4" spans="1:85" x14ac:dyDescent="0.3">
      <c r="A4" s="6" t="s">
        <v>68</v>
      </c>
      <c r="B4" s="1">
        <f>274966*(1)</f>
        <v>274966</v>
      </c>
      <c r="C4" s="1" t="s">
        <v>69</v>
      </c>
      <c r="D4" s="1">
        <f>274966*(1)</f>
        <v>274966</v>
      </c>
      <c r="E4" s="1" t="s">
        <v>70</v>
      </c>
      <c r="F4" s="1">
        <f>953819*(1)</f>
        <v>953819</v>
      </c>
      <c r="G4" s="1" t="s">
        <v>69</v>
      </c>
      <c r="H4" s="1">
        <f>953819*(1)</f>
        <v>953819</v>
      </c>
      <c r="I4" s="1" t="s">
        <v>70</v>
      </c>
      <c r="J4" s="1">
        <f>464269*(1)</f>
        <v>464269</v>
      </c>
      <c r="K4" s="1" t="s">
        <v>69</v>
      </c>
      <c r="L4" s="1">
        <f>464269*(1)</f>
        <v>464269</v>
      </c>
      <c r="M4" s="1" t="s">
        <v>70</v>
      </c>
      <c r="N4" s="1">
        <f>523771*(1)</f>
        <v>523771</v>
      </c>
      <c r="O4" s="1" t="s">
        <v>69</v>
      </c>
      <c r="P4" s="1">
        <f>523771*(1)</f>
        <v>523771</v>
      </c>
      <c r="Q4" s="1" t="s">
        <v>70</v>
      </c>
      <c r="R4" s="1">
        <f>95661*(1)</f>
        <v>95661</v>
      </c>
      <c r="S4" s="1" t="s">
        <v>69</v>
      </c>
      <c r="T4" s="1">
        <f>95661*(1)</f>
        <v>95661</v>
      </c>
      <c r="U4" s="1" t="s">
        <v>70</v>
      </c>
      <c r="V4" s="1">
        <f>153627*(1)</f>
        <v>153627</v>
      </c>
      <c r="W4" s="1" t="s">
        <v>69</v>
      </c>
      <c r="X4" s="1">
        <f>153627*(1)</f>
        <v>153627</v>
      </c>
      <c r="Y4" s="1" t="s">
        <v>70</v>
      </c>
      <c r="Z4" s="1">
        <f>854917*(1)</f>
        <v>854917</v>
      </c>
      <c r="AA4" s="1" t="s">
        <v>69</v>
      </c>
      <c r="AB4" s="1">
        <f>854917*(1)</f>
        <v>854917</v>
      </c>
      <c r="AC4" s="1" t="s">
        <v>70</v>
      </c>
      <c r="AD4" s="1">
        <f>304477*(1)</f>
        <v>304477</v>
      </c>
      <c r="AE4" s="1" t="s">
        <v>69</v>
      </c>
      <c r="AF4" s="1">
        <f>304477*(1)</f>
        <v>304477</v>
      </c>
      <c r="AG4" s="1" t="s">
        <v>70</v>
      </c>
      <c r="AH4" s="1">
        <f>702463*(1)</f>
        <v>702463</v>
      </c>
      <c r="AI4" s="1" t="s">
        <v>69</v>
      </c>
      <c r="AJ4" s="1">
        <f>702463*(1)</f>
        <v>702463</v>
      </c>
      <c r="AK4" s="1" t="s">
        <v>70</v>
      </c>
      <c r="AL4" s="1">
        <f>129924*(1)</f>
        <v>129924</v>
      </c>
      <c r="AM4" s="1" t="s">
        <v>69</v>
      </c>
      <c r="AN4" s="1">
        <f>129924*(1)</f>
        <v>129924</v>
      </c>
      <c r="AO4" s="1" t="s">
        <v>70</v>
      </c>
      <c r="AP4" s="1">
        <f>385898*(1)</f>
        <v>385898</v>
      </c>
      <c r="AQ4" s="1" t="s">
        <v>69</v>
      </c>
      <c r="AR4" s="1">
        <f>385898*(1)</f>
        <v>385898</v>
      </c>
      <c r="AS4" s="1" t="s">
        <v>70</v>
      </c>
      <c r="AT4" s="1">
        <f>860807*(1)</f>
        <v>860807</v>
      </c>
      <c r="AU4" s="1" t="s">
        <v>69</v>
      </c>
      <c r="AV4" s="1">
        <f>860807*(1)</f>
        <v>860807</v>
      </c>
      <c r="AW4" s="1" t="s">
        <v>70</v>
      </c>
      <c r="AX4" s="1">
        <f>645354*(1)</f>
        <v>645354</v>
      </c>
      <c r="AY4" s="1" t="s">
        <v>69</v>
      </c>
      <c r="AZ4" s="1">
        <f>645354*(1)</f>
        <v>645354</v>
      </c>
      <c r="BA4" s="1" t="s">
        <v>70</v>
      </c>
      <c r="BB4" s="1">
        <f>510981*(1)</f>
        <v>510981</v>
      </c>
      <c r="BC4" s="1" t="s">
        <v>69</v>
      </c>
      <c r="BD4" s="1">
        <f>510981*(1)</f>
        <v>510981</v>
      </c>
      <c r="BE4" s="1" t="s">
        <v>70</v>
      </c>
      <c r="BF4" s="1">
        <f>648998*(1)</f>
        <v>648998</v>
      </c>
      <c r="BG4" s="1" t="s">
        <v>69</v>
      </c>
      <c r="BH4" s="1">
        <f>648998*(1)</f>
        <v>648998</v>
      </c>
      <c r="BI4" s="1" t="s">
        <v>70</v>
      </c>
      <c r="BJ4" s="1">
        <f>518117*(1)</f>
        <v>518117</v>
      </c>
      <c r="BK4" s="1" t="s">
        <v>69</v>
      </c>
      <c r="BL4" s="1">
        <f>518117*(1)</f>
        <v>518117</v>
      </c>
      <c r="BM4" s="1" t="s">
        <v>70</v>
      </c>
      <c r="BN4" s="1">
        <f>65046*(1)</f>
        <v>65046</v>
      </c>
      <c r="BO4" s="1" t="s">
        <v>69</v>
      </c>
      <c r="BP4" s="1">
        <f>65046*(1)</f>
        <v>65046</v>
      </c>
      <c r="BQ4" s="1" t="s">
        <v>70</v>
      </c>
      <c r="BR4" s="1">
        <f>345647*(1)</f>
        <v>345647</v>
      </c>
      <c r="BS4" s="1" t="s">
        <v>69</v>
      </c>
      <c r="BT4" s="1">
        <f>345647*(1)</f>
        <v>345647</v>
      </c>
      <c r="BU4" s="1" t="s">
        <v>70</v>
      </c>
      <c r="BV4" s="1">
        <f>145543*(1)</f>
        <v>145543</v>
      </c>
      <c r="BW4" s="1" t="s">
        <v>69</v>
      </c>
      <c r="BX4" s="1">
        <f>145543*(1)</f>
        <v>145543</v>
      </c>
      <c r="BY4" s="1" t="s">
        <v>70</v>
      </c>
      <c r="BZ4" s="1">
        <f>572114*(1)</f>
        <v>572114</v>
      </c>
      <c r="CA4" s="1" t="s">
        <v>69</v>
      </c>
      <c r="CB4" s="1">
        <f>572114*(1)</f>
        <v>572114</v>
      </c>
      <c r="CC4" s="1" t="s">
        <v>70</v>
      </c>
      <c r="CD4" s="1">
        <f>110731*(1)</f>
        <v>110731</v>
      </c>
      <c r="CE4" s="1" t="s">
        <v>69</v>
      </c>
      <c r="CF4" s="1">
        <f>110731*(1)</f>
        <v>110731</v>
      </c>
      <c r="CG4" s="1" t="s">
        <v>70</v>
      </c>
    </row>
    <row r="5" spans="1:85" x14ac:dyDescent="0.3">
      <c r="A5" s="7" t="s">
        <v>71</v>
      </c>
      <c r="B5" s="1">
        <f>133842*(1)</f>
        <v>133842</v>
      </c>
      <c r="C5" s="1" t="s">
        <v>72</v>
      </c>
      <c r="D5" s="1">
        <f>0.487*(1)</f>
        <v>0.48699999999999999</v>
      </c>
      <c r="E5" s="1" t="s">
        <v>73</v>
      </c>
      <c r="F5" s="1">
        <f>467705*(1)</f>
        <v>467705</v>
      </c>
      <c r="G5" s="1" t="s">
        <v>74</v>
      </c>
      <c r="H5" s="1">
        <f>0.49*(1)</f>
        <v>0.49</v>
      </c>
      <c r="I5" s="1" t="s">
        <v>75</v>
      </c>
      <c r="J5" s="1">
        <f>229737*(1)</f>
        <v>229737</v>
      </c>
      <c r="K5" s="1" t="s">
        <v>76</v>
      </c>
      <c r="L5" s="1">
        <f>0.495*(1)</f>
        <v>0.495</v>
      </c>
      <c r="M5" s="1" t="s">
        <v>75</v>
      </c>
      <c r="N5" s="1">
        <f>254472*(1)</f>
        <v>254472</v>
      </c>
      <c r="O5" s="1" t="s">
        <v>77</v>
      </c>
      <c r="P5" s="1">
        <f>0.486*(1)</f>
        <v>0.48599999999999999</v>
      </c>
      <c r="Q5" s="1" t="s">
        <v>75</v>
      </c>
      <c r="R5" s="1">
        <f>46678*(1)</f>
        <v>46678</v>
      </c>
      <c r="S5" s="1" t="s">
        <v>78</v>
      </c>
      <c r="T5" s="1">
        <f>0.488*(1)</f>
        <v>0.48799999999999999</v>
      </c>
      <c r="U5" s="1" t="s">
        <v>79</v>
      </c>
      <c r="V5" s="1">
        <f>78899*(1)</f>
        <v>78899</v>
      </c>
      <c r="W5" s="1" t="s">
        <v>80</v>
      </c>
      <c r="X5" s="1">
        <f>0.514*(1)</f>
        <v>0.51400000000000001</v>
      </c>
      <c r="Y5" s="1" t="s">
        <v>81</v>
      </c>
      <c r="Z5" s="1">
        <f>414270*(1)</f>
        <v>414270</v>
      </c>
      <c r="AA5" s="1" t="s">
        <v>82</v>
      </c>
      <c r="AB5" s="1">
        <f>0.485*(1)</f>
        <v>0.48499999999999999</v>
      </c>
      <c r="AC5" s="1" t="s">
        <v>75</v>
      </c>
      <c r="AD5" s="1">
        <f>148732*(1)</f>
        <v>148732</v>
      </c>
      <c r="AE5" s="1" t="s">
        <v>83</v>
      </c>
      <c r="AF5" s="1">
        <f>0.488*(1)</f>
        <v>0.48799999999999999</v>
      </c>
      <c r="AG5" s="1" t="s">
        <v>84</v>
      </c>
      <c r="AH5" s="1">
        <f>352101*(1)</f>
        <v>352101</v>
      </c>
      <c r="AI5" s="1" t="s">
        <v>85</v>
      </c>
      <c r="AJ5" s="1">
        <f>0.501*(1)</f>
        <v>0.501</v>
      </c>
      <c r="AK5" s="1" t="s">
        <v>75</v>
      </c>
      <c r="AL5" s="1">
        <f>65330*(1)</f>
        <v>65330</v>
      </c>
      <c r="AM5" s="1" t="s">
        <v>86</v>
      </c>
      <c r="AN5" s="1">
        <f>0.503*(1)</f>
        <v>0.503</v>
      </c>
      <c r="AO5" s="1" t="s">
        <v>79</v>
      </c>
      <c r="AP5" s="1">
        <f>189973*(1)</f>
        <v>189973</v>
      </c>
      <c r="AQ5" s="1" t="s">
        <v>87</v>
      </c>
      <c r="AR5" s="1">
        <f>0.492*(1)</f>
        <v>0.49199999999999999</v>
      </c>
      <c r="AS5" s="1" t="s">
        <v>84</v>
      </c>
      <c r="AT5" s="1">
        <f>428378*(1)</f>
        <v>428378</v>
      </c>
      <c r="AU5" s="1" t="s">
        <v>88</v>
      </c>
      <c r="AV5" s="1">
        <f>0.498*(1)</f>
        <v>0.498</v>
      </c>
      <c r="AW5" s="1" t="s">
        <v>75</v>
      </c>
      <c r="AX5" s="1">
        <f>315546*(1)</f>
        <v>315546</v>
      </c>
      <c r="AY5" s="1" t="s">
        <v>89</v>
      </c>
      <c r="AZ5" s="1">
        <f>0.489*(1)</f>
        <v>0.48899999999999999</v>
      </c>
      <c r="BA5" s="1" t="s">
        <v>75</v>
      </c>
      <c r="BB5" s="1">
        <f>253531*(1)</f>
        <v>253531</v>
      </c>
      <c r="BC5" s="1" t="s">
        <v>90</v>
      </c>
      <c r="BD5" s="1">
        <f>0.496*(1)</f>
        <v>0.496</v>
      </c>
      <c r="BE5" s="1" t="s">
        <v>75</v>
      </c>
      <c r="BF5" s="1">
        <f>315969*(1)</f>
        <v>315969</v>
      </c>
      <c r="BG5" s="1" t="s">
        <v>91</v>
      </c>
      <c r="BH5" s="1">
        <f>0.487*(1)</f>
        <v>0.48699999999999999</v>
      </c>
      <c r="BI5" s="1" t="s">
        <v>75</v>
      </c>
      <c r="BJ5" s="1">
        <f>254962*(1)</f>
        <v>254962</v>
      </c>
      <c r="BK5" s="1" t="s">
        <v>92</v>
      </c>
      <c r="BL5" s="1">
        <f>0.492*(1)</f>
        <v>0.49199999999999999</v>
      </c>
      <c r="BM5" s="1" t="s">
        <v>84</v>
      </c>
      <c r="BN5" s="1">
        <f>32254*(1)</f>
        <v>32254</v>
      </c>
      <c r="BO5" s="1" t="s">
        <v>93</v>
      </c>
      <c r="BP5" s="1">
        <f>0.496*(1)</f>
        <v>0.496</v>
      </c>
      <c r="BQ5" s="1" t="s">
        <v>94</v>
      </c>
      <c r="BR5" s="1">
        <f>170042*(1)</f>
        <v>170042</v>
      </c>
      <c r="BS5" s="1" t="s">
        <v>95</v>
      </c>
      <c r="BT5" s="1">
        <f>0.492*(1)</f>
        <v>0.49199999999999999</v>
      </c>
      <c r="BU5" s="1" t="s">
        <v>84</v>
      </c>
      <c r="BV5" s="1">
        <f>73939*(1)</f>
        <v>73939</v>
      </c>
      <c r="BW5" s="1" t="s">
        <v>96</v>
      </c>
      <c r="BX5" s="1">
        <f>0.508*(1)</f>
        <v>0.50800000000000001</v>
      </c>
      <c r="BY5" s="1" t="s">
        <v>73</v>
      </c>
      <c r="BZ5" s="1">
        <f>282444*(1)</f>
        <v>282444</v>
      </c>
      <c r="CA5" s="1" t="s">
        <v>97</v>
      </c>
      <c r="CB5" s="1">
        <f>0.494*(1)</f>
        <v>0.49399999999999999</v>
      </c>
      <c r="CC5" s="1" t="s">
        <v>75</v>
      </c>
      <c r="CD5" s="1">
        <f>54756*(1)</f>
        <v>54756</v>
      </c>
      <c r="CE5" s="1" t="s">
        <v>98</v>
      </c>
      <c r="CF5" s="1">
        <f>0.494*(1)</f>
        <v>0.49399999999999999</v>
      </c>
      <c r="CG5" s="1" t="s">
        <v>99</v>
      </c>
    </row>
    <row r="6" spans="1:85" x14ac:dyDescent="0.3">
      <c r="A6" s="7" t="s">
        <v>100</v>
      </c>
      <c r="B6" s="1">
        <f>141124*(1)</f>
        <v>141124</v>
      </c>
      <c r="C6" s="1" t="s">
        <v>72</v>
      </c>
      <c r="D6" s="1">
        <f>0.513*(1)</f>
        <v>0.51300000000000001</v>
      </c>
      <c r="E6" s="1" t="s">
        <v>73</v>
      </c>
      <c r="F6" s="1">
        <f>486114*(1)</f>
        <v>486114</v>
      </c>
      <c r="G6" s="1" t="s">
        <v>74</v>
      </c>
      <c r="H6" s="1">
        <f>0.51*(1)</f>
        <v>0.51</v>
      </c>
      <c r="I6" s="1" t="s">
        <v>75</v>
      </c>
      <c r="J6" s="1">
        <f>234532*(1)</f>
        <v>234532</v>
      </c>
      <c r="K6" s="1" t="s">
        <v>76</v>
      </c>
      <c r="L6" s="1">
        <f>0.505*(1)</f>
        <v>0.505</v>
      </c>
      <c r="M6" s="1" t="s">
        <v>75</v>
      </c>
      <c r="N6" s="1">
        <f>269299*(1)</f>
        <v>269299</v>
      </c>
      <c r="O6" s="1" t="s">
        <v>77</v>
      </c>
      <c r="P6" s="1">
        <f>0.514*(1)</f>
        <v>0.51400000000000001</v>
      </c>
      <c r="Q6" s="1" t="s">
        <v>75</v>
      </c>
      <c r="R6" s="1">
        <f>48983*(1)</f>
        <v>48983</v>
      </c>
      <c r="S6" s="1" t="s">
        <v>78</v>
      </c>
      <c r="T6" s="1">
        <f>0.512*(1)</f>
        <v>0.51200000000000001</v>
      </c>
      <c r="U6" s="1" t="s">
        <v>79</v>
      </c>
      <c r="V6" s="1">
        <f>74728*(1)</f>
        <v>74728</v>
      </c>
      <c r="W6" s="1" t="s">
        <v>80</v>
      </c>
      <c r="X6" s="1">
        <f>0.486*(1)</f>
        <v>0.48599999999999999</v>
      </c>
      <c r="Y6" s="1" t="s">
        <v>81</v>
      </c>
      <c r="Z6" s="1">
        <f>440647*(1)</f>
        <v>440647</v>
      </c>
      <c r="AA6" s="1" t="s">
        <v>82</v>
      </c>
      <c r="AB6" s="1">
        <f>0.515*(1)</f>
        <v>0.51500000000000001</v>
      </c>
      <c r="AC6" s="1" t="s">
        <v>75</v>
      </c>
      <c r="AD6" s="1">
        <f>155745*(1)</f>
        <v>155745</v>
      </c>
      <c r="AE6" s="1" t="s">
        <v>83</v>
      </c>
      <c r="AF6" s="1">
        <f>0.512*(1)</f>
        <v>0.51200000000000001</v>
      </c>
      <c r="AG6" s="1" t="s">
        <v>84</v>
      </c>
      <c r="AH6" s="1">
        <f>350362*(1)</f>
        <v>350362</v>
      </c>
      <c r="AI6" s="1" t="s">
        <v>85</v>
      </c>
      <c r="AJ6" s="1">
        <f>0.499*(1)</f>
        <v>0.499</v>
      </c>
      <c r="AK6" s="1" t="s">
        <v>75</v>
      </c>
      <c r="AL6" s="1">
        <f>64594*(1)</f>
        <v>64594</v>
      </c>
      <c r="AM6" s="1" t="s">
        <v>86</v>
      </c>
      <c r="AN6" s="1">
        <f>0.497*(1)</f>
        <v>0.497</v>
      </c>
      <c r="AO6" s="1" t="s">
        <v>79</v>
      </c>
      <c r="AP6" s="1">
        <f>195925*(1)</f>
        <v>195925</v>
      </c>
      <c r="AQ6" s="1" t="s">
        <v>87</v>
      </c>
      <c r="AR6" s="1">
        <f>0.508*(1)</f>
        <v>0.50800000000000001</v>
      </c>
      <c r="AS6" s="1" t="s">
        <v>84</v>
      </c>
      <c r="AT6" s="1">
        <f>432429*(1)</f>
        <v>432429</v>
      </c>
      <c r="AU6" s="1" t="s">
        <v>88</v>
      </c>
      <c r="AV6" s="1">
        <f>0.502*(1)</f>
        <v>0.502</v>
      </c>
      <c r="AW6" s="1" t="s">
        <v>75</v>
      </c>
      <c r="AX6" s="1">
        <f>329808*(1)</f>
        <v>329808</v>
      </c>
      <c r="AY6" s="1" t="s">
        <v>89</v>
      </c>
      <c r="AZ6" s="1">
        <f>0.511*(1)</f>
        <v>0.51100000000000001</v>
      </c>
      <c r="BA6" s="1" t="s">
        <v>75</v>
      </c>
      <c r="BB6" s="1">
        <f>257450*(1)</f>
        <v>257450</v>
      </c>
      <c r="BC6" s="1" t="s">
        <v>90</v>
      </c>
      <c r="BD6" s="1">
        <f>0.504*(1)</f>
        <v>0.504</v>
      </c>
      <c r="BE6" s="1" t="s">
        <v>75</v>
      </c>
      <c r="BF6" s="1">
        <f>333029*(1)</f>
        <v>333029</v>
      </c>
      <c r="BG6" s="1" t="s">
        <v>91</v>
      </c>
      <c r="BH6" s="1">
        <f>0.513*(1)</f>
        <v>0.51300000000000001</v>
      </c>
      <c r="BI6" s="1" t="s">
        <v>75</v>
      </c>
      <c r="BJ6" s="1">
        <f>263155*(1)</f>
        <v>263155</v>
      </c>
      <c r="BK6" s="1" t="s">
        <v>92</v>
      </c>
      <c r="BL6" s="1">
        <f>0.508*(1)</f>
        <v>0.50800000000000001</v>
      </c>
      <c r="BM6" s="1" t="s">
        <v>84</v>
      </c>
      <c r="BN6" s="1">
        <f>32792*(1)</f>
        <v>32792</v>
      </c>
      <c r="BO6" s="1" t="s">
        <v>93</v>
      </c>
      <c r="BP6" s="1">
        <f>0.504*(1)</f>
        <v>0.504</v>
      </c>
      <c r="BQ6" s="1" t="s">
        <v>94</v>
      </c>
      <c r="BR6" s="1">
        <f>175605*(1)</f>
        <v>175605</v>
      </c>
      <c r="BS6" s="1" t="s">
        <v>95</v>
      </c>
      <c r="BT6" s="1">
        <f>0.508*(1)</f>
        <v>0.50800000000000001</v>
      </c>
      <c r="BU6" s="1" t="s">
        <v>84</v>
      </c>
      <c r="BV6" s="1">
        <f>71604*(1)</f>
        <v>71604</v>
      </c>
      <c r="BW6" s="1" t="s">
        <v>96</v>
      </c>
      <c r="BX6" s="1">
        <f>0.492*(1)</f>
        <v>0.49199999999999999</v>
      </c>
      <c r="BY6" s="1" t="s">
        <v>73</v>
      </c>
      <c r="BZ6" s="1">
        <f>289670*(1)</f>
        <v>289670</v>
      </c>
      <c r="CA6" s="1" t="s">
        <v>97</v>
      </c>
      <c r="CB6" s="1">
        <f>0.506*(1)</f>
        <v>0.50600000000000001</v>
      </c>
      <c r="CC6" s="1" t="s">
        <v>75</v>
      </c>
      <c r="CD6" s="1">
        <f>55975*(1)</f>
        <v>55975</v>
      </c>
      <c r="CE6" s="1" t="s">
        <v>98</v>
      </c>
      <c r="CF6" s="1">
        <f>0.506*(1)</f>
        <v>0.50600000000000001</v>
      </c>
      <c r="CG6" s="1" t="s">
        <v>99</v>
      </c>
    </row>
    <row r="7" spans="1:85" ht="28.8" x14ac:dyDescent="0.3">
      <c r="A7" s="7" t="s">
        <v>101</v>
      </c>
      <c r="B7" s="1">
        <f>94.8*(1)</f>
        <v>94.8</v>
      </c>
      <c r="C7" s="1" t="s">
        <v>94</v>
      </c>
      <c r="D7" s="1" t="s">
        <v>70</v>
      </c>
      <c r="E7" s="1" t="s">
        <v>70</v>
      </c>
      <c r="F7" s="1">
        <f>96.2*(1)</f>
        <v>96.2</v>
      </c>
      <c r="G7" s="1" t="s">
        <v>84</v>
      </c>
      <c r="H7" s="1" t="s">
        <v>70</v>
      </c>
      <c r="I7" s="1" t="s">
        <v>70</v>
      </c>
      <c r="J7" s="1">
        <f>98*(1)</f>
        <v>98</v>
      </c>
      <c r="K7" s="1" t="s">
        <v>84</v>
      </c>
      <c r="L7" s="1" t="s">
        <v>70</v>
      </c>
      <c r="M7" s="1" t="s">
        <v>70</v>
      </c>
      <c r="N7" s="1">
        <f>94.5*(1)</f>
        <v>94.5</v>
      </c>
      <c r="O7" s="1" t="s">
        <v>73</v>
      </c>
      <c r="P7" s="1" t="s">
        <v>70</v>
      </c>
      <c r="Q7" s="1" t="s">
        <v>70</v>
      </c>
      <c r="R7" s="1">
        <f>95.3*(1)</f>
        <v>95.3</v>
      </c>
      <c r="S7" s="1" t="s">
        <v>102</v>
      </c>
      <c r="T7" s="1" t="s">
        <v>70</v>
      </c>
      <c r="U7" s="1" t="s">
        <v>70</v>
      </c>
      <c r="V7" s="1">
        <f>105.6*(1)</f>
        <v>105.6</v>
      </c>
      <c r="W7" s="1" t="s">
        <v>103</v>
      </c>
      <c r="X7" s="1" t="s">
        <v>70</v>
      </c>
      <c r="Y7" s="1" t="s">
        <v>70</v>
      </c>
      <c r="Z7" s="1">
        <f>94*(1)</f>
        <v>94</v>
      </c>
      <c r="AA7" s="1" t="s">
        <v>75</v>
      </c>
      <c r="AB7" s="1" t="s">
        <v>70</v>
      </c>
      <c r="AC7" s="1" t="s">
        <v>70</v>
      </c>
      <c r="AD7" s="1">
        <f>95.5*(1)</f>
        <v>95.5</v>
      </c>
      <c r="AE7" s="1" t="s">
        <v>99</v>
      </c>
      <c r="AF7" s="1" t="s">
        <v>70</v>
      </c>
      <c r="AG7" s="1" t="s">
        <v>70</v>
      </c>
      <c r="AH7" s="1">
        <f>100.5*(1)</f>
        <v>100.5</v>
      </c>
      <c r="AI7" s="1" t="s">
        <v>104</v>
      </c>
      <c r="AJ7" s="1" t="s">
        <v>70</v>
      </c>
      <c r="AK7" s="1" t="s">
        <v>70</v>
      </c>
      <c r="AL7" s="1">
        <f>101.1*(1)</f>
        <v>101.1</v>
      </c>
      <c r="AM7" s="1" t="s">
        <v>105</v>
      </c>
      <c r="AN7" s="1" t="s">
        <v>70</v>
      </c>
      <c r="AO7" s="1" t="s">
        <v>70</v>
      </c>
      <c r="AP7" s="1">
        <f>97*(1)</f>
        <v>97</v>
      </c>
      <c r="AQ7" s="1" t="s">
        <v>99</v>
      </c>
      <c r="AR7" s="1" t="s">
        <v>70</v>
      </c>
      <c r="AS7" s="1" t="s">
        <v>70</v>
      </c>
      <c r="AT7" s="1">
        <f>99.1*(1)</f>
        <v>99.1</v>
      </c>
      <c r="AU7" s="1" t="s">
        <v>75</v>
      </c>
      <c r="AV7" s="1" t="s">
        <v>70</v>
      </c>
      <c r="AW7" s="1" t="s">
        <v>70</v>
      </c>
      <c r="AX7" s="1">
        <f>95.7*(1)</f>
        <v>95.7</v>
      </c>
      <c r="AY7" s="1" t="s">
        <v>104</v>
      </c>
      <c r="AZ7" s="1" t="s">
        <v>70</v>
      </c>
      <c r="BA7" s="1" t="s">
        <v>70</v>
      </c>
      <c r="BB7" s="1">
        <f>98.5*(1)</f>
        <v>98.5</v>
      </c>
      <c r="BC7" s="1" t="s">
        <v>104</v>
      </c>
      <c r="BD7" s="1" t="s">
        <v>70</v>
      </c>
      <c r="BE7" s="1" t="s">
        <v>70</v>
      </c>
      <c r="BF7" s="1">
        <f>94.9*(1)</f>
        <v>94.9</v>
      </c>
      <c r="BG7" s="1" t="s">
        <v>106</v>
      </c>
      <c r="BH7" s="1" t="s">
        <v>70</v>
      </c>
      <c r="BI7" s="1" t="s">
        <v>70</v>
      </c>
      <c r="BJ7" s="1">
        <f>96.9*(1)</f>
        <v>96.9</v>
      </c>
      <c r="BK7" s="1" t="s">
        <v>99</v>
      </c>
      <c r="BL7" s="1" t="s">
        <v>70</v>
      </c>
      <c r="BM7" s="1" t="s">
        <v>70</v>
      </c>
      <c r="BN7" s="1">
        <f>98.4*(1)</f>
        <v>98.4</v>
      </c>
      <c r="BO7" s="1" t="s">
        <v>107</v>
      </c>
      <c r="BP7" s="1" t="s">
        <v>70</v>
      </c>
      <c r="BQ7" s="1" t="s">
        <v>70</v>
      </c>
      <c r="BR7" s="1">
        <f>96.8*(1)</f>
        <v>96.8</v>
      </c>
      <c r="BS7" s="1" t="s">
        <v>108</v>
      </c>
      <c r="BT7" s="1" t="s">
        <v>70</v>
      </c>
      <c r="BU7" s="1" t="s">
        <v>70</v>
      </c>
      <c r="BV7" s="1">
        <f>103.3*(1)</f>
        <v>103.3</v>
      </c>
      <c r="BW7" s="1" t="s">
        <v>94</v>
      </c>
      <c r="BX7" s="1" t="s">
        <v>70</v>
      </c>
      <c r="BY7" s="1" t="s">
        <v>70</v>
      </c>
      <c r="BZ7" s="1">
        <f>97.5*(1)</f>
        <v>97.5</v>
      </c>
      <c r="CA7" s="1" t="s">
        <v>73</v>
      </c>
      <c r="CB7" s="1" t="s">
        <v>70</v>
      </c>
      <c r="CC7" s="1" t="s">
        <v>70</v>
      </c>
      <c r="CD7" s="1">
        <f>97.8*(1)</f>
        <v>97.8</v>
      </c>
      <c r="CE7" s="1" t="s">
        <v>103</v>
      </c>
      <c r="CF7" s="1" t="s">
        <v>70</v>
      </c>
      <c r="CG7" s="1" t="s">
        <v>70</v>
      </c>
    </row>
    <row r="8" spans="1:85" x14ac:dyDescent="0.3">
      <c r="A8" s="7" t="s">
        <v>109</v>
      </c>
      <c r="B8" s="1">
        <f>14217*(1)</f>
        <v>14217</v>
      </c>
      <c r="C8" s="1" t="s">
        <v>110</v>
      </c>
      <c r="D8" s="1">
        <f>0.052*(1)</f>
        <v>5.1999999999999998E-2</v>
      </c>
      <c r="E8" s="1" t="s">
        <v>75</v>
      </c>
      <c r="F8" s="1">
        <f>47776*(1)</f>
        <v>47776</v>
      </c>
      <c r="G8" s="1" t="s">
        <v>111</v>
      </c>
      <c r="H8" s="1">
        <f>0.05*(1)</f>
        <v>0.05</v>
      </c>
      <c r="I8" s="1" t="s">
        <v>75</v>
      </c>
      <c r="J8" s="1">
        <f>23045*(1)</f>
        <v>23045</v>
      </c>
      <c r="K8" s="1" t="s">
        <v>112</v>
      </c>
      <c r="L8" s="1">
        <f>0.05*(1)</f>
        <v>0.05</v>
      </c>
      <c r="M8" s="1" t="s">
        <v>75</v>
      </c>
      <c r="N8" s="1">
        <f>30909*(1)</f>
        <v>30909</v>
      </c>
      <c r="O8" s="1" t="s">
        <v>113</v>
      </c>
      <c r="P8" s="1">
        <f>0.059*(1)</f>
        <v>5.8999999999999997E-2</v>
      </c>
      <c r="Q8" s="1" t="s">
        <v>75</v>
      </c>
      <c r="R8" s="1">
        <f>3581*(1)</f>
        <v>3581</v>
      </c>
      <c r="S8" s="1" t="s">
        <v>114</v>
      </c>
      <c r="T8" s="1">
        <f>0.037*(1)</f>
        <v>3.6999999999999998E-2</v>
      </c>
      <c r="U8" s="1" t="s">
        <v>106</v>
      </c>
      <c r="V8" s="1">
        <f>8679*(1)</f>
        <v>8679</v>
      </c>
      <c r="W8" s="1" t="s">
        <v>115</v>
      </c>
      <c r="X8" s="1">
        <f>0.056*(1)</f>
        <v>5.6000000000000001E-2</v>
      </c>
      <c r="Y8" s="1" t="s">
        <v>81</v>
      </c>
      <c r="Z8" s="1">
        <f>53675*(1)</f>
        <v>53675</v>
      </c>
      <c r="AA8" s="1" t="s">
        <v>116</v>
      </c>
      <c r="AB8" s="1">
        <f>0.063*(1)</f>
        <v>6.3E-2</v>
      </c>
      <c r="AC8" s="1" t="s">
        <v>75</v>
      </c>
      <c r="AD8" s="1">
        <f>15335*(1)</f>
        <v>15335</v>
      </c>
      <c r="AE8" s="1" t="s">
        <v>117</v>
      </c>
      <c r="AF8" s="1">
        <f>0.05*(1)</f>
        <v>0.05</v>
      </c>
      <c r="AG8" s="1" t="s">
        <v>75</v>
      </c>
      <c r="AH8" s="1">
        <f>45505*(1)</f>
        <v>45505</v>
      </c>
      <c r="AI8" s="1" t="s">
        <v>118</v>
      </c>
      <c r="AJ8" s="1">
        <f>0.065*(1)</f>
        <v>6.5000000000000002E-2</v>
      </c>
      <c r="AK8" s="1" t="s">
        <v>75</v>
      </c>
      <c r="AL8" s="1">
        <f>4771*(1)</f>
        <v>4771</v>
      </c>
      <c r="AM8" s="1" t="s">
        <v>119</v>
      </c>
      <c r="AN8" s="1">
        <f>0.037*(1)</f>
        <v>3.6999999999999998E-2</v>
      </c>
      <c r="AO8" s="1" t="s">
        <v>73</v>
      </c>
      <c r="AP8" s="1">
        <f>20862*(1)</f>
        <v>20862</v>
      </c>
      <c r="AQ8" s="1" t="s">
        <v>120</v>
      </c>
      <c r="AR8" s="1">
        <f>0.054*(1)</f>
        <v>5.3999999999999999E-2</v>
      </c>
      <c r="AS8" s="1" t="s">
        <v>75</v>
      </c>
      <c r="AT8" s="1">
        <f>46364*(1)</f>
        <v>46364</v>
      </c>
      <c r="AU8" s="1" t="s">
        <v>121</v>
      </c>
      <c r="AV8" s="1">
        <f>0.054*(1)</f>
        <v>5.3999999999999999E-2</v>
      </c>
      <c r="AW8" s="1" t="s">
        <v>75</v>
      </c>
      <c r="AX8" s="1">
        <f>31474*(1)</f>
        <v>31474</v>
      </c>
      <c r="AY8" s="1" t="s">
        <v>122</v>
      </c>
      <c r="AZ8" s="1">
        <f>0.049*(1)</f>
        <v>4.9000000000000002E-2</v>
      </c>
      <c r="BA8" s="1" t="s">
        <v>75</v>
      </c>
      <c r="BB8" s="1">
        <f>24805*(1)</f>
        <v>24805</v>
      </c>
      <c r="BC8" s="1" t="s">
        <v>123</v>
      </c>
      <c r="BD8" s="1">
        <f>0.049*(1)</f>
        <v>4.9000000000000002E-2</v>
      </c>
      <c r="BE8" s="1" t="s">
        <v>75</v>
      </c>
      <c r="BF8" s="1">
        <f>46174*(1)</f>
        <v>46174</v>
      </c>
      <c r="BG8" s="1" t="s">
        <v>124</v>
      </c>
      <c r="BH8" s="1">
        <f>0.071*(1)</f>
        <v>7.0999999999999994E-2</v>
      </c>
      <c r="BI8" s="1" t="s">
        <v>75</v>
      </c>
      <c r="BJ8" s="1">
        <f>32694*(1)</f>
        <v>32694</v>
      </c>
      <c r="BK8" s="1" t="s">
        <v>125</v>
      </c>
      <c r="BL8" s="1">
        <f>0.063*(1)</f>
        <v>6.3E-2</v>
      </c>
      <c r="BM8" s="1" t="s">
        <v>75</v>
      </c>
      <c r="BN8" s="1">
        <f>3457*(1)</f>
        <v>3457</v>
      </c>
      <c r="BO8" s="1" t="s">
        <v>126</v>
      </c>
      <c r="BP8" s="1">
        <f>0.053*(1)</f>
        <v>5.2999999999999999E-2</v>
      </c>
      <c r="BQ8" s="1" t="s">
        <v>127</v>
      </c>
      <c r="BR8" s="1">
        <f>16750*(1)</f>
        <v>16750</v>
      </c>
      <c r="BS8" s="1" t="s">
        <v>128</v>
      </c>
      <c r="BT8" s="1">
        <f>0.048*(1)</f>
        <v>4.8000000000000001E-2</v>
      </c>
      <c r="BU8" s="1" t="s">
        <v>75</v>
      </c>
      <c r="BV8" s="1">
        <f>6504*(1)</f>
        <v>6504</v>
      </c>
      <c r="BW8" s="1" t="s">
        <v>129</v>
      </c>
      <c r="BX8" s="1">
        <f>0.045*(1)</f>
        <v>4.4999999999999998E-2</v>
      </c>
      <c r="BY8" s="1" t="s">
        <v>84</v>
      </c>
      <c r="BZ8" s="1">
        <f>34839*(1)</f>
        <v>34839</v>
      </c>
      <c r="CA8" s="1" t="s">
        <v>130</v>
      </c>
      <c r="CB8" s="1">
        <f>0.061*(1)</f>
        <v>6.0999999999999999E-2</v>
      </c>
      <c r="CC8" s="1" t="s">
        <v>75</v>
      </c>
      <c r="CD8" s="1">
        <f>4784*(1)</f>
        <v>4784</v>
      </c>
      <c r="CE8" s="1" t="s">
        <v>131</v>
      </c>
      <c r="CF8" s="1">
        <f>0.043*(1)</f>
        <v>4.2999999999999997E-2</v>
      </c>
      <c r="CG8" s="1" t="s">
        <v>73</v>
      </c>
    </row>
    <row r="9" spans="1:85" x14ac:dyDescent="0.3">
      <c r="A9" s="7" t="s">
        <v>132</v>
      </c>
      <c r="B9" s="1">
        <f>16710*(1)</f>
        <v>16710</v>
      </c>
      <c r="C9" s="1" t="s">
        <v>133</v>
      </c>
      <c r="D9" s="1">
        <f>0.061*(1)</f>
        <v>6.0999999999999999E-2</v>
      </c>
      <c r="E9" s="1" t="s">
        <v>99</v>
      </c>
      <c r="F9" s="1">
        <f>53287*(1)</f>
        <v>53287</v>
      </c>
      <c r="G9" s="1" t="s">
        <v>134</v>
      </c>
      <c r="H9" s="1">
        <f>0.056*(1)</f>
        <v>5.6000000000000001E-2</v>
      </c>
      <c r="I9" s="1" t="s">
        <v>104</v>
      </c>
      <c r="J9" s="1">
        <f>24125*(1)</f>
        <v>24125</v>
      </c>
      <c r="K9" s="1" t="s">
        <v>135</v>
      </c>
      <c r="L9" s="1">
        <f>0.052*(1)</f>
        <v>5.1999999999999998E-2</v>
      </c>
      <c r="M9" s="1" t="s">
        <v>106</v>
      </c>
      <c r="N9" s="1">
        <f>34354*(1)</f>
        <v>34354</v>
      </c>
      <c r="O9" s="1" t="s">
        <v>136</v>
      </c>
      <c r="P9" s="1">
        <f>0.066*(1)</f>
        <v>6.6000000000000003E-2</v>
      </c>
      <c r="Q9" s="1" t="s">
        <v>106</v>
      </c>
      <c r="R9" s="1">
        <f>4271*(1)</f>
        <v>4271</v>
      </c>
      <c r="S9" s="1" t="s">
        <v>137</v>
      </c>
      <c r="T9" s="1">
        <f>0.045*(1)</f>
        <v>4.4999999999999998E-2</v>
      </c>
      <c r="U9" s="1" t="s">
        <v>138</v>
      </c>
      <c r="V9" s="1">
        <f>9505*(1)</f>
        <v>9505</v>
      </c>
      <c r="W9" s="1" t="s">
        <v>139</v>
      </c>
      <c r="X9" s="1">
        <f>0.062*(1)</f>
        <v>6.2E-2</v>
      </c>
      <c r="Y9" s="1" t="s">
        <v>140</v>
      </c>
      <c r="Z9" s="1">
        <f>57079*(1)</f>
        <v>57079</v>
      </c>
      <c r="AA9" s="1" t="s">
        <v>141</v>
      </c>
      <c r="AB9" s="1">
        <f>0.067*(1)</f>
        <v>6.7000000000000004E-2</v>
      </c>
      <c r="AC9" s="1" t="s">
        <v>104</v>
      </c>
      <c r="AD9" s="1">
        <f>20311*(1)</f>
        <v>20311</v>
      </c>
      <c r="AE9" s="1" t="s">
        <v>142</v>
      </c>
      <c r="AF9" s="1">
        <f>0.067*(1)</f>
        <v>6.7000000000000004E-2</v>
      </c>
      <c r="AG9" s="1" t="s">
        <v>81</v>
      </c>
      <c r="AH9" s="1">
        <f>39967*(1)</f>
        <v>39967</v>
      </c>
      <c r="AI9" s="1" t="s">
        <v>143</v>
      </c>
      <c r="AJ9" s="1">
        <f>0.057*(1)</f>
        <v>5.7000000000000002E-2</v>
      </c>
      <c r="AK9" s="1" t="s">
        <v>104</v>
      </c>
      <c r="AL9" s="1">
        <f>6960*(1)</f>
        <v>6960</v>
      </c>
      <c r="AM9" s="1" t="s">
        <v>144</v>
      </c>
      <c r="AN9" s="1">
        <f>0.054*(1)</f>
        <v>5.3999999999999999E-2</v>
      </c>
      <c r="AO9" s="1" t="s">
        <v>108</v>
      </c>
      <c r="AP9" s="1">
        <f>23049*(1)</f>
        <v>23049</v>
      </c>
      <c r="AQ9" s="1" t="s">
        <v>145</v>
      </c>
      <c r="AR9" s="1">
        <f>0.06*(1)</f>
        <v>0.06</v>
      </c>
      <c r="AS9" s="1" t="s">
        <v>106</v>
      </c>
      <c r="AT9" s="1">
        <f>52288*(1)</f>
        <v>52288</v>
      </c>
      <c r="AU9" s="1" t="s">
        <v>146</v>
      </c>
      <c r="AV9" s="1">
        <f>0.061*(1)</f>
        <v>6.0999999999999999E-2</v>
      </c>
      <c r="AW9" s="1" t="s">
        <v>73</v>
      </c>
      <c r="AX9" s="1">
        <f>33667*(1)</f>
        <v>33667</v>
      </c>
      <c r="AY9" s="1" t="s">
        <v>147</v>
      </c>
      <c r="AZ9" s="1">
        <f>0.052*(1)</f>
        <v>5.1999999999999998E-2</v>
      </c>
      <c r="BA9" s="1" t="s">
        <v>106</v>
      </c>
      <c r="BB9" s="1">
        <f>27867*(1)</f>
        <v>27867</v>
      </c>
      <c r="BC9" s="1" t="s">
        <v>148</v>
      </c>
      <c r="BD9" s="1">
        <f>0.055*(1)</f>
        <v>5.5E-2</v>
      </c>
      <c r="BE9" s="1" t="s">
        <v>104</v>
      </c>
      <c r="BF9" s="1">
        <f>45255*(1)</f>
        <v>45255</v>
      </c>
      <c r="BG9" s="1" t="s">
        <v>149</v>
      </c>
      <c r="BH9" s="1">
        <f>0.07*(1)</f>
        <v>7.0000000000000007E-2</v>
      </c>
      <c r="BI9" s="1" t="s">
        <v>104</v>
      </c>
      <c r="BJ9" s="1">
        <f>30773*(1)</f>
        <v>30773</v>
      </c>
      <c r="BK9" s="1" t="s">
        <v>150</v>
      </c>
      <c r="BL9" s="1">
        <f>0.059*(1)</f>
        <v>5.8999999999999997E-2</v>
      </c>
      <c r="BM9" s="1" t="s">
        <v>106</v>
      </c>
      <c r="BN9" s="1">
        <f>3399*(1)</f>
        <v>3399</v>
      </c>
      <c r="BO9" s="1" t="s">
        <v>151</v>
      </c>
      <c r="BP9" s="1">
        <f>0.052*(1)</f>
        <v>5.1999999999999998E-2</v>
      </c>
      <c r="BQ9" s="1" t="s">
        <v>138</v>
      </c>
      <c r="BR9" s="1">
        <f>18459*(1)</f>
        <v>18459</v>
      </c>
      <c r="BS9" s="1" t="s">
        <v>133</v>
      </c>
      <c r="BT9" s="1">
        <f>0.053*(1)</f>
        <v>5.2999999999999999E-2</v>
      </c>
      <c r="BU9" s="1" t="s">
        <v>81</v>
      </c>
      <c r="BV9" s="1">
        <f>7892*(1)</f>
        <v>7892</v>
      </c>
      <c r="BW9" s="1" t="s">
        <v>152</v>
      </c>
      <c r="BX9" s="1">
        <f>0.054*(1)</f>
        <v>5.3999999999999999E-2</v>
      </c>
      <c r="BY9" s="1" t="s">
        <v>99</v>
      </c>
      <c r="BZ9" s="1">
        <f>37112*(1)</f>
        <v>37112</v>
      </c>
      <c r="CA9" s="1" t="s">
        <v>153</v>
      </c>
      <c r="CB9" s="1">
        <f>0.065*(1)</f>
        <v>6.5000000000000002E-2</v>
      </c>
      <c r="CC9" s="1" t="s">
        <v>106</v>
      </c>
      <c r="CD9" s="1">
        <f>5354*(1)</f>
        <v>5354</v>
      </c>
      <c r="CE9" s="1" t="s">
        <v>154</v>
      </c>
      <c r="CF9" s="1">
        <f>0.048*(1)</f>
        <v>4.8000000000000001E-2</v>
      </c>
      <c r="CG9" s="1" t="s">
        <v>79</v>
      </c>
    </row>
    <row r="10" spans="1:85" x14ac:dyDescent="0.3">
      <c r="A10" s="7" t="s">
        <v>155</v>
      </c>
      <c r="B10" s="1">
        <f>16692*(1)</f>
        <v>16692</v>
      </c>
      <c r="C10" s="1" t="s">
        <v>156</v>
      </c>
      <c r="D10" s="1">
        <f>0.061*(1)</f>
        <v>6.0999999999999999E-2</v>
      </c>
      <c r="E10" s="1" t="s">
        <v>99</v>
      </c>
      <c r="F10" s="1">
        <f>61663*(1)</f>
        <v>61663</v>
      </c>
      <c r="G10" s="1" t="s">
        <v>157</v>
      </c>
      <c r="H10" s="1">
        <f>0.065*(1)</f>
        <v>6.5000000000000002E-2</v>
      </c>
      <c r="I10" s="1" t="s">
        <v>104</v>
      </c>
      <c r="J10" s="1">
        <f>30138*(1)</f>
        <v>30138</v>
      </c>
      <c r="K10" s="1" t="s">
        <v>158</v>
      </c>
      <c r="L10" s="1">
        <f>0.065*(1)</f>
        <v>6.5000000000000002E-2</v>
      </c>
      <c r="M10" s="1" t="s">
        <v>106</v>
      </c>
      <c r="N10" s="1">
        <f>32756*(1)</f>
        <v>32756</v>
      </c>
      <c r="O10" s="1" t="s">
        <v>159</v>
      </c>
      <c r="P10" s="1">
        <f>0.063*(1)</f>
        <v>6.3E-2</v>
      </c>
      <c r="Q10" s="1" t="s">
        <v>106</v>
      </c>
      <c r="R10" s="1">
        <f>5340*(1)</f>
        <v>5340</v>
      </c>
      <c r="S10" s="1" t="s">
        <v>160</v>
      </c>
      <c r="T10" s="1">
        <f>0.056*(1)</f>
        <v>5.6000000000000001E-2</v>
      </c>
      <c r="U10" s="1" t="s">
        <v>127</v>
      </c>
      <c r="V10" s="1">
        <f>12519*(1)</f>
        <v>12519</v>
      </c>
      <c r="W10" s="1" t="s">
        <v>161</v>
      </c>
      <c r="X10" s="1">
        <f>0.081*(1)</f>
        <v>8.1000000000000003E-2</v>
      </c>
      <c r="Y10" s="1" t="s">
        <v>140</v>
      </c>
      <c r="Z10" s="1">
        <f>58123*(1)</f>
        <v>58123</v>
      </c>
      <c r="AA10" s="1" t="s">
        <v>162</v>
      </c>
      <c r="AB10" s="1">
        <f>0.068*(1)</f>
        <v>6.8000000000000005E-2</v>
      </c>
      <c r="AC10" s="1" t="s">
        <v>104</v>
      </c>
      <c r="AD10" s="1">
        <f>17540*(1)</f>
        <v>17540</v>
      </c>
      <c r="AE10" s="1" t="s">
        <v>163</v>
      </c>
      <c r="AF10" s="1">
        <f>0.058*(1)</f>
        <v>5.8000000000000003E-2</v>
      </c>
      <c r="AG10" s="1" t="s">
        <v>81</v>
      </c>
      <c r="AH10" s="1">
        <f>36298*(1)</f>
        <v>36298</v>
      </c>
      <c r="AI10" s="1" t="s">
        <v>143</v>
      </c>
      <c r="AJ10" s="1">
        <f>0.052*(1)</f>
        <v>5.1999999999999998E-2</v>
      </c>
      <c r="AK10" s="1" t="s">
        <v>104</v>
      </c>
      <c r="AL10" s="1">
        <f>7342*(1)</f>
        <v>7342</v>
      </c>
      <c r="AM10" s="1" t="s">
        <v>164</v>
      </c>
      <c r="AN10" s="1">
        <f>0.057*(1)</f>
        <v>5.7000000000000002E-2</v>
      </c>
      <c r="AO10" s="1" t="s">
        <v>108</v>
      </c>
      <c r="AP10" s="1">
        <f>23439*(1)</f>
        <v>23439</v>
      </c>
      <c r="AQ10" s="1" t="s">
        <v>165</v>
      </c>
      <c r="AR10" s="1">
        <f>0.061*(1)</f>
        <v>6.0999999999999999E-2</v>
      </c>
      <c r="AS10" s="1" t="s">
        <v>106</v>
      </c>
      <c r="AT10" s="1">
        <f>53287*(1)</f>
        <v>53287</v>
      </c>
      <c r="AU10" s="1" t="s">
        <v>166</v>
      </c>
      <c r="AV10" s="1">
        <f>0.062*(1)</f>
        <v>6.2E-2</v>
      </c>
      <c r="AW10" s="1" t="s">
        <v>104</v>
      </c>
      <c r="AX10" s="1">
        <f>42240*(1)</f>
        <v>42240</v>
      </c>
      <c r="AY10" s="1" t="s">
        <v>167</v>
      </c>
      <c r="AZ10" s="1">
        <f>0.065*(1)</f>
        <v>6.5000000000000002E-2</v>
      </c>
      <c r="BA10" s="1" t="s">
        <v>106</v>
      </c>
      <c r="BB10" s="1">
        <f>31653*(1)</f>
        <v>31653</v>
      </c>
      <c r="BC10" s="1" t="s">
        <v>168</v>
      </c>
      <c r="BD10" s="1">
        <f>0.062*(1)</f>
        <v>6.2E-2</v>
      </c>
      <c r="BE10" s="1" t="s">
        <v>104</v>
      </c>
      <c r="BF10" s="1">
        <f>43506*(1)</f>
        <v>43506</v>
      </c>
      <c r="BG10" s="1" t="s">
        <v>159</v>
      </c>
      <c r="BH10" s="1">
        <f>0.067*(1)</f>
        <v>6.7000000000000004E-2</v>
      </c>
      <c r="BI10" s="1" t="s">
        <v>104</v>
      </c>
      <c r="BJ10" s="1">
        <f>38230*(1)</f>
        <v>38230</v>
      </c>
      <c r="BK10" s="1" t="s">
        <v>169</v>
      </c>
      <c r="BL10" s="1">
        <f>0.074*(1)</f>
        <v>7.3999999999999996E-2</v>
      </c>
      <c r="BM10" s="1" t="s">
        <v>106</v>
      </c>
      <c r="BN10" s="1">
        <f>5039*(1)</f>
        <v>5039</v>
      </c>
      <c r="BO10" s="1" t="s">
        <v>170</v>
      </c>
      <c r="BP10" s="1">
        <f>0.077*(1)</f>
        <v>7.6999999999999999E-2</v>
      </c>
      <c r="BQ10" s="1" t="s">
        <v>138</v>
      </c>
      <c r="BR10" s="1">
        <f>23760*(1)</f>
        <v>23760</v>
      </c>
      <c r="BS10" s="1" t="s">
        <v>171</v>
      </c>
      <c r="BT10" s="1">
        <f>0.069*(1)</f>
        <v>6.9000000000000006E-2</v>
      </c>
      <c r="BU10" s="1" t="s">
        <v>81</v>
      </c>
      <c r="BV10" s="1">
        <f>7994*(1)</f>
        <v>7994</v>
      </c>
      <c r="BW10" s="1" t="s">
        <v>172</v>
      </c>
      <c r="BX10" s="1">
        <f>0.055*(1)</f>
        <v>5.5E-2</v>
      </c>
      <c r="BY10" s="1" t="s">
        <v>99</v>
      </c>
      <c r="BZ10" s="1">
        <f>38741*(1)</f>
        <v>38741</v>
      </c>
      <c r="CA10" s="1" t="s">
        <v>173</v>
      </c>
      <c r="CB10" s="1">
        <f>0.068*(1)</f>
        <v>6.8000000000000005E-2</v>
      </c>
      <c r="CC10" s="1" t="s">
        <v>106</v>
      </c>
      <c r="CD10" s="1">
        <f>6578*(1)</f>
        <v>6578</v>
      </c>
      <c r="CE10" s="1" t="s">
        <v>174</v>
      </c>
      <c r="CF10" s="1">
        <f>0.059*(1)</f>
        <v>5.8999999999999997E-2</v>
      </c>
      <c r="CG10" s="1" t="s">
        <v>108</v>
      </c>
    </row>
    <row r="11" spans="1:85" x14ac:dyDescent="0.3">
      <c r="A11" s="7" t="s">
        <v>175</v>
      </c>
      <c r="B11" s="1">
        <f>16350*(1)</f>
        <v>16350</v>
      </c>
      <c r="C11" s="1" t="s">
        <v>176</v>
      </c>
      <c r="D11" s="1">
        <f>0.059*(1)</f>
        <v>5.8999999999999997E-2</v>
      </c>
      <c r="E11" s="1" t="s">
        <v>106</v>
      </c>
      <c r="F11" s="1">
        <f>59351*(1)</f>
        <v>59351</v>
      </c>
      <c r="G11" s="1" t="s">
        <v>177</v>
      </c>
      <c r="H11" s="1">
        <f>0.062*(1)</f>
        <v>6.2E-2</v>
      </c>
      <c r="I11" s="1" t="s">
        <v>75</v>
      </c>
      <c r="J11" s="1">
        <f>27538*(1)</f>
        <v>27538</v>
      </c>
      <c r="K11" s="1" t="s">
        <v>178</v>
      </c>
      <c r="L11" s="1">
        <f>0.059*(1)</f>
        <v>5.8999999999999997E-2</v>
      </c>
      <c r="M11" s="1" t="s">
        <v>84</v>
      </c>
      <c r="N11" s="1">
        <f>32021*(1)</f>
        <v>32021</v>
      </c>
      <c r="O11" s="1" t="s">
        <v>179</v>
      </c>
      <c r="P11" s="1">
        <f>0.061*(1)</f>
        <v>6.0999999999999999E-2</v>
      </c>
      <c r="Q11" s="1" t="s">
        <v>84</v>
      </c>
      <c r="R11" s="1">
        <f>3059*(1)</f>
        <v>3059</v>
      </c>
      <c r="S11" s="1" t="s">
        <v>180</v>
      </c>
      <c r="T11" s="1">
        <f>0.032*(1)</f>
        <v>3.2000000000000001E-2</v>
      </c>
      <c r="U11" s="1" t="s">
        <v>106</v>
      </c>
      <c r="V11" s="1">
        <f>10618*(1)</f>
        <v>10618</v>
      </c>
      <c r="W11" s="1" t="s">
        <v>181</v>
      </c>
      <c r="X11" s="1">
        <f>0.069*(1)</f>
        <v>6.9000000000000006E-2</v>
      </c>
      <c r="Y11" s="1" t="s">
        <v>99</v>
      </c>
      <c r="Z11" s="1">
        <f>54405*(1)</f>
        <v>54405</v>
      </c>
      <c r="AA11" s="1" t="s">
        <v>182</v>
      </c>
      <c r="AB11" s="1">
        <f>0.064*(1)</f>
        <v>6.4000000000000001E-2</v>
      </c>
      <c r="AC11" s="1" t="s">
        <v>75</v>
      </c>
      <c r="AD11" s="1">
        <f>20463*(1)</f>
        <v>20463</v>
      </c>
      <c r="AE11" s="1" t="s">
        <v>183</v>
      </c>
      <c r="AF11" s="1">
        <f>0.067*(1)</f>
        <v>6.7000000000000004E-2</v>
      </c>
      <c r="AG11" s="1" t="s">
        <v>73</v>
      </c>
      <c r="AH11" s="1">
        <f>33391*(1)</f>
        <v>33391</v>
      </c>
      <c r="AI11" s="1" t="s">
        <v>184</v>
      </c>
      <c r="AJ11" s="1">
        <f>0.048*(1)</f>
        <v>4.8000000000000001E-2</v>
      </c>
      <c r="AK11" s="1" t="s">
        <v>75</v>
      </c>
      <c r="AL11" s="1">
        <f>8047*(1)</f>
        <v>8047</v>
      </c>
      <c r="AM11" s="1" t="s">
        <v>185</v>
      </c>
      <c r="AN11" s="1">
        <f>0.062*(1)</f>
        <v>6.2E-2</v>
      </c>
      <c r="AO11" s="1" t="s">
        <v>81</v>
      </c>
      <c r="AP11" s="1">
        <f>27746*(1)</f>
        <v>27746</v>
      </c>
      <c r="AQ11" s="1" t="s">
        <v>186</v>
      </c>
      <c r="AR11" s="1">
        <f>0.072*(1)</f>
        <v>7.1999999999999995E-2</v>
      </c>
      <c r="AS11" s="1" t="s">
        <v>73</v>
      </c>
      <c r="AT11" s="1">
        <f>61233*(1)</f>
        <v>61233</v>
      </c>
      <c r="AU11" s="1" t="s">
        <v>187</v>
      </c>
      <c r="AV11" s="1">
        <f>0.071*(1)</f>
        <v>7.0999999999999994E-2</v>
      </c>
      <c r="AW11" s="1" t="s">
        <v>84</v>
      </c>
      <c r="AX11" s="1">
        <f>41292*(1)</f>
        <v>41292</v>
      </c>
      <c r="AY11" s="1" t="s">
        <v>188</v>
      </c>
      <c r="AZ11" s="1">
        <f>0.064*(1)</f>
        <v>6.4000000000000001E-2</v>
      </c>
      <c r="BA11" s="1" t="s">
        <v>75</v>
      </c>
      <c r="BB11" s="1">
        <f>33134*(1)</f>
        <v>33134</v>
      </c>
      <c r="BC11" s="1" t="s">
        <v>189</v>
      </c>
      <c r="BD11" s="1">
        <f>0.065*(1)</f>
        <v>6.5000000000000002E-2</v>
      </c>
      <c r="BE11" s="1" t="s">
        <v>84</v>
      </c>
      <c r="BF11" s="1">
        <f>38072*(1)</f>
        <v>38072</v>
      </c>
      <c r="BG11" s="1" t="s">
        <v>190</v>
      </c>
      <c r="BH11" s="1">
        <f>0.059*(1)</f>
        <v>5.8999999999999997E-2</v>
      </c>
      <c r="BI11" s="1" t="s">
        <v>84</v>
      </c>
      <c r="BJ11" s="1">
        <f>35802*(1)</f>
        <v>35802</v>
      </c>
      <c r="BK11" s="1" t="s">
        <v>191</v>
      </c>
      <c r="BL11" s="1">
        <f>0.069*(1)</f>
        <v>6.9000000000000006E-2</v>
      </c>
      <c r="BM11" s="1" t="s">
        <v>75</v>
      </c>
      <c r="BN11" s="1">
        <f>4388*(1)</f>
        <v>4388</v>
      </c>
      <c r="BO11" s="1" t="s">
        <v>192</v>
      </c>
      <c r="BP11" s="1">
        <f>0.067*(1)</f>
        <v>6.7000000000000004E-2</v>
      </c>
      <c r="BQ11" s="1" t="s">
        <v>127</v>
      </c>
      <c r="BR11" s="1">
        <f>20690*(1)</f>
        <v>20690</v>
      </c>
      <c r="BS11" s="1" t="s">
        <v>193</v>
      </c>
      <c r="BT11" s="1">
        <f>0.06*(1)</f>
        <v>0.06</v>
      </c>
      <c r="BU11" s="1" t="s">
        <v>104</v>
      </c>
      <c r="BV11" s="1">
        <f>8715*(1)</f>
        <v>8715</v>
      </c>
      <c r="BW11" s="1" t="s">
        <v>194</v>
      </c>
      <c r="BX11" s="1">
        <f>0.06*(1)</f>
        <v>0.06</v>
      </c>
      <c r="BY11" s="1" t="s">
        <v>106</v>
      </c>
      <c r="BZ11" s="1">
        <f>36633*(1)</f>
        <v>36633</v>
      </c>
      <c r="CA11" s="1" t="s">
        <v>195</v>
      </c>
      <c r="CB11" s="1">
        <f>0.064*(1)</f>
        <v>6.4000000000000001E-2</v>
      </c>
      <c r="CC11" s="1" t="s">
        <v>75</v>
      </c>
      <c r="CD11" s="1">
        <f>6835*(1)</f>
        <v>6835</v>
      </c>
      <c r="CE11" s="1" t="s">
        <v>196</v>
      </c>
      <c r="CF11" s="1">
        <f>0.062*(1)</f>
        <v>6.2E-2</v>
      </c>
      <c r="CG11" s="1" t="s">
        <v>99</v>
      </c>
    </row>
    <row r="12" spans="1:85" x14ac:dyDescent="0.3">
      <c r="A12" s="7" t="s">
        <v>197</v>
      </c>
      <c r="B12" s="1">
        <f>17528*(1)</f>
        <v>17528</v>
      </c>
      <c r="C12" s="1" t="s">
        <v>198</v>
      </c>
      <c r="D12" s="1">
        <f>0.064*(1)</f>
        <v>6.4000000000000001E-2</v>
      </c>
      <c r="E12" s="1" t="s">
        <v>106</v>
      </c>
      <c r="F12" s="1">
        <f>54499*(1)</f>
        <v>54499</v>
      </c>
      <c r="G12" s="1" t="s">
        <v>83</v>
      </c>
      <c r="H12" s="1">
        <f>0.057*(1)</f>
        <v>5.7000000000000002E-2</v>
      </c>
      <c r="I12" s="1" t="s">
        <v>75</v>
      </c>
      <c r="J12" s="1">
        <f>28158*(1)</f>
        <v>28158</v>
      </c>
      <c r="K12" s="1" t="s">
        <v>199</v>
      </c>
      <c r="L12" s="1">
        <f>0.061*(1)</f>
        <v>6.0999999999999999E-2</v>
      </c>
      <c r="M12" s="1" t="s">
        <v>84</v>
      </c>
      <c r="N12" s="1">
        <f>30655*(1)</f>
        <v>30655</v>
      </c>
      <c r="O12" s="1" t="s">
        <v>200</v>
      </c>
      <c r="P12" s="1">
        <f>0.059*(1)</f>
        <v>5.8999999999999997E-2</v>
      </c>
      <c r="Q12" s="1" t="s">
        <v>84</v>
      </c>
      <c r="R12" s="1">
        <f>5363*(1)</f>
        <v>5363</v>
      </c>
      <c r="S12" s="1" t="s">
        <v>201</v>
      </c>
      <c r="T12" s="1">
        <f>0.056*(1)</f>
        <v>5.6000000000000001E-2</v>
      </c>
      <c r="U12" s="1" t="s">
        <v>84</v>
      </c>
      <c r="V12" s="1">
        <f>8506*(1)</f>
        <v>8506</v>
      </c>
      <c r="W12" s="1" t="s">
        <v>202</v>
      </c>
      <c r="X12" s="1">
        <f>0.055*(1)</f>
        <v>5.5E-2</v>
      </c>
      <c r="Y12" s="1" t="s">
        <v>99</v>
      </c>
      <c r="Z12" s="1">
        <f>51583*(1)</f>
        <v>51583</v>
      </c>
      <c r="AA12" s="1" t="s">
        <v>203</v>
      </c>
      <c r="AB12" s="1">
        <f>0.06*(1)</f>
        <v>0.06</v>
      </c>
      <c r="AC12" s="1" t="s">
        <v>75</v>
      </c>
      <c r="AD12" s="1">
        <f>18468*(1)</f>
        <v>18468</v>
      </c>
      <c r="AE12" s="1" t="s">
        <v>204</v>
      </c>
      <c r="AF12" s="1">
        <f>0.061*(1)</f>
        <v>6.0999999999999999E-2</v>
      </c>
      <c r="AG12" s="1" t="s">
        <v>73</v>
      </c>
      <c r="AH12" s="1">
        <f>37951*(1)</f>
        <v>37951</v>
      </c>
      <c r="AI12" s="1" t="s">
        <v>205</v>
      </c>
      <c r="AJ12" s="1">
        <f>0.054*(1)</f>
        <v>5.3999999999999999E-2</v>
      </c>
      <c r="AK12" s="1" t="s">
        <v>84</v>
      </c>
      <c r="AL12" s="1">
        <f>6912*(1)</f>
        <v>6912</v>
      </c>
      <c r="AM12" s="1" t="s">
        <v>206</v>
      </c>
      <c r="AN12" s="1">
        <f>0.053*(1)</f>
        <v>5.2999999999999999E-2</v>
      </c>
      <c r="AO12" s="1" t="s">
        <v>73</v>
      </c>
      <c r="AP12" s="1">
        <f>29477*(1)</f>
        <v>29477</v>
      </c>
      <c r="AQ12" s="1" t="s">
        <v>207</v>
      </c>
      <c r="AR12" s="1">
        <f>0.076*(1)</f>
        <v>7.5999999999999998E-2</v>
      </c>
      <c r="AS12" s="1" t="s">
        <v>73</v>
      </c>
      <c r="AT12" s="1">
        <f>50998*(1)</f>
        <v>50998</v>
      </c>
      <c r="AU12" s="1" t="s">
        <v>208</v>
      </c>
      <c r="AV12" s="1">
        <f>0.059*(1)</f>
        <v>5.8999999999999997E-2</v>
      </c>
      <c r="AW12" s="1" t="s">
        <v>84</v>
      </c>
      <c r="AX12" s="1">
        <f>39351*(1)</f>
        <v>39351</v>
      </c>
      <c r="AY12" s="1" t="s">
        <v>209</v>
      </c>
      <c r="AZ12" s="1">
        <f>0.061*(1)</f>
        <v>6.0999999999999999E-2</v>
      </c>
      <c r="BA12" s="1" t="s">
        <v>84</v>
      </c>
      <c r="BB12" s="1">
        <f>29899*(1)</f>
        <v>29899</v>
      </c>
      <c r="BC12" s="1" t="s">
        <v>210</v>
      </c>
      <c r="BD12" s="1">
        <f>0.059*(1)</f>
        <v>5.8999999999999997E-2</v>
      </c>
      <c r="BE12" s="1" t="s">
        <v>84</v>
      </c>
      <c r="BF12" s="1">
        <f>35632*(1)</f>
        <v>35632</v>
      </c>
      <c r="BG12" s="1" t="s">
        <v>211</v>
      </c>
      <c r="BH12" s="1">
        <f>0.055*(1)</f>
        <v>5.5E-2</v>
      </c>
      <c r="BI12" s="1" t="s">
        <v>84</v>
      </c>
      <c r="BJ12" s="1">
        <f>33922*(1)</f>
        <v>33922</v>
      </c>
      <c r="BK12" s="1" t="s">
        <v>212</v>
      </c>
      <c r="BL12" s="1">
        <f>0.065*(1)</f>
        <v>6.5000000000000002E-2</v>
      </c>
      <c r="BM12" s="1" t="s">
        <v>84</v>
      </c>
      <c r="BN12" s="1">
        <f>3172*(1)</f>
        <v>3172</v>
      </c>
      <c r="BO12" s="1" t="s">
        <v>213</v>
      </c>
      <c r="BP12" s="1">
        <f>0.049*(1)</f>
        <v>4.9000000000000002E-2</v>
      </c>
      <c r="BQ12" s="1" t="s">
        <v>99</v>
      </c>
      <c r="BR12" s="1">
        <f>21987*(1)</f>
        <v>21987</v>
      </c>
      <c r="BS12" s="1" t="s">
        <v>214</v>
      </c>
      <c r="BT12" s="1">
        <f>0.064*(1)</f>
        <v>6.4000000000000001E-2</v>
      </c>
      <c r="BU12" s="1" t="s">
        <v>104</v>
      </c>
      <c r="BV12" s="1">
        <f>8027*(1)</f>
        <v>8027</v>
      </c>
      <c r="BW12" s="1" t="s">
        <v>215</v>
      </c>
      <c r="BX12" s="1">
        <f>0.055*(1)</f>
        <v>5.5E-2</v>
      </c>
      <c r="BY12" s="1" t="s">
        <v>84</v>
      </c>
      <c r="BZ12" s="1">
        <f>33673*(1)</f>
        <v>33673</v>
      </c>
      <c r="CA12" s="1" t="s">
        <v>180</v>
      </c>
      <c r="CB12" s="1">
        <f>0.059*(1)</f>
        <v>5.8999999999999997E-2</v>
      </c>
      <c r="CC12" s="1" t="s">
        <v>75</v>
      </c>
      <c r="CD12" s="1">
        <f>6397*(1)</f>
        <v>6397</v>
      </c>
      <c r="CE12" s="1" t="s">
        <v>216</v>
      </c>
      <c r="CF12" s="1">
        <f>0.058*(1)</f>
        <v>5.8000000000000003E-2</v>
      </c>
      <c r="CG12" s="1" t="s">
        <v>108</v>
      </c>
    </row>
    <row r="13" spans="1:85" x14ac:dyDescent="0.3">
      <c r="A13" s="7" t="s">
        <v>217</v>
      </c>
      <c r="B13" s="1">
        <f>31917*(1)</f>
        <v>31917</v>
      </c>
      <c r="C13" s="1" t="s">
        <v>218</v>
      </c>
      <c r="D13" s="1">
        <f>0.116*(1)</f>
        <v>0.11600000000000001</v>
      </c>
      <c r="E13" s="1" t="s">
        <v>106</v>
      </c>
      <c r="F13" s="1">
        <f>109036*(1)</f>
        <v>109036</v>
      </c>
      <c r="G13" s="1" t="s">
        <v>219</v>
      </c>
      <c r="H13" s="1">
        <f>0.114*(1)</f>
        <v>0.114</v>
      </c>
      <c r="I13" s="1" t="s">
        <v>75</v>
      </c>
      <c r="J13" s="1">
        <f>58590*(1)</f>
        <v>58590</v>
      </c>
      <c r="K13" s="1" t="s">
        <v>220</v>
      </c>
      <c r="L13" s="1">
        <f>0.126*(1)</f>
        <v>0.126</v>
      </c>
      <c r="M13" s="1" t="s">
        <v>75</v>
      </c>
      <c r="N13" s="1">
        <f>72255*(1)</f>
        <v>72255</v>
      </c>
      <c r="O13" s="1" t="s">
        <v>221</v>
      </c>
      <c r="P13" s="1">
        <f>0.138*(1)</f>
        <v>0.13800000000000001</v>
      </c>
      <c r="Q13" s="1" t="s">
        <v>75</v>
      </c>
      <c r="R13" s="1">
        <f>9700*(1)</f>
        <v>9700</v>
      </c>
      <c r="S13" s="1" t="s">
        <v>222</v>
      </c>
      <c r="T13" s="1">
        <f>0.101*(1)</f>
        <v>0.10100000000000001</v>
      </c>
      <c r="U13" s="1" t="s">
        <v>108</v>
      </c>
      <c r="V13" s="1">
        <f>21014*(1)</f>
        <v>21014</v>
      </c>
      <c r="W13" s="1" t="s">
        <v>223</v>
      </c>
      <c r="X13" s="1">
        <f>0.137*(1)</f>
        <v>0.13700000000000001</v>
      </c>
      <c r="Y13" s="1" t="s">
        <v>79</v>
      </c>
      <c r="Z13" s="1">
        <f>114987*(1)</f>
        <v>114987</v>
      </c>
      <c r="AA13" s="1" t="s">
        <v>224</v>
      </c>
      <c r="AB13" s="1">
        <f>0.135*(1)</f>
        <v>0.13500000000000001</v>
      </c>
      <c r="AC13" s="1" t="s">
        <v>75</v>
      </c>
      <c r="AD13" s="1">
        <f>37563*(1)</f>
        <v>37563</v>
      </c>
      <c r="AE13" s="1" t="s">
        <v>225</v>
      </c>
      <c r="AF13" s="1">
        <f>0.123*(1)</f>
        <v>0.123</v>
      </c>
      <c r="AG13" s="1" t="s">
        <v>106</v>
      </c>
      <c r="AH13" s="1">
        <f>144152*(1)</f>
        <v>144152</v>
      </c>
      <c r="AI13" s="1" t="s">
        <v>226</v>
      </c>
      <c r="AJ13" s="1">
        <f>0.205*(1)</f>
        <v>0.20499999999999999</v>
      </c>
      <c r="AK13" s="1" t="s">
        <v>84</v>
      </c>
      <c r="AL13" s="1">
        <f>13655*(1)</f>
        <v>13655</v>
      </c>
      <c r="AM13" s="1" t="s">
        <v>227</v>
      </c>
      <c r="AN13" s="1">
        <f>0.105*(1)</f>
        <v>0.105</v>
      </c>
      <c r="AO13" s="1" t="s">
        <v>81</v>
      </c>
      <c r="AP13" s="1">
        <f>47328*(1)</f>
        <v>47328</v>
      </c>
      <c r="AQ13" s="1" t="s">
        <v>228</v>
      </c>
      <c r="AR13" s="1">
        <f>0.123*(1)</f>
        <v>0.123</v>
      </c>
      <c r="AS13" s="1" t="s">
        <v>75</v>
      </c>
      <c r="AT13" s="1">
        <f>111000*(1)</f>
        <v>111000</v>
      </c>
      <c r="AU13" s="1" t="s">
        <v>229</v>
      </c>
      <c r="AV13" s="1">
        <f>0.129*(1)</f>
        <v>0.129</v>
      </c>
      <c r="AW13" s="1" t="s">
        <v>75</v>
      </c>
      <c r="AX13" s="1">
        <f>69615*(1)</f>
        <v>69615</v>
      </c>
      <c r="AY13" s="1" t="s">
        <v>230</v>
      </c>
      <c r="AZ13" s="1">
        <f>0.108*(1)</f>
        <v>0.108</v>
      </c>
      <c r="BA13" s="1" t="s">
        <v>84</v>
      </c>
      <c r="BB13" s="1">
        <f>58155*(1)</f>
        <v>58155</v>
      </c>
      <c r="BC13" s="1" t="s">
        <v>151</v>
      </c>
      <c r="BD13" s="1">
        <f>0.114*(1)</f>
        <v>0.114</v>
      </c>
      <c r="BE13" s="1" t="s">
        <v>84</v>
      </c>
      <c r="BF13" s="1">
        <f>72100*(1)</f>
        <v>72100</v>
      </c>
      <c r="BG13" s="1" t="s">
        <v>231</v>
      </c>
      <c r="BH13" s="1">
        <f>0.111*(1)</f>
        <v>0.111</v>
      </c>
      <c r="BI13" s="1" t="s">
        <v>73</v>
      </c>
      <c r="BJ13" s="1">
        <f>69003*(1)</f>
        <v>69003</v>
      </c>
      <c r="BK13" s="1" t="s">
        <v>232</v>
      </c>
      <c r="BL13" s="1">
        <f>0.133*(1)</f>
        <v>0.13300000000000001</v>
      </c>
      <c r="BM13" s="1" t="s">
        <v>84</v>
      </c>
      <c r="BN13" s="1">
        <f>7381*(1)</f>
        <v>7381</v>
      </c>
      <c r="BO13" s="1" t="s">
        <v>233</v>
      </c>
      <c r="BP13" s="1">
        <f>0.113*(1)</f>
        <v>0.113</v>
      </c>
      <c r="BQ13" s="1" t="s">
        <v>138</v>
      </c>
      <c r="BR13" s="1">
        <f>38789*(1)</f>
        <v>38789</v>
      </c>
      <c r="BS13" s="1" t="s">
        <v>234</v>
      </c>
      <c r="BT13" s="1">
        <f>0.112*(1)</f>
        <v>0.112</v>
      </c>
      <c r="BU13" s="1" t="s">
        <v>106</v>
      </c>
      <c r="BV13" s="1">
        <f>16492*(1)</f>
        <v>16492</v>
      </c>
      <c r="BW13" s="1" t="s">
        <v>235</v>
      </c>
      <c r="BX13" s="1">
        <f>0.113*(1)</f>
        <v>0.113</v>
      </c>
      <c r="BY13" s="1" t="s">
        <v>73</v>
      </c>
      <c r="BZ13" s="1">
        <f>70814*(1)</f>
        <v>70814</v>
      </c>
      <c r="CA13" s="1" t="s">
        <v>236</v>
      </c>
      <c r="CB13" s="1">
        <f>0.124*(1)</f>
        <v>0.124</v>
      </c>
      <c r="CC13" s="1" t="s">
        <v>75</v>
      </c>
      <c r="CD13" s="1">
        <f>12151*(1)</f>
        <v>12151</v>
      </c>
      <c r="CE13" s="1" t="s">
        <v>237</v>
      </c>
      <c r="CF13" s="1">
        <f>0.11*(1)</f>
        <v>0.11</v>
      </c>
      <c r="CG13" s="1" t="s">
        <v>108</v>
      </c>
    </row>
    <row r="14" spans="1:85" x14ac:dyDescent="0.3">
      <c r="A14" s="7" t="s">
        <v>238</v>
      </c>
      <c r="B14" s="1">
        <f>33144*(1)</f>
        <v>33144</v>
      </c>
      <c r="C14" s="1" t="s">
        <v>239</v>
      </c>
      <c r="D14" s="1">
        <f>0.121*(1)</f>
        <v>0.121</v>
      </c>
      <c r="E14" s="1" t="s">
        <v>106</v>
      </c>
      <c r="F14" s="1">
        <f>128344*(1)</f>
        <v>128344</v>
      </c>
      <c r="G14" s="1" t="s">
        <v>240</v>
      </c>
      <c r="H14" s="1">
        <f>0.135*(1)</f>
        <v>0.13500000000000001</v>
      </c>
      <c r="I14" s="1" t="s">
        <v>75</v>
      </c>
      <c r="J14" s="1">
        <f>60089*(1)</f>
        <v>60089</v>
      </c>
      <c r="K14" s="1" t="s">
        <v>241</v>
      </c>
      <c r="L14" s="1">
        <f>0.129*(1)</f>
        <v>0.129</v>
      </c>
      <c r="M14" s="1" t="s">
        <v>75</v>
      </c>
      <c r="N14" s="1">
        <f>70054*(1)</f>
        <v>70054</v>
      </c>
      <c r="O14" s="1" t="s">
        <v>242</v>
      </c>
      <c r="P14" s="1">
        <f>0.134*(1)</f>
        <v>0.13400000000000001</v>
      </c>
      <c r="Q14" s="1" t="s">
        <v>75</v>
      </c>
      <c r="R14" s="1">
        <f>10171*(1)</f>
        <v>10171</v>
      </c>
      <c r="S14" s="1" t="s">
        <v>243</v>
      </c>
      <c r="T14" s="1">
        <f>0.106*(1)</f>
        <v>0.106</v>
      </c>
      <c r="U14" s="1" t="s">
        <v>140</v>
      </c>
      <c r="V14" s="1">
        <f>19966*(1)</f>
        <v>19966</v>
      </c>
      <c r="W14" s="1" t="s">
        <v>244</v>
      </c>
      <c r="X14" s="1">
        <f>0.13*(1)</f>
        <v>0.13</v>
      </c>
      <c r="Y14" s="1" t="s">
        <v>81</v>
      </c>
      <c r="Z14" s="1">
        <f>121335*(1)</f>
        <v>121335</v>
      </c>
      <c r="AA14" s="1" t="s">
        <v>245</v>
      </c>
      <c r="AB14" s="1">
        <f>0.142*(1)</f>
        <v>0.14199999999999999</v>
      </c>
      <c r="AC14" s="1" t="s">
        <v>75</v>
      </c>
      <c r="AD14" s="1">
        <f>39930*(1)</f>
        <v>39930</v>
      </c>
      <c r="AE14" s="1" t="s">
        <v>246</v>
      </c>
      <c r="AF14" s="1">
        <f>0.131*(1)</f>
        <v>0.13100000000000001</v>
      </c>
      <c r="AG14" s="1" t="s">
        <v>106</v>
      </c>
      <c r="AH14" s="1">
        <f>115269*(1)</f>
        <v>115269</v>
      </c>
      <c r="AI14" s="1" t="s">
        <v>247</v>
      </c>
      <c r="AJ14" s="1">
        <f>0.164*(1)</f>
        <v>0.16400000000000001</v>
      </c>
      <c r="AK14" s="1" t="s">
        <v>75</v>
      </c>
      <c r="AL14" s="1">
        <f>15490*(1)</f>
        <v>15490</v>
      </c>
      <c r="AM14" s="1" t="s">
        <v>248</v>
      </c>
      <c r="AN14" s="1">
        <f>0.119*(1)</f>
        <v>0.11899999999999999</v>
      </c>
      <c r="AO14" s="1" t="s">
        <v>99</v>
      </c>
      <c r="AP14" s="1">
        <f>49350*(1)</f>
        <v>49350</v>
      </c>
      <c r="AQ14" s="1" t="s">
        <v>221</v>
      </c>
      <c r="AR14" s="1">
        <f>0.128*(1)</f>
        <v>0.128</v>
      </c>
      <c r="AS14" s="1" t="s">
        <v>75</v>
      </c>
      <c r="AT14" s="1">
        <f>120381*(1)</f>
        <v>120381</v>
      </c>
      <c r="AU14" s="1" t="s">
        <v>249</v>
      </c>
      <c r="AV14" s="1">
        <f>0.14*(1)</f>
        <v>0.14000000000000001</v>
      </c>
      <c r="AW14" s="1" t="s">
        <v>75</v>
      </c>
      <c r="AX14" s="1">
        <f>76270*(1)</f>
        <v>76270</v>
      </c>
      <c r="AY14" s="1" t="s">
        <v>250</v>
      </c>
      <c r="AZ14" s="1">
        <f>0.118*(1)</f>
        <v>0.11799999999999999</v>
      </c>
      <c r="BA14" s="1" t="s">
        <v>75</v>
      </c>
      <c r="BB14" s="1">
        <f>66025*(1)</f>
        <v>66025</v>
      </c>
      <c r="BC14" s="1" t="s">
        <v>251</v>
      </c>
      <c r="BD14" s="1">
        <f>0.129*(1)</f>
        <v>0.129</v>
      </c>
      <c r="BE14" s="1" t="s">
        <v>84</v>
      </c>
      <c r="BF14" s="1">
        <f>66496*(1)</f>
        <v>66496</v>
      </c>
      <c r="BG14" s="1" t="s">
        <v>211</v>
      </c>
      <c r="BH14" s="1">
        <f>0.102*(1)</f>
        <v>0.10199999999999999</v>
      </c>
      <c r="BI14" s="1" t="s">
        <v>84</v>
      </c>
      <c r="BJ14" s="1">
        <f>66375*(1)</f>
        <v>66375</v>
      </c>
      <c r="BK14" s="1" t="s">
        <v>252</v>
      </c>
      <c r="BL14" s="1">
        <f>0.128*(1)</f>
        <v>0.128</v>
      </c>
      <c r="BM14" s="1" t="s">
        <v>84</v>
      </c>
      <c r="BN14" s="1">
        <f>7432*(1)</f>
        <v>7432</v>
      </c>
      <c r="BO14" s="1" t="s">
        <v>200</v>
      </c>
      <c r="BP14" s="1">
        <f>0.114*(1)</f>
        <v>0.114</v>
      </c>
      <c r="BQ14" s="1" t="s">
        <v>138</v>
      </c>
      <c r="BR14" s="1">
        <f>45251*(1)</f>
        <v>45251</v>
      </c>
      <c r="BS14" s="1" t="s">
        <v>253</v>
      </c>
      <c r="BT14" s="1">
        <f>0.131*(1)</f>
        <v>0.13100000000000001</v>
      </c>
      <c r="BU14" s="1" t="s">
        <v>73</v>
      </c>
      <c r="BV14" s="1">
        <f>17904*(1)</f>
        <v>17904</v>
      </c>
      <c r="BW14" s="1" t="s">
        <v>185</v>
      </c>
      <c r="BX14" s="1">
        <f>0.123*(1)</f>
        <v>0.123</v>
      </c>
      <c r="BY14" s="1" t="s">
        <v>106</v>
      </c>
      <c r="BZ14" s="1">
        <f>80414*(1)</f>
        <v>80414</v>
      </c>
      <c r="CA14" s="1" t="s">
        <v>254</v>
      </c>
      <c r="CB14" s="1">
        <f>0.141*(1)</f>
        <v>0.14099999999999999</v>
      </c>
      <c r="CC14" s="1" t="s">
        <v>75</v>
      </c>
      <c r="CD14" s="1">
        <f>13437*(1)</f>
        <v>13437</v>
      </c>
      <c r="CE14" s="1" t="s">
        <v>255</v>
      </c>
      <c r="CF14" s="1">
        <f>0.121*(1)</f>
        <v>0.121</v>
      </c>
      <c r="CG14" s="1" t="s">
        <v>127</v>
      </c>
    </row>
    <row r="15" spans="1:85" x14ac:dyDescent="0.3">
      <c r="A15" s="7" t="s">
        <v>256</v>
      </c>
      <c r="B15" s="1">
        <f>33637*(1)</f>
        <v>33637</v>
      </c>
      <c r="C15" s="1" t="s">
        <v>257</v>
      </c>
      <c r="D15" s="1">
        <f>0.122*(1)</f>
        <v>0.122</v>
      </c>
      <c r="E15" s="1" t="s">
        <v>73</v>
      </c>
      <c r="F15" s="1">
        <f>133102*(1)</f>
        <v>133102</v>
      </c>
      <c r="G15" s="1" t="s">
        <v>258</v>
      </c>
      <c r="H15" s="1">
        <f>0.14*(1)</f>
        <v>0.14000000000000001</v>
      </c>
      <c r="I15" s="1" t="s">
        <v>75</v>
      </c>
      <c r="J15" s="1">
        <f>61243*(1)</f>
        <v>61243</v>
      </c>
      <c r="K15" s="1" t="s">
        <v>259</v>
      </c>
      <c r="L15" s="1">
        <f>0.132*(1)</f>
        <v>0.13200000000000001</v>
      </c>
      <c r="M15" s="1" t="s">
        <v>75</v>
      </c>
      <c r="N15" s="1">
        <f>65911*(1)</f>
        <v>65911</v>
      </c>
      <c r="O15" s="1" t="s">
        <v>260</v>
      </c>
      <c r="P15" s="1">
        <f>0.126*(1)</f>
        <v>0.126</v>
      </c>
      <c r="Q15" s="1" t="s">
        <v>75</v>
      </c>
      <c r="R15" s="1">
        <f>11008*(1)</f>
        <v>11008</v>
      </c>
      <c r="S15" s="1" t="s">
        <v>261</v>
      </c>
      <c r="T15" s="1">
        <f>0.115*(1)</f>
        <v>0.115</v>
      </c>
      <c r="U15" s="1" t="s">
        <v>140</v>
      </c>
      <c r="V15" s="1">
        <f>19297*(1)</f>
        <v>19297</v>
      </c>
      <c r="W15" s="1" t="s">
        <v>262</v>
      </c>
      <c r="X15" s="1">
        <f>0.126*(1)</f>
        <v>0.126</v>
      </c>
      <c r="Y15" s="1" t="s">
        <v>81</v>
      </c>
      <c r="Z15" s="1">
        <f>116770*(1)</f>
        <v>116770</v>
      </c>
      <c r="AA15" s="1" t="s">
        <v>263</v>
      </c>
      <c r="AB15" s="1">
        <f>0.137*(1)</f>
        <v>0.13700000000000001</v>
      </c>
      <c r="AC15" s="1" t="s">
        <v>75</v>
      </c>
      <c r="AD15" s="1">
        <f>40249*(1)</f>
        <v>40249</v>
      </c>
      <c r="AE15" s="1" t="s">
        <v>264</v>
      </c>
      <c r="AF15" s="1">
        <f>0.132*(1)</f>
        <v>0.13200000000000001</v>
      </c>
      <c r="AG15" s="1" t="s">
        <v>73</v>
      </c>
      <c r="AH15" s="1">
        <f>84505*(1)</f>
        <v>84505</v>
      </c>
      <c r="AI15" s="1" t="s">
        <v>265</v>
      </c>
      <c r="AJ15" s="1">
        <f>0.12*(1)</f>
        <v>0.12</v>
      </c>
      <c r="AK15" s="1" t="s">
        <v>75</v>
      </c>
      <c r="AL15" s="1">
        <f>17910*(1)</f>
        <v>17910</v>
      </c>
      <c r="AM15" s="1" t="s">
        <v>266</v>
      </c>
      <c r="AN15" s="1">
        <f>0.138*(1)</f>
        <v>0.13800000000000001</v>
      </c>
      <c r="AO15" s="1" t="s">
        <v>81</v>
      </c>
      <c r="AP15" s="1">
        <f>51830*(1)</f>
        <v>51830</v>
      </c>
      <c r="AQ15" s="1" t="s">
        <v>201</v>
      </c>
      <c r="AR15" s="1">
        <f>0.134*(1)</f>
        <v>0.13400000000000001</v>
      </c>
      <c r="AS15" s="1" t="s">
        <v>75</v>
      </c>
      <c r="AT15" s="1">
        <f>115224*(1)</f>
        <v>115224</v>
      </c>
      <c r="AU15" s="1" t="s">
        <v>267</v>
      </c>
      <c r="AV15" s="1">
        <f>0.134*(1)</f>
        <v>0.13400000000000001</v>
      </c>
      <c r="AW15" s="1" t="s">
        <v>75</v>
      </c>
      <c r="AX15" s="1">
        <f>87912*(1)</f>
        <v>87912</v>
      </c>
      <c r="AY15" s="1" t="s">
        <v>268</v>
      </c>
      <c r="AZ15" s="1">
        <f>0.136*(1)</f>
        <v>0.13600000000000001</v>
      </c>
      <c r="BA15" s="1" t="s">
        <v>75</v>
      </c>
      <c r="BB15" s="1">
        <f>71291*(1)</f>
        <v>71291</v>
      </c>
      <c r="BC15" s="1" t="s">
        <v>269</v>
      </c>
      <c r="BD15" s="1">
        <f>0.14*(1)</f>
        <v>0.14000000000000001</v>
      </c>
      <c r="BE15" s="1" t="s">
        <v>84</v>
      </c>
      <c r="BF15" s="1">
        <f>68467*(1)</f>
        <v>68467</v>
      </c>
      <c r="BG15" s="1" t="s">
        <v>270</v>
      </c>
      <c r="BH15" s="1">
        <f>0.105*(1)</f>
        <v>0.105</v>
      </c>
      <c r="BI15" s="1" t="s">
        <v>84</v>
      </c>
      <c r="BJ15" s="1">
        <f>65143*(1)</f>
        <v>65143</v>
      </c>
      <c r="BK15" s="1" t="s">
        <v>271</v>
      </c>
      <c r="BL15" s="1">
        <f>0.126*(1)</f>
        <v>0.126</v>
      </c>
      <c r="BM15" s="1" t="s">
        <v>75</v>
      </c>
      <c r="BN15" s="1">
        <f>8749*(1)</f>
        <v>8749</v>
      </c>
      <c r="BO15" s="1" t="s">
        <v>272</v>
      </c>
      <c r="BP15" s="1">
        <f>0.135*(1)</f>
        <v>0.13500000000000001</v>
      </c>
      <c r="BQ15" s="1" t="s">
        <v>273</v>
      </c>
      <c r="BR15" s="1">
        <f>50089*(1)</f>
        <v>50089</v>
      </c>
      <c r="BS15" s="1" t="s">
        <v>274</v>
      </c>
      <c r="BT15" s="1">
        <f>0.145*(1)</f>
        <v>0.14499999999999999</v>
      </c>
      <c r="BU15" s="1" t="s">
        <v>75</v>
      </c>
      <c r="BV15" s="1">
        <f>20488*(1)</f>
        <v>20488</v>
      </c>
      <c r="BW15" s="1" t="s">
        <v>275</v>
      </c>
      <c r="BX15" s="1">
        <f>0.141*(1)</f>
        <v>0.14099999999999999</v>
      </c>
      <c r="BY15" s="1" t="s">
        <v>81</v>
      </c>
      <c r="BZ15" s="1">
        <f>78647*(1)</f>
        <v>78647</v>
      </c>
      <c r="CA15" s="1" t="s">
        <v>276</v>
      </c>
      <c r="CB15" s="1">
        <f>0.137*(1)</f>
        <v>0.13700000000000001</v>
      </c>
      <c r="CC15" s="1" t="s">
        <v>75</v>
      </c>
      <c r="CD15" s="1">
        <f>15681*(1)</f>
        <v>15681</v>
      </c>
      <c r="CE15" s="1" t="s">
        <v>277</v>
      </c>
      <c r="CF15" s="1">
        <f>0.142*(1)</f>
        <v>0.14199999999999999</v>
      </c>
      <c r="CG15" s="1" t="s">
        <v>127</v>
      </c>
    </row>
    <row r="16" spans="1:85" x14ac:dyDescent="0.3">
      <c r="A16" s="7" t="s">
        <v>278</v>
      </c>
      <c r="B16" s="1">
        <f>19439*(1)</f>
        <v>19439</v>
      </c>
      <c r="C16" s="1" t="s">
        <v>279</v>
      </c>
      <c r="D16" s="1">
        <f>0.071*(1)</f>
        <v>7.0999999999999994E-2</v>
      </c>
      <c r="E16" s="1" t="s">
        <v>81</v>
      </c>
      <c r="F16" s="1">
        <f>67644*(1)</f>
        <v>67644</v>
      </c>
      <c r="G16" s="1" t="s">
        <v>280</v>
      </c>
      <c r="H16" s="1">
        <f>0.071*(1)</f>
        <v>7.0999999999999994E-2</v>
      </c>
      <c r="I16" s="1" t="s">
        <v>73</v>
      </c>
      <c r="J16" s="1">
        <f>34479*(1)</f>
        <v>34479</v>
      </c>
      <c r="K16" s="1" t="s">
        <v>281</v>
      </c>
      <c r="L16" s="1">
        <f>0.074*(1)</f>
        <v>7.3999999999999996E-2</v>
      </c>
      <c r="M16" s="1" t="s">
        <v>106</v>
      </c>
      <c r="N16" s="1">
        <f>35380*(1)</f>
        <v>35380</v>
      </c>
      <c r="O16" s="1" t="s">
        <v>282</v>
      </c>
      <c r="P16" s="1">
        <f>0.068*(1)</f>
        <v>6.8000000000000005E-2</v>
      </c>
      <c r="Q16" s="1" t="s">
        <v>106</v>
      </c>
      <c r="R16" s="1">
        <f>6100*(1)</f>
        <v>6100</v>
      </c>
      <c r="S16" s="1" t="s">
        <v>283</v>
      </c>
      <c r="T16" s="1">
        <f>0.064*(1)</f>
        <v>6.4000000000000001E-2</v>
      </c>
      <c r="U16" s="1" t="s">
        <v>94</v>
      </c>
      <c r="V16" s="1">
        <f>9668*(1)</f>
        <v>9668</v>
      </c>
      <c r="W16" s="1" t="s">
        <v>284</v>
      </c>
      <c r="X16" s="1">
        <f>0.063*(1)</f>
        <v>6.3E-2</v>
      </c>
      <c r="Y16" s="1" t="s">
        <v>99</v>
      </c>
      <c r="Z16" s="1">
        <f>55818*(1)</f>
        <v>55818</v>
      </c>
      <c r="AA16" s="1" t="s">
        <v>285</v>
      </c>
      <c r="AB16" s="1">
        <f>0.065*(1)</f>
        <v>6.5000000000000002E-2</v>
      </c>
      <c r="AC16" s="1" t="s">
        <v>104</v>
      </c>
      <c r="AD16" s="1">
        <f>22715*(1)</f>
        <v>22715</v>
      </c>
      <c r="AE16" s="1" t="s">
        <v>286</v>
      </c>
      <c r="AF16" s="1">
        <f>0.075*(1)</f>
        <v>7.4999999999999997E-2</v>
      </c>
      <c r="AG16" s="1" t="s">
        <v>106</v>
      </c>
      <c r="AH16" s="1">
        <f>41767*(1)</f>
        <v>41767</v>
      </c>
      <c r="AI16" s="1" t="s">
        <v>287</v>
      </c>
      <c r="AJ16" s="1">
        <f>0.059*(1)</f>
        <v>5.8999999999999997E-2</v>
      </c>
      <c r="AK16" s="1" t="s">
        <v>106</v>
      </c>
      <c r="AL16" s="1">
        <f>11682*(1)</f>
        <v>11682</v>
      </c>
      <c r="AM16" s="1" t="s">
        <v>288</v>
      </c>
      <c r="AN16" s="1">
        <f>0.09*(1)</f>
        <v>0.09</v>
      </c>
      <c r="AO16" s="1" t="s">
        <v>138</v>
      </c>
      <c r="AP16" s="1">
        <f>25864*(1)</f>
        <v>25864</v>
      </c>
      <c r="AQ16" s="1" t="s">
        <v>289</v>
      </c>
      <c r="AR16" s="1">
        <f>0.067*(1)</f>
        <v>6.7000000000000004E-2</v>
      </c>
      <c r="AS16" s="1" t="s">
        <v>81</v>
      </c>
      <c r="AT16" s="1">
        <f>60842*(1)</f>
        <v>60842</v>
      </c>
      <c r="AU16" s="1" t="s">
        <v>290</v>
      </c>
      <c r="AV16" s="1">
        <f>0.071*(1)</f>
        <v>7.0999999999999994E-2</v>
      </c>
      <c r="AW16" s="1" t="s">
        <v>73</v>
      </c>
      <c r="AX16" s="1">
        <f>52520*(1)</f>
        <v>52520</v>
      </c>
      <c r="AY16" s="1" t="s">
        <v>291</v>
      </c>
      <c r="AZ16" s="1">
        <f>0.081*(1)</f>
        <v>8.1000000000000003E-2</v>
      </c>
      <c r="BA16" s="1" t="s">
        <v>104</v>
      </c>
      <c r="BB16" s="1">
        <f>40673*(1)</f>
        <v>40673</v>
      </c>
      <c r="BC16" s="1" t="s">
        <v>292</v>
      </c>
      <c r="BD16" s="1">
        <f>0.08*(1)</f>
        <v>0.08</v>
      </c>
      <c r="BE16" s="1" t="s">
        <v>106</v>
      </c>
      <c r="BF16" s="1">
        <f>41276*(1)</f>
        <v>41276</v>
      </c>
      <c r="BG16" s="1" t="s">
        <v>293</v>
      </c>
      <c r="BH16" s="1">
        <f>0.064*(1)</f>
        <v>6.4000000000000001E-2</v>
      </c>
      <c r="BI16" s="1" t="s">
        <v>104</v>
      </c>
      <c r="BJ16" s="1">
        <f>33007*(1)</f>
        <v>33007</v>
      </c>
      <c r="BK16" s="1" t="s">
        <v>294</v>
      </c>
      <c r="BL16" s="1">
        <f>0.064*(1)</f>
        <v>6.4000000000000001E-2</v>
      </c>
      <c r="BM16" s="1" t="s">
        <v>106</v>
      </c>
      <c r="BN16" s="1">
        <f>5344*(1)</f>
        <v>5344</v>
      </c>
      <c r="BO16" s="1" t="s">
        <v>295</v>
      </c>
      <c r="BP16" s="1">
        <f>0.082*(1)</f>
        <v>8.2000000000000003E-2</v>
      </c>
      <c r="BQ16" s="1" t="s">
        <v>94</v>
      </c>
      <c r="BR16" s="1">
        <f>27321*(1)</f>
        <v>27321</v>
      </c>
      <c r="BS16" s="1" t="s">
        <v>296</v>
      </c>
      <c r="BT16" s="1">
        <f>0.079*(1)</f>
        <v>7.9000000000000001E-2</v>
      </c>
      <c r="BU16" s="1" t="s">
        <v>99</v>
      </c>
      <c r="BV16" s="1">
        <f>12260*(1)</f>
        <v>12260</v>
      </c>
      <c r="BW16" s="1" t="s">
        <v>297</v>
      </c>
      <c r="BX16" s="1">
        <f>0.084*(1)</f>
        <v>8.4000000000000005E-2</v>
      </c>
      <c r="BY16" s="1" t="s">
        <v>79</v>
      </c>
      <c r="BZ16" s="1">
        <f>39439*(1)</f>
        <v>39439</v>
      </c>
      <c r="CA16" s="1" t="s">
        <v>298</v>
      </c>
      <c r="CB16" s="1">
        <f>0.069*(1)</f>
        <v>6.9000000000000006E-2</v>
      </c>
      <c r="CC16" s="1" t="s">
        <v>106</v>
      </c>
      <c r="CD16" s="1">
        <f>8658*(1)</f>
        <v>8658</v>
      </c>
      <c r="CE16" s="1" t="s">
        <v>299</v>
      </c>
      <c r="CF16" s="1">
        <f>0.078*(1)</f>
        <v>7.8E-2</v>
      </c>
      <c r="CG16" s="1" t="s">
        <v>94</v>
      </c>
    </row>
    <row r="17" spans="1:85" x14ac:dyDescent="0.3">
      <c r="A17" s="7" t="s">
        <v>300</v>
      </c>
      <c r="B17" s="1">
        <f>22434*(1)</f>
        <v>22434</v>
      </c>
      <c r="C17" s="1" t="s">
        <v>301</v>
      </c>
      <c r="D17" s="1">
        <f>0.082*(1)</f>
        <v>8.2000000000000003E-2</v>
      </c>
      <c r="E17" s="1" t="s">
        <v>81</v>
      </c>
      <c r="F17" s="1">
        <f>69007*(1)</f>
        <v>69007</v>
      </c>
      <c r="G17" s="1" t="s">
        <v>302</v>
      </c>
      <c r="H17" s="1">
        <f>0.072*(1)</f>
        <v>7.1999999999999995E-2</v>
      </c>
      <c r="I17" s="1" t="s">
        <v>73</v>
      </c>
      <c r="J17" s="1">
        <f>34781*(1)</f>
        <v>34781</v>
      </c>
      <c r="K17" s="1" t="s">
        <v>303</v>
      </c>
      <c r="L17" s="1">
        <f>0.075*(1)</f>
        <v>7.4999999999999997E-2</v>
      </c>
      <c r="M17" s="1" t="s">
        <v>106</v>
      </c>
      <c r="N17" s="1">
        <f>34377*(1)</f>
        <v>34377</v>
      </c>
      <c r="O17" s="1" t="s">
        <v>304</v>
      </c>
      <c r="P17" s="1">
        <f>0.066*(1)</f>
        <v>6.6000000000000003E-2</v>
      </c>
      <c r="Q17" s="1" t="s">
        <v>106</v>
      </c>
      <c r="R17" s="1">
        <f>10621*(1)</f>
        <v>10621</v>
      </c>
      <c r="S17" s="1" t="s">
        <v>305</v>
      </c>
      <c r="T17" s="1">
        <f>0.111*(1)</f>
        <v>0.111</v>
      </c>
      <c r="U17" s="1" t="s">
        <v>140</v>
      </c>
      <c r="V17" s="1">
        <f>9387*(1)</f>
        <v>9387</v>
      </c>
      <c r="W17" s="1" t="s">
        <v>306</v>
      </c>
      <c r="X17" s="1">
        <f>0.061*(1)</f>
        <v>6.0999999999999999E-2</v>
      </c>
      <c r="Y17" s="1" t="s">
        <v>99</v>
      </c>
      <c r="Z17" s="1">
        <f>50148*(1)</f>
        <v>50148</v>
      </c>
      <c r="AA17" s="1" t="s">
        <v>285</v>
      </c>
      <c r="AB17" s="1">
        <f>0.059*(1)</f>
        <v>5.8999999999999997E-2</v>
      </c>
      <c r="AC17" s="1" t="s">
        <v>104</v>
      </c>
      <c r="AD17" s="1">
        <f>20947*(1)</f>
        <v>20947</v>
      </c>
      <c r="AE17" s="1" t="s">
        <v>307</v>
      </c>
      <c r="AF17" s="1">
        <f>0.069*(1)</f>
        <v>6.9000000000000006E-2</v>
      </c>
      <c r="AG17" s="1" t="s">
        <v>81</v>
      </c>
      <c r="AH17" s="1">
        <f>35260*(1)</f>
        <v>35260</v>
      </c>
      <c r="AI17" s="1" t="s">
        <v>308</v>
      </c>
      <c r="AJ17" s="1">
        <f>0.05*(1)</f>
        <v>0.05</v>
      </c>
      <c r="AK17" s="1" t="s">
        <v>106</v>
      </c>
      <c r="AL17" s="1">
        <f>11593*(1)</f>
        <v>11593</v>
      </c>
      <c r="AM17" s="1" t="s">
        <v>309</v>
      </c>
      <c r="AN17" s="1">
        <f>0.089*(1)</f>
        <v>8.8999999999999996E-2</v>
      </c>
      <c r="AO17" s="1" t="s">
        <v>94</v>
      </c>
      <c r="AP17" s="1">
        <f>25377*(1)</f>
        <v>25377</v>
      </c>
      <c r="AQ17" s="1" t="s">
        <v>310</v>
      </c>
      <c r="AR17" s="1">
        <f>0.066*(1)</f>
        <v>6.6000000000000003E-2</v>
      </c>
      <c r="AS17" s="1" t="s">
        <v>81</v>
      </c>
      <c r="AT17" s="1">
        <f>52749*(1)</f>
        <v>52749</v>
      </c>
      <c r="AU17" s="1" t="s">
        <v>311</v>
      </c>
      <c r="AV17" s="1">
        <f>0.061*(1)</f>
        <v>6.0999999999999999E-2</v>
      </c>
      <c r="AW17" s="1" t="s">
        <v>73</v>
      </c>
      <c r="AX17" s="1">
        <f>50395*(1)</f>
        <v>50395</v>
      </c>
      <c r="AY17" s="1" t="s">
        <v>312</v>
      </c>
      <c r="AZ17" s="1">
        <f>0.078*(1)</f>
        <v>7.8E-2</v>
      </c>
      <c r="BA17" s="1" t="s">
        <v>104</v>
      </c>
      <c r="BB17" s="1">
        <f>36669*(1)</f>
        <v>36669</v>
      </c>
      <c r="BC17" s="1" t="s">
        <v>313</v>
      </c>
      <c r="BD17" s="1">
        <f>0.072*(1)</f>
        <v>7.1999999999999995E-2</v>
      </c>
      <c r="BE17" s="1" t="s">
        <v>104</v>
      </c>
      <c r="BF17" s="1">
        <f>47169*(1)</f>
        <v>47169</v>
      </c>
      <c r="BG17" s="1" t="s">
        <v>314</v>
      </c>
      <c r="BH17" s="1">
        <f>0.073*(1)</f>
        <v>7.2999999999999995E-2</v>
      </c>
      <c r="BI17" s="1" t="s">
        <v>104</v>
      </c>
      <c r="BJ17" s="1">
        <f>33947*(1)</f>
        <v>33947</v>
      </c>
      <c r="BK17" s="1" t="s">
        <v>315</v>
      </c>
      <c r="BL17" s="1">
        <f>0.066*(1)</f>
        <v>6.6000000000000003E-2</v>
      </c>
      <c r="BM17" s="1" t="s">
        <v>106</v>
      </c>
      <c r="BN17" s="1">
        <f>4208*(1)</f>
        <v>4208</v>
      </c>
      <c r="BO17" s="1" t="s">
        <v>316</v>
      </c>
      <c r="BP17" s="1">
        <f>0.065*(1)</f>
        <v>6.5000000000000002E-2</v>
      </c>
      <c r="BQ17" s="1" t="s">
        <v>140</v>
      </c>
      <c r="BR17" s="1">
        <f>25031*(1)</f>
        <v>25031</v>
      </c>
      <c r="BS17" s="1" t="s">
        <v>317</v>
      </c>
      <c r="BT17" s="1">
        <f>0.072*(1)</f>
        <v>7.1999999999999995E-2</v>
      </c>
      <c r="BU17" s="1" t="s">
        <v>99</v>
      </c>
      <c r="BV17" s="1">
        <f>12071*(1)</f>
        <v>12071</v>
      </c>
      <c r="BW17" s="1" t="s">
        <v>318</v>
      </c>
      <c r="BX17" s="1">
        <f>0.083*(1)</f>
        <v>8.3000000000000004E-2</v>
      </c>
      <c r="BY17" s="1" t="s">
        <v>108</v>
      </c>
      <c r="BZ17" s="1">
        <f>36622*(1)</f>
        <v>36622</v>
      </c>
      <c r="CA17" s="1" t="s">
        <v>319</v>
      </c>
      <c r="CB17" s="1">
        <f>0.064*(1)</f>
        <v>6.4000000000000001E-2</v>
      </c>
      <c r="CC17" s="1" t="s">
        <v>106</v>
      </c>
      <c r="CD17" s="1">
        <f>10140*(1)</f>
        <v>10140</v>
      </c>
      <c r="CE17" s="1" t="s">
        <v>320</v>
      </c>
      <c r="CF17" s="1">
        <f>0.092*(1)</f>
        <v>9.1999999999999998E-2</v>
      </c>
      <c r="CG17" s="1" t="s">
        <v>127</v>
      </c>
    </row>
    <row r="18" spans="1:85" x14ac:dyDescent="0.3">
      <c r="A18" s="7" t="s">
        <v>321</v>
      </c>
      <c r="B18" s="1">
        <f>32155*(1)</f>
        <v>32155</v>
      </c>
      <c r="C18" s="1" t="s">
        <v>322</v>
      </c>
      <c r="D18" s="1">
        <f>0.117*(1)</f>
        <v>0.11700000000000001</v>
      </c>
      <c r="E18" s="1" t="s">
        <v>73</v>
      </c>
      <c r="F18" s="1">
        <f>97465*(1)</f>
        <v>97465</v>
      </c>
      <c r="G18" s="1" t="s">
        <v>323</v>
      </c>
      <c r="H18" s="1">
        <f>0.102*(1)</f>
        <v>0.10199999999999999</v>
      </c>
      <c r="I18" s="1" t="s">
        <v>75</v>
      </c>
      <c r="J18" s="1">
        <f>48063*(1)</f>
        <v>48063</v>
      </c>
      <c r="K18" s="1" t="s">
        <v>324</v>
      </c>
      <c r="L18" s="1">
        <f>0.104*(1)</f>
        <v>0.104</v>
      </c>
      <c r="M18" s="1" t="s">
        <v>75</v>
      </c>
      <c r="N18" s="1">
        <f>51743*(1)</f>
        <v>51743</v>
      </c>
      <c r="O18" s="1" t="s">
        <v>325</v>
      </c>
      <c r="P18" s="1">
        <f>0.099*(1)</f>
        <v>9.9000000000000005E-2</v>
      </c>
      <c r="Q18" s="1" t="s">
        <v>75</v>
      </c>
      <c r="R18" s="1">
        <f>15729*(1)</f>
        <v>15729</v>
      </c>
      <c r="S18" s="1" t="s">
        <v>326</v>
      </c>
      <c r="T18" s="1">
        <f>0.164*(1)</f>
        <v>0.16400000000000001</v>
      </c>
      <c r="U18" s="1" t="s">
        <v>84</v>
      </c>
      <c r="V18" s="1">
        <f>15063*(1)</f>
        <v>15063</v>
      </c>
      <c r="W18" s="1" t="s">
        <v>327</v>
      </c>
      <c r="X18" s="1">
        <f>0.098*(1)</f>
        <v>9.8000000000000004E-2</v>
      </c>
      <c r="Y18" s="1" t="s">
        <v>106</v>
      </c>
      <c r="Z18" s="1">
        <f>71732*(1)</f>
        <v>71732</v>
      </c>
      <c r="AA18" s="1" t="s">
        <v>328</v>
      </c>
      <c r="AB18" s="1">
        <f>0.084*(1)</f>
        <v>8.4000000000000005E-2</v>
      </c>
      <c r="AC18" s="1" t="s">
        <v>75</v>
      </c>
      <c r="AD18" s="1">
        <f>31595*(1)</f>
        <v>31595</v>
      </c>
      <c r="AE18" s="1" t="s">
        <v>200</v>
      </c>
      <c r="AF18" s="1">
        <f>0.104*(1)</f>
        <v>0.104</v>
      </c>
      <c r="AG18" s="1" t="s">
        <v>73</v>
      </c>
      <c r="AH18" s="1">
        <f>52274*(1)</f>
        <v>52274</v>
      </c>
      <c r="AI18" s="1" t="s">
        <v>329</v>
      </c>
      <c r="AJ18" s="1">
        <f>0.074*(1)</f>
        <v>7.3999999999999996E-2</v>
      </c>
      <c r="AK18" s="1" t="s">
        <v>75</v>
      </c>
      <c r="AL18" s="1">
        <f>15589*(1)</f>
        <v>15589</v>
      </c>
      <c r="AM18" s="1" t="s">
        <v>330</v>
      </c>
      <c r="AN18" s="1">
        <f>0.12*(1)</f>
        <v>0.12</v>
      </c>
      <c r="AO18" s="1" t="s">
        <v>73</v>
      </c>
      <c r="AP18" s="1">
        <f>36412*(1)</f>
        <v>36412</v>
      </c>
      <c r="AQ18" s="1" t="s">
        <v>331</v>
      </c>
      <c r="AR18" s="1">
        <f>0.094*(1)</f>
        <v>9.4E-2</v>
      </c>
      <c r="AS18" s="1" t="s">
        <v>84</v>
      </c>
      <c r="AT18" s="1">
        <f>81645*(1)</f>
        <v>81645</v>
      </c>
      <c r="AU18" s="1" t="s">
        <v>332</v>
      </c>
      <c r="AV18" s="1">
        <f>0.095*(1)</f>
        <v>9.5000000000000001E-2</v>
      </c>
      <c r="AW18" s="1" t="s">
        <v>75</v>
      </c>
      <c r="AX18" s="1">
        <f>72903*(1)</f>
        <v>72903</v>
      </c>
      <c r="AY18" s="1" t="s">
        <v>333</v>
      </c>
      <c r="AZ18" s="1">
        <f>0.113*(1)</f>
        <v>0.113</v>
      </c>
      <c r="BA18" s="1" t="s">
        <v>75</v>
      </c>
      <c r="BB18" s="1">
        <f>52234*(1)</f>
        <v>52234</v>
      </c>
      <c r="BC18" s="1" t="s">
        <v>334</v>
      </c>
      <c r="BD18" s="1">
        <f>0.102*(1)</f>
        <v>0.10199999999999999</v>
      </c>
      <c r="BE18" s="1" t="s">
        <v>75</v>
      </c>
      <c r="BF18" s="1">
        <f>80167*(1)</f>
        <v>80167</v>
      </c>
      <c r="BG18" s="1" t="s">
        <v>335</v>
      </c>
      <c r="BH18" s="1">
        <f>0.124*(1)</f>
        <v>0.124</v>
      </c>
      <c r="BI18" s="1" t="s">
        <v>75</v>
      </c>
      <c r="BJ18" s="1">
        <f>47183*(1)</f>
        <v>47183</v>
      </c>
      <c r="BK18" s="1" t="s">
        <v>336</v>
      </c>
      <c r="BL18" s="1">
        <f>0.091*(1)</f>
        <v>9.0999999999999998E-2</v>
      </c>
      <c r="BM18" s="1" t="s">
        <v>75</v>
      </c>
      <c r="BN18" s="1">
        <f>7500*(1)</f>
        <v>7500</v>
      </c>
      <c r="BO18" s="1" t="s">
        <v>337</v>
      </c>
      <c r="BP18" s="1">
        <f>0.115*(1)</f>
        <v>0.115</v>
      </c>
      <c r="BQ18" s="1" t="s">
        <v>99</v>
      </c>
      <c r="BR18" s="1">
        <f>33820*(1)</f>
        <v>33820</v>
      </c>
      <c r="BS18" s="1" t="s">
        <v>338</v>
      </c>
      <c r="BT18" s="1">
        <f>0.098*(1)</f>
        <v>9.8000000000000004E-2</v>
      </c>
      <c r="BU18" s="1" t="s">
        <v>84</v>
      </c>
      <c r="BV18" s="1">
        <f>17253*(1)</f>
        <v>17253</v>
      </c>
      <c r="BW18" s="1" t="s">
        <v>339</v>
      </c>
      <c r="BX18" s="1">
        <f>0.119*(1)</f>
        <v>0.11899999999999999</v>
      </c>
      <c r="BY18" s="1" t="s">
        <v>84</v>
      </c>
      <c r="BZ18" s="1">
        <f>50165*(1)</f>
        <v>50165</v>
      </c>
      <c r="CA18" s="1" t="s">
        <v>340</v>
      </c>
      <c r="CB18" s="1">
        <f>0.088*(1)</f>
        <v>8.7999999999999995E-2</v>
      </c>
      <c r="CC18" s="1" t="s">
        <v>75</v>
      </c>
      <c r="CD18" s="1">
        <f>12498*(1)</f>
        <v>12498</v>
      </c>
      <c r="CE18" s="1" t="s">
        <v>341</v>
      </c>
      <c r="CF18" s="1">
        <f>0.113*(1)</f>
        <v>0.113</v>
      </c>
      <c r="CG18" s="1" t="s">
        <v>99</v>
      </c>
    </row>
    <row r="19" spans="1:85" x14ac:dyDescent="0.3">
      <c r="A19" s="7" t="s">
        <v>342</v>
      </c>
      <c r="B19" s="1">
        <f>15114*(1)</f>
        <v>15114</v>
      </c>
      <c r="C19" s="1" t="s">
        <v>343</v>
      </c>
      <c r="D19" s="1">
        <f>0.055*(1)</f>
        <v>5.5E-2</v>
      </c>
      <c r="E19" s="1" t="s">
        <v>106</v>
      </c>
      <c r="F19" s="1">
        <f>48435*(1)</f>
        <v>48435</v>
      </c>
      <c r="G19" s="1" t="s">
        <v>344</v>
      </c>
      <c r="H19" s="1">
        <f>0.051*(1)</f>
        <v>5.0999999999999997E-2</v>
      </c>
      <c r="I19" s="1" t="s">
        <v>73</v>
      </c>
      <c r="J19" s="1">
        <f>23361*(1)</f>
        <v>23361</v>
      </c>
      <c r="K19" s="1" t="s">
        <v>239</v>
      </c>
      <c r="L19" s="1">
        <f>0.05*(1)</f>
        <v>0.05</v>
      </c>
      <c r="M19" s="1" t="s">
        <v>73</v>
      </c>
      <c r="N19" s="1">
        <f>23266*(1)</f>
        <v>23266</v>
      </c>
      <c r="O19" s="1" t="s">
        <v>345</v>
      </c>
      <c r="P19" s="1">
        <f>0.044*(1)</f>
        <v>4.3999999999999997E-2</v>
      </c>
      <c r="Q19" s="1" t="s">
        <v>84</v>
      </c>
      <c r="R19" s="1">
        <f>8185*(1)</f>
        <v>8185</v>
      </c>
      <c r="S19" s="1" t="s">
        <v>346</v>
      </c>
      <c r="T19" s="1">
        <f>0.086*(1)</f>
        <v>8.5999999999999993E-2</v>
      </c>
      <c r="U19" s="1" t="s">
        <v>81</v>
      </c>
      <c r="V19" s="1">
        <f>6736*(1)</f>
        <v>6736</v>
      </c>
      <c r="W19" s="1" t="s">
        <v>347</v>
      </c>
      <c r="X19" s="1">
        <f>0.044*(1)</f>
        <v>4.3999999999999997E-2</v>
      </c>
      <c r="Y19" s="1" t="s">
        <v>81</v>
      </c>
      <c r="Z19" s="1">
        <f>34292*(1)</f>
        <v>34292</v>
      </c>
      <c r="AA19" s="1" t="s">
        <v>348</v>
      </c>
      <c r="AB19" s="1">
        <f>0.04*(1)</f>
        <v>0.04</v>
      </c>
      <c r="AC19" s="1" t="s">
        <v>84</v>
      </c>
      <c r="AD19" s="1">
        <f>14344*(1)</f>
        <v>14344</v>
      </c>
      <c r="AE19" s="1" t="s">
        <v>349</v>
      </c>
      <c r="AF19" s="1">
        <f>0.047*(1)</f>
        <v>4.7E-2</v>
      </c>
      <c r="AG19" s="1" t="s">
        <v>104</v>
      </c>
      <c r="AH19" s="1">
        <f>26639*(1)</f>
        <v>26639</v>
      </c>
      <c r="AI19" s="1" t="s">
        <v>350</v>
      </c>
      <c r="AJ19" s="1">
        <f>0.038*(1)</f>
        <v>3.7999999999999999E-2</v>
      </c>
      <c r="AK19" s="1" t="s">
        <v>84</v>
      </c>
      <c r="AL19" s="1">
        <f>6427*(1)</f>
        <v>6427</v>
      </c>
      <c r="AM19" s="1" t="s">
        <v>351</v>
      </c>
      <c r="AN19" s="1">
        <f>0.049*(1)</f>
        <v>4.9000000000000002E-2</v>
      </c>
      <c r="AO19" s="1" t="s">
        <v>99</v>
      </c>
      <c r="AP19" s="1">
        <f>18082*(1)</f>
        <v>18082</v>
      </c>
      <c r="AQ19" s="1" t="s">
        <v>352</v>
      </c>
      <c r="AR19" s="1">
        <f>0.047*(1)</f>
        <v>4.7E-2</v>
      </c>
      <c r="AS19" s="1" t="s">
        <v>73</v>
      </c>
      <c r="AT19" s="1">
        <f>40426*(1)</f>
        <v>40426</v>
      </c>
      <c r="AU19" s="1" t="s">
        <v>353</v>
      </c>
      <c r="AV19" s="1">
        <f>0.047*(1)</f>
        <v>4.7E-2</v>
      </c>
      <c r="AW19" s="1" t="s">
        <v>84</v>
      </c>
      <c r="AX19" s="1">
        <f>34838*(1)</f>
        <v>34838</v>
      </c>
      <c r="AY19" s="1" t="s">
        <v>354</v>
      </c>
      <c r="AZ19" s="1">
        <f>0.054*(1)</f>
        <v>5.3999999999999999E-2</v>
      </c>
      <c r="BA19" s="1" t="s">
        <v>73</v>
      </c>
      <c r="BB19" s="1">
        <f>25751*(1)</f>
        <v>25751</v>
      </c>
      <c r="BC19" s="1" t="s">
        <v>355</v>
      </c>
      <c r="BD19" s="1">
        <f>0.05*(1)</f>
        <v>0.05</v>
      </c>
      <c r="BE19" s="1" t="s">
        <v>73</v>
      </c>
      <c r="BF19" s="1">
        <f>44609*(1)</f>
        <v>44609</v>
      </c>
      <c r="BG19" s="1" t="s">
        <v>356</v>
      </c>
      <c r="BH19" s="1">
        <f>0.069*(1)</f>
        <v>6.9000000000000006E-2</v>
      </c>
      <c r="BI19" s="1" t="s">
        <v>73</v>
      </c>
      <c r="BJ19" s="1">
        <f>23827*(1)</f>
        <v>23827</v>
      </c>
      <c r="BK19" s="1" t="s">
        <v>357</v>
      </c>
      <c r="BL19" s="1">
        <f>0.046*(1)</f>
        <v>4.5999999999999999E-2</v>
      </c>
      <c r="BM19" s="1" t="s">
        <v>73</v>
      </c>
      <c r="BN19" s="1">
        <f>2951*(1)</f>
        <v>2951</v>
      </c>
      <c r="BO19" s="1" t="s">
        <v>358</v>
      </c>
      <c r="BP19" s="1">
        <f>0.045*(1)</f>
        <v>4.4999999999999998E-2</v>
      </c>
      <c r="BQ19" s="1" t="s">
        <v>99</v>
      </c>
      <c r="BR19" s="1">
        <f>17427*(1)</f>
        <v>17427</v>
      </c>
      <c r="BS19" s="1" t="s">
        <v>359</v>
      </c>
      <c r="BT19" s="1">
        <f>0.05*(1)</f>
        <v>0.05</v>
      </c>
      <c r="BU19" s="1" t="s">
        <v>104</v>
      </c>
      <c r="BV19" s="1">
        <f>8136*(1)</f>
        <v>8136</v>
      </c>
      <c r="BW19" s="1" t="s">
        <v>360</v>
      </c>
      <c r="BX19" s="1">
        <f>0.056*(1)</f>
        <v>5.6000000000000001E-2</v>
      </c>
      <c r="BY19" s="1" t="s">
        <v>106</v>
      </c>
      <c r="BZ19" s="1">
        <f>24497*(1)</f>
        <v>24497</v>
      </c>
      <c r="CA19" s="1" t="s">
        <v>361</v>
      </c>
      <c r="CB19" s="1">
        <f>0.043*(1)</f>
        <v>4.2999999999999997E-2</v>
      </c>
      <c r="CC19" s="1" t="s">
        <v>73</v>
      </c>
      <c r="CD19" s="1">
        <f>6588*(1)</f>
        <v>6588</v>
      </c>
      <c r="CE19" s="1" t="s">
        <v>362</v>
      </c>
      <c r="CF19" s="1">
        <f>0.059*(1)</f>
        <v>5.8999999999999997E-2</v>
      </c>
      <c r="CG19" s="1" t="s">
        <v>81</v>
      </c>
    </row>
    <row r="20" spans="1:85" x14ac:dyDescent="0.3">
      <c r="A20" s="7" t="s">
        <v>363</v>
      </c>
      <c r="B20" s="1">
        <f>5629*(1)</f>
        <v>5629</v>
      </c>
      <c r="C20" s="1" t="s">
        <v>364</v>
      </c>
      <c r="D20" s="1">
        <f>0.02*(1)</f>
        <v>0.02</v>
      </c>
      <c r="E20" s="1" t="s">
        <v>106</v>
      </c>
      <c r="F20" s="1">
        <f>24210*(1)</f>
        <v>24210</v>
      </c>
      <c r="G20" s="1" t="s">
        <v>365</v>
      </c>
      <c r="H20" s="1">
        <f>0.025*(1)</f>
        <v>2.5000000000000001E-2</v>
      </c>
      <c r="I20" s="1" t="s">
        <v>84</v>
      </c>
      <c r="J20" s="1">
        <f>10659*(1)</f>
        <v>10659</v>
      </c>
      <c r="K20" s="1" t="s">
        <v>349</v>
      </c>
      <c r="L20" s="1">
        <f>0.023*(1)</f>
        <v>2.3E-2</v>
      </c>
      <c r="M20" s="1" t="s">
        <v>73</v>
      </c>
      <c r="N20" s="1">
        <f>10090*(1)</f>
        <v>10090</v>
      </c>
      <c r="O20" s="1" t="s">
        <v>366</v>
      </c>
      <c r="P20" s="1">
        <f>0.019*(1)</f>
        <v>1.9E-2</v>
      </c>
      <c r="Q20" s="1" t="s">
        <v>84</v>
      </c>
      <c r="R20" s="1">
        <f>2533*(1)</f>
        <v>2533</v>
      </c>
      <c r="S20" s="1" t="s">
        <v>367</v>
      </c>
      <c r="T20" s="1">
        <f>0.026*(1)</f>
        <v>2.5999999999999999E-2</v>
      </c>
      <c r="U20" s="1" t="s">
        <v>81</v>
      </c>
      <c r="V20" s="1">
        <f>2669*(1)</f>
        <v>2669</v>
      </c>
      <c r="W20" s="1" t="s">
        <v>250</v>
      </c>
      <c r="X20" s="1">
        <f>0.017*(1)</f>
        <v>1.7000000000000001E-2</v>
      </c>
      <c r="Y20" s="1" t="s">
        <v>106</v>
      </c>
      <c r="Z20" s="1">
        <f>14970*(1)</f>
        <v>14970</v>
      </c>
      <c r="AA20" s="1" t="s">
        <v>348</v>
      </c>
      <c r="AB20" s="1">
        <f>0.018*(1)</f>
        <v>1.7999999999999999E-2</v>
      </c>
      <c r="AC20" s="1" t="s">
        <v>84</v>
      </c>
      <c r="AD20" s="1">
        <f>5017*(1)</f>
        <v>5017</v>
      </c>
      <c r="AE20" s="1" t="s">
        <v>368</v>
      </c>
      <c r="AF20" s="1">
        <f>0.016*(1)</f>
        <v>1.6E-2</v>
      </c>
      <c r="AG20" s="1" t="s">
        <v>104</v>
      </c>
      <c r="AH20" s="1">
        <f>9485*(1)</f>
        <v>9485</v>
      </c>
      <c r="AI20" s="1" t="s">
        <v>350</v>
      </c>
      <c r="AJ20" s="1">
        <f>0.014*(1)</f>
        <v>1.4E-2</v>
      </c>
      <c r="AK20" s="1" t="s">
        <v>84</v>
      </c>
      <c r="AL20" s="1">
        <f>3546*(1)</f>
        <v>3546</v>
      </c>
      <c r="AM20" s="1" t="s">
        <v>204</v>
      </c>
      <c r="AN20" s="1">
        <f>0.027*(1)</f>
        <v>2.7E-2</v>
      </c>
      <c r="AO20" s="1" t="s">
        <v>108</v>
      </c>
      <c r="AP20" s="1">
        <f>7082*(1)</f>
        <v>7082</v>
      </c>
      <c r="AQ20" s="1" t="s">
        <v>369</v>
      </c>
      <c r="AR20" s="1">
        <f>0.018*(1)</f>
        <v>1.7999999999999999E-2</v>
      </c>
      <c r="AS20" s="1" t="s">
        <v>104</v>
      </c>
      <c r="AT20" s="1">
        <f>14370*(1)</f>
        <v>14370</v>
      </c>
      <c r="AU20" s="1" t="s">
        <v>370</v>
      </c>
      <c r="AV20" s="1">
        <f>0.017*(1)</f>
        <v>1.7000000000000001E-2</v>
      </c>
      <c r="AW20" s="1" t="s">
        <v>84</v>
      </c>
      <c r="AX20" s="1">
        <f>12877*(1)</f>
        <v>12877</v>
      </c>
      <c r="AY20" s="1" t="s">
        <v>371</v>
      </c>
      <c r="AZ20" s="1">
        <f>0.02*(1)</f>
        <v>0.02</v>
      </c>
      <c r="BA20" s="1" t="s">
        <v>73</v>
      </c>
      <c r="BB20" s="1">
        <f>12825*(1)</f>
        <v>12825</v>
      </c>
      <c r="BC20" s="1" t="s">
        <v>372</v>
      </c>
      <c r="BD20" s="1">
        <f>0.025*(1)</f>
        <v>2.5000000000000001E-2</v>
      </c>
      <c r="BE20" s="1" t="s">
        <v>73</v>
      </c>
      <c r="BF20" s="1">
        <f>20075*(1)</f>
        <v>20075</v>
      </c>
      <c r="BG20" s="1" t="s">
        <v>373</v>
      </c>
      <c r="BH20" s="1">
        <f>0.031*(1)</f>
        <v>3.1E-2</v>
      </c>
      <c r="BI20" s="1" t="s">
        <v>73</v>
      </c>
      <c r="BJ20" s="1">
        <f>8211*(1)</f>
        <v>8211</v>
      </c>
      <c r="BK20" s="1" t="s">
        <v>357</v>
      </c>
      <c r="BL20" s="1">
        <f>0.016*(1)</f>
        <v>1.6E-2</v>
      </c>
      <c r="BM20" s="1" t="s">
        <v>73</v>
      </c>
      <c r="BN20" s="1">
        <f>2026*(1)</f>
        <v>2026</v>
      </c>
      <c r="BO20" s="1" t="s">
        <v>374</v>
      </c>
      <c r="BP20" s="1">
        <f>0.031*(1)</f>
        <v>3.1E-2</v>
      </c>
      <c r="BQ20" s="1" t="s">
        <v>99</v>
      </c>
      <c r="BR20" s="1">
        <f>6273*(1)</f>
        <v>6273</v>
      </c>
      <c r="BS20" s="1" t="s">
        <v>375</v>
      </c>
      <c r="BT20" s="1">
        <f>0.018*(1)</f>
        <v>1.7999999999999999E-2</v>
      </c>
      <c r="BU20" s="1" t="s">
        <v>73</v>
      </c>
      <c r="BV20" s="1">
        <f>1807*(1)</f>
        <v>1807</v>
      </c>
      <c r="BW20" s="1" t="s">
        <v>376</v>
      </c>
      <c r="BX20" s="1">
        <f>0.012*(1)</f>
        <v>1.2E-2</v>
      </c>
      <c r="BY20" s="1" t="s">
        <v>104</v>
      </c>
      <c r="BZ20" s="1">
        <f>10518*(1)</f>
        <v>10518</v>
      </c>
      <c r="CA20" s="1" t="s">
        <v>246</v>
      </c>
      <c r="CB20" s="1">
        <f>0.018*(1)</f>
        <v>1.7999999999999999E-2</v>
      </c>
      <c r="CC20" s="1" t="s">
        <v>73</v>
      </c>
      <c r="CD20" s="1">
        <f>1630*(1)</f>
        <v>1630</v>
      </c>
      <c r="CE20" s="1" t="s">
        <v>377</v>
      </c>
      <c r="CF20" s="1">
        <f>0.015*(1)</f>
        <v>1.4999999999999999E-2</v>
      </c>
      <c r="CG20" s="1" t="s">
        <v>81</v>
      </c>
    </row>
    <row r="21" spans="1:85" x14ac:dyDescent="0.3">
      <c r="A21" s="7" t="s">
        <v>378</v>
      </c>
      <c r="B21" s="1">
        <f>42.2*(1)</f>
        <v>42.2</v>
      </c>
      <c r="C21" s="1" t="s">
        <v>81</v>
      </c>
      <c r="D21" s="1" t="s">
        <v>70</v>
      </c>
      <c r="E21" s="1" t="s">
        <v>70</v>
      </c>
      <c r="F21" s="1">
        <f>42.2*(1)</f>
        <v>42.2</v>
      </c>
      <c r="G21" s="1" t="s">
        <v>73</v>
      </c>
      <c r="H21" s="1" t="s">
        <v>70</v>
      </c>
      <c r="I21" s="1" t="s">
        <v>70</v>
      </c>
      <c r="J21" s="1">
        <f>41.8*(1)</f>
        <v>41.8</v>
      </c>
      <c r="K21" s="1" t="s">
        <v>104</v>
      </c>
      <c r="L21" s="1" t="s">
        <v>70</v>
      </c>
      <c r="M21" s="1" t="s">
        <v>70</v>
      </c>
      <c r="N21" s="1">
        <f>38.6*(1)</f>
        <v>38.6</v>
      </c>
      <c r="O21" s="1" t="s">
        <v>73</v>
      </c>
      <c r="P21" s="1" t="s">
        <v>70</v>
      </c>
      <c r="Q21" s="1" t="s">
        <v>70</v>
      </c>
      <c r="R21" s="1">
        <f>51.6*(1)</f>
        <v>51.6</v>
      </c>
      <c r="S21" s="1" t="s">
        <v>106</v>
      </c>
      <c r="T21" s="1" t="s">
        <v>70</v>
      </c>
      <c r="U21" s="1" t="s">
        <v>70</v>
      </c>
      <c r="V21" s="1">
        <f>37.7*(1)</f>
        <v>37.700000000000003</v>
      </c>
      <c r="W21" s="1" t="s">
        <v>81</v>
      </c>
      <c r="X21" s="1" t="s">
        <v>70</v>
      </c>
      <c r="Y21" s="1" t="s">
        <v>70</v>
      </c>
      <c r="Z21" s="1">
        <f>38.1*(1)</f>
        <v>38.1</v>
      </c>
      <c r="AA21" s="1" t="s">
        <v>73</v>
      </c>
      <c r="AB21" s="1" t="s">
        <v>70</v>
      </c>
      <c r="AC21" s="1" t="s">
        <v>70</v>
      </c>
      <c r="AD21" s="1">
        <f>41*(1)</f>
        <v>41</v>
      </c>
      <c r="AE21" s="1" t="s">
        <v>106</v>
      </c>
      <c r="AF21" s="1" t="s">
        <v>70</v>
      </c>
      <c r="AG21" s="1" t="s">
        <v>70</v>
      </c>
      <c r="AH21" s="1">
        <f>36.1*(1)</f>
        <v>36.1</v>
      </c>
      <c r="AI21" s="1" t="s">
        <v>84</v>
      </c>
      <c r="AJ21" s="1" t="s">
        <v>70</v>
      </c>
      <c r="AK21" s="1" t="s">
        <v>70</v>
      </c>
      <c r="AL21" s="1">
        <f>46.4*(1)</f>
        <v>46.4</v>
      </c>
      <c r="AM21" s="1" t="s">
        <v>106</v>
      </c>
      <c r="AN21" s="1" t="s">
        <v>70</v>
      </c>
      <c r="AO21" s="1" t="s">
        <v>70</v>
      </c>
      <c r="AP21" s="1">
        <f>39.8*(1)</f>
        <v>39.799999999999997</v>
      </c>
      <c r="AQ21" s="1" t="s">
        <v>106</v>
      </c>
      <c r="AR21" s="1" t="s">
        <v>70</v>
      </c>
      <c r="AS21" s="1" t="s">
        <v>70</v>
      </c>
      <c r="AT21" s="1">
        <f>39.5*(1)</f>
        <v>39.5</v>
      </c>
      <c r="AU21" s="1" t="s">
        <v>73</v>
      </c>
      <c r="AV21" s="1" t="s">
        <v>70</v>
      </c>
      <c r="AW21" s="1" t="s">
        <v>70</v>
      </c>
      <c r="AX21" s="1">
        <f>43.7*(1)</f>
        <v>43.7</v>
      </c>
      <c r="AY21" s="1" t="s">
        <v>73</v>
      </c>
      <c r="AZ21" s="1" t="s">
        <v>70</v>
      </c>
      <c r="BA21" s="1" t="s">
        <v>70</v>
      </c>
      <c r="BB21" s="1">
        <f>42.7*(1)</f>
        <v>42.7</v>
      </c>
      <c r="BC21" s="1" t="s">
        <v>73</v>
      </c>
      <c r="BD21" s="1" t="s">
        <v>70</v>
      </c>
      <c r="BE21" s="1" t="s">
        <v>70</v>
      </c>
      <c r="BF21" s="1">
        <f>41.5*(1)</f>
        <v>41.5</v>
      </c>
      <c r="BG21" s="1" t="s">
        <v>106</v>
      </c>
      <c r="BH21" s="1" t="s">
        <v>70</v>
      </c>
      <c r="BI21" s="1" t="s">
        <v>70</v>
      </c>
      <c r="BJ21" s="1">
        <f>38*(1)</f>
        <v>38</v>
      </c>
      <c r="BK21" s="1" t="s">
        <v>106</v>
      </c>
      <c r="BL21" s="1" t="s">
        <v>70</v>
      </c>
      <c r="BM21" s="1" t="s">
        <v>70</v>
      </c>
      <c r="BN21" s="1">
        <f>43*(1)</f>
        <v>43</v>
      </c>
      <c r="BO21" s="1" t="s">
        <v>127</v>
      </c>
      <c r="BP21" s="1" t="s">
        <v>70</v>
      </c>
      <c r="BQ21" s="1" t="s">
        <v>70</v>
      </c>
      <c r="BR21" s="1">
        <f>42.2*(1)</f>
        <v>42.2</v>
      </c>
      <c r="BS21" s="1" t="s">
        <v>106</v>
      </c>
      <c r="BT21" s="1" t="s">
        <v>70</v>
      </c>
      <c r="BU21" s="1" t="s">
        <v>70</v>
      </c>
      <c r="BV21" s="1">
        <f>44.3*(1)</f>
        <v>44.3</v>
      </c>
      <c r="BW21" s="1" t="s">
        <v>99</v>
      </c>
      <c r="BX21" s="1" t="s">
        <v>70</v>
      </c>
      <c r="BY21" s="1" t="s">
        <v>70</v>
      </c>
      <c r="BZ21" s="1">
        <f>39.2*(1)</f>
        <v>39.200000000000003</v>
      </c>
      <c r="CA21" s="1" t="s">
        <v>73</v>
      </c>
      <c r="CB21" s="1" t="s">
        <v>70</v>
      </c>
      <c r="CC21" s="1" t="s">
        <v>70</v>
      </c>
      <c r="CD21" s="1">
        <f>44.8*(1)</f>
        <v>44.8</v>
      </c>
      <c r="CE21" s="1" t="s">
        <v>79</v>
      </c>
      <c r="CF21" s="1" t="s">
        <v>70</v>
      </c>
      <c r="CG21" s="1" t="s">
        <v>70</v>
      </c>
    </row>
    <row r="22" spans="1:85" x14ac:dyDescent="0.3">
      <c r="A22" s="7" t="s">
        <v>379</v>
      </c>
      <c r="B22" s="1">
        <f>57486*(1)</f>
        <v>57486</v>
      </c>
      <c r="C22" s="1" t="s">
        <v>380</v>
      </c>
      <c r="D22" s="1">
        <f>0.209*(1)</f>
        <v>0.20899999999999999</v>
      </c>
      <c r="E22" s="1" t="s">
        <v>75</v>
      </c>
      <c r="F22" s="1">
        <f>200505*(1)</f>
        <v>200505</v>
      </c>
      <c r="G22" s="1" t="s">
        <v>381</v>
      </c>
      <c r="H22" s="1">
        <f>0.21*(1)</f>
        <v>0.21</v>
      </c>
      <c r="I22" s="1" t="s">
        <v>75</v>
      </c>
      <c r="J22" s="1">
        <f>95480*(1)</f>
        <v>95480</v>
      </c>
      <c r="K22" s="1" t="s">
        <v>382</v>
      </c>
      <c r="L22" s="1">
        <f>0.206*(1)</f>
        <v>0.20599999999999999</v>
      </c>
      <c r="M22" s="1" t="s">
        <v>75</v>
      </c>
      <c r="N22" s="1">
        <f>118921*(1)</f>
        <v>118921</v>
      </c>
      <c r="O22" s="1" t="s">
        <v>69</v>
      </c>
      <c r="P22" s="1">
        <f>0.227*(1)</f>
        <v>0.22700000000000001</v>
      </c>
      <c r="Q22" s="1" t="s">
        <v>69</v>
      </c>
      <c r="R22" s="1">
        <f>16174*(1)</f>
        <v>16174</v>
      </c>
      <c r="S22" s="1" t="s">
        <v>383</v>
      </c>
      <c r="T22" s="1">
        <f>0.169*(1)</f>
        <v>0.16900000000000001</v>
      </c>
      <c r="U22" s="1" t="s">
        <v>75</v>
      </c>
      <c r="V22" s="1">
        <f>37194*(1)</f>
        <v>37194</v>
      </c>
      <c r="W22" s="1" t="s">
        <v>384</v>
      </c>
      <c r="X22" s="1">
        <f>0.242*(1)</f>
        <v>0.24199999999999999</v>
      </c>
      <c r="Y22" s="1" t="s">
        <v>75</v>
      </c>
      <c r="Z22" s="1">
        <f>202466*(1)</f>
        <v>202466</v>
      </c>
      <c r="AA22" s="1" t="s">
        <v>69</v>
      </c>
      <c r="AB22" s="1">
        <f>0.237*(1)</f>
        <v>0.23699999999999999</v>
      </c>
      <c r="AC22" s="1" t="s">
        <v>69</v>
      </c>
      <c r="AD22" s="1">
        <f>65442*(1)</f>
        <v>65442</v>
      </c>
      <c r="AE22" s="1" t="s">
        <v>385</v>
      </c>
      <c r="AF22" s="1">
        <f>0.215*(1)</f>
        <v>0.215</v>
      </c>
      <c r="AG22" s="1" t="s">
        <v>75</v>
      </c>
      <c r="AH22" s="1">
        <f>142721*(1)</f>
        <v>142721</v>
      </c>
      <c r="AI22" s="1" t="s">
        <v>118</v>
      </c>
      <c r="AJ22" s="1">
        <f>0.203*(1)</f>
        <v>0.20300000000000001</v>
      </c>
      <c r="AK22" s="1" t="s">
        <v>75</v>
      </c>
      <c r="AL22" s="1">
        <f>23873*(1)</f>
        <v>23873</v>
      </c>
      <c r="AM22" s="1" t="s">
        <v>386</v>
      </c>
      <c r="AN22" s="1">
        <f>0.184*(1)</f>
        <v>0.184</v>
      </c>
      <c r="AO22" s="1" t="s">
        <v>73</v>
      </c>
      <c r="AP22" s="1">
        <f>81925*(1)</f>
        <v>81925</v>
      </c>
      <c r="AQ22" s="1" t="s">
        <v>387</v>
      </c>
      <c r="AR22" s="1">
        <f>0.212*(1)</f>
        <v>0.21199999999999999</v>
      </c>
      <c r="AS22" s="1" t="s">
        <v>75</v>
      </c>
      <c r="AT22" s="1">
        <f>185534*(1)</f>
        <v>185534</v>
      </c>
      <c r="AU22" s="1" t="s">
        <v>388</v>
      </c>
      <c r="AV22" s="1">
        <f>0.216*(1)</f>
        <v>0.216</v>
      </c>
      <c r="AW22" s="1" t="s">
        <v>75</v>
      </c>
      <c r="AX22" s="1">
        <f>133923*(1)</f>
        <v>133923</v>
      </c>
      <c r="AY22" s="1" t="s">
        <v>69</v>
      </c>
      <c r="AZ22" s="1">
        <f>0.208*(1)</f>
        <v>0.20799999999999999</v>
      </c>
      <c r="BA22" s="1" t="s">
        <v>69</v>
      </c>
      <c r="BB22" s="1">
        <f>105048*(1)</f>
        <v>105048</v>
      </c>
      <c r="BC22" s="1" t="s">
        <v>69</v>
      </c>
      <c r="BD22" s="1">
        <f>0.206*(1)</f>
        <v>0.20599999999999999</v>
      </c>
      <c r="BE22" s="1" t="s">
        <v>69</v>
      </c>
      <c r="BF22" s="1">
        <f>160601*(1)</f>
        <v>160601</v>
      </c>
      <c r="BG22" s="1" t="s">
        <v>123</v>
      </c>
      <c r="BH22" s="1">
        <f>0.247*(1)</f>
        <v>0.247</v>
      </c>
      <c r="BI22" s="1" t="s">
        <v>75</v>
      </c>
      <c r="BJ22" s="1">
        <f>122634*(1)</f>
        <v>122634</v>
      </c>
      <c r="BK22" s="1" t="s">
        <v>389</v>
      </c>
      <c r="BL22" s="1">
        <f>0.237*(1)</f>
        <v>0.23699999999999999</v>
      </c>
      <c r="BM22" s="1" t="s">
        <v>75</v>
      </c>
      <c r="BN22" s="1">
        <f>14185*(1)</f>
        <v>14185</v>
      </c>
      <c r="BO22" s="1" t="s">
        <v>390</v>
      </c>
      <c r="BP22" s="1">
        <f>0.218*(1)</f>
        <v>0.218</v>
      </c>
      <c r="BQ22" s="1" t="s">
        <v>75</v>
      </c>
      <c r="BR22" s="1">
        <f>73562*(1)</f>
        <v>73562</v>
      </c>
      <c r="BS22" s="1" t="s">
        <v>221</v>
      </c>
      <c r="BT22" s="1">
        <f>0.213*(1)</f>
        <v>0.21299999999999999</v>
      </c>
      <c r="BU22" s="1" t="s">
        <v>75</v>
      </c>
      <c r="BV22" s="1">
        <f>28105*(1)</f>
        <v>28105</v>
      </c>
      <c r="BW22" s="1" t="s">
        <v>69</v>
      </c>
      <c r="BX22" s="1">
        <f>0.193*(1)</f>
        <v>0.193</v>
      </c>
      <c r="BY22" s="1" t="s">
        <v>69</v>
      </c>
      <c r="BZ22" s="1">
        <f>133872*(1)</f>
        <v>133872</v>
      </c>
      <c r="CA22" s="1" t="s">
        <v>391</v>
      </c>
      <c r="CB22" s="1">
        <f>0.234*(1)</f>
        <v>0.23400000000000001</v>
      </c>
      <c r="CC22" s="1" t="s">
        <v>75</v>
      </c>
      <c r="CD22" s="1">
        <f>21225*(1)</f>
        <v>21225</v>
      </c>
      <c r="CE22" s="1" t="s">
        <v>120</v>
      </c>
      <c r="CF22" s="1">
        <f>0.192*(1)</f>
        <v>0.192</v>
      </c>
      <c r="CG22" s="1" t="s">
        <v>75</v>
      </c>
    </row>
    <row r="23" spans="1:85" x14ac:dyDescent="0.3">
      <c r="A23" s="7" t="s">
        <v>392</v>
      </c>
      <c r="B23" s="1">
        <f>224620*(1)</f>
        <v>224620</v>
      </c>
      <c r="C23" s="1" t="s">
        <v>393</v>
      </c>
      <c r="D23" s="1">
        <f>0.817*(1)</f>
        <v>0.81699999999999995</v>
      </c>
      <c r="E23" s="1" t="s">
        <v>104</v>
      </c>
      <c r="F23" s="1">
        <f>777161*(1)</f>
        <v>777161</v>
      </c>
      <c r="G23" s="1" t="s">
        <v>394</v>
      </c>
      <c r="H23" s="1">
        <f>0.815*(1)</f>
        <v>0.81499999999999995</v>
      </c>
      <c r="I23" s="1" t="s">
        <v>84</v>
      </c>
      <c r="J23" s="1">
        <f>381560*(1)</f>
        <v>381560</v>
      </c>
      <c r="K23" s="1" t="s">
        <v>191</v>
      </c>
      <c r="L23" s="1">
        <f>0.822*(1)</f>
        <v>0.82199999999999995</v>
      </c>
      <c r="M23" s="1" t="s">
        <v>84</v>
      </c>
      <c r="N23" s="1">
        <f>418498*(1)</f>
        <v>418498</v>
      </c>
      <c r="O23" s="1" t="s">
        <v>395</v>
      </c>
      <c r="P23" s="1">
        <f>0.799*(1)</f>
        <v>0.79900000000000004</v>
      </c>
      <c r="Q23" s="1" t="s">
        <v>84</v>
      </c>
      <c r="R23" s="1">
        <f>81385*(1)</f>
        <v>81385</v>
      </c>
      <c r="S23" s="1" t="s">
        <v>396</v>
      </c>
      <c r="T23" s="1">
        <f>0.851*(1)</f>
        <v>0.85099999999999998</v>
      </c>
      <c r="U23" s="1" t="s">
        <v>99</v>
      </c>
      <c r="V23" s="1">
        <f>121314*(1)</f>
        <v>121314</v>
      </c>
      <c r="W23" s="1" t="s">
        <v>397</v>
      </c>
      <c r="X23" s="1">
        <f>0.79*(1)</f>
        <v>0.79</v>
      </c>
      <c r="Y23" s="1" t="s">
        <v>81</v>
      </c>
      <c r="Z23" s="1">
        <f>675799*(1)</f>
        <v>675799</v>
      </c>
      <c r="AA23" s="1" t="s">
        <v>398</v>
      </c>
      <c r="AB23" s="1">
        <f>0.79*(1)</f>
        <v>0.79</v>
      </c>
      <c r="AC23" s="1" t="s">
        <v>84</v>
      </c>
      <c r="AD23" s="1">
        <f>247169*(1)</f>
        <v>247169</v>
      </c>
      <c r="AE23" s="1" t="s">
        <v>399</v>
      </c>
      <c r="AF23" s="1">
        <f>0.812*(1)</f>
        <v>0.81200000000000006</v>
      </c>
      <c r="AG23" s="1" t="s">
        <v>73</v>
      </c>
      <c r="AH23" s="1">
        <f>574228*(1)</f>
        <v>574228</v>
      </c>
      <c r="AI23" s="1" t="s">
        <v>400</v>
      </c>
      <c r="AJ23" s="1">
        <f>0.817*(1)</f>
        <v>0.81699999999999995</v>
      </c>
      <c r="AK23" s="1" t="s">
        <v>84</v>
      </c>
      <c r="AL23" s="1">
        <f>110125*(1)</f>
        <v>110125</v>
      </c>
      <c r="AM23" s="1" t="s">
        <v>401</v>
      </c>
      <c r="AN23" s="1">
        <f>0.848*(1)</f>
        <v>0.84799999999999998</v>
      </c>
      <c r="AO23" s="1" t="s">
        <v>104</v>
      </c>
      <c r="AP23" s="1">
        <f>313405*(1)</f>
        <v>313405</v>
      </c>
      <c r="AQ23" s="1" t="s">
        <v>402</v>
      </c>
      <c r="AR23" s="1">
        <f>0.812*(1)</f>
        <v>0.81200000000000006</v>
      </c>
      <c r="AS23" s="1" t="s">
        <v>73</v>
      </c>
      <c r="AT23" s="1">
        <f>698337*(1)</f>
        <v>698337</v>
      </c>
      <c r="AU23" s="1" t="s">
        <v>403</v>
      </c>
      <c r="AV23" s="1">
        <f>0.811*(1)</f>
        <v>0.81100000000000005</v>
      </c>
      <c r="AW23" s="1" t="s">
        <v>84</v>
      </c>
      <c r="AX23" s="1">
        <f>528640*(1)</f>
        <v>528640</v>
      </c>
      <c r="AY23" s="1" t="s">
        <v>404</v>
      </c>
      <c r="AZ23" s="1">
        <f>0.819*(1)</f>
        <v>0.81899999999999995</v>
      </c>
      <c r="BA23" s="1" t="s">
        <v>84</v>
      </c>
      <c r="BB23" s="1">
        <f>419619*(1)</f>
        <v>419619</v>
      </c>
      <c r="BC23" s="1" t="s">
        <v>405</v>
      </c>
      <c r="BD23" s="1">
        <f>0.821*(1)</f>
        <v>0.82099999999999995</v>
      </c>
      <c r="BE23" s="1" t="s">
        <v>84</v>
      </c>
      <c r="BF23" s="1">
        <f>505122*(1)</f>
        <v>505122</v>
      </c>
      <c r="BG23" s="1" t="s">
        <v>406</v>
      </c>
      <c r="BH23" s="1">
        <f>0.778*(1)</f>
        <v>0.77800000000000002</v>
      </c>
      <c r="BI23" s="1" t="s">
        <v>84</v>
      </c>
      <c r="BJ23" s="1">
        <f>408372*(1)</f>
        <v>408372</v>
      </c>
      <c r="BK23" s="1" t="s">
        <v>269</v>
      </c>
      <c r="BL23" s="1">
        <f>0.788*(1)</f>
        <v>0.78800000000000003</v>
      </c>
      <c r="BM23" s="1" t="s">
        <v>84</v>
      </c>
      <c r="BN23" s="1">
        <f>52240*(1)</f>
        <v>52240</v>
      </c>
      <c r="BO23" s="1" t="s">
        <v>407</v>
      </c>
      <c r="BP23" s="1">
        <f>0.803*(1)</f>
        <v>0.80300000000000005</v>
      </c>
      <c r="BQ23" s="1" t="s">
        <v>81</v>
      </c>
      <c r="BR23" s="1">
        <f>282578*(1)</f>
        <v>282578</v>
      </c>
      <c r="BS23" s="1" t="s">
        <v>408</v>
      </c>
      <c r="BT23" s="1">
        <f>0.818*(1)</f>
        <v>0.81799999999999995</v>
      </c>
      <c r="BU23" s="1" t="s">
        <v>104</v>
      </c>
      <c r="BV23" s="1">
        <f>121424*(1)</f>
        <v>121424</v>
      </c>
      <c r="BW23" s="1" t="s">
        <v>409</v>
      </c>
      <c r="BX23" s="1">
        <f>0.834*(1)</f>
        <v>0.83399999999999996</v>
      </c>
      <c r="BY23" s="1" t="s">
        <v>106</v>
      </c>
      <c r="BZ23" s="1">
        <f>454808*(1)</f>
        <v>454808</v>
      </c>
      <c r="CA23" s="1" t="s">
        <v>410</v>
      </c>
      <c r="CB23" s="1">
        <f>0.795*(1)</f>
        <v>0.79500000000000004</v>
      </c>
      <c r="CC23" s="1" t="s">
        <v>84</v>
      </c>
      <c r="CD23" s="1">
        <f>92885*(1)</f>
        <v>92885</v>
      </c>
      <c r="CE23" s="1" t="s">
        <v>194</v>
      </c>
      <c r="CF23" s="1">
        <f>0.839*(1)</f>
        <v>0.83899999999999997</v>
      </c>
      <c r="CG23" s="1" t="s">
        <v>81</v>
      </c>
    </row>
    <row r="24" spans="1:85" x14ac:dyDescent="0.3">
      <c r="A24" s="7" t="s">
        <v>411</v>
      </c>
      <c r="B24" s="1">
        <f>217480*(1)</f>
        <v>217480</v>
      </c>
      <c r="C24" s="1" t="s">
        <v>380</v>
      </c>
      <c r="D24" s="1">
        <f>0.791*(1)</f>
        <v>0.79100000000000004</v>
      </c>
      <c r="E24" s="1" t="s">
        <v>75</v>
      </c>
      <c r="F24" s="1">
        <f>753314*(1)</f>
        <v>753314</v>
      </c>
      <c r="G24" s="1" t="s">
        <v>381</v>
      </c>
      <c r="H24" s="1">
        <f>0.79*(1)</f>
        <v>0.79</v>
      </c>
      <c r="I24" s="1" t="s">
        <v>75</v>
      </c>
      <c r="J24" s="1">
        <f>368789*(1)</f>
        <v>368789</v>
      </c>
      <c r="K24" s="1" t="s">
        <v>382</v>
      </c>
      <c r="L24" s="1">
        <f>0.794*(1)</f>
        <v>0.79400000000000004</v>
      </c>
      <c r="M24" s="1" t="s">
        <v>75</v>
      </c>
      <c r="N24" s="1">
        <f>404850*(1)</f>
        <v>404850</v>
      </c>
      <c r="O24" s="1" t="s">
        <v>69</v>
      </c>
      <c r="P24" s="1">
        <f>0.773*(1)</f>
        <v>0.77300000000000002</v>
      </c>
      <c r="Q24" s="1" t="s">
        <v>69</v>
      </c>
      <c r="R24" s="1">
        <f>79487*(1)</f>
        <v>79487</v>
      </c>
      <c r="S24" s="1" t="s">
        <v>383</v>
      </c>
      <c r="T24" s="1">
        <f>0.831*(1)</f>
        <v>0.83099999999999996</v>
      </c>
      <c r="U24" s="1" t="s">
        <v>75</v>
      </c>
      <c r="V24" s="1">
        <f>116433*(1)</f>
        <v>116433</v>
      </c>
      <c r="W24" s="1" t="s">
        <v>384</v>
      </c>
      <c r="X24" s="1">
        <f>0.758*(1)</f>
        <v>0.75800000000000001</v>
      </c>
      <c r="Y24" s="1" t="s">
        <v>75</v>
      </c>
      <c r="Z24" s="1">
        <f>652451*(1)</f>
        <v>652451</v>
      </c>
      <c r="AA24" s="1" t="s">
        <v>69</v>
      </c>
      <c r="AB24" s="1">
        <f>0.763*(1)</f>
        <v>0.76300000000000001</v>
      </c>
      <c r="AC24" s="1" t="s">
        <v>69</v>
      </c>
      <c r="AD24" s="1">
        <f>239035*(1)</f>
        <v>239035</v>
      </c>
      <c r="AE24" s="1" t="s">
        <v>385</v>
      </c>
      <c r="AF24" s="1">
        <f>0.785*(1)</f>
        <v>0.78500000000000003</v>
      </c>
      <c r="AG24" s="1" t="s">
        <v>75</v>
      </c>
      <c r="AH24" s="1">
        <f>559742*(1)</f>
        <v>559742</v>
      </c>
      <c r="AI24" s="1" t="s">
        <v>118</v>
      </c>
      <c r="AJ24" s="1">
        <f>0.797*(1)</f>
        <v>0.79700000000000004</v>
      </c>
      <c r="AK24" s="1" t="s">
        <v>75</v>
      </c>
      <c r="AL24" s="1">
        <f>106051*(1)</f>
        <v>106051</v>
      </c>
      <c r="AM24" s="1" t="s">
        <v>386</v>
      </c>
      <c r="AN24" s="1">
        <f>0.816*(1)</f>
        <v>0.81599999999999995</v>
      </c>
      <c r="AO24" s="1" t="s">
        <v>73</v>
      </c>
      <c r="AP24" s="1">
        <f>303973*(1)</f>
        <v>303973</v>
      </c>
      <c r="AQ24" s="1" t="s">
        <v>387</v>
      </c>
      <c r="AR24" s="1">
        <f>0.788*(1)</f>
        <v>0.78800000000000003</v>
      </c>
      <c r="AS24" s="1" t="s">
        <v>75</v>
      </c>
      <c r="AT24" s="1">
        <f>675273*(1)</f>
        <v>675273</v>
      </c>
      <c r="AU24" s="1" t="s">
        <v>388</v>
      </c>
      <c r="AV24" s="1">
        <f>0.784*(1)</f>
        <v>0.78400000000000003</v>
      </c>
      <c r="AW24" s="1" t="s">
        <v>75</v>
      </c>
      <c r="AX24" s="1">
        <f>511431*(1)</f>
        <v>511431</v>
      </c>
      <c r="AY24" s="1" t="s">
        <v>69</v>
      </c>
      <c r="AZ24" s="1">
        <f>0.792*(1)</f>
        <v>0.79200000000000004</v>
      </c>
      <c r="BA24" s="1" t="s">
        <v>69</v>
      </c>
      <c r="BB24" s="1">
        <f>405933*(1)</f>
        <v>405933</v>
      </c>
      <c r="BC24" s="1" t="s">
        <v>69</v>
      </c>
      <c r="BD24" s="1">
        <f>0.794*(1)</f>
        <v>0.79400000000000004</v>
      </c>
      <c r="BE24" s="1" t="s">
        <v>69</v>
      </c>
      <c r="BF24" s="1">
        <f>488397*(1)</f>
        <v>488397</v>
      </c>
      <c r="BG24" s="1" t="s">
        <v>123</v>
      </c>
      <c r="BH24" s="1">
        <f>0.753*(1)</f>
        <v>0.753</v>
      </c>
      <c r="BI24" s="1" t="s">
        <v>75</v>
      </c>
      <c r="BJ24" s="1">
        <f>395483*(1)</f>
        <v>395483</v>
      </c>
      <c r="BK24" s="1" t="s">
        <v>389</v>
      </c>
      <c r="BL24" s="1">
        <f>0.763*(1)</f>
        <v>0.76300000000000001</v>
      </c>
      <c r="BM24" s="1" t="s">
        <v>75</v>
      </c>
      <c r="BN24" s="1">
        <f>50861*(1)</f>
        <v>50861</v>
      </c>
      <c r="BO24" s="1" t="s">
        <v>390</v>
      </c>
      <c r="BP24" s="1">
        <f>0.782*(1)</f>
        <v>0.78200000000000003</v>
      </c>
      <c r="BQ24" s="1" t="s">
        <v>75</v>
      </c>
      <c r="BR24" s="1">
        <f>272085*(1)</f>
        <v>272085</v>
      </c>
      <c r="BS24" s="1" t="s">
        <v>221</v>
      </c>
      <c r="BT24" s="1">
        <f>0.787*(1)</f>
        <v>0.78700000000000003</v>
      </c>
      <c r="BU24" s="1" t="s">
        <v>75</v>
      </c>
      <c r="BV24" s="1">
        <f>117438*(1)</f>
        <v>117438</v>
      </c>
      <c r="BW24" s="1" t="s">
        <v>69</v>
      </c>
      <c r="BX24" s="1">
        <f>0.807*(1)</f>
        <v>0.80700000000000005</v>
      </c>
      <c r="BY24" s="1" t="s">
        <v>69</v>
      </c>
      <c r="BZ24" s="1">
        <f>438242*(1)</f>
        <v>438242</v>
      </c>
      <c r="CA24" s="1" t="s">
        <v>391</v>
      </c>
      <c r="CB24" s="1">
        <f>0.766*(1)</f>
        <v>0.76600000000000001</v>
      </c>
      <c r="CC24" s="1" t="s">
        <v>75</v>
      </c>
      <c r="CD24" s="1">
        <f>89506*(1)</f>
        <v>89506</v>
      </c>
      <c r="CE24" s="1" t="s">
        <v>120</v>
      </c>
      <c r="CF24" s="1">
        <f>0.808*(1)</f>
        <v>0.80800000000000005</v>
      </c>
      <c r="CG24" s="1" t="s">
        <v>75</v>
      </c>
    </row>
    <row r="25" spans="1:85" x14ac:dyDescent="0.3">
      <c r="A25" s="7" t="s">
        <v>412</v>
      </c>
      <c r="B25" s="1">
        <f>208704*(1)</f>
        <v>208704</v>
      </c>
      <c r="C25" s="1" t="s">
        <v>413</v>
      </c>
      <c r="D25" s="1">
        <f>0.759*(1)</f>
        <v>0.75900000000000001</v>
      </c>
      <c r="E25" s="1" t="s">
        <v>106</v>
      </c>
      <c r="F25" s="1">
        <f>722441*(1)</f>
        <v>722441</v>
      </c>
      <c r="G25" s="1" t="s">
        <v>414</v>
      </c>
      <c r="H25" s="1">
        <f>0.757*(1)</f>
        <v>0.75700000000000001</v>
      </c>
      <c r="I25" s="1" t="s">
        <v>84</v>
      </c>
      <c r="J25" s="1">
        <f>354836*(1)</f>
        <v>354836</v>
      </c>
      <c r="K25" s="1" t="s">
        <v>415</v>
      </c>
      <c r="L25" s="1">
        <f>0.764*(1)</f>
        <v>0.76400000000000001</v>
      </c>
      <c r="M25" s="1" t="s">
        <v>73</v>
      </c>
      <c r="N25" s="1">
        <f>387511*(1)</f>
        <v>387511</v>
      </c>
      <c r="O25" s="1" t="s">
        <v>416</v>
      </c>
      <c r="P25" s="1">
        <f>0.74*(1)</f>
        <v>0.74</v>
      </c>
      <c r="Q25" s="1" t="s">
        <v>73</v>
      </c>
      <c r="R25" s="1">
        <f>76086*(1)</f>
        <v>76086</v>
      </c>
      <c r="S25" s="1" t="s">
        <v>417</v>
      </c>
      <c r="T25" s="1">
        <f>0.795*(1)</f>
        <v>0.79500000000000004</v>
      </c>
      <c r="U25" s="1" t="s">
        <v>418</v>
      </c>
      <c r="V25" s="1">
        <f>111197*(1)</f>
        <v>111197</v>
      </c>
      <c r="W25" s="1" t="s">
        <v>419</v>
      </c>
      <c r="X25" s="1">
        <f>0.724*(1)</f>
        <v>0.72399999999999998</v>
      </c>
      <c r="Y25" s="1" t="s">
        <v>99</v>
      </c>
      <c r="Z25" s="1">
        <f>622467*(1)</f>
        <v>622467</v>
      </c>
      <c r="AA25" s="1" t="s">
        <v>420</v>
      </c>
      <c r="AB25" s="1">
        <f>0.728*(1)</f>
        <v>0.72799999999999998</v>
      </c>
      <c r="AC25" s="1" t="s">
        <v>84</v>
      </c>
      <c r="AD25" s="1">
        <f>227199*(1)</f>
        <v>227199</v>
      </c>
      <c r="AE25" s="1" t="s">
        <v>421</v>
      </c>
      <c r="AF25" s="1">
        <f>0.746*(1)</f>
        <v>0.746</v>
      </c>
      <c r="AG25" s="1" t="s">
        <v>106</v>
      </c>
      <c r="AH25" s="1">
        <f>541599*(1)</f>
        <v>541599</v>
      </c>
      <c r="AI25" s="1" t="s">
        <v>422</v>
      </c>
      <c r="AJ25" s="1">
        <f>0.771*(1)</f>
        <v>0.77100000000000002</v>
      </c>
      <c r="AK25" s="1" t="s">
        <v>84</v>
      </c>
      <c r="AL25" s="1">
        <f>100940*(1)</f>
        <v>100940</v>
      </c>
      <c r="AM25" s="1" t="s">
        <v>423</v>
      </c>
      <c r="AN25" s="1">
        <f>0.777*(1)</f>
        <v>0.77700000000000002</v>
      </c>
      <c r="AO25" s="1" t="s">
        <v>108</v>
      </c>
      <c r="AP25" s="1">
        <f>284115*(1)</f>
        <v>284115</v>
      </c>
      <c r="AQ25" s="1" t="s">
        <v>424</v>
      </c>
      <c r="AR25" s="1">
        <f>0.736*(1)</f>
        <v>0.73599999999999999</v>
      </c>
      <c r="AS25" s="1" t="s">
        <v>106</v>
      </c>
      <c r="AT25" s="1">
        <f>635778*(1)</f>
        <v>635778</v>
      </c>
      <c r="AU25" s="1" t="s">
        <v>425</v>
      </c>
      <c r="AV25" s="1">
        <f>0.739*(1)</f>
        <v>0.73899999999999999</v>
      </c>
      <c r="AW25" s="1" t="s">
        <v>84</v>
      </c>
      <c r="AX25" s="1">
        <f>491073*(1)</f>
        <v>491073</v>
      </c>
      <c r="AY25" s="1" t="s">
        <v>426</v>
      </c>
      <c r="AZ25" s="1">
        <f>0.761*(1)</f>
        <v>0.76100000000000001</v>
      </c>
      <c r="BA25" s="1" t="s">
        <v>84</v>
      </c>
      <c r="BB25" s="1">
        <f>388961*(1)</f>
        <v>388961</v>
      </c>
      <c r="BC25" s="1" t="s">
        <v>427</v>
      </c>
      <c r="BD25" s="1">
        <f>0.761*(1)</f>
        <v>0.76100000000000001</v>
      </c>
      <c r="BE25" s="1" t="s">
        <v>73</v>
      </c>
      <c r="BF25" s="1">
        <f>468924*(1)</f>
        <v>468924</v>
      </c>
      <c r="BG25" s="1" t="s">
        <v>428</v>
      </c>
      <c r="BH25" s="1">
        <f>0.723*(1)</f>
        <v>0.72299999999999998</v>
      </c>
      <c r="BI25" s="1" t="s">
        <v>73</v>
      </c>
      <c r="BJ25" s="1">
        <f>372993*(1)</f>
        <v>372993</v>
      </c>
      <c r="BK25" s="1" t="s">
        <v>429</v>
      </c>
      <c r="BL25" s="1">
        <f>0.72*(1)</f>
        <v>0.72</v>
      </c>
      <c r="BM25" s="1" t="s">
        <v>73</v>
      </c>
      <c r="BN25" s="1">
        <f>47800*(1)</f>
        <v>47800</v>
      </c>
      <c r="BO25" s="1" t="s">
        <v>341</v>
      </c>
      <c r="BP25" s="1">
        <f>0.735*(1)</f>
        <v>0.73499999999999999</v>
      </c>
      <c r="BQ25" s="1" t="s">
        <v>94</v>
      </c>
      <c r="BR25" s="1">
        <f>260809*(1)</f>
        <v>260809</v>
      </c>
      <c r="BS25" s="1" t="s">
        <v>430</v>
      </c>
      <c r="BT25" s="1">
        <f>0.755*(1)</f>
        <v>0.755</v>
      </c>
      <c r="BU25" s="1" t="s">
        <v>104</v>
      </c>
      <c r="BV25" s="1">
        <f>112807*(1)</f>
        <v>112807</v>
      </c>
      <c r="BW25" s="1" t="s">
        <v>431</v>
      </c>
      <c r="BX25" s="1">
        <f>0.775*(1)</f>
        <v>0.77500000000000002</v>
      </c>
      <c r="BY25" s="1" t="s">
        <v>104</v>
      </c>
      <c r="BZ25" s="1">
        <f>417863*(1)</f>
        <v>417863</v>
      </c>
      <c r="CA25" s="1" t="s">
        <v>432</v>
      </c>
      <c r="CB25" s="1">
        <f>0.73*(1)</f>
        <v>0.73</v>
      </c>
      <c r="CC25" s="1" t="s">
        <v>73</v>
      </c>
      <c r="CD25" s="1">
        <f>85941*(1)</f>
        <v>85941</v>
      </c>
      <c r="CE25" s="1" t="s">
        <v>433</v>
      </c>
      <c r="CF25" s="1">
        <f>0.776*(1)</f>
        <v>0.77600000000000002</v>
      </c>
      <c r="CG25" s="1" t="s">
        <v>99</v>
      </c>
    </row>
    <row r="26" spans="1:85" x14ac:dyDescent="0.3">
      <c r="A26" s="7" t="s">
        <v>434</v>
      </c>
      <c r="B26" s="1">
        <f>65816*(1)</f>
        <v>65816</v>
      </c>
      <c r="C26" s="1" t="s">
        <v>435</v>
      </c>
      <c r="D26" s="1">
        <f>0.239*(1)</f>
        <v>0.23899999999999999</v>
      </c>
      <c r="E26" s="1" t="s">
        <v>99</v>
      </c>
      <c r="F26" s="1">
        <f>210814*(1)</f>
        <v>210814</v>
      </c>
      <c r="G26" s="1" t="s">
        <v>436</v>
      </c>
      <c r="H26" s="1">
        <f>0.221*(1)</f>
        <v>0.221</v>
      </c>
      <c r="I26" s="1" t="s">
        <v>73</v>
      </c>
      <c r="J26" s="1">
        <f>101838*(1)</f>
        <v>101838</v>
      </c>
      <c r="K26" s="1" t="s">
        <v>437</v>
      </c>
      <c r="L26" s="1">
        <f>0.219*(1)</f>
        <v>0.219</v>
      </c>
      <c r="M26" s="1" t="s">
        <v>104</v>
      </c>
      <c r="N26" s="1">
        <f>106393*(1)</f>
        <v>106393</v>
      </c>
      <c r="O26" s="1" t="s">
        <v>438</v>
      </c>
      <c r="P26" s="1">
        <f>0.203*(1)</f>
        <v>0.20300000000000001</v>
      </c>
      <c r="Q26" s="1" t="s">
        <v>104</v>
      </c>
      <c r="R26" s="1">
        <f>33205*(1)</f>
        <v>33205</v>
      </c>
      <c r="S26" s="1" t="s">
        <v>439</v>
      </c>
      <c r="T26" s="1">
        <f>0.347*(1)</f>
        <v>0.34699999999999998</v>
      </c>
      <c r="U26" s="1" t="s">
        <v>94</v>
      </c>
      <c r="V26" s="1">
        <f>30587*(1)</f>
        <v>30587</v>
      </c>
      <c r="W26" s="1" t="s">
        <v>440</v>
      </c>
      <c r="X26" s="1">
        <f>0.199*(1)</f>
        <v>0.19900000000000001</v>
      </c>
      <c r="Y26" s="1" t="s">
        <v>99</v>
      </c>
      <c r="Z26" s="1">
        <f>152784*(1)</f>
        <v>152784</v>
      </c>
      <c r="AA26" s="1" t="s">
        <v>441</v>
      </c>
      <c r="AB26" s="1">
        <f>0.179*(1)</f>
        <v>0.17899999999999999</v>
      </c>
      <c r="AC26" s="1" t="s">
        <v>73</v>
      </c>
      <c r="AD26" s="1">
        <f>64027*(1)</f>
        <v>64027</v>
      </c>
      <c r="AE26" s="1" t="s">
        <v>442</v>
      </c>
      <c r="AF26" s="1">
        <f>0.21*(1)</f>
        <v>0.21</v>
      </c>
      <c r="AG26" s="1" t="s">
        <v>106</v>
      </c>
      <c r="AH26" s="1">
        <f>108092*(1)</f>
        <v>108092</v>
      </c>
      <c r="AI26" s="1" t="s">
        <v>443</v>
      </c>
      <c r="AJ26" s="1">
        <f>0.154*(1)</f>
        <v>0.154</v>
      </c>
      <c r="AK26" s="1" t="s">
        <v>104</v>
      </c>
      <c r="AL26" s="1">
        <f>32906*(1)</f>
        <v>32906</v>
      </c>
      <c r="AM26" s="1" t="s">
        <v>444</v>
      </c>
      <c r="AN26" s="1">
        <f>0.253*(1)</f>
        <v>0.253</v>
      </c>
      <c r="AO26" s="1" t="s">
        <v>140</v>
      </c>
      <c r="AP26" s="1">
        <f>76397*(1)</f>
        <v>76397</v>
      </c>
      <c r="AQ26" s="1" t="s">
        <v>445</v>
      </c>
      <c r="AR26" s="1">
        <f>0.198*(1)</f>
        <v>0.19800000000000001</v>
      </c>
      <c r="AS26" s="1" t="s">
        <v>106</v>
      </c>
      <c r="AT26" s="1">
        <f>167995*(1)</f>
        <v>167995</v>
      </c>
      <c r="AU26" s="1" t="s">
        <v>446</v>
      </c>
      <c r="AV26" s="1">
        <f>0.195*(1)</f>
        <v>0.19500000000000001</v>
      </c>
      <c r="AW26" s="1" t="s">
        <v>73</v>
      </c>
      <c r="AX26" s="1">
        <f>151557*(1)</f>
        <v>151557</v>
      </c>
      <c r="AY26" s="1" t="s">
        <v>447</v>
      </c>
      <c r="AZ26" s="1">
        <f>0.235*(1)</f>
        <v>0.23499999999999999</v>
      </c>
      <c r="BA26" s="1" t="s">
        <v>104</v>
      </c>
      <c r="BB26" s="1">
        <f>111740*(1)</f>
        <v>111740</v>
      </c>
      <c r="BC26" s="1" t="s">
        <v>448</v>
      </c>
      <c r="BD26" s="1">
        <f>0.219*(1)</f>
        <v>0.219</v>
      </c>
      <c r="BE26" s="1" t="s">
        <v>106</v>
      </c>
      <c r="BF26" s="1">
        <f>172710*(1)</f>
        <v>172710</v>
      </c>
      <c r="BG26" s="1" t="s">
        <v>449</v>
      </c>
      <c r="BH26" s="1">
        <f>0.266*(1)</f>
        <v>0.26600000000000001</v>
      </c>
      <c r="BI26" s="1" t="s">
        <v>104</v>
      </c>
      <c r="BJ26" s="1">
        <f>100225*(1)</f>
        <v>100225</v>
      </c>
      <c r="BK26" s="1" t="s">
        <v>450</v>
      </c>
      <c r="BL26" s="1">
        <f>0.193*(1)</f>
        <v>0.193</v>
      </c>
      <c r="BM26" s="1" t="s">
        <v>106</v>
      </c>
      <c r="BN26" s="1">
        <f>14864*(1)</f>
        <v>14864</v>
      </c>
      <c r="BO26" s="1" t="s">
        <v>451</v>
      </c>
      <c r="BP26" s="1">
        <f>0.229*(1)</f>
        <v>0.22900000000000001</v>
      </c>
      <c r="BQ26" s="1" t="s">
        <v>127</v>
      </c>
      <c r="BR26" s="1">
        <f>73057*(1)</f>
        <v>73057</v>
      </c>
      <c r="BS26" s="1" t="s">
        <v>452</v>
      </c>
      <c r="BT26" s="1">
        <f>0.211*(1)</f>
        <v>0.21099999999999999</v>
      </c>
      <c r="BU26" s="1" t="s">
        <v>81</v>
      </c>
      <c r="BV26" s="1">
        <f>34063*(1)</f>
        <v>34063</v>
      </c>
      <c r="BW26" s="1" t="s">
        <v>453</v>
      </c>
      <c r="BX26" s="1">
        <f>0.234*(1)</f>
        <v>0.23400000000000001</v>
      </c>
      <c r="BY26" s="1" t="s">
        <v>79</v>
      </c>
      <c r="BZ26" s="1">
        <f>105215*(1)</f>
        <v>105215</v>
      </c>
      <c r="CA26" s="1" t="s">
        <v>454</v>
      </c>
      <c r="CB26" s="1">
        <f>0.184*(1)</f>
        <v>0.184</v>
      </c>
      <c r="CC26" s="1" t="s">
        <v>104</v>
      </c>
      <c r="CD26" s="1">
        <f>26971*(1)</f>
        <v>26971</v>
      </c>
      <c r="CE26" s="1" t="s">
        <v>455</v>
      </c>
      <c r="CF26" s="1">
        <f>0.244*(1)</f>
        <v>0.24399999999999999</v>
      </c>
      <c r="CG26" s="1" t="s">
        <v>94</v>
      </c>
    </row>
    <row r="27" spans="1:85" x14ac:dyDescent="0.3">
      <c r="A27" s="7" t="s">
        <v>456</v>
      </c>
      <c r="B27" s="1">
        <f>52898*(1)</f>
        <v>52898</v>
      </c>
      <c r="C27" s="1" t="s">
        <v>457</v>
      </c>
      <c r="D27" s="1">
        <f>0.192*(1)</f>
        <v>0.192</v>
      </c>
      <c r="E27" s="1" t="s">
        <v>75</v>
      </c>
      <c r="F27" s="1">
        <f>170110*(1)</f>
        <v>170110</v>
      </c>
      <c r="G27" s="1" t="s">
        <v>458</v>
      </c>
      <c r="H27" s="1">
        <f>0.178*(1)</f>
        <v>0.17799999999999999</v>
      </c>
      <c r="I27" s="1" t="s">
        <v>75</v>
      </c>
      <c r="J27" s="1">
        <f>82083*(1)</f>
        <v>82083</v>
      </c>
      <c r="K27" s="1" t="s">
        <v>241</v>
      </c>
      <c r="L27" s="1">
        <f>0.177*(1)</f>
        <v>0.17699999999999999</v>
      </c>
      <c r="M27" s="1" t="s">
        <v>75</v>
      </c>
      <c r="N27" s="1">
        <f>85099*(1)</f>
        <v>85099</v>
      </c>
      <c r="O27" s="1" t="s">
        <v>459</v>
      </c>
      <c r="P27" s="1">
        <f>0.162*(1)</f>
        <v>0.16200000000000001</v>
      </c>
      <c r="Q27" s="1" t="s">
        <v>75</v>
      </c>
      <c r="R27" s="1">
        <f>26447*(1)</f>
        <v>26447</v>
      </c>
      <c r="S27" s="1" t="s">
        <v>460</v>
      </c>
      <c r="T27" s="1">
        <f>0.276*(1)</f>
        <v>0.27600000000000002</v>
      </c>
      <c r="U27" s="1" t="s">
        <v>104</v>
      </c>
      <c r="V27" s="1">
        <f>24468*(1)</f>
        <v>24468</v>
      </c>
      <c r="W27" s="1" t="s">
        <v>461</v>
      </c>
      <c r="X27" s="1">
        <f>0.159*(1)</f>
        <v>0.159</v>
      </c>
      <c r="Y27" s="1" t="s">
        <v>84</v>
      </c>
      <c r="Z27" s="1">
        <f>120994*(1)</f>
        <v>120994</v>
      </c>
      <c r="AA27" s="1" t="s">
        <v>462</v>
      </c>
      <c r="AB27" s="1">
        <f>0.142*(1)</f>
        <v>0.14199999999999999</v>
      </c>
      <c r="AC27" s="1" t="s">
        <v>75</v>
      </c>
      <c r="AD27" s="1">
        <f>50956*(1)</f>
        <v>50956</v>
      </c>
      <c r="AE27" s="1" t="s">
        <v>93</v>
      </c>
      <c r="AF27" s="1">
        <f>0.167*(1)</f>
        <v>0.16700000000000001</v>
      </c>
      <c r="AG27" s="1" t="s">
        <v>84</v>
      </c>
      <c r="AH27" s="1">
        <f>88398*(1)</f>
        <v>88398</v>
      </c>
      <c r="AI27" s="1" t="s">
        <v>463</v>
      </c>
      <c r="AJ27" s="1">
        <f>0.126*(1)</f>
        <v>0.126</v>
      </c>
      <c r="AK27" s="1" t="s">
        <v>75</v>
      </c>
      <c r="AL27" s="1">
        <f>25562*(1)</f>
        <v>25562</v>
      </c>
      <c r="AM27" s="1" t="s">
        <v>464</v>
      </c>
      <c r="AN27" s="1">
        <f>0.197*(1)</f>
        <v>0.19700000000000001</v>
      </c>
      <c r="AO27" s="1" t="s">
        <v>104</v>
      </c>
      <c r="AP27" s="1">
        <f>61576*(1)</f>
        <v>61576</v>
      </c>
      <c r="AQ27" s="1" t="s">
        <v>383</v>
      </c>
      <c r="AR27" s="1">
        <f>0.16*(1)</f>
        <v>0.16</v>
      </c>
      <c r="AS27" s="1" t="s">
        <v>75</v>
      </c>
      <c r="AT27" s="1">
        <f>136441*(1)</f>
        <v>136441</v>
      </c>
      <c r="AU27" s="1" t="s">
        <v>465</v>
      </c>
      <c r="AV27" s="1">
        <f>0.159*(1)</f>
        <v>0.159</v>
      </c>
      <c r="AW27" s="1" t="s">
        <v>75</v>
      </c>
      <c r="AX27" s="1">
        <f>120618*(1)</f>
        <v>120618</v>
      </c>
      <c r="AY27" s="1" t="s">
        <v>384</v>
      </c>
      <c r="AZ27" s="1">
        <f>0.187*(1)</f>
        <v>0.187</v>
      </c>
      <c r="BA27" s="1" t="s">
        <v>75</v>
      </c>
      <c r="BB27" s="1">
        <f>90810*(1)</f>
        <v>90810</v>
      </c>
      <c r="BC27" s="1" t="s">
        <v>466</v>
      </c>
      <c r="BD27" s="1">
        <f>0.178*(1)</f>
        <v>0.17799999999999999</v>
      </c>
      <c r="BE27" s="1" t="s">
        <v>84</v>
      </c>
      <c r="BF27" s="1">
        <f>144851*(1)</f>
        <v>144851</v>
      </c>
      <c r="BG27" s="1" t="s">
        <v>467</v>
      </c>
      <c r="BH27" s="1">
        <f>0.223*(1)</f>
        <v>0.223</v>
      </c>
      <c r="BI27" s="1" t="s">
        <v>75</v>
      </c>
      <c r="BJ27" s="1">
        <f>79221*(1)</f>
        <v>79221</v>
      </c>
      <c r="BK27" s="1" t="s">
        <v>468</v>
      </c>
      <c r="BL27" s="1">
        <f>0.153*(1)</f>
        <v>0.153</v>
      </c>
      <c r="BM27" s="1" t="s">
        <v>75</v>
      </c>
      <c r="BN27" s="1">
        <f>12477*(1)</f>
        <v>12477</v>
      </c>
      <c r="BO27" s="1" t="s">
        <v>469</v>
      </c>
      <c r="BP27" s="1">
        <f>0.192*(1)</f>
        <v>0.192</v>
      </c>
      <c r="BQ27" s="1" t="s">
        <v>81</v>
      </c>
      <c r="BR27" s="1">
        <f>57520*(1)</f>
        <v>57520</v>
      </c>
      <c r="BS27" s="1" t="s">
        <v>130</v>
      </c>
      <c r="BT27" s="1">
        <f>0.166*(1)</f>
        <v>0.16600000000000001</v>
      </c>
      <c r="BU27" s="1" t="s">
        <v>75</v>
      </c>
      <c r="BV27" s="1">
        <f>27196*(1)</f>
        <v>27196</v>
      </c>
      <c r="BW27" s="1" t="s">
        <v>470</v>
      </c>
      <c r="BX27" s="1">
        <f>0.187*(1)</f>
        <v>0.187</v>
      </c>
      <c r="BY27" s="1" t="s">
        <v>84</v>
      </c>
      <c r="BZ27" s="1">
        <f>85180*(1)</f>
        <v>85180</v>
      </c>
      <c r="CA27" s="1" t="s">
        <v>258</v>
      </c>
      <c r="CB27" s="1">
        <f>0.149*(1)</f>
        <v>0.14899999999999999</v>
      </c>
      <c r="CC27" s="1" t="s">
        <v>75</v>
      </c>
      <c r="CD27" s="1">
        <f>20716*(1)</f>
        <v>20716</v>
      </c>
      <c r="CE27" s="1" t="s">
        <v>471</v>
      </c>
      <c r="CF27" s="1">
        <f>0.187*(1)</f>
        <v>0.187</v>
      </c>
      <c r="CG27" s="1" t="s">
        <v>99</v>
      </c>
    </row>
    <row r="28" spans="1:85" x14ac:dyDescent="0.3">
      <c r="A28" s="7" t="s">
        <v>411</v>
      </c>
      <c r="B28" s="1">
        <f>217480*(1)</f>
        <v>217480</v>
      </c>
      <c r="C28" s="1" t="s">
        <v>380</v>
      </c>
      <c r="D28" s="1">
        <f>217480*(1)</f>
        <v>217480</v>
      </c>
      <c r="E28" s="1" t="s">
        <v>70</v>
      </c>
      <c r="F28" s="1">
        <f>753314*(1)</f>
        <v>753314</v>
      </c>
      <c r="G28" s="1" t="s">
        <v>381</v>
      </c>
      <c r="H28" s="1">
        <f>753314*(1)</f>
        <v>753314</v>
      </c>
      <c r="I28" s="1" t="s">
        <v>70</v>
      </c>
      <c r="J28" s="1">
        <f>368789*(1)</f>
        <v>368789</v>
      </c>
      <c r="K28" s="1" t="s">
        <v>382</v>
      </c>
      <c r="L28" s="1">
        <f>368789*(1)</f>
        <v>368789</v>
      </c>
      <c r="M28" s="1" t="s">
        <v>70</v>
      </c>
      <c r="N28" s="1">
        <f>404850*(1)</f>
        <v>404850</v>
      </c>
      <c r="O28" s="1" t="s">
        <v>69</v>
      </c>
      <c r="P28" s="1">
        <f>404850*(1)</f>
        <v>404850</v>
      </c>
      <c r="Q28" s="1" t="s">
        <v>70</v>
      </c>
      <c r="R28" s="1">
        <f>79487*(1)</f>
        <v>79487</v>
      </c>
      <c r="S28" s="1" t="s">
        <v>383</v>
      </c>
      <c r="T28" s="1">
        <f>79487*(1)</f>
        <v>79487</v>
      </c>
      <c r="U28" s="1" t="s">
        <v>70</v>
      </c>
      <c r="V28" s="1">
        <f>116433*(1)</f>
        <v>116433</v>
      </c>
      <c r="W28" s="1" t="s">
        <v>384</v>
      </c>
      <c r="X28" s="1">
        <f>116433*(1)</f>
        <v>116433</v>
      </c>
      <c r="Y28" s="1" t="s">
        <v>70</v>
      </c>
      <c r="Z28" s="1">
        <f>652451*(1)</f>
        <v>652451</v>
      </c>
      <c r="AA28" s="1" t="s">
        <v>69</v>
      </c>
      <c r="AB28" s="1">
        <f>652451*(1)</f>
        <v>652451</v>
      </c>
      <c r="AC28" s="1" t="s">
        <v>70</v>
      </c>
      <c r="AD28" s="1">
        <f>239035*(1)</f>
        <v>239035</v>
      </c>
      <c r="AE28" s="1" t="s">
        <v>385</v>
      </c>
      <c r="AF28" s="1">
        <f>239035*(1)</f>
        <v>239035</v>
      </c>
      <c r="AG28" s="1" t="s">
        <v>70</v>
      </c>
      <c r="AH28" s="1">
        <f>559742*(1)</f>
        <v>559742</v>
      </c>
      <c r="AI28" s="1" t="s">
        <v>118</v>
      </c>
      <c r="AJ28" s="1">
        <f>559742*(1)</f>
        <v>559742</v>
      </c>
      <c r="AK28" s="1" t="s">
        <v>70</v>
      </c>
      <c r="AL28" s="1">
        <f>106051*(1)</f>
        <v>106051</v>
      </c>
      <c r="AM28" s="1" t="s">
        <v>386</v>
      </c>
      <c r="AN28" s="1">
        <f>106051*(1)</f>
        <v>106051</v>
      </c>
      <c r="AO28" s="1" t="s">
        <v>70</v>
      </c>
      <c r="AP28" s="1">
        <f>303973*(1)</f>
        <v>303973</v>
      </c>
      <c r="AQ28" s="1" t="s">
        <v>387</v>
      </c>
      <c r="AR28" s="1">
        <f>303973*(1)</f>
        <v>303973</v>
      </c>
      <c r="AS28" s="1" t="s">
        <v>70</v>
      </c>
      <c r="AT28" s="1">
        <f>675273*(1)</f>
        <v>675273</v>
      </c>
      <c r="AU28" s="1" t="s">
        <v>388</v>
      </c>
      <c r="AV28" s="1">
        <f>675273*(1)</f>
        <v>675273</v>
      </c>
      <c r="AW28" s="1" t="s">
        <v>70</v>
      </c>
      <c r="AX28" s="1">
        <f>511431*(1)</f>
        <v>511431</v>
      </c>
      <c r="AY28" s="1" t="s">
        <v>69</v>
      </c>
      <c r="AZ28" s="1">
        <f>511431*(1)</f>
        <v>511431</v>
      </c>
      <c r="BA28" s="1" t="s">
        <v>70</v>
      </c>
      <c r="BB28" s="1">
        <f>405933*(1)</f>
        <v>405933</v>
      </c>
      <c r="BC28" s="1" t="s">
        <v>69</v>
      </c>
      <c r="BD28" s="1">
        <f>405933*(1)</f>
        <v>405933</v>
      </c>
      <c r="BE28" s="1" t="s">
        <v>70</v>
      </c>
      <c r="BF28" s="1">
        <f>488397*(1)</f>
        <v>488397</v>
      </c>
      <c r="BG28" s="1" t="s">
        <v>123</v>
      </c>
      <c r="BH28" s="1">
        <f>488397*(1)</f>
        <v>488397</v>
      </c>
      <c r="BI28" s="1" t="s">
        <v>70</v>
      </c>
      <c r="BJ28" s="1">
        <f>395483*(1)</f>
        <v>395483</v>
      </c>
      <c r="BK28" s="1" t="s">
        <v>389</v>
      </c>
      <c r="BL28" s="1">
        <f>395483*(1)</f>
        <v>395483</v>
      </c>
      <c r="BM28" s="1" t="s">
        <v>70</v>
      </c>
      <c r="BN28" s="1">
        <f>50861*(1)</f>
        <v>50861</v>
      </c>
      <c r="BO28" s="1" t="s">
        <v>390</v>
      </c>
      <c r="BP28" s="1">
        <f>50861*(1)</f>
        <v>50861</v>
      </c>
      <c r="BQ28" s="1" t="s">
        <v>70</v>
      </c>
      <c r="BR28" s="1">
        <f>272085*(1)</f>
        <v>272085</v>
      </c>
      <c r="BS28" s="1" t="s">
        <v>221</v>
      </c>
      <c r="BT28" s="1">
        <f>272085*(1)</f>
        <v>272085</v>
      </c>
      <c r="BU28" s="1" t="s">
        <v>70</v>
      </c>
      <c r="BV28" s="1">
        <f>117438*(1)</f>
        <v>117438</v>
      </c>
      <c r="BW28" s="1" t="s">
        <v>69</v>
      </c>
      <c r="BX28" s="1">
        <f>117438*(1)</f>
        <v>117438</v>
      </c>
      <c r="BY28" s="1" t="s">
        <v>70</v>
      </c>
      <c r="BZ28" s="1">
        <f>438242*(1)</f>
        <v>438242</v>
      </c>
      <c r="CA28" s="1" t="s">
        <v>391</v>
      </c>
      <c r="CB28" s="1">
        <f>438242*(1)</f>
        <v>438242</v>
      </c>
      <c r="CC28" s="1" t="s">
        <v>70</v>
      </c>
      <c r="CD28" s="1">
        <f>89506*(1)</f>
        <v>89506</v>
      </c>
      <c r="CE28" s="1" t="s">
        <v>120</v>
      </c>
      <c r="CF28" s="1">
        <f>89506*(1)</f>
        <v>89506</v>
      </c>
      <c r="CG28" s="1" t="s">
        <v>70</v>
      </c>
    </row>
    <row r="29" spans="1:85" x14ac:dyDescent="0.3">
      <c r="A29" s="8" t="s">
        <v>71</v>
      </c>
      <c r="B29" s="1">
        <f>104720*(1)</f>
        <v>104720</v>
      </c>
      <c r="C29" s="1" t="s">
        <v>472</v>
      </c>
      <c r="D29" s="1">
        <f>0.482*(1)</f>
        <v>0.48199999999999998</v>
      </c>
      <c r="E29" s="1" t="s">
        <v>75</v>
      </c>
      <c r="F29" s="1">
        <f>364792*(1)</f>
        <v>364792</v>
      </c>
      <c r="G29" s="1" t="s">
        <v>381</v>
      </c>
      <c r="H29" s="1">
        <f>0.484*(1)</f>
        <v>0.48399999999999999</v>
      </c>
      <c r="I29" s="1" t="s">
        <v>75</v>
      </c>
      <c r="J29" s="1">
        <f>181169*(1)</f>
        <v>181169</v>
      </c>
      <c r="K29" s="1" t="s">
        <v>473</v>
      </c>
      <c r="L29" s="1">
        <f>0.491*(1)</f>
        <v>0.49099999999999999</v>
      </c>
      <c r="M29" s="1" t="s">
        <v>75</v>
      </c>
      <c r="N29" s="1">
        <f>193351*(1)</f>
        <v>193351</v>
      </c>
      <c r="O29" s="1" t="s">
        <v>474</v>
      </c>
      <c r="P29" s="1">
        <f>0.478*(1)</f>
        <v>0.47799999999999998</v>
      </c>
      <c r="Q29" s="1" t="s">
        <v>75</v>
      </c>
      <c r="R29" s="1">
        <f>38871*(1)</f>
        <v>38871</v>
      </c>
      <c r="S29" s="1" t="s">
        <v>114</v>
      </c>
      <c r="T29" s="1">
        <f>0.489*(1)</f>
        <v>0.48899999999999999</v>
      </c>
      <c r="U29" s="1" t="s">
        <v>81</v>
      </c>
      <c r="V29" s="1">
        <f>59325*(1)</f>
        <v>59325</v>
      </c>
      <c r="W29" s="1" t="s">
        <v>475</v>
      </c>
      <c r="X29" s="1">
        <f>0.51*(1)</f>
        <v>0.51</v>
      </c>
      <c r="Y29" s="1" t="s">
        <v>84</v>
      </c>
      <c r="Z29" s="1">
        <f>310820*(1)</f>
        <v>310820</v>
      </c>
      <c r="AA29" s="1" t="s">
        <v>476</v>
      </c>
      <c r="AB29" s="1">
        <f>0.476*(1)</f>
        <v>0.47599999999999998</v>
      </c>
      <c r="AC29" s="1" t="s">
        <v>75</v>
      </c>
      <c r="AD29" s="1">
        <f>115595*(1)</f>
        <v>115595</v>
      </c>
      <c r="AE29" s="1" t="s">
        <v>477</v>
      </c>
      <c r="AF29" s="1">
        <f>0.484*(1)</f>
        <v>0.48399999999999999</v>
      </c>
      <c r="AG29" s="1" t="s">
        <v>75</v>
      </c>
      <c r="AH29" s="1">
        <f>278424*(1)</f>
        <v>278424</v>
      </c>
      <c r="AI29" s="1" t="s">
        <v>478</v>
      </c>
      <c r="AJ29" s="1">
        <f>0.497*(1)</f>
        <v>0.497</v>
      </c>
      <c r="AK29" s="1" t="s">
        <v>75</v>
      </c>
      <c r="AL29" s="1">
        <f>52838*(1)</f>
        <v>52838</v>
      </c>
      <c r="AM29" s="1" t="s">
        <v>479</v>
      </c>
      <c r="AN29" s="1">
        <f>0.498*(1)</f>
        <v>0.498</v>
      </c>
      <c r="AO29" s="1" t="s">
        <v>79</v>
      </c>
      <c r="AP29" s="1">
        <f>148028*(1)</f>
        <v>148028</v>
      </c>
      <c r="AQ29" s="1" t="s">
        <v>480</v>
      </c>
      <c r="AR29" s="1">
        <f>0.487*(1)</f>
        <v>0.48699999999999999</v>
      </c>
      <c r="AS29" s="1" t="s">
        <v>75</v>
      </c>
      <c r="AT29" s="1">
        <f>333367*(1)</f>
        <v>333367</v>
      </c>
      <c r="AU29" s="1" t="s">
        <v>481</v>
      </c>
      <c r="AV29" s="1">
        <f>0.494*(1)</f>
        <v>0.49399999999999999</v>
      </c>
      <c r="AW29" s="1" t="s">
        <v>75</v>
      </c>
      <c r="AX29" s="1">
        <f>247739*(1)</f>
        <v>247739</v>
      </c>
      <c r="AY29" s="1" t="s">
        <v>482</v>
      </c>
      <c r="AZ29" s="1">
        <f>0.484*(1)</f>
        <v>0.48399999999999999</v>
      </c>
      <c r="BA29" s="1" t="s">
        <v>75</v>
      </c>
      <c r="BB29" s="1">
        <f>199085*(1)</f>
        <v>199085</v>
      </c>
      <c r="BC29" s="1" t="s">
        <v>483</v>
      </c>
      <c r="BD29" s="1">
        <f>0.49*(1)</f>
        <v>0.49</v>
      </c>
      <c r="BE29" s="1" t="s">
        <v>75</v>
      </c>
      <c r="BF29" s="1">
        <f>233726*(1)</f>
        <v>233726</v>
      </c>
      <c r="BG29" s="1" t="s">
        <v>332</v>
      </c>
      <c r="BH29" s="1">
        <f>0.479*(1)</f>
        <v>0.47899999999999998</v>
      </c>
      <c r="BI29" s="1" t="s">
        <v>75</v>
      </c>
      <c r="BJ29" s="1">
        <f>192116*(1)</f>
        <v>192116</v>
      </c>
      <c r="BK29" s="1" t="s">
        <v>484</v>
      </c>
      <c r="BL29" s="1">
        <f>0.486*(1)</f>
        <v>0.48599999999999999</v>
      </c>
      <c r="BM29" s="1" t="s">
        <v>75</v>
      </c>
      <c r="BN29" s="1">
        <f>24746*(1)</f>
        <v>24746</v>
      </c>
      <c r="BO29" s="1" t="s">
        <v>485</v>
      </c>
      <c r="BP29" s="1">
        <f>0.487*(1)</f>
        <v>0.48699999999999999</v>
      </c>
      <c r="BQ29" s="1" t="s">
        <v>104</v>
      </c>
      <c r="BR29" s="1">
        <f>132401*(1)</f>
        <v>132401</v>
      </c>
      <c r="BS29" s="1" t="s">
        <v>116</v>
      </c>
      <c r="BT29" s="1">
        <f>0.487*(1)</f>
        <v>0.48699999999999999</v>
      </c>
      <c r="BU29" s="1" t="s">
        <v>75</v>
      </c>
      <c r="BV29" s="1">
        <f>58946*(1)</f>
        <v>58946</v>
      </c>
      <c r="BW29" s="1" t="s">
        <v>486</v>
      </c>
      <c r="BX29" s="1">
        <f>0.502*(1)</f>
        <v>0.502</v>
      </c>
      <c r="BY29" s="1" t="s">
        <v>84</v>
      </c>
      <c r="BZ29" s="1">
        <f>214095*(1)</f>
        <v>214095</v>
      </c>
      <c r="CA29" s="1" t="s">
        <v>487</v>
      </c>
      <c r="CB29" s="1">
        <f>0.489*(1)</f>
        <v>0.48899999999999999</v>
      </c>
      <c r="CC29" s="1" t="s">
        <v>75</v>
      </c>
      <c r="CD29" s="1">
        <f>43553*(1)</f>
        <v>43553</v>
      </c>
      <c r="CE29" s="1" t="s">
        <v>488</v>
      </c>
      <c r="CF29" s="1">
        <f>0.487*(1)</f>
        <v>0.48699999999999999</v>
      </c>
      <c r="CG29" s="1" t="s">
        <v>99</v>
      </c>
    </row>
    <row r="30" spans="1:85" x14ac:dyDescent="0.3">
      <c r="A30" s="8" t="s">
        <v>100</v>
      </c>
      <c r="B30" s="1">
        <f>112760*(1)</f>
        <v>112760</v>
      </c>
      <c r="C30" s="1" t="s">
        <v>221</v>
      </c>
      <c r="D30" s="1">
        <f>0.518*(1)</f>
        <v>0.51800000000000002</v>
      </c>
      <c r="E30" s="1" t="s">
        <v>75</v>
      </c>
      <c r="F30" s="1">
        <f>388522*(1)</f>
        <v>388522</v>
      </c>
      <c r="G30" s="1" t="s">
        <v>69</v>
      </c>
      <c r="H30" s="1">
        <f>0.516*(1)</f>
        <v>0.51600000000000001</v>
      </c>
      <c r="I30" s="1" t="s">
        <v>75</v>
      </c>
      <c r="J30" s="1">
        <f>187620*(1)</f>
        <v>187620</v>
      </c>
      <c r="K30" s="1" t="s">
        <v>489</v>
      </c>
      <c r="L30" s="1">
        <f>0.509*(1)</f>
        <v>0.50900000000000001</v>
      </c>
      <c r="M30" s="1" t="s">
        <v>75</v>
      </c>
      <c r="N30" s="1">
        <f>211499*(1)</f>
        <v>211499</v>
      </c>
      <c r="O30" s="1" t="s">
        <v>240</v>
      </c>
      <c r="P30" s="1">
        <f>0.522*(1)</f>
        <v>0.52200000000000002</v>
      </c>
      <c r="Q30" s="1" t="s">
        <v>75</v>
      </c>
      <c r="R30" s="1">
        <f>40616*(1)</f>
        <v>40616</v>
      </c>
      <c r="S30" s="1" t="s">
        <v>462</v>
      </c>
      <c r="T30" s="1">
        <f>0.511*(1)</f>
        <v>0.51100000000000001</v>
      </c>
      <c r="U30" s="1" t="s">
        <v>81</v>
      </c>
      <c r="V30" s="1">
        <f>57108*(1)</f>
        <v>57108</v>
      </c>
      <c r="W30" s="1" t="s">
        <v>472</v>
      </c>
      <c r="X30" s="1">
        <f>0.49*(1)</f>
        <v>0.49</v>
      </c>
      <c r="Y30" s="1" t="s">
        <v>84</v>
      </c>
      <c r="Z30" s="1">
        <f>341631*(1)</f>
        <v>341631</v>
      </c>
      <c r="AA30" s="1" t="s">
        <v>476</v>
      </c>
      <c r="AB30" s="1">
        <f>0.524*(1)</f>
        <v>0.52400000000000002</v>
      </c>
      <c r="AC30" s="1" t="s">
        <v>75</v>
      </c>
      <c r="AD30" s="1">
        <f>123440*(1)</f>
        <v>123440</v>
      </c>
      <c r="AE30" s="1" t="s">
        <v>490</v>
      </c>
      <c r="AF30" s="1">
        <f>0.516*(1)</f>
        <v>0.51600000000000001</v>
      </c>
      <c r="AG30" s="1" t="s">
        <v>75</v>
      </c>
      <c r="AH30" s="1">
        <f>281318*(1)</f>
        <v>281318</v>
      </c>
      <c r="AI30" s="1" t="s">
        <v>491</v>
      </c>
      <c r="AJ30" s="1">
        <f>0.503*(1)</f>
        <v>0.503</v>
      </c>
      <c r="AK30" s="1" t="s">
        <v>75</v>
      </c>
      <c r="AL30" s="1">
        <f>53213*(1)</f>
        <v>53213</v>
      </c>
      <c r="AM30" s="1" t="s">
        <v>492</v>
      </c>
      <c r="AN30" s="1">
        <f>0.502*(1)</f>
        <v>0.502</v>
      </c>
      <c r="AO30" s="1" t="s">
        <v>79</v>
      </c>
      <c r="AP30" s="1">
        <f>155945*(1)</f>
        <v>155945</v>
      </c>
      <c r="AQ30" s="1" t="s">
        <v>493</v>
      </c>
      <c r="AR30" s="1">
        <f>0.513*(1)</f>
        <v>0.51300000000000001</v>
      </c>
      <c r="AS30" s="1" t="s">
        <v>75</v>
      </c>
      <c r="AT30" s="1">
        <f>341906*(1)</f>
        <v>341906</v>
      </c>
      <c r="AU30" s="1" t="s">
        <v>494</v>
      </c>
      <c r="AV30" s="1">
        <f>0.506*(1)</f>
        <v>0.50600000000000001</v>
      </c>
      <c r="AW30" s="1" t="s">
        <v>75</v>
      </c>
      <c r="AX30" s="1">
        <f>263692*(1)</f>
        <v>263692</v>
      </c>
      <c r="AY30" s="1" t="s">
        <v>482</v>
      </c>
      <c r="AZ30" s="1">
        <f>0.516*(1)</f>
        <v>0.51600000000000001</v>
      </c>
      <c r="BA30" s="1" t="s">
        <v>75</v>
      </c>
      <c r="BB30" s="1">
        <f>206848*(1)</f>
        <v>206848</v>
      </c>
      <c r="BC30" s="1" t="s">
        <v>494</v>
      </c>
      <c r="BD30" s="1">
        <f>0.51*(1)</f>
        <v>0.51</v>
      </c>
      <c r="BE30" s="1" t="s">
        <v>75</v>
      </c>
      <c r="BF30" s="1">
        <f>254671*(1)</f>
        <v>254671</v>
      </c>
      <c r="BG30" s="1" t="s">
        <v>495</v>
      </c>
      <c r="BH30" s="1">
        <f>0.521*(1)</f>
        <v>0.52100000000000002</v>
      </c>
      <c r="BI30" s="1" t="s">
        <v>75</v>
      </c>
      <c r="BJ30" s="1">
        <f>203367*(1)</f>
        <v>203367</v>
      </c>
      <c r="BK30" s="1" t="s">
        <v>496</v>
      </c>
      <c r="BL30" s="1">
        <f>0.514*(1)</f>
        <v>0.51400000000000001</v>
      </c>
      <c r="BM30" s="1" t="s">
        <v>75</v>
      </c>
      <c r="BN30" s="1">
        <f>26115*(1)</f>
        <v>26115</v>
      </c>
      <c r="BO30" s="1" t="s">
        <v>381</v>
      </c>
      <c r="BP30" s="1">
        <f>0.513*(1)</f>
        <v>0.51300000000000001</v>
      </c>
      <c r="BQ30" s="1" t="s">
        <v>104</v>
      </c>
      <c r="BR30" s="1">
        <f>139684*(1)</f>
        <v>139684</v>
      </c>
      <c r="BS30" s="1" t="s">
        <v>497</v>
      </c>
      <c r="BT30" s="1">
        <f>0.513*(1)</f>
        <v>0.51300000000000001</v>
      </c>
      <c r="BU30" s="1" t="s">
        <v>75</v>
      </c>
      <c r="BV30" s="1">
        <f>58492*(1)</f>
        <v>58492</v>
      </c>
      <c r="BW30" s="1" t="s">
        <v>498</v>
      </c>
      <c r="BX30" s="1">
        <f>0.498*(1)</f>
        <v>0.498</v>
      </c>
      <c r="BY30" s="1" t="s">
        <v>84</v>
      </c>
      <c r="BZ30" s="1">
        <f>224147*(1)</f>
        <v>224147</v>
      </c>
      <c r="CA30" s="1" t="s">
        <v>499</v>
      </c>
      <c r="CB30" s="1">
        <f>0.511*(1)</f>
        <v>0.51100000000000001</v>
      </c>
      <c r="CC30" s="1" t="s">
        <v>75</v>
      </c>
      <c r="CD30" s="1">
        <f>45953*(1)</f>
        <v>45953</v>
      </c>
      <c r="CE30" s="1" t="s">
        <v>500</v>
      </c>
      <c r="CF30" s="1">
        <f>0.513*(1)</f>
        <v>0.51300000000000001</v>
      </c>
      <c r="CG30" s="1" t="s">
        <v>99</v>
      </c>
    </row>
    <row r="31" spans="1:85" ht="28.8" x14ac:dyDescent="0.3">
      <c r="A31" s="8" t="s">
        <v>101</v>
      </c>
      <c r="B31" s="1">
        <f>92.9*(1)</f>
        <v>92.9</v>
      </c>
      <c r="C31" s="1" t="s">
        <v>73</v>
      </c>
      <c r="D31" s="1" t="s">
        <v>70</v>
      </c>
      <c r="E31" s="1" t="s">
        <v>70</v>
      </c>
      <c r="F31" s="1">
        <f>93.9*(1)</f>
        <v>93.9</v>
      </c>
      <c r="G31" s="1" t="s">
        <v>75</v>
      </c>
      <c r="H31" s="1" t="s">
        <v>70</v>
      </c>
      <c r="I31" s="1" t="s">
        <v>70</v>
      </c>
      <c r="J31" s="1">
        <f>96.6*(1)</f>
        <v>96.6</v>
      </c>
      <c r="K31" s="1" t="s">
        <v>84</v>
      </c>
      <c r="L31" s="1" t="s">
        <v>70</v>
      </c>
      <c r="M31" s="1" t="s">
        <v>70</v>
      </c>
      <c r="N31" s="1">
        <f>91.4*(1)</f>
        <v>91.4</v>
      </c>
      <c r="O31" s="1" t="s">
        <v>84</v>
      </c>
      <c r="P31" s="1" t="s">
        <v>70</v>
      </c>
      <c r="Q31" s="1" t="s">
        <v>70</v>
      </c>
      <c r="R31" s="1">
        <f>95.7*(1)</f>
        <v>95.7</v>
      </c>
      <c r="S31" s="1" t="s">
        <v>501</v>
      </c>
      <c r="T31" s="1" t="s">
        <v>70</v>
      </c>
      <c r="U31" s="1" t="s">
        <v>70</v>
      </c>
      <c r="V31" s="1">
        <f>103.9*(1)</f>
        <v>103.9</v>
      </c>
      <c r="W31" s="1" t="s">
        <v>108</v>
      </c>
      <c r="X31" s="1" t="s">
        <v>70</v>
      </c>
      <c r="Y31" s="1" t="s">
        <v>70</v>
      </c>
      <c r="Z31" s="1">
        <f>91*(1)</f>
        <v>91</v>
      </c>
      <c r="AA31" s="1" t="s">
        <v>84</v>
      </c>
      <c r="AB31" s="1" t="s">
        <v>70</v>
      </c>
      <c r="AC31" s="1" t="s">
        <v>70</v>
      </c>
      <c r="AD31" s="1">
        <f>93.6*(1)</f>
        <v>93.6</v>
      </c>
      <c r="AE31" s="1" t="s">
        <v>84</v>
      </c>
      <c r="AF31" s="1" t="s">
        <v>70</v>
      </c>
      <c r="AG31" s="1" t="s">
        <v>70</v>
      </c>
      <c r="AH31" s="1">
        <f>99*(1)</f>
        <v>99</v>
      </c>
      <c r="AI31" s="1" t="s">
        <v>73</v>
      </c>
      <c r="AJ31" s="1" t="s">
        <v>70</v>
      </c>
      <c r="AK31" s="1" t="s">
        <v>70</v>
      </c>
      <c r="AL31" s="1">
        <f>99.3*(1)</f>
        <v>99.3</v>
      </c>
      <c r="AM31" s="1" t="s">
        <v>102</v>
      </c>
      <c r="AN31" s="1" t="s">
        <v>70</v>
      </c>
      <c r="AO31" s="1" t="s">
        <v>70</v>
      </c>
      <c r="AP31" s="1">
        <f>94.9*(1)</f>
        <v>94.9</v>
      </c>
      <c r="AQ31" s="1" t="s">
        <v>73</v>
      </c>
      <c r="AR31" s="1" t="s">
        <v>70</v>
      </c>
      <c r="AS31" s="1" t="s">
        <v>70</v>
      </c>
      <c r="AT31" s="1">
        <f>97.5*(1)</f>
        <v>97.5</v>
      </c>
      <c r="AU31" s="1" t="s">
        <v>75</v>
      </c>
      <c r="AV31" s="1" t="s">
        <v>70</v>
      </c>
      <c r="AW31" s="1" t="s">
        <v>70</v>
      </c>
      <c r="AX31" s="1">
        <f>94*(1)</f>
        <v>94</v>
      </c>
      <c r="AY31" s="1" t="s">
        <v>75</v>
      </c>
      <c r="AZ31" s="1" t="s">
        <v>70</v>
      </c>
      <c r="BA31" s="1" t="s">
        <v>70</v>
      </c>
      <c r="BB31" s="1">
        <f>96.2*(1)</f>
        <v>96.2</v>
      </c>
      <c r="BC31" s="1" t="s">
        <v>75</v>
      </c>
      <c r="BD31" s="1" t="s">
        <v>70</v>
      </c>
      <c r="BE31" s="1" t="s">
        <v>70</v>
      </c>
      <c r="BF31" s="1">
        <f>91.8*(1)</f>
        <v>91.8</v>
      </c>
      <c r="BG31" s="1" t="s">
        <v>75</v>
      </c>
      <c r="BH31" s="1" t="s">
        <v>70</v>
      </c>
      <c r="BI31" s="1" t="s">
        <v>70</v>
      </c>
      <c r="BJ31" s="1">
        <f>94.5*(1)</f>
        <v>94.5</v>
      </c>
      <c r="BK31" s="1" t="s">
        <v>73</v>
      </c>
      <c r="BL31" s="1" t="s">
        <v>70</v>
      </c>
      <c r="BM31" s="1" t="s">
        <v>70</v>
      </c>
      <c r="BN31" s="1">
        <f>94.8*(1)</f>
        <v>94.8</v>
      </c>
      <c r="BO31" s="1" t="s">
        <v>502</v>
      </c>
      <c r="BP31" s="1" t="s">
        <v>70</v>
      </c>
      <c r="BQ31" s="1" t="s">
        <v>70</v>
      </c>
      <c r="BR31" s="1">
        <f>94.8*(1)</f>
        <v>94.8</v>
      </c>
      <c r="BS31" s="1" t="s">
        <v>73</v>
      </c>
      <c r="BT31" s="1" t="s">
        <v>70</v>
      </c>
      <c r="BU31" s="1" t="s">
        <v>70</v>
      </c>
      <c r="BV31" s="1">
        <f>100.8*(1)</f>
        <v>100.8</v>
      </c>
      <c r="BW31" s="1" t="s">
        <v>99</v>
      </c>
      <c r="BX31" s="1" t="s">
        <v>70</v>
      </c>
      <c r="BY31" s="1" t="s">
        <v>70</v>
      </c>
      <c r="BZ31" s="1">
        <f>95.5*(1)</f>
        <v>95.5</v>
      </c>
      <c r="CA31" s="1" t="s">
        <v>73</v>
      </c>
      <c r="CB31" s="1" t="s">
        <v>70</v>
      </c>
      <c r="CC31" s="1" t="s">
        <v>70</v>
      </c>
      <c r="CD31" s="1">
        <f>94.8*(1)</f>
        <v>94.8</v>
      </c>
      <c r="CE31" s="1" t="s">
        <v>503</v>
      </c>
      <c r="CF31" s="1" t="s">
        <v>70</v>
      </c>
      <c r="CG31" s="1" t="s">
        <v>70</v>
      </c>
    </row>
    <row r="32" spans="1:85" x14ac:dyDescent="0.3">
      <c r="A32" s="7" t="s">
        <v>456</v>
      </c>
      <c r="B32" s="1">
        <f>52898*(1)</f>
        <v>52898</v>
      </c>
      <c r="C32" s="1" t="s">
        <v>457</v>
      </c>
      <c r="D32" s="1">
        <f>52898*(1)</f>
        <v>52898</v>
      </c>
      <c r="E32" s="1" t="s">
        <v>70</v>
      </c>
      <c r="F32" s="1">
        <f>170110*(1)</f>
        <v>170110</v>
      </c>
      <c r="G32" s="1" t="s">
        <v>458</v>
      </c>
      <c r="H32" s="1">
        <f>170110*(1)</f>
        <v>170110</v>
      </c>
      <c r="I32" s="1" t="s">
        <v>70</v>
      </c>
      <c r="J32" s="1">
        <f>82083*(1)</f>
        <v>82083</v>
      </c>
      <c r="K32" s="1" t="s">
        <v>241</v>
      </c>
      <c r="L32" s="1">
        <f>82083*(1)</f>
        <v>82083</v>
      </c>
      <c r="M32" s="1" t="s">
        <v>70</v>
      </c>
      <c r="N32" s="1">
        <f>85099*(1)</f>
        <v>85099</v>
      </c>
      <c r="O32" s="1" t="s">
        <v>459</v>
      </c>
      <c r="P32" s="1">
        <f>85099*(1)</f>
        <v>85099</v>
      </c>
      <c r="Q32" s="1" t="s">
        <v>70</v>
      </c>
      <c r="R32" s="1">
        <f>26447*(1)</f>
        <v>26447</v>
      </c>
      <c r="S32" s="1" t="s">
        <v>460</v>
      </c>
      <c r="T32" s="1">
        <f>26447*(1)</f>
        <v>26447</v>
      </c>
      <c r="U32" s="1" t="s">
        <v>70</v>
      </c>
      <c r="V32" s="1">
        <f>24468*(1)</f>
        <v>24468</v>
      </c>
      <c r="W32" s="1" t="s">
        <v>461</v>
      </c>
      <c r="X32" s="1">
        <f>24468*(1)</f>
        <v>24468</v>
      </c>
      <c r="Y32" s="1" t="s">
        <v>70</v>
      </c>
      <c r="Z32" s="1">
        <f>120994*(1)</f>
        <v>120994</v>
      </c>
      <c r="AA32" s="1" t="s">
        <v>462</v>
      </c>
      <c r="AB32" s="1">
        <f>120994*(1)</f>
        <v>120994</v>
      </c>
      <c r="AC32" s="1" t="s">
        <v>70</v>
      </c>
      <c r="AD32" s="1">
        <f>50956*(1)</f>
        <v>50956</v>
      </c>
      <c r="AE32" s="1" t="s">
        <v>93</v>
      </c>
      <c r="AF32" s="1">
        <f>50956*(1)</f>
        <v>50956</v>
      </c>
      <c r="AG32" s="1" t="s">
        <v>70</v>
      </c>
      <c r="AH32" s="1">
        <f>88398*(1)</f>
        <v>88398</v>
      </c>
      <c r="AI32" s="1" t="s">
        <v>463</v>
      </c>
      <c r="AJ32" s="1">
        <f>88398*(1)</f>
        <v>88398</v>
      </c>
      <c r="AK32" s="1" t="s">
        <v>70</v>
      </c>
      <c r="AL32" s="1">
        <f>25562*(1)</f>
        <v>25562</v>
      </c>
      <c r="AM32" s="1" t="s">
        <v>464</v>
      </c>
      <c r="AN32" s="1">
        <f>25562*(1)</f>
        <v>25562</v>
      </c>
      <c r="AO32" s="1" t="s">
        <v>70</v>
      </c>
      <c r="AP32" s="1">
        <f>61576*(1)</f>
        <v>61576</v>
      </c>
      <c r="AQ32" s="1" t="s">
        <v>383</v>
      </c>
      <c r="AR32" s="1">
        <f>61576*(1)</f>
        <v>61576</v>
      </c>
      <c r="AS32" s="1" t="s">
        <v>70</v>
      </c>
      <c r="AT32" s="1">
        <f>136441*(1)</f>
        <v>136441</v>
      </c>
      <c r="AU32" s="1" t="s">
        <v>465</v>
      </c>
      <c r="AV32" s="1">
        <f>136441*(1)</f>
        <v>136441</v>
      </c>
      <c r="AW32" s="1" t="s">
        <v>70</v>
      </c>
      <c r="AX32" s="1">
        <f>120618*(1)</f>
        <v>120618</v>
      </c>
      <c r="AY32" s="1" t="s">
        <v>384</v>
      </c>
      <c r="AZ32" s="1">
        <f>120618*(1)</f>
        <v>120618</v>
      </c>
      <c r="BA32" s="1" t="s">
        <v>70</v>
      </c>
      <c r="BB32" s="1">
        <f>90810*(1)</f>
        <v>90810</v>
      </c>
      <c r="BC32" s="1" t="s">
        <v>466</v>
      </c>
      <c r="BD32" s="1">
        <f>90810*(1)</f>
        <v>90810</v>
      </c>
      <c r="BE32" s="1" t="s">
        <v>70</v>
      </c>
      <c r="BF32" s="1">
        <f>144851*(1)</f>
        <v>144851</v>
      </c>
      <c r="BG32" s="1" t="s">
        <v>467</v>
      </c>
      <c r="BH32" s="1">
        <f>144851*(1)</f>
        <v>144851</v>
      </c>
      <c r="BI32" s="1" t="s">
        <v>70</v>
      </c>
      <c r="BJ32" s="1">
        <f>79221*(1)</f>
        <v>79221</v>
      </c>
      <c r="BK32" s="1" t="s">
        <v>468</v>
      </c>
      <c r="BL32" s="1">
        <f>79221*(1)</f>
        <v>79221</v>
      </c>
      <c r="BM32" s="1" t="s">
        <v>70</v>
      </c>
      <c r="BN32" s="1">
        <f>12477*(1)</f>
        <v>12477</v>
      </c>
      <c r="BO32" s="1" t="s">
        <v>469</v>
      </c>
      <c r="BP32" s="1">
        <f>12477*(1)</f>
        <v>12477</v>
      </c>
      <c r="BQ32" s="1" t="s">
        <v>70</v>
      </c>
      <c r="BR32" s="1">
        <f>57520*(1)</f>
        <v>57520</v>
      </c>
      <c r="BS32" s="1" t="s">
        <v>130</v>
      </c>
      <c r="BT32" s="1">
        <f>57520*(1)</f>
        <v>57520</v>
      </c>
      <c r="BU32" s="1" t="s">
        <v>70</v>
      </c>
      <c r="BV32" s="1">
        <f>27196*(1)</f>
        <v>27196</v>
      </c>
      <c r="BW32" s="1" t="s">
        <v>470</v>
      </c>
      <c r="BX32" s="1">
        <f>27196*(1)</f>
        <v>27196</v>
      </c>
      <c r="BY32" s="1" t="s">
        <v>70</v>
      </c>
      <c r="BZ32" s="1">
        <f>85180*(1)</f>
        <v>85180</v>
      </c>
      <c r="CA32" s="1" t="s">
        <v>258</v>
      </c>
      <c r="CB32" s="1">
        <f>85180*(1)</f>
        <v>85180</v>
      </c>
      <c r="CC32" s="1" t="s">
        <v>70</v>
      </c>
      <c r="CD32" s="1">
        <f>20716*(1)</f>
        <v>20716</v>
      </c>
      <c r="CE32" s="1" t="s">
        <v>471</v>
      </c>
      <c r="CF32" s="1">
        <f>20716*(1)</f>
        <v>20716</v>
      </c>
      <c r="CG32" s="1" t="s">
        <v>70</v>
      </c>
    </row>
    <row r="33" spans="1:85" x14ac:dyDescent="0.3">
      <c r="A33" s="8" t="s">
        <v>71</v>
      </c>
      <c r="B33" s="1">
        <f>23939*(1)</f>
        <v>23939</v>
      </c>
      <c r="C33" s="1" t="s">
        <v>504</v>
      </c>
      <c r="D33" s="1">
        <f>0.453*(1)</f>
        <v>0.45300000000000001</v>
      </c>
      <c r="E33" s="1" t="s">
        <v>75</v>
      </c>
      <c r="F33" s="1">
        <f>75386*(1)</f>
        <v>75386</v>
      </c>
      <c r="G33" s="1" t="s">
        <v>505</v>
      </c>
      <c r="H33" s="1">
        <f>0.443*(1)</f>
        <v>0.443</v>
      </c>
      <c r="I33" s="1" t="s">
        <v>75</v>
      </c>
      <c r="J33" s="1">
        <f>36019*(1)</f>
        <v>36019</v>
      </c>
      <c r="K33" s="1" t="s">
        <v>506</v>
      </c>
      <c r="L33" s="1">
        <f>0.439*(1)</f>
        <v>0.439</v>
      </c>
      <c r="M33" s="1" t="s">
        <v>75</v>
      </c>
      <c r="N33" s="1">
        <f>36881*(1)</f>
        <v>36881</v>
      </c>
      <c r="O33" s="1" t="s">
        <v>507</v>
      </c>
      <c r="P33" s="1">
        <f>0.433*(1)</f>
        <v>0.433</v>
      </c>
      <c r="Q33" s="1" t="s">
        <v>75</v>
      </c>
      <c r="R33" s="1">
        <f>11883*(1)</f>
        <v>11883</v>
      </c>
      <c r="S33" s="1" t="s">
        <v>508</v>
      </c>
      <c r="T33" s="1">
        <f>0.449*(1)</f>
        <v>0.44900000000000001</v>
      </c>
      <c r="U33" s="1" t="s">
        <v>99</v>
      </c>
      <c r="V33" s="1">
        <f>11011*(1)</f>
        <v>11011</v>
      </c>
      <c r="W33" s="1" t="s">
        <v>228</v>
      </c>
      <c r="X33" s="1">
        <f>0.45*(1)</f>
        <v>0.45</v>
      </c>
      <c r="Y33" s="1" t="s">
        <v>73</v>
      </c>
      <c r="Z33" s="1">
        <f>50539*(1)</f>
        <v>50539</v>
      </c>
      <c r="AA33" s="1" t="s">
        <v>130</v>
      </c>
      <c r="AB33" s="1">
        <f>0.418*(1)</f>
        <v>0.41799999999999998</v>
      </c>
      <c r="AC33" s="1" t="s">
        <v>84</v>
      </c>
      <c r="AD33" s="1">
        <f>22765*(1)</f>
        <v>22765</v>
      </c>
      <c r="AE33" s="1" t="s">
        <v>509</v>
      </c>
      <c r="AF33" s="1">
        <f>0.447*(1)</f>
        <v>0.44700000000000001</v>
      </c>
      <c r="AG33" s="1" t="s">
        <v>104</v>
      </c>
      <c r="AH33" s="1">
        <f>37544*(1)</f>
        <v>37544</v>
      </c>
      <c r="AI33" s="1" t="s">
        <v>340</v>
      </c>
      <c r="AJ33" s="1">
        <f>0.425*(1)</f>
        <v>0.42499999999999999</v>
      </c>
      <c r="AK33" s="1" t="s">
        <v>75</v>
      </c>
      <c r="AL33" s="1">
        <f>12142*(1)</f>
        <v>12142</v>
      </c>
      <c r="AM33" s="1" t="s">
        <v>510</v>
      </c>
      <c r="AN33" s="1">
        <f>0.475*(1)</f>
        <v>0.47499999999999998</v>
      </c>
      <c r="AO33" s="1" t="s">
        <v>99</v>
      </c>
      <c r="AP33" s="1">
        <f>26802*(1)</f>
        <v>26802</v>
      </c>
      <c r="AQ33" s="1" t="s">
        <v>511</v>
      </c>
      <c r="AR33" s="1">
        <f>0.435*(1)</f>
        <v>0.435</v>
      </c>
      <c r="AS33" s="1" t="s">
        <v>75</v>
      </c>
      <c r="AT33" s="1">
        <f>60965*(1)</f>
        <v>60965</v>
      </c>
      <c r="AU33" s="1" t="s">
        <v>268</v>
      </c>
      <c r="AV33" s="1">
        <f>0.447*(1)</f>
        <v>0.44700000000000001</v>
      </c>
      <c r="AW33" s="1" t="s">
        <v>75</v>
      </c>
      <c r="AX33" s="1">
        <f>53918*(1)</f>
        <v>53918</v>
      </c>
      <c r="AY33" s="1" t="s">
        <v>512</v>
      </c>
      <c r="AZ33" s="1">
        <f>0.447*(1)</f>
        <v>0.44700000000000001</v>
      </c>
      <c r="BA33" s="1" t="s">
        <v>75</v>
      </c>
      <c r="BB33" s="1">
        <f>40620*(1)</f>
        <v>40620</v>
      </c>
      <c r="BC33" s="1" t="s">
        <v>513</v>
      </c>
      <c r="BD33" s="1">
        <f>0.447*(1)</f>
        <v>0.44700000000000001</v>
      </c>
      <c r="BE33" s="1" t="s">
        <v>73</v>
      </c>
      <c r="BF33" s="1">
        <f>62404*(1)</f>
        <v>62404</v>
      </c>
      <c r="BG33" s="1" t="s">
        <v>514</v>
      </c>
      <c r="BH33" s="1">
        <f>0.431*(1)</f>
        <v>0.43099999999999999</v>
      </c>
      <c r="BI33" s="1" t="s">
        <v>84</v>
      </c>
      <c r="BJ33" s="1">
        <f>34831*(1)</f>
        <v>34831</v>
      </c>
      <c r="BK33" s="1" t="s">
        <v>515</v>
      </c>
      <c r="BL33" s="1">
        <f>0.44*(1)</f>
        <v>0.44</v>
      </c>
      <c r="BM33" s="1" t="s">
        <v>84</v>
      </c>
      <c r="BN33" s="1">
        <f>5658*(1)</f>
        <v>5658</v>
      </c>
      <c r="BO33" s="1" t="s">
        <v>461</v>
      </c>
      <c r="BP33" s="1">
        <f>0.453*(1)</f>
        <v>0.45300000000000001</v>
      </c>
      <c r="BQ33" s="1" t="s">
        <v>94</v>
      </c>
      <c r="BR33" s="1">
        <f>25442*(1)</f>
        <v>25442</v>
      </c>
      <c r="BS33" s="1" t="s">
        <v>340</v>
      </c>
      <c r="BT33" s="1">
        <f>0.442*(1)</f>
        <v>0.442</v>
      </c>
      <c r="BU33" s="1" t="s">
        <v>75</v>
      </c>
      <c r="BV33" s="1">
        <f>12922*(1)</f>
        <v>12922</v>
      </c>
      <c r="BW33" s="1" t="s">
        <v>516</v>
      </c>
      <c r="BX33" s="1">
        <f>0.475*(1)</f>
        <v>0.47499999999999998</v>
      </c>
      <c r="BY33" s="1" t="s">
        <v>81</v>
      </c>
      <c r="BZ33" s="1">
        <f>36994*(1)</f>
        <v>36994</v>
      </c>
      <c r="CA33" s="1" t="s">
        <v>340</v>
      </c>
      <c r="CB33" s="1">
        <f>0.434*(1)</f>
        <v>0.434</v>
      </c>
      <c r="CC33" s="1" t="s">
        <v>75</v>
      </c>
      <c r="CD33" s="1">
        <f>9270*(1)</f>
        <v>9270</v>
      </c>
      <c r="CE33" s="1" t="s">
        <v>517</v>
      </c>
      <c r="CF33" s="1">
        <f>0.447*(1)</f>
        <v>0.44700000000000001</v>
      </c>
      <c r="CG33" s="1" t="s">
        <v>94</v>
      </c>
    </row>
    <row r="34" spans="1:85" x14ac:dyDescent="0.3">
      <c r="A34" s="8" t="s">
        <v>100</v>
      </c>
      <c r="B34" s="1">
        <f>28959*(1)</f>
        <v>28959</v>
      </c>
      <c r="C34" s="1" t="s">
        <v>518</v>
      </c>
      <c r="D34" s="1">
        <f>0.547*(1)</f>
        <v>0.54700000000000004</v>
      </c>
      <c r="E34" s="1" t="s">
        <v>75</v>
      </c>
      <c r="F34" s="1">
        <f>94724*(1)</f>
        <v>94724</v>
      </c>
      <c r="G34" s="1" t="s">
        <v>519</v>
      </c>
      <c r="H34" s="1">
        <f>0.557*(1)</f>
        <v>0.55700000000000005</v>
      </c>
      <c r="I34" s="1" t="s">
        <v>75</v>
      </c>
      <c r="J34" s="1">
        <f>46064*(1)</f>
        <v>46064</v>
      </c>
      <c r="K34" s="1" t="s">
        <v>520</v>
      </c>
      <c r="L34" s="1">
        <f>0.561*(1)</f>
        <v>0.56100000000000005</v>
      </c>
      <c r="M34" s="1" t="s">
        <v>75</v>
      </c>
      <c r="N34" s="1">
        <f>48218*(1)</f>
        <v>48218</v>
      </c>
      <c r="O34" s="1" t="s">
        <v>521</v>
      </c>
      <c r="P34" s="1">
        <f>0.567*(1)</f>
        <v>0.56699999999999995</v>
      </c>
      <c r="Q34" s="1" t="s">
        <v>75</v>
      </c>
      <c r="R34" s="1">
        <f>14564*(1)</f>
        <v>14564</v>
      </c>
      <c r="S34" s="1" t="s">
        <v>522</v>
      </c>
      <c r="T34" s="1">
        <f>0.551*(1)</f>
        <v>0.55100000000000005</v>
      </c>
      <c r="U34" s="1" t="s">
        <v>99</v>
      </c>
      <c r="V34" s="1">
        <f>13457*(1)</f>
        <v>13457</v>
      </c>
      <c r="W34" s="1" t="s">
        <v>523</v>
      </c>
      <c r="X34" s="1">
        <f>0.55*(1)</f>
        <v>0.55000000000000004</v>
      </c>
      <c r="Y34" s="1" t="s">
        <v>73</v>
      </c>
      <c r="Z34" s="1">
        <f>70455*(1)</f>
        <v>70455</v>
      </c>
      <c r="AA34" s="1" t="s">
        <v>462</v>
      </c>
      <c r="AB34" s="1">
        <f>0.582*(1)</f>
        <v>0.58199999999999996</v>
      </c>
      <c r="AC34" s="1" t="s">
        <v>84</v>
      </c>
      <c r="AD34" s="1">
        <f>28191*(1)</f>
        <v>28191</v>
      </c>
      <c r="AE34" s="1" t="s">
        <v>524</v>
      </c>
      <c r="AF34" s="1">
        <f>0.553*(1)</f>
        <v>0.55300000000000005</v>
      </c>
      <c r="AG34" s="1" t="s">
        <v>104</v>
      </c>
      <c r="AH34" s="1">
        <f>50854*(1)</f>
        <v>50854</v>
      </c>
      <c r="AI34" s="1" t="s">
        <v>463</v>
      </c>
      <c r="AJ34" s="1">
        <f>0.575*(1)</f>
        <v>0.57499999999999996</v>
      </c>
      <c r="AK34" s="1" t="s">
        <v>75</v>
      </c>
      <c r="AL34" s="1">
        <f>13420*(1)</f>
        <v>13420</v>
      </c>
      <c r="AM34" s="1" t="s">
        <v>467</v>
      </c>
      <c r="AN34" s="1">
        <f>0.525*(1)</f>
        <v>0.52500000000000002</v>
      </c>
      <c r="AO34" s="1" t="s">
        <v>99</v>
      </c>
      <c r="AP34" s="1">
        <f>34774*(1)</f>
        <v>34774</v>
      </c>
      <c r="AQ34" s="1" t="s">
        <v>525</v>
      </c>
      <c r="AR34" s="1">
        <f>0.565*(1)</f>
        <v>0.56499999999999995</v>
      </c>
      <c r="AS34" s="1" t="s">
        <v>75</v>
      </c>
      <c r="AT34" s="1">
        <f>75476*(1)</f>
        <v>75476</v>
      </c>
      <c r="AU34" s="1" t="s">
        <v>242</v>
      </c>
      <c r="AV34" s="1">
        <f>0.553*(1)</f>
        <v>0.55300000000000005</v>
      </c>
      <c r="AW34" s="1" t="s">
        <v>75</v>
      </c>
      <c r="AX34" s="1">
        <f>66700*(1)</f>
        <v>66700</v>
      </c>
      <c r="AY34" s="1" t="s">
        <v>526</v>
      </c>
      <c r="AZ34" s="1">
        <f>0.553*(1)</f>
        <v>0.55300000000000005</v>
      </c>
      <c r="BA34" s="1" t="s">
        <v>75</v>
      </c>
      <c r="BB34" s="1">
        <f>50190*(1)</f>
        <v>50190</v>
      </c>
      <c r="BC34" s="1" t="s">
        <v>527</v>
      </c>
      <c r="BD34" s="1">
        <f>0.553*(1)</f>
        <v>0.55300000000000005</v>
      </c>
      <c r="BE34" s="1" t="s">
        <v>73</v>
      </c>
      <c r="BF34" s="1">
        <f>82447*(1)</f>
        <v>82447</v>
      </c>
      <c r="BG34" s="1" t="s">
        <v>528</v>
      </c>
      <c r="BH34" s="1">
        <f>0.569*(1)</f>
        <v>0.56899999999999995</v>
      </c>
      <c r="BI34" s="1" t="s">
        <v>84</v>
      </c>
      <c r="BJ34" s="1">
        <f>44390*(1)</f>
        <v>44390</v>
      </c>
      <c r="BK34" s="1" t="s">
        <v>254</v>
      </c>
      <c r="BL34" s="1">
        <f>0.56*(1)</f>
        <v>0.56000000000000005</v>
      </c>
      <c r="BM34" s="1" t="s">
        <v>84</v>
      </c>
      <c r="BN34" s="1">
        <f>6819*(1)</f>
        <v>6819</v>
      </c>
      <c r="BO34" s="1" t="s">
        <v>529</v>
      </c>
      <c r="BP34" s="1">
        <f>0.547*(1)</f>
        <v>0.54700000000000004</v>
      </c>
      <c r="BQ34" s="1" t="s">
        <v>94</v>
      </c>
      <c r="BR34" s="1">
        <f>32078*(1)</f>
        <v>32078</v>
      </c>
      <c r="BS34" s="1" t="s">
        <v>340</v>
      </c>
      <c r="BT34" s="1">
        <f>0.558*(1)</f>
        <v>0.55800000000000005</v>
      </c>
      <c r="BU34" s="1" t="s">
        <v>75</v>
      </c>
      <c r="BV34" s="1">
        <f>14274*(1)</f>
        <v>14274</v>
      </c>
      <c r="BW34" s="1" t="s">
        <v>530</v>
      </c>
      <c r="BX34" s="1">
        <f>0.525*(1)</f>
        <v>0.52500000000000002</v>
      </c>
      <c r="BY34" s="1" t="s">
        <v>81</v>
      </c>
      <c r="BZ34" s="1">
        <f>48186*(1)</f>
        <v>48186</v>
      </c>
      <c r="CA34" s="1" t="s">
        <v>258</v>
      </c>
      <c r="CB34" s="1">
        <f>0.566*(1)</f>
        <v>0.56599999999999995</v>
      </c>
      <c r="CC34" s="1" t="s">
        <v>75</v>
      </c>
      <c r="CD34" s="1">
        <f>11446*(1)</f>
        <v>11446</v>
      </c>
      <c r="CE34" s="1" t="s">
        <v>531</v>
      </c>
      <c r="CF34" s="1">
        <f>0.553*(1)</f>
        <v>0.55300000000000005</v>
      </c>
      <c r="CG34" s="1" t="s">
        <v>94</v>
      </c>
    </row>
    <row r="35" spans="1:85" ht="28.8" x14ac:dyDescent="0.3">
      <c r="A35" s="8" t="s">
        <v>101</v>
      </c>
      <c r="B35" s="1">
        <f>82.7*(1)</f>
        <v>82.7</v>
      </c>
      <c r="C35" s="1" t="s">
        <v>75</v>
      </c>
      <c r="D35" s="1" t="s">
        <v>70</v>
      </c>
      <c r="E35" s="1" t="s">
        <v>70</v>
      </c>
      <c r="F35" s="1">
        <f>79.6*(1)</f>
        <v>79.599999999999994</v>
      </c>
      <c r="G35" s="1" t="s">
        <v>84</v>
      </c>
      <c r="H35" s="1" t="s">
        <v>70</v>
      </c>
      <c r="I35" s="1" t="s">
        <v>70</v>
      </c>
      <c r="J35" s="1">
        <f>78.2*(1)</f>
        <v>78.2</v>
      </c>
      <c r="K35" s="1" t="s">
        <v>84</v>
      </c>
      <c r="L35" s="1" t="s">
        <v>70</v>
      </c>
      <c r="M35" s="1" t="s">
        <v>70</v>
      </c>
      <c r="N35" s="1">
        <f>76.5*(1)</f>
        <v>76.5</v>
      </c>
      <c r="O35" s="1" t="s">
        <v>73</v>
      </c>
      <c r="P35" s="1" t="s">
        <v>70</v>
      </c>
      <c r="Q35" s="1" t="s">
        <v>70</v>
      </c>
      <c r="R35" s="1">
        <f>81.6*(1)</f>
        <v>81.599999999999994</v>
      </c>
      <c r="S35" s="1" t="s">
        <v>532</v>
      </c>
      <c r="T35" s="1" t="s">
        <v>70</v>
      </c>
      <c r="U35" s="1" t="s">
        <v>70</v>
      </c>
      <c r="V35" s="1">
        <f>81.8*(1)</f>
        <v>81.8</v>
      </c>
      <c r="W35" s="1" t="s">
        <v>79</v>
      </c>
      <c r="X35" s="1" t="s">
        <v>70</v>
      </c>
      <c r="Y35" s="1" t="s">
        <v>70</v>
      </c>
      <c r="Z35" s="1">
        <f>71.7*(1)</f>
        <v>71.7</v>
      </c>
      <c r="AA35" s="1" t="s">
        <v>106</v>
      </c>
      <c r="AB35" s="1" t="s">
        <v>70</v>
      </c>
      <c r="AC35" s="1" t="s">
        <v>70</v>
      </c>
      <c r="AD35" s="1">
        <f>80.8*(1)</f>
        <v>80.8</v>
      </c>
      <c r="AE35" s="1" t="s">
        <v>502</v>
      </c>
      <c r="AF35" s="1" t="s">
        <v>70</v>
      </c>
      <c r="AG35" s="1" t="s">
        <v>70</v>
      </c>
      <c r="AH35" s="1">
        <f>73.8*(1)</f>
        <v>73.8</v>
      </c>
      <c r="AI35" s="1" t="s">
        <v>75</v>
      </c>
      <c r="AJ35" s="1" t="s">
        <v>70</v>
      </c>
      <c r="AK35" s="1" t="s">
        <v>70</v>
      </c>
      <c r="AL35" s="1">
        <f>90.5*(1)</f>
        <v>90.5</v>
      </c>
      <c r="AM35" s="1" t="s">
        <v>533</v>
      </c>
      <c r="AN35" s="1" t="s">
        <v>70</v>
      </c>
      <c r="AO35" s="1" t="s">
        <v>70</v>
      </c>
      <c r="AP35" s="1">
        <f>77.1*(1)</f>
        <v>77.099999999999994</v>
      </c>
      <c r="AQ35" s="1" t="s">
        <v>84</v>
      </c>
      <c r="AR35" s="1" t="s">
        <v>70</v>
      </c>
      <c r="AS35" s="1" t="s">
        <v>70</v>
      </c>
      <c r="AT35" s="1">
        <f>80.8*(1)</f>
        <v>80.8</v>
      </c>
      <c r="AU35" s="1" t="s">
        <v>73</v>
      </c>
      <c r="AV35" s="1" t="s">
        <v>70</v>
      </c>
      <c r="AW35" s="1" t="s">
        <v>70</v>
      </c>
      <c r="AX35" s="1">
        <f>80.8*(1)</f>
        <v>80.8</v>
      </c>
      <c r="AY35" s="1" t="s">
        <v>73</v>
      </c>
      <c r="AZ35" s="1" t="s">
        <v>70</v>
      </c>
      <c r="BA35" s="1" t="s">
        <v>70</v>
      </c>
      <c r="BB35" s="1">
        <f>80.9*(1)</f>
        <v>80.900000000000006</v>
      </c>
      <c r="BC35" s="1" t="s">
        <v>127</v>
      </c>
      <c r="BD35" s="1" t="s">
        <v>70</v>
      </c>
      <c r="BE35" s="1" t="s">
        <v>70</v>
      </c>
      <c r="BF35" s="1">
        <f>75.7*(1)</f>
        <v>75.7</v>
      </c>
      <c r="BG35" s="1" t="s">
        <v>106</v>
      </c>
      <c r="BH35" s="1" t="s">
        <v>70</v>
      </c>
      <c r="BI35" s="1" t="s">
        <v>70</v>
      </c>
      <c r="BJ35" s="1">
        <f>78.5*(1)</f>
        <v>78.5</v>
      </c>
      <c r="BK35" s="1" t="s">
        <v>108</v>
      </c>
      <c r="BL35" s="1" t="s">
        <v>70</v>
      </c>
      <c r="BM35" s="1" t="s">
        <v>70</v>
      </c>
      <c r="BN35" s="1">
        <f>83*(1)</f>
        <v>83</v>
      </c>
      <c r="BO35" s="1" t="s">
        <v>534</v>
      </c>
      <c r="BP35" s="1" t="s">
        <v>70</v>
      </c>
      <c r="BQ35" s="1" t="s">
        <v>70</v>
      </c>
      <c r="BR35" s="1">
        <f>79.3*(1)</f>
        <v>79.3</v>
      </c>
      <c r="BS35" s="1" t="s">
        <v>75</v>
      </c>
      <c r="BT35" s="1" t="s">
        <v>70</v>
      </c>
      <c r="BU35" s="1" t="s">
        <v>70</v>
      </c>
      <c r="BV35" s="1">
        <f>90.5*(1)</f>
        <v>90.5</v>
      </c>
      <c r="BW35" s="1" t="s">
        <v>501</v>
      </c>
      <c r="BX35" s="1" t="s">
        <v>70</v>
      </c>
      <c r="BY35" s="1" t="s">
        <v>70</v>
      </c>
      <c r="BZ35" s="1">
        <f>76.8*(1)</f>
        <v>76.8</v>
      </c>
      <c r="CA35" s="1" t="s">
        <v>104</v>
      </c>
      <c r="CB35" s="1" t="s">
        <v>70</v>
      </c>
      <c r="CC35" s="1" t="s">
        <v>70</v>
      </c>
      <c r="CD35" s="1">
        <f>81*(1)</f>
        <v>81</v>
      </c>
      <c r="CE35" s="1" t="s">
        <v>535</v>
      </c>
      <c r="CF35" s="1" t="s">
        <v>70</v>
      </c>
      <c r="CG35" s="1" t="s">
        <v>70</v>
      </c>
    </row>
    <row r="36" spans="1:85" x14ac:dyDescent="0.3">
      <c r="A36" s="4" t="s">
        <v>536</v>
      </c>
      <c r="B36" s="1">
        <f>0*(1)</f>
        <v>0</v>
      </c>
      <c r="C36" s="1">
        <f>0*(1)</f>
        <v>0</v>
      </c>
      <c r="D36" s="1">
        <f>0*(1)</f>
        <v>0</v>
      </c>
      <c r="E36" s="1">
        <f>0*(1)</f>
        <v>0</v>
      </c>
      <c r="F36" s="1">
        <f>0*(1)</f>
        <v>0</v>
      </c>
      <c r="G36" s="1">
        <f>0*(1)</f>
        <v>0</v>
      </c>
      <c r="H36" s="1">
        <f>0*(1)</f>
        <v>0</v>
      </c>
      <c r="I36" s="1">
        <f>0*(1)</f>
        <v>0</v>
      </c>
      <c r="J36" s="1">
        <f>0*(1)</f>
        <v>0</v>
      </c>
      <c r="K36" s="1">
        <f>0*(1)</f>
        <v>0</v>
      </c>
      <c r="L36" s="1">
        <f>0*(1)</f>
        <v>0</v>
      </c>
      <c r="M36" s="1">
        <f>0*(1)</f>
        <v>0</v>
      </c>
      <c r="N36" s="1">
        <f>0*(1)</f>
        <v>0</v>
      </c>
      <c r="O36" s="1">
        <f>0*(1)</f>
        <v>0</v>
      </c>
      <c r="P36" s="1">
        <f>0*(1)</f>
        <v>0</v>
      </c>
      <c r="Q36" s="1">
        <f>0*(1)</f>
        <v>0</v>
      </c>
      <c r="R36" s="1">
        <f>0*(1)</f>
        <v>0</v>
      </c>
      <c r="S36" s="1">
        <f>0*(1)</f>
        <v>0</v>
      </c>
      <c r="T36" s="1">
        <f>0*(1)</f>
        <v>0</v>
      </c>
      <c r="U36" s="1">
        <f>0*(1)</f>
        <v>0</v>
      </c>
      <c r="V36" s="1">
        <f>0*(1)</f>
        <v>0</v>
      </c>
      <c r="W36" s="1">
        <f>0*(1)</f>
        <v>0</v>
      </c>
      <c r="X36" s="1">
        <f>0*(1)</f>
        <v>0</v>
      </c>
      <c r="Y36" s="1">
        <f>0*(1)</f>
        <v>0</v>
      </c>
      <c r="Z36" s="1">
        <f>0*(1)</f>
        <v>0</v>
      </c>
      <c r="AA36" s="1">
        <f>0*(1)</f>
        <v>0</v>
      </c>
      <c r="AB36" s="1">
        <f>0*(1)</f>
        <v>0</v>
      </c>
      <c r="AC36" s="1">
        <f>0*(1)</f>
        <v>0</v>
      </c>
      <c r="AD36" s="1">
        <f>0*(1)</f>
        <v>0</v>
      </c>
      <c r="AE36" s="1">
        <f>0*(1)</f>
        <v>0</v>
      </c>
      <c r="AF36" s="1">
        <f>0*(1)</f>
        <v>0</v>
      </c>
      <c r="AG36" s="1">
        <f>0*(1)</f>
        <v>0</v>
      </c>
      <c r="AH36" s="1">
        <f>0*(1)</f>
        <v>0</v>
      </c>
      <c r="AI36" s="1">
        <f>0*(1)</f>
        <v>0</v>
      </c>
      <c r="AJ36" s="1">
        <f>0*(1)</f>
        <v>0</v>
      </c>
      <c r="AK36" s="1">
        <f>0*(1)</f>
        <v>0</v>
      </c>
      <c r="AL36" s="1">
        <f>0*(1)</f>
        <v>0</v>
      </c>
      <c r="AM36" s="1">
        <f>0*(1)</f>
        <v>0</v>
      </c>
      <c r="AN36" s="1">
        <f>0*(1)</f>
        <v>0</v>
      </c>
      <c r="AO36" s="1">
        <f>0*(1)</f>
        <v>0</v>
      </c>
      <c r="AP36" s="1">
        <f>0*(1)</f>
        <v>0</v>
      </c>
      <c r="AQ36" s="1">
        <f>0*(1)</f>
        <v>0</v>
      </c>
      <c r="AR36" s="1">
        <f>0*(1)</f>
        <v>0</v>
      </c>
      <c r="AS36" s="1">
        <f>0*(1)</f>
        <v>0</v>
      </c>
      <c r="AT36" s="1">
        <f>0*(1)</f>
        <v>0</v>
      </c>
      <c r="AU36" s="1">
        <f>0*(1)</f>
        <v>0</v>
      </c>
      <c r="AV36" s="1">
        <f>0*(1)</f>
        <v>0</v>
      </c>
      <c r="AW36" s="1">
        <f>0*(1)</f>
        <v>0</v>
      </c>
      <c r="AX36" s="1">
        <f>0*(1)</f>
        <v>0</v>
      </c>
      <c r="AY36" s="1">
        <f>0*(1)</f>
        <v>0</v>
      </c>
      <c r="AZ36" s="1">
        <f>0*(1)</f>
        <v>0</v>
      </c>
      <c r="BA36" s="1">
        <f>0*(1)</f>
        <v>0</v>
      </c>
      <c r="BB36" s="1">
        <f>0*(1)</f>
        <v>0</v>
      </c>
      <c r="BC36" s="1">
        <f>0*(1)</f>
        <v>0</v>
      </c>
      <c r="BD36" s="1">
        <f>0*(1)</f>
        <v>0</v>
      </c>
      <c r="BE36" s="1">
        <f>0*(1)</f>
        <v>0</v>
      </c>
      <c r="BF36" s="1">
        <f>0*(1)</f>
        <v>0</v>
      </c>
      <c r="BG36" s="1">
        <f>0*(1)</f>
        <v>0</v>
      </c>
      <c r="BH36" s="1">
        <f>0*(1)</f>
        <v>0</v>
      </c>
      <c r="BI36" s="1">
        <f>0*(1)</f>
        <v>0</v>
      </c>
      <c r="BJ36" s="1">
        <f>0*(1)</f>
        <v>0</v>
      </c>
      <c r="BK36" s="1">
        <f>0*(1)</f>
        <v>0</v>
      </c>
      <c r="BL36" s="1">
        <f>0*(1)</f>
        <v>0</v>
      </c>
      <c r="BM36" s="1">
        <f>0*(1)</f>
        <v>0</v>
      </c>
      <c r="BN36" s="1">
        <f>0*(1)</f>
        <v>0</v>
      </c>
      <c r="BO36" s="1">
        <f>0*(1)</f>
        <v>0</v>
      </c>
      <c r="BP36" s="1">
        <f>0*(1)</f>
        <v>0</v>
      </c>
      <c r="BQ36" s="1">
        <f>0*(1)</f>
        <v>0</v>
      </c>
      <c r="BR36" s="1">
        <f>0*(1)</f>
        <v>0</v>
      </c>
      <c r="BS36" s="1">
        <f>0*(1)</f>
        <v>0</v>
      </c>
      <c r="BT36" s="1">
        <f>0*(1)</f>
        <v>0</v>
      </c>
      <c r="BU36" s="1">
        <f>0*(1)</f>
        <v>0</v>
      </c>
      <c r="BV36" s="1">
        <f>0*(1)</f>
        <v>0</v>
      </c>
      <c r="BW36" s="1">
        <f>0*(1)</f>
        <v>0</v>
      </c>
      <c r="BX36" s="1">
        <f>0*(1)</f>
        <v>0</v>
      </c>
      <c r="BY36" s="1">
        <f>0*(1)</f>
        <v>0</v>
      </c>
      <c r="BZ36" s="1">
        <f>0*(1)</f>
        <v>0</v>
      </c>
      <c r="CA36" s="1">
        <f>0*(1)</f>
        <v>0</v>
      </c>
      <c r="CB36" s="1">
        <f>0*(1)</f>
        <v>0</v>
      </c>
      <c r="CC36" s="1">
        <f>0*(1)</f>
        <v>0</v>
      </c>
      <c r="CD36" s="1">
        <f>0*(1)</f>
        <v>0</v>
      </c>
      <c r="CE36" s="1">
        <f>0*(1)</f>
        <v>0</v>
      </c>
      <c r="CF36" s="1">
        <f>0*(1)</f>
        <v>0</v>
      </c>
      <c r="CG36" s="1">
        <f>0*(1)</f>
        <v>0</v>
      </c>
    </row>
    <row r="37" spans="1:85" x14ac:dyDescent="0.3">
      <c r="A37" s="6" t="s">
        <v>68</v>
      </c>
      <c r="B37" s="1">
        <f>274966*(1)</f>
        <v>274966</v>
      </c>
      <c r="C37" s="1" t="s">
        <v>69</v>
      </c>
      <c r="D37" s="1">
        <f>274966*(1)</f>
        <v>274966</v>
      </c>
      <c r="E37" s="1" t="s">
        <v>70</v>
      </c>
      <c r="F37" s="1">
        <f>953819*(1)</f>
        <v>953819</v>
      </c>
      <c r="G37" s="1" t="s">
        <v>69</v>
      </c>
      <c r="H37" s="1">
        <f>953819*(1)</f>
        <v>953819</v>
      </c>
      <c r="I37" s="1" t="s">
        <v>70</v>
      </c>
      <c r="J37" s="1">
        <f>464269*(1)</f>
        <v>464269</v>
      </c>
      <c r="K37" s="1" t="s">
        <v>69</v>
      </c>
      <c r="L37" s="1">
        <f>464269*(1)</f>
        <v>464269</v>
      </c>
      <c r="M37" s="1" t="s">
        <v>70</v>
      </c>
      <c r="N37" s="1">
        <f>523771*(1)</f>
        <v>523771</v>
      </c>
      <c r="O37" s="1" t="s">
        <v>69</v>
      </c>
      <c r="P37" s="1">
        <f>523771*(1)</f>
        <v>523771</v>
      </c>
      <c r="Q37" s="1" t="s">
        <v>70</v>
      </c>
      <c r="R37" s="1">
        <f>95661*(1)</f>
        <v>95661</v>
      </c>
      <c r="S37" s="1" t="s">
        <v>69</v>
      </c>
      <c r="T37" s="1">
        <f>95661*(1)</f>
        <v>95661</v>
      </c>
      <c r="U37" s="1" t="s">
        <v>70</v>
      </c>
      <c r="V37" s="1">
        <f>153627*(1)</f>
        <v>153627</v>
      </c>
      <c r="W37" s="1" t="s">
        <v>69</v>
      </c>
      <c r="X37" s="1">
        <f>153627*(1)</f>
        <v>153627</v>
      </c>
      <c r="Y37" s="1" t="s">
        <v>70</v>
      </c>
      <c r="Z37" s="1">
        <f>854917*(1)</f>
        <v>854917</v>
      </c>
      <c r="AA37" s="1" t="s">
        <v>69</v>
      </c>
      <c r="AB37" s="1">
        <f>854917*(1)</f>
        <v>854917</v>
      </c>
      <c r="AC37" s="1" t="s">
        <v>70</v>
      </c>
      <c r="AD37" s="1">
        <f>304477*(1)</f>
        <v>304477</v>
      </c>
      <c r="AE37" s="1" t="s">
        <v>69</v>
      </c>
      <c r="AF37" s="1">
        <f>304477*(1)</f>
        <v>304477</v>
      </c>
      <c r="AG37" s="1" t="s">
        <v>70</v>
      </c>
      <c r="AH37" s="1">
        <f>702463*(1)</f>
        <v>702463</v>
      </c>
      <c r="AI37" s="1" t="s">
        <v>69</v>
      </c>
      <c r="AJ37" s="1">
        <f>702463*(1)</f>
        <v>702463</v>
      </c>
      <c r="AK37" s="1" t="s">
        <v>70</v>
      </c>
      <c r="AL37" s="1">
        <f>129924*(1)</f>
        <v>129924</v>
      </c>
      <c r="AM37" s="1" t="s">
        <v>69</v>
      </c>
      <c r="AN37" s="1">
        <f>129924*(1)</f>
        <v>129924</v>
      </c>
      <c r="AO37" s="1" t="s">
        <v>70</v>
      </c>
      <c r="AP37" s="1">
        <f>385898*(1)</f>
        <v>385898</v>
      </c>
      <c r="AQ37" s="1" t="s">
        <v>69</v>
      </c>
      <c r="AR37" s="1">
        <f>385898*(1)</f>
        <v>385898</v>
      </c>
      <c r="AS37" s="1" t="s">
        <v>70</v>
      </c>
      <c r="AT37" s="1">
        <f>860807*(1)</f>
        <v>860807</v>
      </c>
      <c r="AU37" s="1" t="s">
        <v>69</v>
      </c>
      <c r="AV37" s="1">
        <f>860807*(1)</f>
        <v>860807</v>
      </c>
      <c r="AW37" s="1" t="s">
        <v>70</v>
      </c>
      <c r="AX37" s="1">
        <f>645354*(1)</f>
        <v>645354</v>
      </c>
      <c r="AY37" s="1" t="s">
        <v>69</v>
      </c>
      <c r="AZ37" s="1">
        <f>645354*(1)</f>
        <v>645354</v>
      </c>
      <c r="BA37" s="1" t="s">
        <v>70</v>
      </c>
      <c r="BB37" s="1">
        <f>510981*(1)</f>
        <v>510981</v>
      </c>
      <c r="BC37" s="1" t="s">
        <v>69</v>
      </c>
      <c r="BD37" s="1">
        <f>510981*(1)</f>
        <v>510981</v>
      </c>
      <c r="BE37" s="1" t="s">
        <v>70</v>
      </c>
      <c r="BF37" s="1">
        <f>648998*(1)</f>
        <v>648998</v>
      </c>
      <c r="BG37" s="1" t="s">
        <v>69</v>
      </c>
      <c r="BH37" s="1">
        <f>648998*(1)</f>
        <v>648998</v>
      </c>
      <c r="BI37" s="1" t="s">
        <v>70</v>
      </c>
      <c r="BJ37" s="1">
        <f>518117*(1)</f>
        <v>518117</v>
      </c>
      <c r="BK37" s="1" t="s">
        <v>69</v>
      </c>
      <c r="BL37" s="1">
        <f>518117*(1)</f>
        <v>518117</v>
      </c>
      <c r="BM37" s="1" t="s">
        <v>70</v>
      </c>
      <c r="BN37" s="1">
        <f>65046*(1)</f>
        <v>65046</v>
      </c>
      <c r="BO37" s="1" t="s">
        <v>69</v>
      </c>
      <c r="BP37" s="1">
        <f>65046*(1)</f>
        <v>65046</v>
      </c>
      <c r="BQ37" s="1" t="s">
        <v>70</v>
      </c>
      <c r="BR37" s="1">
        <f>345647*(1)</f>
        <v>345647</v>
      </c>
      <c r="BS37" s="1" t="s">
        <v>69</v>
      </c>
      <c r="BT37" s="1">
        <f>345647*(1)</f>
        <v>345647</v>
      </c>
      <c r="BU37" s="1" t="s">
        <v>70</v>
      </c>
      <c r="BV37" s="1">
        <f>145543*(1)</f>
        <v>145543</v>
      </c>
      <c r="BW37" s="1" t="s">
        <v>69</v>
      </c>
      <c r="BX37" s="1">
        <f>145543*(1)</f>
        <v>145543</v>
      </c>
      <c r="BY37" s="1" t="s">
        <v>70</v>
      </c>
      <c r="BZ37" s="1">
        <f>572114*(1)</f>
        <v>572114</v>
      </c>
      <c r="CA37" s="1" t="s">
        <v>69</v>
      </c>
      <c r="CB37" s="1">
        <f>572114*(1)</f>
        <v>572114</v>
      </c>
      <c r="CC37" s="1" t="s">
        <v>70</v>
      </c>
      <c r="CD37" s="1">
        <f>110731*(1)</f>
        <v>110731</v>
      </c>
      <c r="CE37" s="1" t="s">
        <v>69</v>
      </c>
      <c r="CF37" s="1">
        <f>110731*(1)</f>
        <v>110731</v>
      </c>
      <c r="CG37" s="1" t="s">
        <v>70</v>
      </c>
    </row>
    <row r="38" spans="1:85" x14ac:dyDescent="0.3">
      <c r="A38" s="7" t="s">
        <v>537</v>
      </c>
      <c r="B38" s="1">
        <f>242002*(1)</f>
        <v>242002</v>
      </c>
      <c r="C38" s="1" t="s">
        <v>538</v>
      </c>
      <c r="D38" s="1">
        <f>0.88*(1)</f>
        <v>0.88</v>
      </c>
      <c r="E38" s="1" t="s">
        <v>539</v>
      </c>
      <c r="F38" s="1">
        <f>829122*(1)</f>
        <v>829122</v>
      </c>
      <c r="G38" s="1" t="s">
        <v>540</v>
      </c>
      <c r="H38" s="1">
        <f>0.869*(1)</f>
        <v>0.86899999999999999</v>
      </c>
      <c r="I38" s="1" t="s">
        <v>108</v>
      </c>
      <c r="J38" s="1">
        <f>424105*(1)</f>
        <v>424105</v>
      </c>
      <c r="K38" s="1" t="s">
        <v>541</v>
      </c>
      <c r="L38" s="1">
        <f>0.913*(1)</f>
        <v>0.91300000000000003</v>
      </c>
      <c r="M38" s="1" t="s">
        <v>140</v>
      </c>
      <c r="N38" s="1">
        <f>479802*(1)</f>
        <v>479802</v>
      </c>
      <c r="O38" s="1" t="s">
        <v>542</v>
      </c>
      <c r="P38" s="1">
        <f>0.916*(1)</f>
        <v>0.91600000000000004</v>
      </c>
      <c r="Q38" s="1" t="s">
        <v>140</v>
      </c>
      <c r="R38" s="1">
        <f>89546*(1)</f>
        <v>89546</v>
      </c>
      <c r="S38" s="1" t="s">
        <v>543</v>
      </c>
      <c r="T38" s="1">
        <f>0.936*(1)</f>
        <v>0.93600000000000005</v>
      </c>
      <c r="U38" s="1" t="s">
        <v>501</v>
      </c>
      <c r="V38" s="1">
        <f>119779*(1)</f>
        <v>119779</v>
      </c>
      <c r="W38" s="1" t="s">
        <v>544</v>
      </c>
      <c r="X38" s="1">
        <f>0.78*(1)</f>
        <v>0.78</v>
      </c>
      <c r="Y38" s="1" t="s">
        <v>102</v>
      </c>
      <c r="Z38" s="1">
        <f>757217*(1)</f>
        <v>757217</v>
      </c>
      <c r="AA38" s="1" t="s">
        <v>545</v>
      </c>
      <c r="AB38" s="1">
        <f>0.886*(1)</f>
        <v>0.88600000000000001</v>
      </c>
      <c r="AC38" s="1" t="s">
        <v>140</v>
      </c>
      <c r="AD38" s="1">
        <f>287722*(1)</f>
        <v>287722</v>
      </c>
      <c r="AE38" s="1" t="s">
        <v>546</v>
      </c>
      <c r="AF38" s="1">
        <f>0.945*(1)</f>
        <v>0.94499999999999995</v>
      </c>
      <c r="AG38" s="1" t="s">
        <v>127</v>
      </c>
      <c r="AH38" s="1">
        <f>526510*(1)</f>
        <v>526510</v>
      </c>
      <c r="AI38" s="1" t="s">
        <v>547</v>
      </c>
      <c r="AJ38" s="1">
        <f>0.75*(1)</f>
        <v>0.75</v>
      </c>
      <c r="AK38" s="1" t="s">
        <v>539</v>
      </c>
      <c r="AL38" s="1">
        <f>120621*(1)</f>
        <v>120621</v>
      </c>
      <c r="AM38" s="1" t="s">
        <v>548</v>
      </c>
      <c r="AN38" s="1">
        <f>0.928*(1)</f>
        <v>0.92800000000000005</v>
      </c>
      <c r="AO38" s="1" t="s">
        <v>502</v>
      </c>
      <c r="AP38" s="1">
        <f>346336*(1)</f>
        <v>346336</v>
      </c>
      <c r="AQ38" s="1" t="s">
        <v>549</v>
      </c>
      <c r="AR38" s="1">
        <f>0.897*(1)</f>
        <v>0.89700000000000002</v>
      </c>
      <c r="AS38" s="1" t="s">
        <v>550</v>
      </c>
      <c r="AT38" s="1">
        <f>771962*(1)</f>
        <v>771962</v>
      </c>
      <c r="AU38" s="1" t="s">
        <v>551</v>
      </c>
      <c r="AV38" s="1">
        <f>0.897*(1)</f>
        <v>0.89700000000000002</v>
      </c>
      <c r="AW38" s="1" t="s">
        <v>79</v>
      </c>
      <c r="AX38" s="1">
        <f>589070*(1)</f>
        <v>589070</v>
      </c>
      <c r="AY38" s="1" t="s">
        <v>552</v>
      </c>
      <c r="AZ38" s="1">
        <f>0.913*(1)</f>
        <v>0.91300000000000003</v>
      </c>
      <c r="BA38" s="1" t="s">
        <v>127</v>
      </c>
      <c r="BB38" s="1">
        <f>458836*(1)</f>
        <v>458836</v>
      </c>
      <c r="BC38" s="1" t="s">
        <v>553</v>
      </c>
      <c r="BD38" s="1">
        <f>0.898*(1)</f>
        <v>0.89800000000000002</v>
      </c>
      <c r="BE38" s="1" t="s">
        <v>127</v>
      </c>
      <c r="BF38" s="1">
        <f>603295*(1)</f>
        <v>603295</v>
      </c>
      <c r="BG38" s="1" t="s">
        <v>554</v>
      </c>
      <c r="BH38" s="1">
        <f>0.93*(1)</f>
        <v>0.93</v>
      </c>
      <c r="BI38" s="1" t="s">
        <v>108</v>
      </c>
      <c r="BJ38" s="1">
        <f>401924*(1)</f>
        <v>401924</v>
      </c>
      <c r="BK38" s="1" t="s">
        <v>555</v>
      </c>
      <c r="BL38" s="1">
        <f>0.776*(1)</f>
        <v>0.77600000000000002</v>
      </c>
      <c r="BM38" s="1" t="s">
        <v>550</v>
      </c>
      <c r="BN38" s="1">
        <f>60239*(1)</f>
        <v>60239</v>
      </c>
      <c r="BO38" s="1" t="s">
        <v>556</v>
      </c>
      <c r="BP38" s="1">
        <f>0.926*(1)</f>
        <v>0.92600000000000005</v>
      </c>
      <c r="BQ38" s="1" t="s">
        <v>557</v>
      </c>
      <c r="BR38" s="1">
        <f>314471*(1)</f>
        <v>314471</v>
      </c>
      <c r="BS38" s="1" t="s">
        <v>558</v>
      </c>
      <c r="BT38" s="1">
        <f>0.91*(1)</f>
        <v>0.91</v>
      </c>
      <c r="BU38" s="1" t="s">
        <v>94</v>
      </c>
      <c r="BV38" s="1">
        <f>131448*(1)</f>
        <v>131448</v>
      </c>
      <c r="BW38" s="1" t="s">
        <v>559</v>
      </c>
      <c r="BX38" s="1">
        <f>0.903*(1)</f>
        <v>0.90300000000000002</v>
      </c>
      <c r="BY38" s="1" t="s">
        <v>273</v>
      </c>
      <c r="BZ38" s="1">
        <f>491843*(1)</f>
        <v>491843</v>
      </c>
      <c r="CA38" s="1" t="s">
        <v>560</v>
      </c>
      <c r="CB38" s="1">
        <f>0.86*(1)</f>
        <v>0.86</v>
      </c>
      <c r="CC38" s="1" t="s">
        <v>94</v>
      </c>
      <c r="CD38" s="1">
        <f>101048*(1)</f>
        <v>101048</v>
      </c>
      <c r="CE38" s="1" t="s">
        <v>561</v>
      </c>
      <c r="CF38" s="1">
        <f>0.913*(1)</f>
        <v>0.91300000000000003</v>
      </c>
      <c r="CG38" s="1" t="s">
        <v>418</v>
      </c>
    </row>
    <row r="39" spans="1:85" x14ac:dyDescent="0.3">
      <c r="A39" s="7" t="s">
        <v>562</v>
      </c>
      <c r="B39" s="1">
        <f>32964*(1)</f>
        <v>32964</v>
      </c>
      <c r="C39" s="1" t="s">
        <v>538</v>
      </c>
      <c r="D39" s="1">
        <f>0.12*(1)</f>
        <v>0.12</v>
      </c>
      <c r="E39" s="1" t="s">
        <v>539</v>
      </c>
      <c r="F39" s="1">
        <f>124697*(1)</f>
        <v>124697</v>
      </c>
      <c r="G39" s="1" t="s">
        <v>540</v>
      </c>
      <c r="H39" s="1">
        <f>0.131*(1)</f>
        <v>0.13100000000000001</v>
      </c>
      <c r="I39" s="1" t="s">
        <v>108</v>
      </c>
      <c r="J39" s="1">
        <f>40164*(1)</f>
        <v>40164</v>
      </c>
      <c r="K39" s="1" t="s">
        <v>541</v>
      </c>
      <c r="L39" s="1">
        <f>0.087*(1)</f>
        <v>8.6999999999999994E-2</v>
      </c>
      <c r="M39" s="1" t="s">
        <v>140</v>
      </c>
      <c r="N39" s="1">
        <f>43969*(1)</f>
        <v>43969</v>
      </c>
      <c r="O39" s="1" t="s">
        <v>542</v>
      </c>
      <c r="P39" s="1">
        <f>0.084*(1)</f>
        <v>8.4000000000000005E-2</v>
      </c>
      <c r="Q39" s="1" t="s">
        <v>140</v>
      </c>
      <c r="R39" s="1">
        <f>6115*(1)</f>
        <v>6115</v>
      </c>
      <c r="S39" s="1" t="s">
        <v>543</v>
      </c>
      <c r="T39" s="1">
        <f>0.064*(1)</f>
        <v>6.4000000000000001E-2</v>
      </c>
      <c r="U39" s="1" t="s">
        <v>501</v>
      </c>
      <c r="V39" s="1">
        <f>33848*(1)</f>
        <v>33848</v>
      </c>
      <c r="W39" s="1" t="s">
        <v>544</v>
      </c>
      <c r="X39" s="1">
        <f>0.22*(1)</f>
        <v>0.22</v>
      </c>
      <c r="Y39" s="1" t="s">
        <v>102</v>
      </c>
      <c r="Z39" s="1">
        <f>97700*(1)</f>
        <v>97700</v>
      </c>
      <c r="AA39" s="1" t="s">
        <v>545</v>
      </c>
      <c r="AB39" s="1">
        <f>0.114*(1)</f>
        <v>0.114</v>
      </c>
      <c r="AC39" s="1" t="s">
        <v>140</v>
      </c>
      <c r="AD39" s="1">
        <f>16755*(1)</f>
        <v>16755</v>
      </c>
      <c r="AE39" s="1" t="s">
        <v>546</v>
      </c>
      <c r="AF39" s="1">
        <f>0.055*(1)</f>
        <v>5.5E-2</v>
      </c>
      <c r="AG39" s="1" t="s">
        <v>127</v>
      </c>
      <c r="AH39" s="1">
        <f>175953*(1)</f>
        <v>175953</v>
      </c>
      <c r="AI39" s="1" t="s">
        <v>547</v>
      </c>
      <c r="AJ39" s="1">
        <f>0.25*(1)</f>
        <v>0.25</v>
      </c>
      <c r="AK39" s="1" t="s">
        <v>539</v>
      </c>
      <c r="AL39" s="1">
        <f>9303*(1)</f>
        <v>9303</v>
      </c>
      <c r="AM39" s="1" t="s">
        <v>548</v>
      </c>
      <c r="AN39" s="1">
        <f>0.072*(1)</f>
        <v>7.1999999999999995E-2</v>
      </c>
      <c r="AO39" s="1" t="s">
        <v>502</v>
      </c>
      <c r="AP39" s="1">
        <f>39562*(1)</f>
        <v>39562</v>
      </c>
      <c r="AQ39" s="1" t="s">
        <v>549</v>
      </c>
      <c r="AR39" s="1">
        <f>0.103*(1)</f>
        <v>0.10299999999999999</v>
      </c>
      <c r="AS39" s="1" t="s">
        <v>550</v>
      </c>
      <c r="AT39" s="1">
        <f>88845*(1)</f>
        <v>88845</v>
      </c>
      <c r="AU39" s="1" t="s">
        <v>551</v>
      </c>
      <c r="AV39" s="1">
        <f>0.103*(1)</f>
        <v>0.10299999999999999</v>
      </c>
      <c r="AW39" s="1" t="s">
        <v>79</v>
      </c>
      <c r="AX39" s="1">
        <f>56284*(1)</f>
        <v>56284</v>
      </c>
      <c r="AY39" s="1" t="s">
        <v>552</v>
      </c>
      <c r="AZ39" s="1">
        <f>0.087*(1)</f>
        <v>8.6999999999999994E-2</v>
      </c>
      <c r="BA39" s="1" t="s">
        <v>127</v>
      </c>
      <c r="BB39" s="1">
        <f>52145*(1)</f>
        <v>52145</v>
      </c>
      <c r="BC39" s="1" t="s">
        <v>553</v>
      </c>
      <c r="BD39" s="1">
        <f>0.102*(1)</f>
        <v>0.10199999999999999</v>
      </c>
      <c r="BE39" s="1" t="s">
        <v>127</v>
      </c>
      <c r="BF39" s="1">
        <f>45703*(1)</f>
        <v>45703</v>
      </c>
      <c r="BG39" s="1" t="s">
        <v>554</v>
      </c>
      <c r="BH39" s="1">
        <f>0.07*(1)</f>
        <v>7.0000000000000007E-2</v>
      </c>
      <c r="BI39" s="1" t="s">
        <v>108</v>
      </c>
      <c r="BJ39" s="1">
        <f>116193*(1)</f>
        <v>116193</v>
      </c>
      <c r="BK39" s="1" t="s">
        <v>555</v>
      </c>
      <c r="BL39" s="1">
        <f>0.224*(1)</f>
        <v>0.224</v>
      </c>
      <c r="BM39" s="1" t="s">
        <v>550</v>
      </c>
      <c r="BN39" s="1">
        <f>4807*(1)</f>
        <v>4807</v>
      </c>
      <c r="BO39" s="1" t="s">
        <v>556</v>
      </c>
      <c r="BP39" s="1">
        <f>0.074*(1)</f>
        <v>7.3999999999999996E-2</v>
      </c>
      <c r="BQ39" s="1" t="s">
        <v>557</v>
      </c>
      <c r="BR39" s="1">
        <f>31176*(1)</f>
        <v>31176</v>
      </c>
      <c r="BS39" s="1" t="s">
        <v>558</v>
      </c>
      <c r="BT39" s="1">
        <f>0.09*(1)</f>
        <v>0.09</v>
      </c>
      <c r="BU39" s="1" t="s">
        <v>94</v>
      </c>
      <c r="BV39" s="1">
        <f>14095*(1)</f>
        <v>14095</v>
      </c>
      <c r="BW39" s="1" t="s">
        <v>559</v>
      </c>
      <c r="BX39" s="1">
        <f>0.097*(1)</f>
        <v>9.7000000000000003E-2</v>
      </c>
      <c r="BY39" s="1" t="s">
        <v>273</v>
      </c>
      <c r="BZ39" s="1">
        <f>80271*(1)</f>
        <v>80271</v>
      </c>
      <c r="CA39" s="1" t="s">
        <v>560</v>
      </c>
      <c r="CB39" s="1">
        <f>0.14*(1)</f>
        <v>0.14000000000000001</v>
      </c>
      <c r="CC39" s="1" t="s">
        <v>94</v>
      </c>
      <c r="CD39" s="1">
        <f>9683*(1)</f>
        <v>9683</v>
      </c>
      <c r="CE39" s="1" t="s">
        <v>561</v>
      </c>
      <c r="CF39" s="1">
        <f>0.087*(1)</f>
        <v>8.6999999999999994E-2</v>
      </c>
      <c r="CG39" s="1" t="s">
        <v>418</v>
      </c>
    </row>
    <row r="40" spans="1:85" x14ac:dyDescent="0.3">
      <c r="A40" s="7" t="s">
        <v>537</v>
      </c>
      <c r="B40" s="1">
        <f>242002*(1)</f>
        <v>242002</v>
      </c>
      <c r="C40" s="1" t="s">
        <v>538</v>
      </c>
      <c r="D40" s="1">
        <f>0.88*(1)</f>
        <v>0.88</v>
      </c>
      <c r="E40" s="1" t="s">
        <v>539</v>
      </c>
      <c r="F40" s="1">
        <f>829122*(1)</f>
        <v>829122</v>
      </c>
      <c r="G40" s="1" t="s">
        <v>540</v>
      </c>
      <c r="H40" s="1">
        <f>0.869*(1)</f>
        <v>0.86899999999999999</v>
      </c>
      <c r="I40" s="1" t="s">
        <v>108</v>
      </c>
      <c r="J40" s="1">
        <f>424105*(1)</f>
        <v>424105</v>
      </c>
      <c r="K40" s="1" t="s">
        <v>541</v>
      </c>
      <c r="L40" s="1">
        <f>0.913*(1)</f>
        <v>0.91300000000000003</v>
      </c>
      <c r="M40" s="1" t="s">
        <v>140</v>
      </c>
      <c r="N40" s="1">
        <f>479802*(1)</f>
        <v>479802</v>
      </c>
      <c r="O40" s="1" t="s">
        <v>542</v>
      </c>
      <c r="P40" s="1">
        <f>0.916*(1)</f>
        <v>0.91600000000000004</v>
      </c>
      <c r="Q40" s="1" t="s">
        <v>140</v>
      </c>
      <c r="R40" s="1">
        <f>89546*(1)</f>
        <v>89546</v>
      </c>
      <c r="S40" s="1" t="s">
        <v>543</v>
      </c>
      <c r="T40" s="1">
        <f>0.936*(1)</f>
        <v>0.93600000000000005</v>
      </c>
      <c r="U40" s="1" t="s">
        <v>501</v>
      </c>
      <c r="V40" s="1">
        <f>119779*(1)</f>
        <v>119779</v>
      </c>
      <c r="W40" s="1" t="s">
        <v>544</v>
      </c>
      <c r="X40" s="1">
        <f>0.78*(1)</f>
        <v>0.78</v>
      </c>
      <c r="Y40" s="1" t="s">
        <v>102</v>
      </c>
      <c r="Z40" s="1">
        <f>757217*(1)</f>
        <v>757217</v>
      </c>
      <c r="AA40" s="1" t="s">
        <v>545</v>
      </c>
      <c r="AB40" s="1">
        <f>0.886*(1)</f>
        <v>0.88600000000000001</v>
      </c>
      <c r="AC40" s="1" t="s">
        <v>140</v>
      </c>
      <c r="AD40" s="1">
        <f>287722*(1)</f>
        <v>287722</v>
      </c>
      <c r="AE40" s="1" t="s">
        <v>546</v>
      </c>
      <c r="AF40" s="1">
        <f>0.945*(1)</f>
        <v>0.94499999999999995</v>
      </c>
      <c r="AG40" s="1" t="s">
        <v>127</v>
      </c>
      <c r="AH40" s="1">
        <f>526510*(1)</f>
        <v>526510</v>
      </c>
      <c r="AI40" s="1" t="s">
        <v>547</v>
      </c>
      <c r="AJ40" s="1">
        <f>0.75*(1)</f>
        <v>0.75</v>
      </c>
      <c r="AK40" s="1" t="s">
        <v>539</v>
      </c>
      <c r="AL40" s="1">
        <f>120621*(1)</f>
        <v>120621</v>
      </c>
      <c r="AM40" s="1" t="s">
        <v>548</v>
      </c>
      <c r="AN40" s="1">
        <f>0.928*(1)</f>
        <v>0.92800000000000005</v>
      </c>
      <c r="AO40" s="1" t="s">
        <v>502</v>
      </c>
      <c r="AP40" s="1">
        <f>346336*(1)</f>
        <v>346336</v>
      </c>
      <c r="AQ40" s="1" t="s">
        <v>549</v>
      </c>
      <c r="AR40" s="1">
        <f>0.897*(1)</f>
        <v>0.89700000000000002</v>
      </c>
      <c r="AS40" s="1" t="s">
        <v>550</v>
      </c>
      <c r="AT40" s="1">
        <f>771962*(1)</f>
        <v>771962</v>
      </c>
      <c r="AU40" s="1" t="s">
        <v>551</v>
      </c>
      <c r="AV40" s="1">
        <f>0.897*(1)</f>
        <v>0.89700000000000002</v>
      </c>
      <c r="AW40" s="1" t="s">
        <v>79</v>
      </c>
      <c r="AX40" s="1">
        <f>589070*(1)</f>
        <v>589070</v>
      </c>
      <c r="AY40" s="1" t="s">
        <v>552</v>
      </c>
      <c r="AZ40" s="1">
        <f>0.913*(1)</f>
        <v>0.91300000000000003</v>
      </c>
      <c r="BA40" s="1" t="s">
        <v>127</v>
      </c>
      <c r="BB40" s="1">
        <f>458836*(1)</f>
        <v>458836</v>
      </c>
      <c r="BC40" s="1" t="s">
        <v>553</v>
      </c>
      <c r="BD40" s="1">
        <f>0.898*(1)</f>
        <v>0.89800000000000002</v>
      </c>
      <c r="BE40" s="1" t="s">
        <v>127</v>
      </c>
      <c r="BF40" s="1">
        <f>603295*(1)</f>
        <v>603295</v>
      </c>
      <c r="BG40" s="1" t="s">
        <v>554</v>
      </c>
      <c r="BH40" s="1">
        <f>0.93*(1)</f>
        <v>0.93</v>
      </c>
      <c r="BI40" s="1" t="s">
        <v>108</v>
      </c>
      <c r="BJ40" s="1">
        <f>401924*(1)</f>
        <v>401924</v>
      </c>
      <c r="BK40" s="1" t="s">
        <v>555</v>
      </c>
      <c r="BL40" s="1">
        <f>0.776*(1)</f>
        <v>0.77600000000000002</v>
      </c>
      <c r="BM40" s="1" t="s">
        <v>550</v>
      </c>
      <c r="BN40" s="1">
        <f>60239*(1)</f>
        <v>60239</v>
      </c>
      <c r="BO40" s="1" t="s">
        <v>556</v>
      </c>
      <c r="BP40" s="1">
        <f>0.926*(1)</f>
        <v>0.92600000000000005</v>
      </c>
      <c r="BQ40" s="1" t="s">
        <v>557</v>
      </c>
      <c r="BR40" s="1">
        <f>314471*(1)</f>
        <v>314471</v>
      </c>
      <c r="BS40" s="1" t="s">
        <v>558</v>
      </c>
      <c r="BT40" s="1">
        <f>0.91*(1)</f>
        <v>0.91</v>
      </c>
      <c r="BU40" s="1" t="s">
        <v>94</v>
      </c>
      <c r="BV40" s="1">
        <f>131448*(1)</f>
        <v>131448</v>
      </c>
      <c r="BW40" s="1" t="s">
        <v>559</v>
      </c>
      <c r="BX40" s="1">
        <f>0.903*(1)</f>
        <v>0.90300000000000002</v>
      </c>
      <c r="BY40" s="1" t="s">
        <v>273</v>
      </c>
      <c r="BZ40" s="1">
        <f>491843*(1)</f>
        <v>491843</v>
      </c>
      <c r="CA40" s="1" t="s">
        <v>560</v>
      </c>
      <c r="CB40" s="1">
        <f>0.86*(1)</f>
        <v>0.86</v>
      </c>
      <c r="CC40" s="1" t="s">
        <v>94</v>
      </c>
      <c r="CD40" s="1">
        <f>101048*(1)</f>
        <v>101048</v>
      </c>
      <c r="CE40" s="1" t="s">
        <v>561</v>
      </c>
      <c r="CF40" s="1">
        <f>0.913*(1)</f>
        <v>0.91300000000000003</v>
      </c>
      <c r="CG40" s="1" t="s">
        <v>418</v>
      </c>
    </row>
    <row r="41" spans="1:85" x14ac:dyDescent="0.3">
      <c r="A41" s="8" t="s">
        <v>563</v>
      </c>
      <c r="B41" s="1">
        <f>154269*(1)</f>
        <v>154269</v>
      </c>
      <c r="C41" s="1" t="s">
        <v>441</v>
      </c>
      <c r="D41" s="1">
        <f>0.561*(1)</f>
        <v>0.56100000000000005</v>
      </c>
      <c r="E41" s="1" t="s">
        <v>127</v>
      </c>
      <c r="F41" s="1">
        <f>533549*(1)</f>
        <v>533549</v>
      </c>
      <c r="G41" s="1" t="s">
        <v>564</v>
      </c>
      <c r="H41" s="1">
        <f>0.559*(1)</f>
        <v>0.55900000000000005</v>
      </c>
      <c r="I41" s="1" t="s">
        <v>99</v>
      </c>
      <c r="J41" s="1">
        <f>302060*(1)</f>
        <v>302060</v>
      </c>
      <c r="K41" s="1" t="s">
        <v>565</v>
      </c>
      <c r="L41" s="1">
        <f>0.651*(1)</f>
        <v>0.65100000000000002</v>
      </c>
      <c r="M41" s="1" t="s">
        <v>108</v>
      </c>
      <c r="N41" s="1">
        <f>287536*(1)</f>
        <v>287536</v>
      </c>
      <c r="O41" s="1" t="s">
        <v>566</v>
      </c>
      <c r="P41" s="1">
        <f>0.549*(1)</f>
        <v>0.54900000000000004</v>
      </c>
      <c r="Q41" s="1" t="s">
        <v>81</v>
      </c>
      <c r="R41" s="1">
        <f>81292*(1)</f>
        <v>81292</v>
      </c>
      <c r="S41" s="1" t="s">
        <v>567</v>
      </c>
      <c r="T41" s="1">
        <f>0.85*(1)</f>
        <v>0.85</v>
      </c>
      <c r="U41" s="1" t="s">
        <v>140</v>
      </c>
      <c r="V41" s="1">
        <f>71122*(1)</f>
        <v>71122</v>
      </c>
      <c r="W41" s="1" t="s">
        <v>568</v>
      </c>
      <c r="X41" s="1">
        <f>0.463*(1)</f>
        <v>0.46300000000000002</v>
      </c>
      <c r="Y41" s="1" t="s">
        <v>569</v>
      </c>
      <c r="Z41" s="1">
        <f>252456*(1)</f>
        <v>252456</v>
      </c>
      <c r="AA41" s="1" t="s">
        <v>570</v>
      </c>
      <c r="AB41" s="1">
        <f>0.295*(1)</f>
        <v>0.29499999999999998</v>
      </c>
      <c r="AC41" s="1" t="s">
        <v>81</v>
      </c>
      <c r="AD41" s="1">
        <f>232802*(1)</f>
        <v>232802</v>
      </c>
      <c r="AE41" s="1" t="s">
        <v>571</v>
      </c>
      <c r="AF41" s="1">
        <f>0.765*(1)</f>
        <v>0.76500000000000001</v>
      </c>
      <c r="AG41" s="1" t="s">
        <v>108</v>
      </c>
      <c r="AH41" s="1">
        <f>221274*(1)</f>
        <v>221274</v>
      </c>
      <c r="AI41" s="1" t="s">
        <v>572</v>
      </c>
      <c r="AJ41" s="1">
        <f>0.315*(1)</f>
        <v>0.315</v>
      </c>
      <c r="AK41" s="1" t="s">
        <v>79</v>
      </c>
      <c r="AL41" s="1">
        <f>107111*(1)</f>
        <v>107111</v>
      </c>
      <c r="AM41" s="1" t="s">
        <v>573</v>
      </c>
      <c r="AN41" s="1">
        <f>0.824*(1)</f>
        <v>0.82399999999999995</v>
      </c>
      <c r="AO41" s="1" t="s">
        <v>127</v>
      </c>
      <c r="AP41" s="1">
        <f>194208*(1)</f>
        <v>194208</v>
      </c>
      <c r="AQ41" s="1" t="s">
        <v>574</v>
      </c>
      <c r="AR41" s="1">
        <f>0.503*(1)</f>
        <v>0.503</v>
      </c>
      <c r="AS41" s="1" t="s">
        <v>502</v>
      </c>
      <c r="AT41" s="1">
        <f>359597*(1)</f>
        <v>359597</v>
      </c>
      <c r="AU41" s="1" t="s">
        <v>575</v>
      </c>
      <c r="AV41" s="1">
        <f>0.418*(1)</f>
        <v>0.41799999999999998</v>
      </c>
      <c r="AW41" s="1" t="s">
        <v>81</v>
      </c>
      <c r="AX41" s="1">
        <f>481834*(1)</f>
        <v>481834</v>
      </c>
      <c r="AY41" s="1" t="s">
        <v>576</v>
      </c>
      <c r="AZ41" s="1">
        <f>0.747*(1)</f>
        <v>0.747</v>
      </c>
      <c r="BA41" s="1" t="s">
        <v>108</v>
      </c>
      <c r="BB41" s="1">
        <f>351548*(1)</f>
        <v>351548</v>
      </c>
      <c r="BC41" s="1" t="s">
        <v>577</v>
      </c>
      <c r="BD41" s="1">
        <f>0.688*(1)</f>
        <v>0.68799999999999994</v>
      </c>
      <c r="BE41" s="1" t="s">
        <v>99</v>
      </c>
      <c r="BF41" s="1">
        <f>548311*(1)</f>
        <v>548311</v>
      </c>
      <c r="BG41" s="1" t="s">
        <v>578</v>
      </c>
      <c r="BH41" s="1">
        <f>0.845*(1)</f>
        <v>0.84499999999999997</v>
      </c>
      <c r="BI41" s="1" t="s">
        <v>99</v>
      </c>
      <c r="BJ41" s="1">
        <f>216732*(1)</f>
        <v>216732</v>
      </c>
      <c r="BK41" s="1" t="s">
        <v>579</v>
      </c>
      <c r="BL41" s="1">
        <f>0.418*(1)</f>
        <v>0.41799999999999998</v>
      </c>
      <c r="BM41" s="1" t="s">
        <v>127</v>
      </c>
      <c r="BN41" s="1">
        <f>46832*(1)</f>
        <v>46832</v>
      </c>
      <c r="BO41" s="1" t="s">
        <v>72</v>
      </c>
      <c r="BP41" s="1">
        <f>0.72*(1)</f>
        <v>0.72</v>
      </c>
      <c r="BQ41" s="1" t="s">
        <v>502</v>
      </c>
      <c r="BR41" s="1">
        <f>184726*(1)</f>
        <v>184726</v>
      </c>
      <c r="BS41" s="1" t="s">
        <v>580</v>
      </c>
      <c r="BT41" s="1">
        <f>0.534*(1)</f>
        <v>0.53400000000000003</v>
      </c>
      <c r="BU41" s="1" t="s">
        <v>81</v>
      </c>
      <c r="BV41" s="1">
        <f>120990*(1)</f>
        <v>120990</v>
      </c>
      <c r="BW41" s="1" t="s">
        <v>581</v>
      </c>
      <c r="BX41" s="1">
        <f>0.831*(1)</f>
        <v>0.83099999999999996</v>
      </c>
      <c r="BY41" s="1" t="s">
        <v>140</v>
      </c>
      <c r="BZ41" s="1">
        <f>226996*(1)</f>
        <v>226996</v>
      </c>
      <c r="CA41" s="1" t="s">
        <v>582</v>
      </c>
      <c r="CB41" s="1">
        <f>0.397*(1)</f>
        <v>0.39700000000000002</v>
      </c>
      <c r="CC41" s="1" t="s">
        <v>99</v>
      </c>
      <c r="CD41" s="1">
        <f>87643*(1)</f>
        <v>87643</v>
      </c>
      <c r="CE41" s="1" t="s">
        <v>583</v>
      </c>
      <c r="CF41" s="1">
        <f>0.791*(1)</f>
        <v>0.79100000000000004</v>
      </c>
      <c r="CG41" s="1" t="s">
        <v>539</v>
      </c>
    </row>
    <row r="42" spans="1:85" x14ac:dyDescent="0.3">
      <c r="A42" s="8" t="s">
        <v>584</v>
      </c>
      <c r="B42" s="1">
        <f>38824*(1)</f>
        <v>38824</v>
      </c>
      <c r="C42" s="1" t="s">
        <v>585</v>
      </c>
      <c r="D42" s="1">
        <f>0.141*(1)</f>
        <v>0.14099999999999999</v>
      </c>
      <c r="E42" s="1" t="s">
        <v>127</v>
      </c>
      <c r="F42" s="1">
        <f>54547*(1)</f>
        <v>54547</v>
      </c>
      <c r="G42" s="1" t="s">
        <v>586</v>
      </c>
      <c r="H42" s="1">
        <f>0.057*(1)</f>
        <v>5.7000000000000002E-2</v>
      </c>
      <c r="I42" s="1" t="s">
        <v>73</v>
      </c>
      <c r="J42" s="1">
        <f>79617*(1)</f>
        <v>79617</v>
      </c>
      <c r="K42" s="1" t="s">
        <v>587</v>
      </c>
      <c r="L42" s="1">
        <f>0.171*(1)</f>
        <v>0.17100000000000001</v>
      </c>
      <c r="M42" s="1" t="s">
        <v>99</v>
      </c>
      <c r="N42" s="1">
        <f>97006*(1)</f>
        <v>97006</v>
      </c>
      <c r="O42" s="1" t="s">
        <v>588</v>
      </c>
      <c r="P42" s="1">
        <f>0.185*(1)</f>
        <v>0.185</v>
      </c>
      <c r="Q42" s="1" t="s">
        <v>81</v>
      </c>
      <c r="R42" s="1">
        <f>3919*(1)</f>
        <v>3919</v>
      </c>
      <c r="S42" s="1" t="s">
        <v>589</v>
      </c>
      <c r="T42" s="1">
        <f>0.041*(1)</f>
        <v>4.1000000000000002E-2</v>
      </c>
      <c r="U42" s="1" t="s">
        <v>138</v>
      </c>
      <c r="V42" s="1">
        <f>30491*(1)</f>
        <v>30491</v>
      </c>
      <c r="W42" s="1" t="s">
        <v>590</v>
      </c>
      <c r="X42" s="1">
        <f>0.198*(1)</f>
        <v>0.19800000000000001</v>
      </c>
      <c r="Y42" s="1" t="s">
        <v>591</v>
      </c>
      <c r="Z42" s="1">
        <f>312569*(1)</f>
        <v>312569</v>
      </c>
      <c r="AA42" s="1" t="s">
        <v>592</v>
      </c>
      <c r="AB42" s="1">
        <f>0.366*(1)</f>
        <v>0.36599999999999999</v>
      </c>
      <c r="AC42" s="1" t="s">
        <v>99</v>
      </c>
      <c r="AD42" s="1">
        <f>31416*(1)</f>
        <v>31416</v>
      </c>
      <c r="AE42" s="1" t="s">
        <v>593</v>
      </c>
      <c r="AF42" s="1">
        <f>0.103*(1)</f>
        <v>0.10299999999999999</v>
      </c>
      <c r="AG42" s="1" t="s">
        <v>99</v>
      </c>
      <c r="AH42" s="1">
        <f>81649*(1)</f>
        <v>81649</v>
      </c>
      <c r="AI42" s="1" t="s">
        <v>594</v>
      </c>
      <c r="AJ42" s="1">
        <f>0.116*(1)</f>
        <v>0.11600000000000001</v>
      </c>
      <c r="AK42" s="1" t="s">
        <v>106</v>
      </c>
      <c r="AL42" s="1">
        <f>4381*(1)</f>
        <v>4381</v>
      </c>
      <c r="AM42" s="1" t="s">
        <v>595</v>
      </c>
      <c r="AN42" s="1">
        <f>0.034*(1)</f>
        <v>3.4000000000000002E-2</v>
      </c>
      <c r="AO42" s="1" t="s">
        <v>106</v>
      </c>
      <c r="AP42" s="1">
        <f>73235*(1)</f>
        <v>73235</v>
      </c>
      <c r="AQ42" s="1" t="s">
        <v>596</v>
      </c>
      <c r="AR42" s="1">
        <f>0.19*(1)</f>
        <v>0.19</v>
      </c>
      <c r="AS42" s="1" t="s">
        <v>81</v>
      </c>
      <c r="AT42" s="1">
        <f>85294*(1)</f>
        <v>85294</v>
      </c>
      <c r="AU42" s="1" t="s">
        <v>597</v>
      </c>
      <c r="AV42" s="1">
        <f>0.099*(1)</f>
        <v>9.9000000000000005E-2</v>
      </c>
      <c r="AW42" s="1" t="s">
        <v>104</v>
      </c>
      <c r="AX42" s="1">
        <f>38891*(1)</f>
        <v>38891</v>
      </c>
      <c r="AY42" s="1" t="s">
        <v>598</v>
      </c>
      <c r="AZ42" s="1">
        <f>0.06*(1)</f>
        <v>0.06</v>
      </c>
      <c r="BA42" s="1" t="s">
        <v>104</v>
      </c>
      <c r="BB42" s="1">
        <f>17672*(1)</f>
        <v>17672</v>
      </c>
      <c r="BC42" s="1" t="s">
        <v>599</v>
      </c>
      <c r="BD42" s="1">
        <f>0.035*(1)</f>
        <v>3.5000000000000003E-2</v>
      </c>
      <c r="BE42" s="1" t="s">
        <v>104</v>
      </c>
      <c r="BF42" s="1">
        <f>20438*(1)</f>
        <v>20438</v>
      </c>
      <c r="BG42" s="1" t="s">
        <v>600</v>
      </c>
      <c r="BH42" s="1">
        <f>0.031*(1)</f>
        <v>3.1E-2</v>
      </c>
      <c r="BI42" s="1" t="s">
        <v>84</v>
      </c>
      <c r="BJ42" s="1">
        <f>54757*(1)</f>
        <v>54757</v>
      </c>
      <c r="BK42" s="1" t="s">
        <v>601</v>
      </c>
      <c r="BL42" s="1">
        <f>0.106*(1)</f>
        <v>0.106</v>
      </c>
      <c r="BM42" s="1" t="s">
        <v>104</v>
      </c>
      <c r="BN42" s="1">
        <f>10309*(1)</f>
        <v>10309</v>
      </c>
      <c r="BO42" s="1" t="s">
        <v>602</v>
      </c>
      <c r="BP42" s="1">
        <f>0.158*(1)</f>
        <v>0.158</v>
      </c>
      <c r="BQ42" s="1" t="s">
        <v>533</v>
      </c>
      <c r="BR42" s="1">
        <f>33356*(1)</f>
        <v>33356</v>
      </c>
      <c r="BS42" s="1" t="s">
        <v>603</v>
      </c>
      <c r="BT42" s="1">
        <f>0.097*(1)</f>
        <v>9.7000000000000003E-2</v>
      </c>
      <c r="BU42" s="1" t="s">
        <v>106</v>
      </c>
      <c r="BV42" s="1">
        <f>3173*(1)</f>
        <v>3173</v>
      </c>
      <c r="BW42" s="1" t="s">
        <v>181</v>
      </c>
      <c r="BX42" s="1">
        <f>0.022*(1)</f>
        <v>2.1999999999999999E-2</v>
      </c>
      <c r="BY42" s="1" t="s">
        <v>108</v>
      </c>
      <c r="BZ42" s="1">
        <f>117112*(1)</f>
        <v>117112</v>
      </c>
      <c r="CA42" s="1" t="s">
        <v>604</v>
      </c>
      <c r="CB42" s="1">
        <f>0.205*(1)</f>
        <v>0.20499999999999999</v>
      </c>
      <c r="CC42" s="1" t="s">
        <v>81</v>
      </c>
      <c r="CD42" s="1">
        <f>5429*(1)</f>
        <v>5429</v>
      </c>
      <c r="CE42" s="1" t="s">
        <v>605</v>
      </c>
      <c r="CF42" s="1">
        <f>0.049*(1)</f>
        <v>4.9000000000000002E-2</v>
      </c>
      <c r="CG42" s="1" t="s">
        <v>99</v>
      </c>
    </row>
    <row r="43" spans="1:85" ht="28.8" x14ac:dyDescent="0.3">
      <c r="A43" s="8" t="s">
        <v>606</v>
      </c>
      <c r="B43" s="1">
        <f>1149*(1)</f>
        <v>1149</v>
      </c>
      <c r="C43" s="1" t="s">
        <v>607</v>
      </c>
      <c r="D43" s="1">
        <f>0.004*(1)</f>
        <v>4.0000000000000001E-3</v>
      </c>
      <c r="E43" s="1" t="s">
        <v>104</v>
      </c>
      <c r="F43" s="1">
        <f>3936*(1)</f>
        <v>3936</v>
      </c>
      <c r="G43" s="1" t="s">
        <v>156</v>
      </c>
      <c r="H43" s="1">
        <f>0.004*(1)</f>
        <v>4.0000000000000001E-3</v>
      </c>
      <c r="I43" s="1" t="s">
        <v>84</v>
      </c>
      <c r="J43" s="1">
        <f>518*(1)</f>
        <v>518</v>
      </c>
      <c r="K43" s="1" t="s">
        <v>608</v>
      </c>
      <c r="L43" s="1">
        <f>0.001*(1)</f>
        <v>1E-3</v>
      </c>
      <c r="M43" s="1" t="s">
        <v>75</v>
      </c>
      <c r="N43" s="1">
        <f>2227*(1)</f>
        <v>2227</v>
      </c>
      <c r="O43" s="1" t="s">
        <v>609</v>
      </c>
      <c r="P43" s="1">
        <f>0.004*(1)</f>
        <v>4.0000000000000001E-3</v>
      </c>
      <c r="Q43" s="1" t="s">
        <v>73</v>
      </c>
      <c r="R43" s="1">
        <f>60*(1)</f>
        <v>60</v>
      </c>
      <c r="S43" s="1" t="s">
        <v>526</v>
      </c>
      <c r="T43" s="1">
        <f>0.001*(1)</f>
        <v>1E-3</v>
      </c>
      <c r="U43" s="1" t="s">
        <v>75</v>
      </c>
      <c r="V43" s="1">
        <f>1189*(1)</f>
        <v>1189</v>
      </c>
      <c r="W43" s="1" t="s">
        <v>610</v>
      </c>
      <c r="X43" s="1">
        <f>0.008*(1)</f>
        <v>8.0000000000000002E-3</v>
      </c>
      <c r="Y43" s="1" t="s">
        <v>81</v>
      </c>
      <c r="Z43" s="1">
        <f>2871*(1)</f>
        <v>2871</v>
      </c>
      <c r="AA43" s="1" t="s">
        <v>611</v>
      </c>
      <c r="AB43" s="1">
        <f>0.003*(1)</f>
        <v>3.0000000000000001E-3</v>
      </c>
      <c r="AC43" s="1" t="s">
        <v>75</v>
      </c>
      <c r="AD43" s="1">
        <f>541*(1)</f>
        <v>541</v>
      </c>
      <c r="AE43" s="1" t="s">
        <v>180</v>
      </c>
      <c r="AF43" s="1">
        <f>0.002*(1)</f>
        <v>2E-3</v>
      </c>
      <c r="AG43" s="1" t="s">
        <v>84</v>
      </c>
      <c r="AH43" s="1">
        <f>2859*(1)</f>
        <v>2859</v>
      </c>
      <c r="AI43" s="1" t="s">
        <v>612</v>
      </c>
      <c r="AJ43" s="1">
        <f>0.004*(1)</f>
        <v>4.0000000000000001E-3</v>
      </c>
      <c r="AK43" s="1" t="s">
        <v>84</v>
      </c>
      <c r="AL43" s="1">
        <f>240*(1)</f>
        <v>240</v>
      </c>
      <c r="AM43" s="1" t="s">
        <v>613</v>
      </c>
      <c r="AN43" s="1">
        <f>0.002*(1)</f>
        <v>2E-3</v>
      </c>
      <c r="AO43" s="1" t="s">
        <v>84</v>
      </c>
      <c r="AP43" s="1">
        <f>1009*(1)</f>
        <v>1009</v>
      </c>
      <c r="AQ43" s="1" t="s">
        <v>614</v>
      </c>
      <c r="AR43" s="1">
        <f>0.003*(1)</f>
        <v>3.0000000000000001E-3</v>
      </c>
      <c r="AS43" s="1" t="s">
        <v>84</v>
      </c>
      <c r="AT43" s="1">
        <f>8745*(1)</f>
        <v>8745</v>
      </c>
      <c r="AU43" s="1" t="s">
        <v>615</v>
      </c>
      <c r="AV43" s="1">
        <f>0.01*(1)</f>
        <v>0.01</v>
      </c>
      <c r="AW43" s="1" t="s">
        <v>104</v>
      </c>
      <c r="AX43" s="1">
        <f>1626*(1)</f>
        <v>1626</v>
      </c>
      <c r="AY43" s="1" t="s">
        <v>92</v>
      </c>
      <c r="AZ43" s="1">
        <f>0.003*(1)</f>
        <v>3.0000000000000001E-3</v>
      </c>
      <c r="BA43" s="1" t="s">
        <v>75</v>
      </c>
      <c r="BB43" s="1">
        <f>625*(1)</f>
        <v>625</v>
      </c>
      <c r="BC43" s="1" t="s">
        <v>616</v>
      </c>
      <c r="BD43" s="1">
        <f>0.001*(1)</f>
        <v>1E-3</v>
      </c>
      <c r="BE43" s="1" t="s">
        <v>75</v>
      </c>
      <c r="BF43" s="1">
        <f>2895*(1)</f>
        <v>2895</v>
      </c>
      <c r="BG43" s="1" t="s">
        <v>617</v>
      </c>
      <c r="BH43" s="1">
        <f>0.004*(1)</f>
        <v>4.0000000000000001E-3</v>
      </c>
      <c r="BI43" s="1" t="s">
        <v>73</v>
      </c>
      <c r="BJ43" s="1">
        <f>2443*(1)</f>
        <v>2443</v>
      </c>
      <c r="BK43" s="1" t="s">
        <v>618</v>
      </c>
      <c r="BL43" s="1">
        <f>0.005*(1)</f>
        <v>5.0000000000000001E-3</v>
      </c>
      <c r="BM43" s="1" t="s">
        <v>73</v>
      </c>
      <c r="BN43" s="1">
        <f>0*(1)</f>
        <v>0</v>
      </c>
      <c r="BO43" s="1" t="s">
        <v>258</v>
      </c>
      <c r="BP43" s="1">
        <f>0*(1)</f>
        <v>0</v>
      </c>
      <c r="BQ43" s="1" t="s">
        <v>73</v>
      </c>
      <c r="BR43" s="1">
        <f>889*(1)</f>
        <v>889</v>
      </c>
      <c r="BS43" s="1" t="s">
        <v>619</v>
      </c>
      <c r="BT43" s="1">
        <f>0.003*(1)</f>
        <v>3.0000000000000001E-3</v>
      </c>
      <c r="BU43" s="1" t="s">
        <v>75</v>
      </c>
      <c r="BV43" s="1">
        <f>0*(1)</f>
        <v>0</v>
      </c>
      <c r="BW43" s="1" t="s">
        <v>258</v>
      </c>
      <c r="BX43" s="1">
        <f>0*(1)</f>
        <v>0</v>
      </c>
      <c r="BY43" s="1" t="s">
        <v>75</v>
      </c>
      <c r="BZ43" s="1">
        <f>1905*(1)</f>
        <v>1905</v>
      </c>
      <c r="CA43" s="1" t="s">
        <v>620</v>
      </c>
      <c r="CB43" s="1">
        <f>0.003*(1)</f>
        <v>3.0000000000000001E-3</v>
      </c>
      <c r="CC43" s="1" t="s">
        <v>73</v>
      </c>
      <c r="CD43" s="1">
        <f>0*(1)</f>
        <v>0</v>
      </c>
      <c r="CE43" s="1" t="s">
        <v>258</v>
      </c>
      <c r="CF43" s="1">
        <f>0*(1)</f>
        <v>0</v>
      </c>
      <c r="CG43" s="1" t="s">
        <v>84</v>
      </c>
    </row>
    <row r="44" spans="1:85" x14ac:dyDescent="0.3">
      <c r="A44" s="9" t="s">
        <v>621</v>
      </c>
      <c r="B44" s="1" t="s">
        <v>622</v>
      </c>
      <c r="C44" s="1" t="s">
        <v>622</v>
      </c>
      <c r="D44" s="1" t="s">
        <v>622</v>
      </c>
      <c r="E44" s="1" t="s">
        <v>622</v>
      </c>
      <c r="F44" s="1" t="s">
        <v>622</v>
      </c>
      <c r="G44" s="1" t="s">
        <v>622</v>
      </c>
      <c r="H44" s="1" t="s">
        <v>622</v>
      </c>
      <c r="I44" s="1" t="s">
        <v>622</v>
      </c>
      <c r="J44" s="1" t="s">
        <v>622</v>
      </c>
      <c r="K44" s="1" t="s">
        <v>622</v>
      </c>
      <c r="L44" s="1" t="s">
        <v>622</v>
      </c>
      <c r="M44" s="1" t="s">
        <v>622</v>
      </c>
      <c r="N44" s="1" t="s">
        <v>622</v>
      </c>
      <c r="O44" s="1" t="s">
        <v>622</v>
      </c>
      <c r="P44" s="1" t="s">
        <v>622</v>
      </c>
      <c r="Q44" s="1" t="s">
        <v>622</v>
      </c>
      <c r="R44" s="1" t="s">
        <v>622</v>
      </c>
      <c r="S44" s="1" t="s">
        <v>622</v>
      </c>
      <c r="T44" s="1" t="s">
        <v>622</v>
      </c>
      <c r="U44" s="1" t="s">
        <v>622</v>
      </c>
      <c r="V44" s="1" t="s">
        <v>622</v>
      </c>
      <c r="W44" s="1" t="s">
        <v>622</v>
      </c>
      <c r="X44" s="1" t="s">
        <v>622</v>
      </c>
      <c r="Y44" s="1" t="s">
        <v>622</v>
      </c>
      <c r="Z44" s="1" t="s">
        <v>622</v>
      </c>
      <c r="AA44" s="1" t="s">
        <v>622</v>
      </c>
      <c r="AB44" s="1" t="s">
        <v>622</v>
      </c>
      <c r="AC44" s="1" t="s">
        <v>622</v>
      </c>
      <c r="AD44" s="1" t="s">
        <v>622</v>
      </c>
      <c r="AE44" s="1" t="s">
        <v>622</v>
      </c>
      <c r="AF44" s="1" t="s">
        <v>622</v>
      </c>
      <c r="AG44" s="1" t="s">
        <v>622</v>
      </c>
      <c r="AH44" s="1" t="s">
        <v>622</v>
      </c>
      <c r="AI44" s="1" t="s">
        <v>622</v>
      </c>
      <c r="AJ44" s="1" t="s">
        <v>622</v>
      </c>
      <c r="AK44" s="1" t="s">
        <v>622</v>
      </c>
      <c r="AL44" s="1" t="s">
        <v>622</v>
      </c>
      <c r="AM44" s="1" t="s">
        <v>622</v>
      </c>
      <c r="AN44" s="1" t="s">
        <v>622</v>
      </c>
      <c r="AO44" s="1" t="s">
        <v>622</v>
      </c>
      <c r="AP44" s="1" t="s">
        <v>622</v>
      </c>
      <c r="AQ44" s="1" t="s">
        <v>622</v>
      </c>
      <c r="AR44" s="1" t="s">
        <v>622</v>
      </c>
      <c r="AS44" s="1" t="s">
        <v>622</v>
      </c>
      <c r="AT44" s="1" t="s">
        <v>622</v>
      </c>
      <c r="AU44" s="1" t="s">
        <v>622</v>
      </c>
      <c r="AV44" s="1" t="s">
        <v>622</v>
      </c>
      <c r="AW44" s="1" t="s">
        <v>622</v>
      </c>
      <c r="AX44" s="1" t="s">
        <v>622</v>
      </c>
      <c r="AY44" s="1" t="s">
        <v>622</v>
      </c>
      <c r="AZ44" s="1" t="s">
        <v>622</v>
      </c>
      <c r="BA44" s="1" t="s">
        <v>622</v>
      </c>
      <c r="BB44" s="1" t="s">
        <v>622</v>
      </c>
      <c r="BC44" s="1" t="s">
        <v>622</v>
      </c>
      <c r="BD44" s="1" t="s">
        <v>622</v>
      </c>
      <c r="BE44" s="1" t="s">
        <v>622</v>
      </c>
      <c r="BF44" s="1" t="s">
        <v>622</v>
      </c>
      <c r="BG44" s="1" t="s">
        <v>622</v>
      </c>
      <c r="BH44" s="1" t="s">
        <v>622</v>
      </c>
      <c r="BI44" s="1" t="s">
        <v>622</v>
      </c>
      <c r="BJ44" s="1" t="s">
        <v>622</v>
      </c>
      <c r="BK44" s="1" t="s">
        <v>622</v>
      </c>
      <c r="BL44" s="1" t="s">
        <v>622</v>
      </c>
      <c r="BM44" s="1" t="s">
        <v>622</v>
      </c>
      <c r="BN44" s="1" t="s">
        <v>622</v>
      </c>
      <c r="BO44" s="1" t="s">
        <v>622</v>
      </c>
      <c r="BP44" s="1" t="s">
        <v>622</v>
      </c>
      <c r="BQ44" s="1" t="s">
        <v>622</v>
      </c>
      <c r="BR44" s="1" t="s">
        <v>622</v>
      </c>
      <c r="BS44" s="1" t="s">
        <v>622</v>
      </c>
      <c r="BT44" s="1" t="s">
        <v>622</v>
      </c>
      <c r="BU44" s="1" t="s">
        <v>622</v>
      </c>
      <c r="BV44" s="1" t="s">
        <v>622</v>
      </c>
      <c r="BW44" s="1" t="s">
        <v>622</v>
      </c>
      <c r="BX44" s="1" t="s">
        <v>622</v>
      </c>
      <c r="BY44" s="1" t="s">
        <v>622</v>
      </c>
      <c r="BZ44" s="1" t="s">
        <v>622</v>
      </c>
      <c r="CA44" s="1" t="s">
        <v>622</v>
      </c>
      <c r="CB44" s="1" t="s">
        <v>622</v>
      </c>
      <c r="CC44" s="1" t="s">
        <v>622</v>
      </c>
      <c r="CD44" s="1" t="s">
        <v>622</v>
      </c>
      <c r="CE44" s="1" t="s">
        <v>622</v>
      </c>
      <c r="CF44" s="1" t="s">
        <v>622</v>
      </c>
      <c r="CG44" s="1" t="s">
        <v>622</v>
      </c>
    </row>
    <row r="45" spans="1:85" x14ac:dyDescent="0.3">
      <c r="A45" s="9" t="s">
        <v>623</v>
      </c>
      <c r="B45" s="1" t="s">
        <v>622</v>
      </c>
      <c r="C45" s="1" t="s">
        <v>622</v>
      </c>
      <c r="D45" s="1" t="s">
        <v>622</v>
      </c>
      <c r="E45" s="1" t="s">
        <v>622</v>
      </c>
      <c r="F45" s="1" t="s">
        <v>622</v>
      </c>
      <c r="G45" s="1" t="s">
        <v>622</v>
      </c>
      <c r="H45" s="1" t="s">
        <v>622</v>
      </c>
      <c r="I45" s="1" t="s">
        <v>622</v>
      </c>
      <c r="J45" s="1" t="s">
        <v>622</v>
      </c>
      <c r="K45" s="1" t="s">
        <v>622</v>
      </c>
      <c r="L45" s="1" t="s">
        <v>622</v>
      </c>
      <c r="M45" s="1" t="s">
        <v>622</v>
      </c>
      <c r="N45" s="1" t="s">
        <v>622</v>
      </c>
      <c r="O45" s="1" t="s">
        <v>622</v>
      </c>
      <c r="P45" s="1" t="s">
        <v>622</v>
      </c>
      <c r="Q45" s="1" t="s">
        <v>622</v>
      </c>
      <c r="R45" s="1" t="s">
        <v>622</v>
      </c>
      <c r="S45" s="1" t="s">
        <v>622</v>
      </c>
      <c r="T45" s="1" t="s">
        <v>622</v>
      </c>
      <c r="U45" s="1" t="s">
        <v>622</v>
      </c>
      <c r="V45" s="1" t="s">
        <v>622</v>
      </c>
      <c r="W45" s="1" t="s">
        <v>622</v>
      </c>
      <c r="X45" s="1" t="s">
        <v>622</v>
      </c>
      <c r="Y45" s="1" t="s">
        <v>622</v>
      </c>
      <c r="Z45" s="1" t="s">
        <v>622</v>
      </c>
      <c r="AA45" s="1" t="s">
        <v>622</v>
      </c>
      <c r="AB45" s="1" t="s">
        <v>622</v>
      </c>
      <c r="AC45" s="1" t="s">
        <v>622</v>
      </c>
      <c r="AD45" s="1" t="s">
        <v>622</v>
      </c>
      <c r="AE45" s="1" t="s">
        <v>622</v>
      </c>
      <c r="AF45" s="1" t="s">
        <v>622</v>
      </c>
      <c r="AG45" s="1" t="s">
        <v>622</v>
      </c>
      <c r="AH45" s="1" t="s">
        <v>622</v>
      </c>
      <c r="AI45" s="1" t="s">
        <v>622</v>
      </c>
      <c r="AJ45" s="1" t="s">
        <v>622</v>
      </c>
      <c r="AK45" s="1" t="s">
        <v>622</v>
      </c>
      <c r="AL45" s="1" t="s">
        <v>622</v>
      </c>
      <c r="AM45" s="1" t="s">
        <v>622</v>
      </c>
      <c r="AN45" s="1" t="s">
        <v>622</v>
      </c>
      <c r="AO45" s="1" t="s">
        <v>622</v>
      </c>
      <c r="AP45" s="1" t="s">
        <v>622</v>
      </c>
      <c r="AQ45" s="1" t="s">
        <v>622</v>
      </c>
      <c r="AR45" s="1" t="s">
        <v>622</v>
      </c>
      <c r="AS45" s="1" t="s">
        <v>622</v>
      </c>
      <c r="AT45" s="1" t="s">
        <v>622</v>
      </c>
      <c r="AU45" s="1" t="s">
        <v>622</v>
      </c>
      <c r="AV45" s="1" t="s">
        <v>622</v>
      </c>
      <c r="AW45" s="1" t="s">
        <v>622</v>
      </c>
      <c r="AX45" s="1" t="s">
        <v>622</v>
      </c>
      <c r="AY45" s="1" t="s">
        <v>622</v>
      </c>
      <c r="AZ45" s="1" t="s">
        <v>622</v>
      </c>
      <c r="BA45" s="1" t="s">
        <v>622</v>
      </c>
      <c r="BB45" s="1" t="s">
        <v>622</v>
      </c>
      <c r="BC45" s="1" t="s">
        <v>622</v>
      </c>
      <c r="BD45" s="1" t="s">
        <v>622</v>
      </c>
      <c r="BE45" s="1" t="s">
        <v>622</v>
      </c>
      <c r="BF45" s="1" t="s">
        <v>622</v>
      </c>
      <c r="BG45" s="1" t="s">
        <v>622</v>
      </c>
      <c r="BH45" s="1" t="s">
        <v>622</v>
      </c>
      <c r="BI45" s="1" t="s">
        <v>622</v>
      </c>
      <c r="BJ45" s="1" t="s">
        <v>622</v>
      </c>
      <c r="BK45" s="1" t="s">
        <v>622</v>
      </c>
      <c r="BL45" s="1" t="s">
        <v>622</v>
      </c>
      <c r="BM45" s="1" t="s">
        <v>622</v>
      </c>
      <c r="BN45" s="1" t="s">
        <v>622</v>
      </c>
      <c r="BO45" s="1" t="s">
        <v>622</v>
      </c>
      <c r="BP45" s="1" t="s">
        <v>622</v>
      </c>
      <c r="BQ45" s="1" t="s">
        <v>622</v>
      </c>
      <c r="BR45" s="1" t="s">
        <v>622</v>
      </c>
      <c r="BS45" s="1" t="s">
        <v>622</v>
      </c>
      <c r="BT45" s="1" t="s">
        <v>622</v>
      </c>
      <c r="BU45" s="1" t="s">
        <v>622</v>
      </c>
      <c r="BV45" s="1" t="s">
        <v>622</v>
      </c>
      <c r="BW45" s="1" t="s">
        <v>622</v>
      </c>
      <c r="BX45" s="1" t="s">
        <v>622</v>
      </c>
      <c r="BY45" s="1" t="s">
        <v>622</v>
      </c>
      <c r="BZ45" s="1" t="s">
        <v>622</v>
      </c>
      <c r="CA45" s="1" t="s">
        <v>622</v>
      </c>
      <c r="CB45" s="1" t="s">
        <v>622</v>
      </c>
      <c r="CC45" s="1" t="s">
        <v>622</v>
      </c>
      <c r="CD45" s="1" t="s">
        <v>622</v>
      </c>
      <c r="CE45" s="1" t="s">
        <v>622</v>
      </c>
      <c r="CF45" s="1" t="s">
        <v>622</v>
      </c>
      <c r="CG45" s="1" t="s">
        <v>622</v>
      </c>
    </row>
    <row r="46" spans="1:85" x14ac:dyDescent="0.3">
      <c r="A46" s="9" t="s">
        <v>624</v>
      </c>
      <c r="B46" s="1" t="s">
        <v>622</v>
      </c>
      <c r="C46" s="1" t="s">
        <v>622</v>
      </c>
      <c r="D46" s="1" t="s">
        <v>622</v>
      </c>
      <c r="E46" s="1" t="s">
        <v>622</v>
      </c>
      <c r="F46" s="1" t="s">
        <v>622</v>
      </c>
      <c r="G46" s="1" t="s">
        <v>622</v>
      </c>
      <c r="H46" s="1" t="s">
        <v>622</v>
      </c>
      <c r="I46" s="1" t="s">
        <v>622</v>
      </c>
      <c r="J46" s="1" t="s">
        <v>622</v>
      </c>
      <c r="K46" s="1" t="s">
        <v>622</v>
      </c>
      <c r="L46" s="1" t="s">
        <v>622</v>
      </c>
      <c r="M46" s="1" t="s">
        <v>622</v>
      </c>
      <c r="N46" s="1" t="s">
        <v>622</v>
      </c>
      <c r="O46" s="1" t="s">
        <v>622</v>
      </c>
      <c r="P46" s="1" t="s">
        <v>622</v>
      </c>
      <c r="Q46" s="1" t="s">
        <v>622</v>
      </c>
      <c r="R46" s="1" t="s">
        <v>622</v>
      </c>
      <c r="S46" s="1" t="s">
        <v>622</v>
      </c>
      <c r="T46" s="1" t="s">
        <v>622</v>
      </c>
      <c r="U46" s="1" t="s">
        <v>622</v>
      </c>
      <c r="V46" s="1" t="s">
        <v>622</v>
      </c>
      <c r="W46" s="1" t="s">
        <v>622</v>
      </c>
      <c r="X46" s="1" t="s">
        <v>622</v>
      </c>
      <c r="Y46" s="1" t="s">
        <v>622</v>
      </c>
      <c r="Z46" s="1" t="s">
        <v>622</v>
      </c>
      <c r="AA46" s="1" t="s">
        <v>622</v>
      </c>
      <c r="AB46" s="1" t="s">
        <v>622</v>
      </c>
      <c r="AC46" s="1" t="s">
        <v>622</v>
      </c>
      <c r="AD46" s="1" t="s">
        <v>622</v>
      </c>
      <c r="AE46" s="1" t="s">
        <v>622</v>
      </c>
      <c r="AF46" s="1" t="s">
        <v>622</v>
      </c>
      <c r="AG46" s="1" t="s">
        <v>622</v>
      </c>
      <c r="AH46" s="1" t="s">
        <v>622</v>
      </c>
      <c r="AI46" s="1" t="s">
        <v>622</v>
      </c>
      <c r="AJ46" s="1" t="s">
        <v>622</v>
      </c>
      <c r="AK46" s="1" t="s">
        <v>622</v>
      </c>
      <c r="AL46" s="1" t="s">
        <v>622</v>
      </c>
      <c r="AM46" s="1" t="s">
        <v>622</v>
      </c>
      <c r="AN46" s="1" t="s">
        <v>622</v>
      </c>
      <c r="AO46" s="1" t="s">
        <v>622</v>
      </c>
      <c r="AP46" s="1" t="s">
        <v>622</v>
      </c>
      <c r="AQ46" s="1" t="s">
        <v>622</v>
      </c>
      <c r="AR46" s="1" t="s">
        <v>622</v>
      </c>
      <c r="AS46" s="1" t="s">
        <v>622</v>
      </c>
      <c r="AT46" s="1" t="s">
        <v>622</v>
      </c>
      <c r="AU46" s="1" t="s">
        <v>622</v>
      </c>
      <c r="AV46" s="1" t="s">
        <v>622</v>
      </c>
      <c r="AW46" s="1" t="s">
        <v>622</v>
      </c>
      <c r="AX46" s="1" t="s">
        <v>622</v>
      </c>
      <c r="AY46" s="1" t="s">
        <v>622</v>
      </c>
      <c r="AZ46" s="1" t="s">
        <v>622</v>
      </c>
      <c r="BA46" s="1" t="s">
        <v>622</v>
      </c>
      <c r="BB46" s="1" t="s">
        <v>622</v>
      </c>
      <c r="BC46" s="1" t="s">
        <v>622</v>
      </c>
      <c r="BD46" s="1" t="s">
        <v>622</v>
      </c>
      <c r="BE46" s="1" t="s">
        <v>622</v>
      </c>
      <c r="BF46" s="1" t="s">
        <v>622</v>
      </c>
      <c r="BG46" s="1" t="s">
        <v>622</v>
      </c>
      <c r="BH46" s="1" t="s">
        <v>622</v>
      </c>
      <c r="BI46" s="1" t="s">
        <v>622</v>
      </c>
      <c r="BJ46" s="1" t="s">
        <v>622</v>
      </c>
      <c r="BK46" s="1" t="s">
        <v>622</v>
      </c>
      <c r="BL46" s="1" t="s">
        <v>622</v>
      </c>
      <c r="BM46" s="1" t="s">
        <v>622</v>
      </c>
      <c r="BN46" s="1" t="s">
        <v>622</v>
      </c>
      <c r="BO46" s="1" t="s">
        <v>622</v>
      </c>
      <c r="BP46" s="1" t="s">
        <v>622</v>
      </c>
      <c r="BQ46" s="1" t="s">
        <v>622</v>
      </c>
      <c r="BR46" s="1" t="s">
        <v>622</v>
      </c>
      <c r="BS46" s="1" t="s">
        <v>622</v>
      </c>
      <c r="BT46" s="1" t="s">
        <v>622</v>
      </c>
      <c r="BU46" s="1" t="s">
        <v>622</v>
      </c>
      <c r="BV46" s="1" t="s">
        <v>622</v>
      </c>
      <c r="BW46" s="1" t="s">
        <v>622</v>
      </c>
      <c r="BX46" s="1" t="s">
        <v>622</v>
      </c>
      <c r="BY46" s="1" t="s">
        <v>622</v>
      </c>
      <c r="BZ46" s="1" t="s">
        <v>622</v>
      </c>
      <c r="CA46" s="1" t="s">
        <v>622</v>
      </c>
      <c r="CB46" s="1" t="s">
        <v>622</v>
      </c>
      <c r="CC46" s="1" t="s">
        <v>622</v>
      </c>
      <c r="CD46" s="1" t="s">
        <v>622</v>
      </c>
      <c r="CE46" s="1" t="s">
        <v>622</v>
      </c>
      <c r="CF46" s="1" t="s">
        <v>622</v>
      </c>
      <c r="CG46" s="1" t="s">
        <v>622</v>
      </c>
    </row>
    <row r="47" spans="1:85" x14ac:dyDescent="0.3">
      <c r="A47" s="9" t="s">
        <v>625</v>
      </c>
      <c r="B47" s="1" t="s">
        <v>622</v>
      </c>
      <c r="C47" s="1" t="s">
        <v>622</v>
      </c>
      <c r="D47" s="1" t="s">
        <v>622</v>
      </c>
      <c r="E47" s="1" t="s">
        <v>622</v>
      </c>
      <c r="F47" s="1" t="s">
        <v>622</v>
      </c>
      <c r="G47" s="1" t="s">
        <v>622</v>
      </c>
      <c r="H47" s="1" t="s">
        <v>622</v>
      </c>
      <c r="I47" s="1" t="s">
        <v>622</v>
      </c>
      <c r="J47" s="1" t="s">
        <v>622</v>
      </c>
      <c r="K47" s="1" t="s">
        <v>622</v>
      </c>
      <c r="L47" s="1" t="s">
        <v>622</v>
      </c>
      <c r="M47" s="1" t="s">
        <v>622</v>
      </c>
      <c r="N47" s="1" t="s">
        <v>622</v>
      </c>
      <c r="O47" s="1" t="s">
        <v>622</v>
      </c>
      <c r="P47" s="1" t="s">
        <v>622</v>
      </c>
      <c r="Q47" s="1" t="s">
        <v>622</v>
      </c>
      <c r="R47" s="1" t="s">
        <v>622</v>
      </c>
      <c r="S47" s="1" t="s">
        <v>622</v>
      </c>
      <c r="T47" s="1" t="s">
        <v>622</v>
      </c>
      <c r="U47" s="1" t="s">
        <v>622</v>
      </c>
      <c r="V47" s="1" t="s">
        <v>622</v>
      </c>
      <c r="W47" s="1" t="s">
        <v>622</v>
      </c>
      <c r="X47" s="1" t="s">
        <v>622</v>
      </c>
      <c r="Y47" s="1" t="s">
        <v>622</v>
      </c>
      <c r="Z47" s="1" t="s">
        <v>622</v>
      </c>
      <c r="AA47" s="1" t="s">
        <v>622</v>
      </c>
      <c r="AB47" s="1" t="s">
        <v>622</v>
      </c>
      <c r="AC47" s="1" t="s">
        <v>622</v>
      </c>
      <c r="AD47" s="1" t="s">
        <v>622</v>
      </c>
      <c r="AE47" s="1" t="s">
        <v>622</v>
      </c>
      <c r="AF47" s="1" t="s">
        <v>622</v>
      </c>
      <c r="AG47" s="1" t="s">
        <v>622</v>
      </c>
      <c r="AH47" s="1" t="s">
        <v>622</v>
      </c>
      <c r="AI47" s="1" t="s">
        <v>622</v>
      </c>
      <c r="AJ47" s="1" t="s">
        <v>622</v>
      </c>
      <c r="AK47" s="1" t="s">
        <v>622</v>
      </c>
      <c r="AL47" s="1" t="s">
        <v>622</v>
      </c>
      <c r="AM47" s="1" t="s">
        <v>622</v>
      </c>
      <c r="AN47" s="1" t="s">
        <v>622</v>
      </c>
      <c r="AO47" s="1" t="s">
        <v>622</v>
      </c>
      <c r="AP47" s="1" t="s">
        <v>622</v>
      </c>
      <c r="AQ47" s="1" t="s">
        <v>622</v>
      </c>
      <c r="AR47" s="1" t="s">
        <v>622</v>
      </c>
      <c r="AS47" s="1" t="s">
        <v>622</v>
      </c>
      <c r="AT47" s="1" t="s">
        <v>622</v>
      </c>
      <c r="AU47" s="1" t="s">
        <v>622</v>
      </c>
      <c r="AV47" s="1" t="s">
        <v>622</v>
      </c>
      <c r="AW47" s="1" t="s">
        <v>622</v>
      </c>
      <c r="AX47" s="1" t="s">
        <v>622</v>
      </c>
      <c r="AY47" s="1" t="s">
        <v>622</v>
      </c>
      <c r="AZ47" s="1" t="s">
        <v>622</v>
      </c>
      <c r="BA47" s="1" t="s">
        <v>622</v>
      </c>
      <c r="BB47" s="1" t="s">
        <v>622</v>
      </c>
      <c r="BC47" s="1" t="s">
        <v>622</v>
      </c>
      <c r="BD47" s="1" t="s">
        <v>622</v>
      </c>
      <c r="BE47" s="1" t="s">
        <v>622</v>
      </c>
      <c r="BF47" s="1" t="s">
        <v>622</v>
      </c>
      <c r="BG47" s="1" t="s">
        <v>622</v>
      </c>
      <c r="BH47" s="1" t="s">
        <v>622</v>
      </c>
      <c r="BI47" s="1" t="s">
        <v>622</v>
      </c>
      <c r="BJ47" s="1" t="s">
        <v>622</v>
      </c>
      <c r="BK47" s="1" t="s">
        <v>622</v>
      </c>
      <c r="BL47" s="1" t="s">
        <v>622</v>
      </c>
      <c r="BM47" s="1" t="s">
        <v>622</v>
      </c>
      <c r="BN47" s="1" t="s">
        <v>622</v>
      </c>
      <c r="BO47" s="1" t="s">
        <v>622</v>
      </c>
      <c r="BP47" s="1" t="s">
        <v>622</v>
      </c>
      <c r="BQ47" s="1" t="s">
        <v>622</v>
      </c>
      <c r="BR47" s="1" t="s">
        <v>622</v>
      </c>
      <c r="BS47" s="1" t="s">
        <v>622</v>
      </c>
      <c r="BT47" s="1" t="s">
        <v>622</v>
      </c>
      <c r="BU47" s="1" t="s">
        <v>622</v>
      </c>
      <c r="BV47" s="1" t="s">
        <v>622</v>
      </c>
      <c r="BW47" s="1" t="s">
        <v>622</v>
      </c>
      <c r="BX47" s="1" t="s">
        <v>622</v>
      </c>
      <c r="BY47" s="1" t="s">
        <v>622</v>
      </c>
      <c r="BZ47" s="1" t="s">
        <v>622</v>
      </c>
      <c r="CA47" s="1" t="s">
        <v>622</v>
      </c>
      <c r="CB47" s="1" t="s">
        <v>622</v>
      </c>
      <c r="CC47" s="1" t="s">
        <v>622</v>
      </c>
      <c r="CD47" s="1" t="s">
        <v>622</v>
      </c>
      <c r="CE47" s="1" t="s">
        <v>622</v>
      </c>
      <c r="CF47" s="1" t="s">
        <v>622</v>
      </c>
      <c r="CG47" s="1" t="s">
        <v>622</v>
      </c>
    </row>
    <row r="48" spans="1:85" x14ac:dyDescent="0.3">
      <c r="A48" s="8" t="s">
        <v>626</v>
      </c>
      <c r="B48" s="1">
        <f>21257*(1)</f>
        <v>21257</v>
      </c>
      <c r="C48" s="1" t="s">
        <v>627</v>
      </c>
      <c r="D48" s="1">
        <f>0.077*(1)</f>
        <v>7.6999999999999999E-2</v>
      </c>
      <c r="E48" s="1" t="s">
        <v>104</v>
      </c>
      <c r="F48" s="1">
        <f>162246*(1)</f>
        <v>162246</v>
      </c>
      <c r="G48" s="1" t="s">
        <v>447</v>
      </c>
      <c r="H48" s="1">
        <f>0.17*(1)</f>
        <v>0.17</v>
      </c>
      <c r="I48" s="1" t="s">
        <v>73</v>
      </c>
      <c r="J48" s="1">
        <f>25592*(1)</f>
        <v>25592</v>
      </c>
      <c r="K48" s="1" t="s">
        <v>628</v>
      </c>
      <c r="L48" s="1">
        <f>0.055*(1)</f>
        <v>5.5E-2</v>
      </c>
      <c r="M48" s="1" t="s">
        <v>73</v>
      </c>
      <c r="N48" s="1">
        <f>31583*(1)</f>
        <v>31583</v>
      </c>
      <c r="O48" s="1" t="s">
        <v>207</v>
      </c>
      <c r="P48" s="1">
        <f>0.06*(1)</f>
        <v>0.06</v>
      </c>
      <c r="Q48" s="1" t="s">
        <v>84</v>
      </c>
      <c r="R48" s="1">
        <f>1061*(1)</f>
        <v>1061</v>
      </c>
      <c r="S48" s="1" t="s">
        <v>333</v>
      </c>
      <c r="T48" s="1">
        <f>0.011*(1)</f>
        <v>1.0999999999999999E-2</v>
      </c>
      <c r="U48" s="1" t="s">
        <v>104</v>
      </c>
      <c r="V48" s="1">
        <f>2299*(1)</f>
        <v>2299</v>
      </c>
      <c r="W48" s="1" t="s">
        <v>629</v>
      </c>
      <c r="X48" s="1">
        <f>0.015*(1)</f>
        <v>1.4999999999999999E-2</v>
      </c>
      <c r="Y48" s="1" t="s">
        <v>84</v>
      </c>
      <c r="Z48" s="1">
        <f>50518*(1)</f>
        <v>50518</v>
      </c>
      <c r="AA48" s="1" t="s">
        <v>309</v>
      </c>
      <c r="AB48" s="1">
        <f>0.059*(1)</f>
        <v>5.8999999999999997E-2</v>
      </c>
      <c r="AC48" s="1" t="s">
        <v>84</v>
      </c>
      <c r="AD48" s="1">
        <f>10522*(1)</f>
        <v>10522</v>
      </c>
      <c r="AE48" s="1" t="s">
        <v>630</v>
      </c>
      <c r="AF48" s="1">
        <f>0.035*(1)</f>
        <v>3.5000000000000003E-2</v>
      </c>
      <c r="AG48" s="1" t="s">
        <v>84</v>
      </c>
      <c r="AH48" s="1">
        <f>111820*(1)</f>
        <v>111820</v>
      </c>
      <c r="AI48" s="1" t="s">
        <v>631</v>
      </c>
      <c r="AJ48" s="1">
        <f>0.159*(1)</f>
        <v>0.159</v>
      </c>
      <c r="AK48" s="1" t="s">
        <v>104</v>
      </c>
      <c r="AL48" s="1">
        <f>5244*(1)</f>
        <v>5244</v>
      </c>
      <c r="AM48" s="1" t="s">
        <v>632</v>
      </c>
      <c r="AN48" s="1">
        <f>0.04*(1)</f>
        <v>0.04</v>
      </c>
      <c r="AO48" s="1" t="s">
        <v>81</v>
      </c>
      <c r="AP48" s="1">
        <f>48208*(1)</f>
        <v>48208</v>
      </c>
      <c r="AQ48" s="1" t="s">
        <v>633</v>
      </c>
      <c r="AR48" s="1">
        <f>0.125*(1)</f>
        <v>0.125</v>
      </c>
      <c r="AS48" s="1" t="s">
        <v>73</v>
      </c>
      <c r="AT48" s="1">
        <f>215960*(1)</f>
        <v>215960</v>
      </c>
      <c r="AU48" s="1" t="s">
        <v>634</v>
      </c>
      <c r="AV48" s="1">
        <f>0.251*(1)</f>
        <v>0.251</v>
      </c>
      <c r="AW48" s="1" t="s">
        <v>73</v>
      </c>
      <c r="AX48" s="1">
        <f>36159*(1)</f>
        <v>36159</v>
      </c>
      <c r="AY48" s="1" t="s">
        <v>635</v>
      </c>
      <c r="AZ48" s="1">
        <f>0.056*(1)</f>
        <v>5.6000000000000001E-2</v>
      </c>
      <c r="BA48" s="1" t="s">
        <v>84</v>
      </c>
      <c r="BB48" s="1">
        <f>53569*(1)</f>
        <v>53569</v>
      </c>
      <c r="BC48" s="1" t="s">
        <v>636</v>
      </c>
      <c r="BD48" s="1">
        <f>0.105*(1)</f>
        <v>0.105</v>
      </c>
      <c r="BE48" s="1" t="s">
        <v>106</v>
      </c>
      <c r="BF48" s="1">
        <f>11998*(1)</f>
        <v>11998</v>
      </c>
      <c r="BG48" s="1" t="s">
        <v>637</v>
      </c>
      <c r="BH48" s="1">
        <f>0.018*(1)</f>
        <v>1.7999999999999999E-2</v>
      </c>
      <c r="BI48" s="1" t="s">
        <v>84</v>
      </c>
      <c r="BJ48" s="1">
        <f>28836*(1)</f>
        <v>28836</v>
      </c>
      <c r="BK48" s="1" t="s">
        <v>638</v>
      </c>
      <c r="BL48" s="1">
        <f>0.056*(1)</f>
        <v>5.6000000000000001E-2</v>
      </c>
      <c r="BM48" s="1" t="s">
        <v>73</v>
      </c>
      <c r="BN48" s="1">
        <f>488*(1)</f>
        <v>488</v>
      </c>
      <c r="BO48" s="1" t="s">
        <v>639</v>
      </c>
      <c r="BP48" s="1">
        <f>0.008*(1)</f>
        <v>8.0000000000000002E-3</v>
      </c>
      <c r="BQ48" s="1" t="s">
        <v>81</v>
      </c>
      <c r="BR48" s="1">
        <f>68802*(1)</f>
        <v>68802</v>
      </c>
      <c r="BS48" s="1" t="s">
        <v>640</v>
      </c>
      <c r="BT48" s="1">
        <f>0.199*(1)</f>
        <v>0.19900000000000001</v>
      </c>
      <c r="BU48" s="1" t="s">
        <v>106</v>
      </c>
      <c r="BV48" s="1">
        <f>2359*(1)</f>
        <v>2359</v>
      </c>
      <c r="BW48" s="1" t="s">
        <v>235</v>
      </c>
      <c r="BX48" s="1">
        <f>0.016*(1)</f>
        <v>1.6E-2</v>
      </c>
      <c r="BY48" s="1" t="s">
        <v>73</v>
      </c>
      <c r="BZ48" s="1">
        <f>33345*(1)</f>
        <v>33345</v>
      </c>
      <c r="CA48" s="1" t="s">
        <v>641</v>
      </c>
      <c r="CB48" s="1">
        <f>0.058*(1)</f>
        <v>5.8000000000000003E-2</v>
      </c>
      <c r="CC48" s="1" t="s">
        <v>84</v>
      </c>
      <c r="CD48" s="1">
        <f>3189*(1)</f>
        <v>3189</v>
      </c>
      <c r="CE48" s="1" t="s">
        <v>642</v>
      </c>
      <c r="CF48" s="1">
        <f>0.029*(1)</f>
        <v>2.9000000000000001E-2</v>
      </c>
      <c r="CG48" s="1" t="s">
        <v>106</v>
      </c>
    </row>
    <row r="49" spans="1:85" x14ac:dyDescent="0.3">
      <c r="A49" s="9" t="s">
        <v>643</v>
      </c>
      <c r="B49" s="1">
        <f>5029*(1)</f>
        <v>5029</v>
      </c>
      <c r="C49" s="1" t="s">
        <v>644</v>
      </c>
      <c r="D49" s="1">
        <f>0.018*(1)</f>
        <v>1.7999999999999999E-2</v>
      </c>
      <c r="E49" s="1" t="s">
        <v>81</v>
      </c>
      <c r="F49" s="1">
        <f>37506*(1)</f>
        <v>37506</v>
      </c>
      <c r="G49" s="1" t="s">
        <v>645</v>
      </c>
      <c r="H49" s="1">
        <f>0.039*(1)</f>
        <v>3.9E-2</v>
      </c>
      <c r="I49" s="1" t="s">
        <v>106</v>
      </c>
      <c r="J49" s="1">
        <f>10417*(1)</f>
        <v>10417</v>
      </c>
      <c r="K49" s="1" t="s">
        <v>646</v>
      </c>
      <c r="L49" s="1">
        <f>0.022*(1)</f>
        <v>2.1999999999999999E-2</v>
      </c>
      <c r="M49" s="1" t="s">
        <v>106</v>
      </c>
      <c r="N49" s="1">
        <f>10068*(1)</f>
        <v>10068</v>
      </c>
      <c r="O49" s="1" t="s">
        <v>647</v>
      </c>
      <c r="P49" s="1">
        <f>0.019*(1)</f>
        <v>1.9E-2</v>
      </c>
      <c r="Q49" s="1" t="s">
        <v>106</v>
      </c>
      <c r="R49" s="1" t="s">
        <v>622</v>
      </c>
      <c r="S49" s="1" t="s">
        <v>622</v>
      </c>
      <c r="T49" s="1" t="s">
        <v>622</v>
      </c>
      <c r="U49" s="1" t="s">
        <v>622</v>
      </c>
      <c r="V49" s="1" t="s">
        <v>622</v>
      </c>
      <c r="W49" s="1" t="s">
        <v>622</v>
      </c>
      <c r="X49" s="1" t="s">
        <v>622</v>
      </c>
      <c r="Y49" s="1" t="s">
        <v>622</v>
      </c>
      <c r="Z49" s="1">
        <f>17076*(1)</f>
        <v>17076</v>
      </c>
      <c r="AA49" s="1" t="s">
        <v>648</v>
      </c>
      <c r="AB49" s="1">
        <f>0.02*(1)</f>
        <v>0.02</v>
      </c>
      <c r="AC49" s="1" t="s">
        <v>104</v>
      </c>
      <c r="AD49" s="1">
        <f>4461*(1)</f>
        <v>4461</v>
      </c>
      <c r="AE49" s="1" t="s">
        <v>649</v>
      </c>
      <c r="AF49" s="1">
        <f>0.015*(1)</f>
        <v>1.4999999999999999E-2</v>
      </c>
      <c r="AG49" s="1" t="s">
        <v>106</v>
      </c>
      <c r="AH49" s="1">
        <f>49556*(1)</f>
        <v>49556</v>
      </c>
      <c r="AI49" s="1" t="s">
        <v>650</v>
      </c>
      <c r="AJ49" s="1">
        <f>0.071*(1)</f>
        <v>7.0999999999999994E-2</v>
      </c>
      <c r="AK49" s="1" t="s">
        <v>99</v>
      </c>
      <c r="AL49" s="1" t="s">
        <v>622</v>
      </c>
      <c r="AM49" s="1" t="s">
        <v>622</v>
      </c>
      <c r="AN49" s="1" t="s">
        <v>622</v>
      </c>
      <c r="AO49" s="1" t="s">
        <v>622</v>
      </c>
      <c r="AP49" s="1">
        <f>26149*(1)</f>
        <v>26149</v>
      </c>
      <c r="AQ49" s="1" t="s">
        <v>651</v>
      </c>
      <c r="AR49" s="1">
        <f>0.068*(1)</f>
        <v>6.8000000000000005E-2</v>
      </c>
      <c r="AS49" s="1" t="s">
        <v>108</v>
      </c>
      <c r="AT49" s="1">
        <f>143070*(1)</f>
        <v>143070</v>
      </c>
      <c r="AU49" s="1" t="s">
        <v>652</v>
      </c>
      <c r="AV49" s="1">
        <f>0.166*(1)</f>
        <v>0.16600000000000001</v>
      </c>
      <c r="AW49" s="1" t="s">
        <v>108</v>
      </c>
      <c r="AX49" s="1">
        <f>14281*(1)</f>
        <v>14281</v>
      </c>
      <c r="AY49" s="1" t="s">
        <v>653</v>
      </c>
      <c r="AZ49" s="1">
        <f>0.022*(1)</f>
        <v>2.1999999999999999E-2</v>
      </c>
      <c r="BA49" s="1" t="s">
        <v>104</v>
      </c>
      <c r="BB49" s="1">
        <f>28750*(1)</f>
        <v>28750</v>
      </c>
      <c r="BC49" s="1" t="s">
        <v>654</v>
      </c>
      <c r="BD49" s="1">
        <f>0.056*(1)</f>
        <v>5.6000000000000001E-2</v>
      </c>
      <c r="BE49" s="1" t="s">
        <v>99</v>
      </c>
      <c r="BF49" s="1">
        <f>1634*(1)</f>
        <v>1634</v>
      </c>
      <c r="BG49" s="1" t="s">
        <v>655</v>
      </c>
      <c r="BH49" s="1">
        <f>0.003*(1)</f>
        <v>3.0000000000000001E-3</v>
      </c>
      <c r="BI49" s="1" t="s">
        <v>84</v>
      </c>
      <c r="BJ49" s="1">
        <f>13916*(1)</f>
        <v>13916</v>
      </c>
      <c r="BK49" s="1" t="s">
        <v>656</v>
      </c>
      <c r="BL49" s="1">
        <f>0.027*(1)</f>
        <v>2.7E-2</v>
      </c>
      <c r="BM49" s="1" t="s">
        <v>81</v>
      </c>
      <c r="BN49" s="1" t="s">
        <v>622</v>
      </c>
      <c r="BO49" s="1" t="s">
        <v>622</v>
      </c>
      <c r="BP49" s="1" t="s">
        <v>622</v>
      </c>
      <c r="BQ49" s="1" t="s">
        <v>622</v>
      </c>
      <c r="BR49" s="1">
        <f>40513*(1)</f>
        <v>40513</v>
      </c>
      <c r="BS49" s="1" t="s">
        <v>657</v>
      </c>
      <c r="BT49" s="1">
        <f>0.117*(1)</f>
        <v>0.11700000000000001</v>
      </c>
      <c r="BU49" s="1" t="s">
        <v>140</v>
      </c>
      <c r="BV49" s="1">
        <f>706*(1)</f>
        <v>706</v>
      </c>
      <c r="BW49" s="1" t="s">
        <v>658</v>
      </c>
      <c r="BX49" s="1">
        <f>0.005*(1)</f>
        <v>5.0000000000000001E-3</v>
      </c>
      <c r="BY49" s="1" t="s">
        <v>73</v>
      </c>
      <c r="BZ49" s="1">
        <f>10568*(1)</f>
        <v>10568</v>
      </c>
      <c r="CA49" s="1" t="s">
        <v>659</v>
      </c>
      <c r="CB49" s="1">
        <f>0.018*(1)</f>
        <v>1.7999999999999999E-2</v>
      </c>
      <c r="CC49" s="1" t="s">
        <v>104</v>
      </c>
      <c r="CD49" s="1" t="s">
        <v>622</v>
      </c>
      <c r="CE49" s="1" t="s">
        <v>622</v>
      </c>
      <c r="CF49" s="1" t="s">
        <v>622</v>
      </c>
      <c r="CG49" s="1" t="s">
        <v>622</v>
      </c>
    </row>
    <row r="50" spans="1:85" x14ac:dyDescent="0.3">
      <c r="A50" s="9" t="s">
        <v>660</v>
      </c>
      <c r="B50" s="1">
        <f>4354*(1)</f>
        <v>4354</v>
      </c>
      <c r="C50" s="1" t="s">
        <v>661</v>
      </c>
      <c r="D50" s="1">
        <f>0.016*(1)</f>
        <v>1.6E-2</v>
      </c>
      <c r="E50" s="1" t="s">
        <v>106</v>
      </c>
      <c r="F50" s="1">
        <f>20800*(1)</f>
        <v>20800</v>
      </c>
      <c r="G50" s="1" t="s">
        <v>662</v>
      </c>
      <c r="H50" s="1">
        <f>0.022*(1)</f>
        <v>2.1999999999999999E-2</v>
      </c>
      <c r="I50" s="1" t="s">
        <v>104</v>
      </c>
      <c r="J50" s="1">
        <f>3160*(1)</f>
        <v>3160</v>
      </c>
      <c r="K50" s="1" t="s">
        <v>663</v>
      </c>
      <c r="L50" s="1">
        <f>0.007*(1)</f>
        <v>7.0000000000000001E-3</v>
      </c>
      <c r="M50" s="1" t="s">
        <v>73</v>
      </c>
      <c r="N50" s="1">
        <f>3681*(1)</f>
        <v>3681</v>
      </c>
      <c r="O50" s="1" t="s">
        <v>210</v>
      </c>
      <c r="P50" s="1">
        <f>0.007*(1)</f>
        <v>7.0000000000000001E-3</v>
      </c>
      <c r="Q50" s="1" t="s">
        <v>84</v>
      </c>
      <c r="R50" s="1" t="s">
        <v>622</v>
      </c>
      <c r="S50" s="1" t="s">
        <v>622</v>
      </c>
      <c r="T50" s="1" t="s">
        <v>622</v>
      </c>
      <c r="U50" s="1" t="s">
        <v>622</v>
      </c>
      <c r="V50" s="1" t="s">
        <v>622</v>
      </c>
      <c r="W50" s="1" t="s">
        <v>622</v>
      </c>
      <c r="X50" s="1" t="s">
        <v>622</v>
      </c>
      <c r="Y50" s="1" t="s">
        <v>622</v>
      </c>
      <c r="Z50" s="1">
        <f>9966*(1)</f>
        <v>9966</v>
      </c>
      <c r="AA50" s="1" t="s">
        <v>664</v>
      </c>
      <c r="AB50" s="1">
        <f>0.012*(1)</f>
        <v>1.2E-2</v>
      </c>
      <c r="AC50" s="1" t="s">
        <v>73</v>
      </c>
      <c r="AD50" s="1">
        <f>920*(1)</f>
        <v>920</v>
      </c>
      <c r="AE50" s="1" t="s">
        <v>665</v>
      </c>
      <c r="AF50" s="1">
        <f>0.003*(1)</f>
        <v>3.0000000000000001E-3</v>
      </c>
      <c r="AG50" s="1" t="s">
        <v>84</v>
      </c>
      <c r="AH50" s="1">
        <f>23077*(1)</f>
        <v>23077</v>
      </c>
      <c r="AI50" s="1" t="s">
        <v>666</v>
      </c>
      <c r="AJ50" s="1">
        <f>0.033*(1)</f>
        <v>3.3000000000000002E-2</v>
      </c>
      <c r="AK50" s="1" t="s">
        <v>106</v>
      </c>
      <c r="AL50" s="1" t="s">
        <v>622</v>
      </c>
      <c r="AM50" s="1" t="s">
        <v>622</v>
      </c>
      <c r="AN50" s="1" t="s">
        <v>622</v>
      </c>
      <c r="AO50" s="1" t="s">
        <v>622</v>
      </c>
      <c r="AP50" s="1">
        <f>9408*(1)</f>
        <v>9408</v>
      </c>
      <c r="AQ50" s="1" t="s">
        <v>667</v>
      </c>
      <c r="AR50" s="1">
        <f>0.024*(1)</f>
        <v>2.4E-2</v>
      </c>
      <c r="AS50" s="1" t="s">
        <v>81</v>
      </c>
      <c r="AT50" s="1">
        <f>31733*(1)</f>
        <v>31733</v>
      </c>
      <c r="AU50" s="1" t="s">
        <v>668</v>
      </c>
      <c r="AV50" s="1">
        <f>0.037*(1)</f>
        <v>3.6999999999999998E-2</v>
      </c>
      <c r="AW50" s="1" t="s">
        <v>106</v>
      </c>
      <c r="AX50" s="1">
        <f>8964*(1)</f>
        <v>8964</v>
      </c>
      <c r="AY50" s="1" t="s">
        <v>669</v>
      </c>
      <c r="AZ50" s="1">
        <f>0.014*(1)</f>
        <v>1.4E-2</v>
      </c>
      <c r="BA50" s="1" t="s">
        <v>104</v>
      </c>
      <c r="BB50" s="1">
        <f>14233*(1)</f>
        <v>14233</v>
      </c>
      <c r="BC50" s="1" t="s">
        <v>670</v>
      </c>
      <c r="BD50" s="1">
        <f>0.028*(1)</f>
        <v>2.8000000000000001E-2</v>
      </c>
      <c r="BE50" s="1" t="s">
        <v>104</v>
      </c>
      <c r="BF50" s="1">
        <f>2121*(1)</f>
        <v>2121</v>
      </c>
      <c r="BG50" s="1" t="s">
        <v>671</v>
      </c>
      <c r="BH50" s="1">
        <f>0.003*(1)</f>
        <v>3.0000000000000001E-3</v>
      </c>
      <c r="BI50" s="1" t="s">
        <v>84</v>
      </c>
      <c r="BJ50" s="1">
        <f>2919*(1)</f>
        <v>2919</v>
      </c>
      <c r="BK50" s="1" t="s">
        <v>672</v>
      </c>
      <c r="BL50" s="1">
        <f>0.006*(1)</f>
        <v>6.0000000000000001E-3</v>
      </c>
      <c r="BM50" s="1" t="s">
        <v>84</v>
      </c>
      <c r="BN50" s="1" t="s">
        <v>622</v>
      </c>
      <c r="BO50" s="1" t="s">
        <v>622</v>
      </c>
      <c r="BP50" s="1" t="s">
        <v>622</v>
      </c>
      <c r="BQ50" s="1" t="s">
        <v>622</v>
      </c>
      <c r="BR50" s="1">
        <f>17004*(1)</f>
        <v>17004</v>
      </c>
      <c r="BS50" s="1" t="s">
        <v>673</v>
      </c>
      <c r="BT50" s="1">
        <f>0.049*(1)</f>
        <v>4.9000000000000002E-2</v>
      </c>
      <c r="BU50" s="1" t="s">
        <v>127</v>
      </c>
      <c r="BV50" s="1">
        <f>275*(1)</f>
        <v>275</v>
      </c>
      <c r="BW50" s="1" t="s">
        <v>674</v>
      </c>
      <c r="BX50" s="1">
        <f>0.002*(1)</f>
        <v>2E-3</v>
      </c>
      <c r="BY50" s="1" t="s">
        <v>84</v>
      </c>
      <c r="BZ50" s="1">
        <f>8899*(1)</f>
        <v>8899</v>
      </c>
      <c r="CA50" s="1" t="s">
        <v>675</v>
      </c>
      <c r="CB50" s="1">
        <f>0.016*(1)</f>
        <v>1.6E-2</v>
      </c>
      <c r="CC50" s="1" t="s">
        <v>73</v>
      </c>
      <c r="CD50" s="1" t="s">
        <v>622</v>
      </c>
      <c r="CE50" s="1" t="s">
        <v>622</v>
      </c>
      <c r="CF50" s="1" t="s">
        <v>622</v>
      </c>
      <c r="CG50" s="1" t="s">
        <v>622</v>
      </c>
    </row>
    <row r="51" spans="1:85" x14ac:dyDescent="0.3">
      <c r="A51" s="9" t="s">
        <v>676</v>
      </c>
      <c r="B51" s="1">
        <f>1690*(1)</f>
        <v>1690</v>
      </c>
      <c r="C51" s="1" t="s">
        <v>677</v>
      </c>
      <c r="D51" s="1">
        <f>0.006*(1)</f>
        <v>6.0000000000000001E-3</v>
      </c>
      <c r="E51" s="1" t="s">
        <v>73</v>
      </c>
      <c r="F51" s="1">
        <f>26623*(1)</f>
        <v>26623</v>
      </c>
      <c r="G51" s="1" t="s">
        <v>678</v>
      </c>
      <c r="H51" s="1">
        <f>0.028*(1)</f>
        <v>2.8000000000000001E-2</v>
      </c>
      <c r="I51" s="1" t="s">
        <v>106</v>
      </c>
      <c r="J51" s="1">
        <f>4076*(1)</f>
        <v>4076</v>
      </c>
      <c r="K51" s="1" t="s">
        <v>679</v>
      </c>
      <c r="L51" s="1">
        <f>0.009*(1)</f>
        <v>8.9999999999999993E-3</v>
      </c>
      <c r="M51" s="1" t="s">
        <v>73</v>
      </c>
      <c r="N51" s="1">
        <f>5216*(1)</f>
        <v>5216</v>
      </c>
      <c r="O51" s="1" t="s">
        <v>680</v>
      </c>
      <c r="P51" s="1">
        <f>0.01*(1)</f>
        <v>0.01</v>
      </c>
      <c r="Q51" s="1" t="s">
        <v>104</v>
      </c>
      <c r="R51" s="1" t="s">
        <v>622</v>
      </c>
      <c r="S51" s="1" t="s">
        <v>622</v>
      </c>
      <c r="T51" s="1" t="s">
        <v>622</v>
      </c>
      <c r="U51" s="1" t="s">
        <v>622</v>
      </c>
      <c r="V51" s="1" t="s">
        <v>622</v>
      </c>
      <c r="W51" s="1" t="s">
        <v>622</v>
      </c>
      <c r="X51" s="1" t="s">
        <v>622</v>
      </c>
      <c r="Y51" s="1" t="s">
        <v>622</v>
      </c>
      <c r="Z51" s="1">
        <f>10235*(1)</f>
        <v>10235</v>
      </c>
      <c r="AA51" s="1" t="s">
        <v>448</v>
      </c>
      <c r="AB51" s="1">
        <f>0.012*(1)</f>
        <v>1.2E-2</v>
      </c>
      <c r="AC51" s="1" t="s">
        <v>73</v>
      </c>
      <c r="AD51" s="1">
        <f>700*(1)</f>
        <v>700</v>
      </c>
      <c r="AE51" s="1" t="s">
        <v>681</v>
      </c>
      <c r="AF51" s="1">
        <f>0.002*(1)</f>
        <v>2E-3</v>
      </c>
      <c r="AG51" s="1" t="s">
        <v>84</v>
      </c>
      <c r="AH51" s="1">
        <f>20881*(1)</f>
        <v>20881</v>
      </c>
      <c r="AI51" s="1" t="s">
        <v>682</v>
      </c>
      <c r="AJ51" s="1">
        <f>0.03*(1)</f>
        <v>0.03</v>
      </c>
      <c r="AK51" s="1" t="s">
        <v>104</v>
      </c>
      <c r="AL51" s="1" t="s">
        <v>622</v>
      </c>
      <c r="AM51" s="1" t="s">
        <v>622</v>
      </c>
      <c r="AN51" s="1" t="s">
        <v>622</v>
      </c>
      <c r="AO51" s="1" t="s">
        <v>622</v>
      </c>
      <c r="AP51" s="1">
        <f>4086*(1)</f>
        <v>4086</v>
      </c>
      <c r="AQ51" s="1" t="s">
        <v>683</v>
      </c>
      <c r="AR51" s="1">
        <f>0.011*(1)</f>
        <v>1.0999999999999999E-2</v>
      </c>
      <c r="AS51" s="1" t="s">
        <v>106</v>
      </c>
      <c r="AT51" s="1">
        <f>14411*(1)</f>
        <v>14411</v>
      </c>
      <c r="AU51" s="1" t="s">
        <v>684</v>
      </c>
      <c r="AV51" s="1">
        <f>0.017*(1)</f>
        <v>1.7000000000000001E-2</v>
      </c>
      <c r="AW51" s="1" t="s">
        <v>73</v>
      </c>
      <c r="AX51" s="1">
        <f>5949*(1)</f>
        <v>5949</v>
      </c>
      <c r="AY51" s="1" t="s">
        <v>685</v>
      </c>
      <c r="AZ51" s="1">
        <f>0.009*(1)</f>
        <v>8.9999999999999993E-3</v>
      </c>
      <c r="BA51" s="1" t="s">
        <v>73</v>
      </c>
      <c r="BB51" s="1">
        <f>4111*(1)</f>
        <v>4111</v>
      </c>
      <c r="BC51" s="1" t="s">
        <v>686</v>
      </c>
      <c r="BD51" s="1">
        <f>0.008*(1)</f>
        <v>8.0000000000000002E-3</v>
      </c>
      <c r="BE51" s="1" t="s">
        <v>73</v>
      </c>
      <c r="BF51" s="1">
        <f>2680*(1)</f>
        <v>2680</v>
      </c>
      <c r="BG51" s="1" t="s">
        <v>687</v>
      </c>
      <c r="BH51" s="1">
        <f>0.004*(1)</f>
        <v>4.0000000000000001E-3</v>
      </c>
      <c r="BI51" s="1" t="s">
        <v>84</v>
      </c>
      <c r="BJ51" s="1">
        <f>4464*(1)</f>
        <v>4464</v>
      </c>
      <c r="BK51" s="1" t="s">
        <v>688</v>
      </c>
      <c r="BL51" s="1">
        <f>0.009*(1)</f>
        <v>8.9999999999999993E-3</v>
      </c>
      <c r="BM51" s="1" t="s">
        <v>73</v>
      </c>
      <c r="BN51" s="1" t="s">
        <v>622</v>
      </c>
      <c r="BO51" s="1" t="s">
        <v>622</v>
      </c>
      <c r="BP51" s="1" t="s">
        <v>622</v>
      </c>
      <c r="BQ51" s="1" t="s">
        <v>622</v>
      </c>
      <c r="BR51" s="1">
        <f>4228*(1)</f>
        <v>4228</v>
      </c>
      <c r="BS51" s="1" t="s">
        <v>689</v>
      </c>
      <c r="BT51" s="1">
        <f>0.012*(1)</f>
        <v>1.2E-2</v>
      </c>
      <c r="BU51" s="1" t="s">
        <v>106</v>
      </c>
      <c r="BV51" s="1">
        <f>669*(1)</f>
        <v>669</v>
      </c>
      <c r="BW51" s="1" t="s">
        <v>527</v>
      </c>
      <c r="BX51" s="1">
        <f>0.005*(1)</f>
        <v>5.0000000000000001E-3</v>
      </c>
      <c r="BY51" s="1" t="s">
        <v>73</v>
      </c>
      <c r="BZ51" s="1">
        <f>7446*(1)</f>
        <v>7446</v>
      </c>
      <c r="CA51" s="1" t="s">
        <v>690</v>
      </c>
      <c r="CB51" s="1">
        <f>0.013*(1)</f>
        <v>1.2999999999999999E-2</v>
      </c>
      <c r="CC51" s="1" t="s">
        <v>104</v>
      </c>
      <c r="CD51" s="1" t="s">
        <v>622</v>
      </c>
      <c r="CE51" s="1" t="s">
        <v>622</v>
      </c>
      <c r="CF51" s="1" t="s">
        <v>622</v>
      </c>
      <c r="CG51" s="1" t="s">
        <v>622</v>
      </c>
    </row>
    <row r="52" spans="1:85" x14ac:dyDescent="0.3">
      <c r="A52" s="9" t="s">
        <v>691</v>
      </c>
      <c r="B52" s="1">
        <f>56*(1)</f>
        <v>56</v>
      </c>
      <c r="C52" s="1" t="s">
        <v>692</v>
      </c>
      <c r="D52" s="1">
        <f>0*(1)</f>
        <v>0</v>
      </c>
      <c r="E52" s="1" t="s">
        <v>75</v>
      </c>
      <c r="F52" s="1">
        <f>4520*(1)</f>
        <v>4520</v>
      </c>
      <c r="G52" s="1" t="s">
        <v>693</v>
      </c>
      <c r="H52" s="1">
        <f>0.005*(1)</f>
        <v>5.0000000000000001E-3</v>
      </c>
      <c r="I52" s="1" t="s">
        <v>84</v>
      </c>
      <c r="J52" s="1">
        <f>267*(1)</f>
        <v>267</v>
      </c>
      <c r="K52" s="1" t="s">
        <v>694</v>
      </c>
      <c r="L52" s="1">
        <f>0.001*(1)</f>
        <v>1E-3</v>
      </c>
      <c r="M52" s="1" t="s">
        <v>75</v>
      </c>
      <c r="N52" s="1">
        <f>905*(1)</f>
        <v>905</v>
      </c>
      <c r="O52" s="1" t="s">
        <v>327</v>
      </c>
      <c r="P52" s="1">
        <f>0.002*(1)</f>
        <v>2E-3</v>
      </c>
      <c r="Q52" s="1" t="s">
        <v>75</v>
      </c>
      <c r="R52" s="1" t="s">
        <v>622</v>
      </c>
      <c r="S52" s="1" t="s">
        <v>622</v>
      </c>
      <c r="T52" s="1" t="s">
        <v>622</v>
      </c>
      <c r="U52" s="1" t="s">
        <v>622</v>
      </c>
      <c r="V52" s="1" t="s">
        <v>622</v>
      </c>
      <c r="W52" s="1" t="s">
        <v>622</v>
      </c>
      <c r="X52" s="1" t="s">
        <v>622</v>
      </c>
      <c r="Y52" s="1" t="s">
        <v>622</v>
      </c>
      <c r="Z52" s="1">
        <f>724*(1)</f>
        <v>724</v>
      </c>
      <c r="AA52" s="1" t="s">
        <v>695</v>
      </c>
      <c r="AB52" s="1">
        <f>0.001*(1)</f>
        <v>1E-3</v>
      </c>
      <c r="AC52" s="1" t="s">
        <v>75</v>
      </c>
      <c r="AD52" s="1">
        <f>259*(1)</f>
        <v>259</v>
      </c>
      <c r="AE52" s="1" t="s">
        <v>519</v>
      </c>
      <c r="AF52" s="1">
        <f>0.001*(1)</f>
        <v>1E-3</v>
      </c>
      <c r="AG52" s="1" t="s">
        <v>75</v>
      </c>
      <c r="AH52" s="1">
        <f>1409*(1)</f>
        <v>1409</v>
      </c>
      <c r="AI52" s="1" t="s">
        <v>696</v>
      </c>
      <c r="AJ52" s="1">
        <f>0.002*(1)</f>
        <v>2E-3</v>
      </c>
      <c r="AK52" s="1" t="s">
        <v>75</v>
      </c>
      <c r="AL52" s="1" t="s">
        <v>622</v>
      </c>
      <c r="AM52" s="1" t="s">
        <v>622</v>
      </c>
      <c r="AN52" s="1" t="s">
        <v>622</v>
      </c>
      <c r="AO52" s="1" t="s">
        <v>622</v>
      </c>
      <c r="AP52" s="1">
        <f>490*(1)</f>
        <v>490</v>
      </c>
      <c r="AQ52" s="1" t="s">
        <v>697</v>
      </c>
      <c r="AR52" s="1">
        <f>0.001*(1)</f>
        <v>1E-3</v>
      </c>
      <c r="AS52" s="1" t="s">
        <v>75</v>
      </c>
      <c r="AT52" s="1">
        <f>822*(1)</f>
        <v>822</v>
      </c>
      <c r="AU52" s="1" t="s">
        <v>698</v>
      </c>
      <c r="AV52" s="1">
        <f>0.001*(1)</f>
        <v>1E-3</v>
      </c>
      <c r="AW52" s="1" t="s">
        <v>75</v>
      </c>
      <c r="AX52" s="1">
        <f>98*(1)</f>
        <v>98</v>
      </c>
      <c r="AY52" s="1" t="s">
        <v>699</v>
      </c>
      <c r="AZ52" s="1">
        <f>0*(1)</f>
        <v>0</v>
      </c>
      <c r="BA52" s="1" t="s">
        <v>75</v>
      </c>
      <c r="BB52" s="1">
        <f>310*(1)</f>
        <v>310</v>
      </c>
      <c r="BC52" s="1" t="s">
        <v>700</v>
      </c>
      <c r="BD52" s="1">
        <f>0.001*(1)</f>
        <v>1E-3</v>
      </c>
      <c r="BE52" s="1" t="s">
        <v>75</v>
      </c>
      <c r="BF52" s="1">
        <f>543*(1)</f>
        <v>543</v>
      </c>
      <c r="BG52" s="1" t="s">
        <v>701</v>
      </c>
      <c r="BH52" s="1">
        <f>0.001*(1)</f>
        <v>1E-3</v>
      </c>
      <c r="BI52" s="1" t="s">
        <v>75</v>
      </c>
      <c r="BJ52" s="1">
        <f>702*(1)</f>
        <v>702</v>
      </c>
      <c r="BK52" s="1" t="s">
        <v>702</v>
      </c>
      <c r="BL52" s="1">
        <f>0.001*(1)</f>
        <v>1E-3</v>
      </c>
      <c r="BM52" s="1" t="s">
        <v>75</v>
      </c>
      <c r="BN52" s="1" t="s">
        <v>622</v>
      </c>
      <c r="BO52" s="1" t="s">
        <v>622</v>
      </c>
      <c r="BP52" s="1" t="s">
        <v>622</v>
      </c>
      <c r="BQ52" s="1" t="s">
        <v>622</v>
      </c>
      <c r="BR52" s="1">
        <f>0*(1)</f>
        <v>0</v>
      </c>
      <c r="BS52" s="1" t="s">
        <v>258</v>
      </c>
      <c r="BT52" s="1">
        <f>0*(1)</f>
        <v>0</v>
      </c>
      <c r="BU52" s="1" t="s">
        <v>75</v>
      </c>
      <c r="BV52" s="1">
        <f>176*(1)</f>
        <v>176</v>
      </c>
      <c r="BW52" s="1" t="s">
        <v>703</v>
      </c>
      <c r="BX52" s="1">
        <f>0.001*(1)</f>
        <v>1E-3</v>
      </c>
      <c r="BY52" s="1" t="s">
        <v>84</v>
      </c>
      <c r="BZ52" s="1">
        <f>233*(1)</f>
        <v>233</v>
      </c>
      <c r="CA52" s="1" t="s">
        <v>704</v>
      </c>
      <c r="CB52" s="1">
        <f>0*(1)</f>
        <v>0</v>
      </c>
      <c r="CC52" s="1" t="s">
        <v>75</v>
      </c>
      <c r="CD52" s="1" t="s">
        <v>622</v>
      </c>
      <c r="CE52" s="1" t="s">
        <v>622</v>
      </c>
      <c r="CF52" s="1" t="s">
        <v>622</v>
      </c>
      <c r="CG52" s="1" t="s">
        <v>622</v>
      </c>
    </row>
    <row r="53" spans="1:85" x14ac:dyDescent="0.3">
      <c r="A53" s="9" t="s">
        <v>705</v>
      </c>
      <c r="B53" s="1">
        <f>1623*(1)</f>
        <v>1623</v>
      </c>
      <c r="C53" s="1" t="s">
        <v>706</v>
      </c>
      <c r="D53" s="1">
        <f>0.006*(1)</f>
        <v>6.0000000000000001E-3</v>
      </c>
      <c r="E53" s="1" t="s">
        <v>104</v>
      </c>
      <c r="F53" s="1">
        <f>61028*(1)</f>
        <v>61028</v>
      </c>
      <c r="G53" s="1" t="s">
        <v>707</v>
      </c>
      <c r="H53" s="1">
        <f>0.064*(1)</f>
        <v>6.4000000000000001E-2</v>
      </c>
      <c r="I53" s="1" t="s">
        <v>81</v>
      </c>
      <c r="J53" s="1">
        <f>2021*(1)</f>
        <v>2021</v>
      </c>
      <c r="K53" s="1" t="s">
        <v>708</v>
      </c>
      <c r="L53" s="1">
        <f>0.004*(1)</f>
        <v>4.0000000000000001E-3</v>
      </c>
      <c r="M53" s="1" t="s">
        <v>84</v>
      </c>
      <c r="N53" s="1">
        <f>2091*(1)</f>
        <v>2091</v>
      </c>
      <c r="O53" s="1" t="s">
        <v>709</v>
      </c>
      <c r="P53" s="1">
        <f>0.004*(1)</f>
        <v>4.0000000000000001E-3</v>
      </c>
      <c r="Q53" s="1" t="s">
        <v>84</v>
      </c>
      <c r="R53" s="1" t="s">
        <v>622</v>
      </c>
      <c r="S53" s="1" t="s">
        <v>622</v>
      </c>
      <c r="T53" s="1" t="s">
        <v>622</v>
      </c>
      <c r="U53" s="1" t="s">
        <v>622</v>
      </c>
      <c r="V53" s="1" t="s">
        <v>622</v>
      </c>
      <c r="W53" s="1" t="s">
        <v>622</v>
      </c>
      <c r="X53" s="1" t="s">
        <v>622</v>
      </c>
      <c r="Y53" s="1" t="s">
        <v>622</v>
      </c>
      <c r="Z53" s="1">
        <f>4517*(1)</f>
        <v>4517</v>
      </c>
      <c r="AA53" s="1" t="s">
        <v>710</v>
      </c>
      <c r="AB53" s="1">
        <f>0.005*(1)</f>
        <v>5.0000000000000001E-3</v>
      </c>
      <c r="AC53" s="1" t="s">
        <v>84</v>
      </c>
      <c r="AD53" s="1">
        <f>484*(1)</f>
        <v>484</v>
      </c>
      <c r="AE53" s="1" t="s">
        <v>97</v>
      </c>
      <c r="AF53" s="1">
        <f>0.002*(1)</f>
        <v>2E-3</v>
      </c>
      <c r="AG53" s="1" t="s">
        <v>75</v>
      </c>
      <c r="AH53" s="1">
        <f>6713*(1)</f>
        <v>6713</v>
      </c>
      <c r="AI53" s="1" t="s">
        <v>711</v>
      </c>
      <c r="AJ53" s="1">
        <f>0.01*(1)</f>
        <v>0.01</v>
      </c>
      <c r="AK53" s="1" t="s">
        <v>73</v>
      </c>
      <c r="AL53" s="1" t="s">
        <v>622</v>
      </c>
      <c r="AM53" s="1" t="s">
        <v>622</v>
      </c>
      <c r="AN53" s="1" t="s">
        <v>622</v>
      </c>
      <c r="AO53" s="1" t="s">
        <v>622</v>
      </c>
      <c r="AP53" s="1">
        <f>3537*(1)</f>
        <v>3537</v>
      </c>
      <c r="AQ53" s="1" t="s">
        <v>416</v>
      </c>
      <c r="AR53" s="1">
        <f>0.009*(1)</f>
        <v>8.9999999999999993E-3</v>
      </c>
      <c r="AS53" s="1" t="s">
        <v>104</v>
      </c>
      <c r="AT53" s="1">
        <f>5048*(1)</f>
        <v>5048</v>
      </c>
      <c r="AU53" s="1" t="s">
        <v>635</v>
      </c>
      <c r="AV53" s="1">
        <f>0.006*(1)</f>
        <v>6.0000000000000001E-3</v>
      </c>
      <c r="AW53" s="1" t="s">
        <v>84</v>
      </c>
      <c r="AX53" s="1">
        <f>2796*(1)</f>
        <v>2796</v>
      </c>
      <c r="AY53" s="1" t="s">
        <v>589</v>
      </c>
      <c r="AZ53" s="1">
        <f>0.004*(1)</f>
        <v>4.0000000000000001E-3</v>
      </c>
      <c r="BA53" s="1" t="s">
        <v>84</v>
      </c>
      <c r="BB53" s="1">
        <f>2487*(1)</f>
        <v>2487</v>
      </c>
      <c r="BC53" s="1" t="s">
        <v>712</v>
      </c>
      <c r="BD53" s="1">
        <f>0.005*(1)</f>
        <v>5.0000000000000001E-3</v>
      </c>
      <c r="BE53" s="1" t="s">
        <v>84</v>
      </c>
      <c r="BF53" s="1">
        <f>1404*(1)</f>
        <v>1404</v>
      </c>
      <c r="BG53" s="1" t="s">
        <v>713</v>
      </c>
      <c r="BH53" s="1">
        <f>0.002*(1)</f>
        <v>2E-3</v>
      </c>
      <c r="BI53" s="1" t="s">
        <v>75</v>
      </c>
      <c r="BJ53" s="1">
        <f>2160*(1)</f>
        <v>2160</v>
      </c>
      <c r="BK53" s="1" t="s">
        <v>714</v>
      </c>
      <c r="BL53" s="1">
        <f>0.004*(1)</f>
        <v>4.0000000000000001E-3</v>
      </c>
      <c r="BM53" s="1" t="s">
        <v>73</v>
      </c>
      <c r="BN53" s="1" t="s">
        <v>622</v>
      </c>
      <c r="BO53" s="1" t="s">
        <v>622</v>
      </c>
      <c r="BP53" s="1" t="s">
        <v>622</v>
      </c>
      <c r="BQ53" s="1" t="s">
        <v>622</v>
      </c>
      <c r="BR53" s="1">
        <f>714*(1)</f>
        <v>714</v>
      </c>
      <c r="BS53" s="1" t="s">
        <v>96</v>
      </c>
      <c r="BT53" s="1">
        <f>0.002*(1)</f>
        <v>2E-3</v>
      </c>
      <c r="BU53" s="1" t="s">
        <v>75</v>
      </c>
      <c r="BV53" s="1">
        <f>64*(1)</f>
        <v>64</v>
      </c>
      <c r="BW53" s="1" t="s">
        <v>715</v>
      </c>
      <c r="BX53" s="1">
        <f>0*(1)</f>
        <v>0</v>
      </c>
      <c r="BY53" s="1" t="s">
        <v>75</v>
      </c>
      <c r="BZ53" s="1">
        <f>1157*(1)</f>
        <v>1157</v>
      </c>
      <c r="CA53" s="1" t="s">
        <v>716</v>
      </c>
      <c r="CB53" s="1">
        <f>0.002*(1)</f>
        <v>2E-3</v>
      </c>
      <c r="CC53" s="1" t="s">
        <v>75</v>
      </c>
      <c r="CD53" s="1" t="s">
        <v>622</v>
      </c>
      <c r="CE53" s="1" t="s">
        <v>622</v>
      </c>
      <c r="CF53" s="1" t="s">
        <v>622</v>
      </c>
      <c r="CG53" s="1" t="s">
        <v>622</v>
      </c>
    </row>
    <row r="54" spans="1:85" x14ac:dyDescent="0.3">
      <c r="A54" s="9" t="s">
        <v>717</v>
      </c>
      <c r="B54" s="1">
        <f>2298*(1)</f>
        <v>2298</v>
      </c>
      <c r="C54" s="1" t="s">
        <v>230</v>
      </c>
      <c r="D54" s="1">
        <f>0.008*(1)</f>
        <v>8.0000000000000002E-3</v>
      </c>
      <c r="E54" s="1" t="s">
        <v>104</v>
      </c>
      <c r="F54" s="1">
        <f>967*(1)</f>
        <v>967</v>
      </c>
      <c r="G54" s="1" t="s">
        <v>718</v>
      </c>
      <c r="H54" s="1">
        <f>0.001*(1)</f>
        <v>1E-3</v>
      </c>
      <c r="I54" s="1" t="s">
        <v>75</v>
      </c>
      <c r="J54" s="1">
        <f>1201*(1)</f>
        <v>1201</v>
      </c>
      <c r="K54" s="1" t="s">
        <v>347</v>
      </c>
      <c r="L54" s="1">
        <f>0.003*(1)</f>
        <v>3.0000000000000001E-3</v>
      </c>
      <c r="M54" s="1" t="s">
        <v>84</v>
      </c>
      <c r="N54" s="1">
        <f>4558*(1)</f>
        <v>4558</v>
      </c>
      <c r="O54" s="1" t="s">
        <v>288</v>
      </c>
      <c r="P54" s="1">
        <f>0.009*(1)</f>
        <v>8.9999999999999993E-3</v>
      </c>
      <c r="Q54" s="1" t="s">
        <v>73</v>
      </c>
      <c r="R54" s="1" t="s">
        <v>622</v>
      </c>
      <c r="S54" s="1" t="s">
        <v>622</v>
      </c>
      <c r="T54" s="1" t="s">
        <v>622</v>
      </c>
      <c r="U54" s="1" t="s">
        <v>622</v>
      </c>
      <c r="V54" s="1" t="s">
        <v>622</v>
      </c>
      <c r="W54" s="1" t="s">
        <v>622</v>
      </c>
      <c r="X54" s="1" t="s">
        <v>622</v>
      </c>
      <c r="Y54" s="1" t="s">
        <v>622</v>
      </c>
      <c r="Z54" s="1">
        <f>1387*(1)</f>
        <v>1387</v>
      </c>
      <c r="AA54" s="1" t="s">
        <v>719</v>
      </c>
      <c r="AB54" s="1">
        <f>0.002*(1)</f>
        <v>2E-3</v>
      </c>
      <c r="AC54" s="1" t="s">
        <v>75</v>
      </c>
      <c r="AD54" s="1">
        <f>254*(1)</f>
        <v>254</v>
      </c>
      <c r="AE54" s="1" t="s">
        <v>508</v>
      </c>
      <c r="AF54" s="1">
        <f>0.001*(1)</f>
        <v>1E-3</v>
      </c>
      <c r="AG54" s="1" t="s">
        <v>75</v>
      </c>
      <c r="AH54" s="1">
        <f>2564*(1)</f>
        <v>2564</v>
      </c>
      <c r="AI54" s="1" t="s">
        <v>720</v>
      </c>
      <c r="AJ54" s="1">
        <f>0.004*(1)</f>
        <v>4.0000000000000001E-3</v>
      </c>
      <c r="AK54" s="1" t="s">
        <v>84</v>
      </c>
      <c r="AL54" s="1" t="s">
        <v>622</v>
      </c>
      <c r="AM54" s="1" t="s">
        <v>622</v>
      </c>
      <c r="AN54" s="1" t="s">
        <v>622</v>
      </c>
      <c r="AO54" s="1" t="s">
        <v>622</v>
      </c>
      <c r="AP54" s="1">
        <f>540*(1)</f>
        <v>540</v>
      </c>
      <c r="AQ54" s="1" t="s">
        <v>721</v>
      </c>
      <c r="AR54" s="1">
        <f>0.001*(1)</f>
        <v>1E-3</v>
      </c>
      <c r="AS54" s="1" t="s">
        <v>84</v>
      </c>
      <c r="AT54" s="1">
        <f>3228*(1)</f>
        <v>3228</v>
      </c>
      <c r="AU54" s="1" t="s">
        <v>722</v>
      </c>
      <c r="AV54" s="1">
        <f>0.004*(1)</f>
        <v>4.0000000000000001E-3</v>
      </c>
      <c r="AW54" s="1" t="s">
        <v>84</v>
      </c>
      <c r="AX54" s="1">
        <f>1035*(1)</f>
        <v>1035</v>
      </c>
      <c r="AY54" s="1" t="s">
        <v>723</v>
      </c>
      <c r="AZ54" s="1">
        <f>0.002*(1)</f>
        <v>2E-3</v>
      </c>
      <c r="BA54" s="1" t="s">
        <v>75</v>
      </c>
      <c r="BB54" s="1">
        <f>956*(1)</f>
        <v>956</v>
      </c>
      <c r="BC54" s="1" t="s">
        <v>212</v>
      </c>
      <c r="BD54" s="1">
        <f>0.002*(1)</f>
        <v>2E-3</v>
      </c>
      <c r="BE54" s="1" t="s">
        <v>84</v>
      </c>
      <c r="BF54" s="1">
        <f>540*(1)</f>
        <v>540</v>
      </c>
      <c r="BG54" s="1" t="s">
        <v>724</v>
      </c>
      <c r="BH54" s="1">
        <f>0.001*(1)</f>
        <v>1E-3</v>
      </c>
      <c r="BI54" s="1" t="s">
        <v>75</v>
      </c>
      <c r="BJ54" s="1">
        <f>121*(1)</f>
        <v>121</v>
      </c>
      <c r="BK54" s="1" t="s">
        <v>725</v>
      </c>
      <c r="BL54" s="1">
        <f>0*(1)</f>
        <v>0</v>
      </c>
      <c r="BM54" s="1" t="s">
        <v>75</v>
      </c>
      <c r="BN54" s="1" t="s">
        <v>622</v>
      </c>
      <c r="BO54" s="1" t="s">
        <v>622</v>
      </c>
      <c r="BP54" s="1" t="s">
        <v>622</v>
      </c>
      <c r="BQ54" s="1" t="s">
        <v>622</v>
      </c>
      <c r="BR54" s="1">
        <f>1207*(1)</f>
        <v>1207</v>
      </c>
      <c r="BS54" s="1" t="s">
        <v>726</v>
      </c>
      <c r="BT54" s="1">
        <f>0.003*(1)</f>
        <v>3.0000000000000001E-3</v>
      </c>
      <c r="BU54" s="1" t="s">
        <v>104</v>
      </c>
      <c r="BV54" s="1">
        <f>123*(1)</f>
        <v>123</v>
      </c>
      <c r="BW54" s="1" t="s">
        <v>727</v>
      </c>
      <c r="BX54" s="1">
        <f>0.001*(1)</f>
        <v>1E-3</v>
      </c>
      <c r="BY54" s="1" t="s">
        <v>75</v>
      </c>
      <c r="BZ54" s="1">
        <f>981*(1)</f>
        <v>981</v>
      </c>
      <c r="CA54" s="1" t="s">
        <v>728</v>
      </c>
      <c r="CB54" s="1">
        <f>0.002*(1)</f>
        <v>2E-3</v>
      </c>
      <c r="CC54" s="1" t="s">
        <v>84</v>
      </c>
      <c r="CD54" s="1" t="s">
        <v>622</v>
      </c>
      <c r="CE54" s="1" t="s">
        <v>622</v>
      </c>
      <c r="CF54" s="1" t="s">
        <v>622</v>
      </c>
      <c r="CG54" s="1" t="s">
        <v>622</v>
      </c>
    </row>
    <row r="55" spans="1:85" x14ac:dyDescent="0.3">
      <c r="A55" s="9" t="s">
        <v>729</v>
      </c>
      <c r="B55" s="1">
        <f>6207*(1)</f>
        <v>6207</v>
      </c>
      <c r="C55" s="1" t="s">
        <v>730</v>
      </c>
      <c r="D55" s="1">
        <f>0.023*(1)</f>
        <v>2.3E-2</v>
      </c>
      <c r="E55" s="1" t="s">
        <v>99</v>
      </c>
      <c r="F55" s="1">
        <f>10802*(1)</f>
        <v>10802</v>
      </c>
      <c r="G55" s="1" t="s">
        <v>731</v>
      </c>
      <c r="H55" s="1">
        <f>0.011*(1)</f>
        <v>1.0999999999999999E-2</v>
      </c>
      <c r="I55" s="1" t="s">
        <v>73</v>
      </c>
      <c r="J55" s="1">
        <f>4450*(1)</f>
        <v>4450</v>
      </c>
      <c r="K55" s="1" t="s">
        <v>732</v>
      </c>
      <c r="L55" s="1">
        <f>0.01*(1)</f>
        <v>0.01</v>
      </c>
      <c r="M55" s="1" t="s">
        <v>106</v>
      </c>
      <c r="N55" s="1">
        <f>5064*(1)</f>
        <v>5064</v>
      </c>
      <c r="O55" s="1" t="s">
        <v>733</v>
      </c>
      <c r="P55" s="1">
        <f>0.01*(1)</f>
        <v>0.01</v>
      </c>
      <c r="Q55" s="1" t="s">
        <v>104</v>
      </c>
      <c r="R55" s="1" t="s">
        <v>622</v>
      </c>
      <c r="S55" s="1" t="s">
        <v>622</v>
      </c>
      <c r="T55" s="1" t="s">
        <v>622</v>
      </c>
      <c r="U55" s="1" t="s">
        <v>622</v>
      </c>
      <c r="V55" s="1" t="s">
        <v>622</v>
      </c>
      <c r="W55" s="1" t="s">
        <v>622</v>
      </c>
      <c r="X55" s="1" t="s">
        <v>622</v>
      </c>
      <c r="Y55" s="1" t="s">
        <v>622</v>
      </c>
      <c r="Z55" s="1">
        <f>6613*(1)</f>
        <v>6613</v>
      </c>
      <c r="AA55" s="1" t="s">
        <v>734</v>
      </c>
      <c r="AB55" s="1">
        <f>0.008*(1)</f>
        <v>8.0000000000000002E-3</v>
      </c>
      <c r="AC55" s="1" t="s">
        <v>73</v>
      </c>
      <c r="AD55" s="1">
        <f>3444*(1)</f>
        <v>3444</v>
      </c>
      <c r="AE55" s="1" t="s">
        <v>225</v>
      </c>
      <c r="AF55" s="1">
        <f>0.011*(1)</f>
        <v>1.0999999999999999E-2</v>
      </c>
      <c r="AG55" s="1" t="s">
        <v>106</v>
      </c>
      <c r="AH55" s="1">
        <f>7620*(1)</f>
        <v>7620</v>
      </c>
      <c r="AI55" s="1" t="s">
        <v>136</v>
      </c>
      <c r="AJ55" s="1">
        <f>0.011*(1)</f>
        <v>1.0999999999999999E-2</v>
      </c>
      <c r="AK55" s="1" t="s">
        <v>73</v>
      </c>
      <c r="AL55" s="1" t="s">
        <v>622</v>
      </c>
      <c r="AM55" s="1" t="s">
        <v>622</v>
      </c>
      <c r="AN55" s="1" t="s">
        <v>622</v>
      </c>
      <c r="AO55" s="1" t="s">
        <v>622</v>
      </c>
      <c r="AP55" s="1">
        <f>3998*(1)</f>
        <v>3998</v>
      </c>
      <c r="AQ55" s="1" t="s">
        <v>735</v>
      </c>
      <c r="AR55" s="1">
        <f>0.01*(1)</f>
        <v>0.01</v>
      </c>
      <c r="AS55" s="1" t="s">
        <v>106</v>
      </c>
      <c r="AT55" s="1">
        <f>17648*(1)</f>
        <v>17648</v>
      </c>
      <c r="AU55" s="1" t="s">
        <v>736</v>
      </c>
      <c r="AV55" s="1">
        <f>0.021*(1)</f>
        <v>2.1000000000000001E-2</v>
      </c>
      <c r="AW55" s="1" t="s">
        <v>106</v>
      </c>
      <c r="AX55" s="1">
        <f>3036*(1)</f>
        <v>3036</v>
      </c>
      <c r="AY55" s="1" t="s">
        <v>737</v>
      </c>
      <c r="AZ55" s="1">
        <f>0.005*(1)</f>
        <v>5.0000000000000001E-3</v>
      </c>
      <c r="BA55" s="1" t="s">
        <v>84</v>
      </c>
      <c r="BB55" s="1">
        <f>2722*(1)</f>
        <v>2722</v>
      </c>
      <c r="BC55" s="1" t="s">
        <v>738</v>
      </c>
      <c r="BD55" s="1">
        <f>0.005*(1)</f>
        <v>5.0000000000000001E-3</v>
      </c>
      <c r="BE55" s="1" t="s">
        <v>73</v>
      </c>
      <c r="BF55" s="1">
        <f>3076*(1)</f>
        <v>3076</v>
      </c>
      <c r="BG55" s="1" t="s">
        <v>739</v>
      </c>
      <c r="BH55" s="1">
        <f>0.005*(1)</f>
        <v>5.0000000000000001E-3</v>
      </c>
      <c r="BI55" s="1" t="s">
        <v>106</v>
      </c>
      <c r="BJ55" s="1">
        <f>4554*(1)</f>
        <v>4554</v>
      </c>
      <c r="BK55" s="1" t="s">
        <v>304</v>
      </c>
      <c r="BL55" s="1">
        <f>0.009*(1)</f>
        <v>8.9999999999999993E-3</v>
      </c>
      <c r="BM55" s="1" t="s">
        <v>106</v>
      </c>
      <c r="BN55" s="1" t="s">
        <v>622</v>
      </c>
      <c r="BO55" s="1" t="s">
        <v>622</v>
      </c>
      <c r="BP55" s="1" t="s">
        <v>622</v>
      </c>
      <c r="BQ55" s="1" t="s">
        <v>622</v>
      </c>
      <c r="BR55" s="1">
        <f>5136*(1)</f>
        <v>5136</v>
      </c>
      <c r="BS55" s="1" t="s">
        <v>740</v>
      </c>
      <c r="BT55" s="1">
        <f>0.015*(1)</f>
        <v>1.4999999999999999E-2</v>
      </c>
      <c r="BU55" s="1" t="s">
        <v>99</v>
      </c>
      <c r="BV55" s="1">
        <f>346*(1)</f>
        <v>346</v>
      </c>
      <c r="BW55" s="1" t="s">
        <v>741</v>
      </c>
      <c r="BX55" s="1">
        <f>0.002*(1)</f>
        <v>2E-3</v>
      </c>
      <c r="BY55" s="1" t="s">
        <v>84</v>
      </c>
      <c r="BZ55" s="1">
        <f>4061*(1)</f>
        <v>4061</v>
      </c>
      <c r="CA55" s="1" t="s">
        <v>742</v>
      </c>
      <c r="CB55" s="1">
        <f>0.007*(1)</f>
        <v>7.0000000000000001E-3</v>
      </c>
      <c r="CC55" s="1" t="s">
        <v>84</v>
      </c>
      <c r="CD55" s="1" t="s">
        <v>622</v>
      </c>
      <c r="CE55" s="1" t="s">
        <v>622</v>
      </c>
      <c r="CF55" s="1" t="s">
        <v>622</v>
      </c>
      <c r="CG55" s="1" t="s">
        <v>622</v>
      </c>
    </row>
    <row r="56" spans="1:85" ht="28.8" x14ac:dyDescent="0.3">
      <c r="A56" s="8" t="s">
        <v>743</v>
      </c>
      <c r="B56" s="1">
        <f>284*(1)</f>
        <v>284</v>
      </c>
      <c r="C56" s="1" t="s">
        <v>744</v>
      </c>
      <c r="D56" s="1">
        <f>0.001*(1)</f>
        <v>1E-3</v>
      </c>
      <c r="E56" s="1" t="s">
        <v>75</v>
      </c>
      <c r="F56" s="1">
        <f>459*(1)</f>
        <v>459</v>
      </c>
      <c r="G56" s="1" t="s">
        <v>180</v>
      </c>
      <c r="H56" s="1">
        <f>0*(1)</f>
        <v>0</v>
      </c>
      <c r="I56" s="1" t="s">
        <v>75</v>
      </c>
      <c r="J56" s="1">
        <f>0*(1)</f>
        <v>0</v>
      </c>
      <c r="K56" s="1" t="s">
        <v>258</v>
      </c>
      <c r="L56" s="1">
        <f>0*(1)</f>
        <v>0</v>
      </c>
      <c r="M56" s="1" t="s">
        <v>75</v>
      </c>
      <c r="N56" s="1">
        <f>343*(1)</f>
        <v>343</v>
      </c>
      <c r="O56" s="1" t="s">
        <v>745</v>
      </c>
      <c r="P56" s="1">
        <f>0.001*(1)</f>
        <v>1E-3</v>
      </c>
      <c r="Q56" s="1" t="s">
        <v>75</v>
      </c>
      <c r="R56" s="1">
        <f>0*(1)</f>
        <v>0</v>
      </c>
      <c r="S56" s="1" t="s">
        <v>258</v>
      </c>
      <c r="T56" s="1">
        <f>0*(1)</f>
        <v>0</v>
      </c>
      <c r="U56" s="1" t="s">
        <v>84</v>
      </c>
      <c r="V56" s="1">
        <f>157*(1)</f>
        <v>157</v>
      </c>
      <c r="W56" s="1" t="s">
        <v>746</v>
      </c>
      <c r="X56" s="1">
        <f>0.001*(1)</f>
        <v>1E-3</v>
      </c>
      <c r="Y56" s="1" t="s">
        <v>84</v>
      </c>
      <c r="Z56" s="1">
        <f>491*(1)</f>
        <v>491</v>
      </c>
      <c r="AA56" s="1" t="s">
        <v>608</v>
      </c>
      <c r="AB56" s="1">
        <f>0.001*(1)</f>
        <v>1E-3</v>
      </c>
      <c r="AC56" s="1" t="s">
        <v>75</v>
      </c>
      <c r="AD56" s="1">
        <f>241*(1)</f>
        <v>241</v>
      </c>
      <c r="AE56" s="1" t="s">
        <v>747</v>
      </c>
      <c r="AF56" s="1">
        <f>0.001*(1)</f>
        <v>1E-3</v>
      </c>
      <c r="AG56" s="1" t="s">
        <v>75</v>
      </c>
      <c r="AH56" s="1">
        <f>0*(1)</f>
        <v>0</v>
      </c>
      <c r="AI56" s="1" t="s">
        <v>258</v>
      </c>
      <c r="AJ56" s="1">
        <f>0*(1)</f>
        <v>0</v>
      </c>
      <c r="AK56" s="1" t="s">
        <v>75</v>
      </c>
      <c r="AL56" s="1">
        <f>190*(1)</f>
        <v>190</v>
      </c>
      <c r="AM56" s="1" t="s">
        <v>258</v>
      </c>
      <c r="AN56" s="1">
        <f>0.001*(1)</f>
        <v>1E-3</v>
      </c>
      <c r="AO56" s="1" t="s">
        <v>84</v>
      </c>
      <c r="AP56" s="1">
        <f>145*(1)</f>
        <v>145</v>
      </c>
      <c r="AQ56" s="1" t="s">
        <v>748</v>
      </c>
      <c r="AR56" s="1">
        <f>0*(1)</f>
        <v>0</v>
      </c>
      <c r="AS56" s="1" t="s">
        <v>75</v>
      </c>
      <c r="AT56" s="1">
        <f>599*(1)</f>
        <v>599</v>
      </c>
      <c r="AU56" s="1" t="s">
        <v>203</v>
      </c>
      <c r="AV56" s="1">
        <f>0.001*(1)</f>
        <v>1E-3</v>
      </c>
      <c r="AW56" s="1" t="s">
        <v>75</v>
      </c>
      <c r="AX56" s="1">
        <f>87*(1)</f>
        <v>87</v>
      </c>
      <c r="AY56" s="1" t="s">
        <v>749</v>
      </c>
      <c r="AZ56" s="1">
        <f>0*(1)</f>
        <v>0</v>
      </c>
      <c r="BA56" s="1" t="s">
        <v>75</v>
      </c>
      <c r="BB56" s="1">
        <f>0*(1)</f>
        <v>0</v>
      </c>
      <c r="BC56" s="1" t="s">
        <v>258</v>
      </c>
      <c r="BD56" s="1">
        <f>0*(1)</f>
        <v>0</v>
      </c>
      <c r="BE56" s="1" t="s">
        <v>75</v>
      </c>
      <c r="BF56" s="1">
        <f>184*(1)</f>
        <v>184</v>
      </c>
      <c r="BG56" s="1" t="s">
        <v>472</v>
      </c>
      <c r="BH56" s="1">
        <f>0*(1)</f>
        <v>0</v>
      </c>
      <c r="BI56" s="1" t="s">
        <v>75</v>
      </c>
      <c r="BJ56" s="1">
        <f>233*(1)</f>
        <v>233</v>
      </c>
      <c r="BK56" s="1" t="s">
        <v>750</v>
      </c>
      <c r="BL56" s="1">
        <f>0*(1)</f>
        <v>0</v>
      </c>
      <c r="BM56" s="1" t="s">
        <v>75</v>
      </c>
      <c r="BN56" s="1">
        <f>0*(1)</f>
        <v>0</v>
      </c>
      <c r="BO56" s="1" t="s">
        <v>258</v>
      </c>
      <c r="BP56" s="1">
        <f>0*(1)</f>
        <v>0</v>
      </c>
      <c r="BQ56" s="1" t="s">
        <v>73</v>
      </c>
      <c r="BR56" s="1">
        <f>43*(1)</f>
        <v>43</v>
      </c>
      <c r="BS56" s="1" t="s">
        <v>751</v>
      </c>
      <c r="BT56" s="1">
        <f>0*(1)</f>
        <v>0</v>
      </c>
      <c r="BU56" s="1" t="s">
        <v>75</v>
      </c>
      <c r="BV56" s="1">
        <f>0*(1)</f>
        <v>0</v>
      </c>
      <c r="BW56" s="1" t="s">
        <v>258</v>
      </c>
      <c r="BX56" s="1">
        <f>0*(1)</f>
        <v>0</v>
      </c>
      <c r="BY56" s="1" t="s">
        <v>75</v>
      </c>
      <c r="BZ56" s="1">
        <f>208*(1)</f>
        <v>208</v>
      </c>
      <c r="CA56" s="1" t="s">
        <v>752</v>
      </c>
      <c r="CB56" s="1">
        <f>0*(1)</f>
        <v>0</v>
      </c>
      <c r="CC56" s="1" t="s">
        <v>75</v>
      </c>
      <c r="CD56" s="1">
        <f>0*(1)</f>
        <v>0</v>
      </c>
      <c r="CE56" s="1" t="s">
        <v>258</v>
      </c>
      <c r="CF56" s="1">
        <f>0*(1)</f>
        <v>0</v>
      </c>
      <c r="CG56" s="1" t="s">
        <v>84</v>
      </c>
    </row>
    <row r="57" spans="1:85" x14ac:dyDescent="0.3">
      <c r="A57" s="9" t="s">
        <v>753</v>
      </c>
      <c r="B57" s="1" t="s">
        <v>622</v>
      </c>
      <c r="C57" s="1" t="s">
        <v>622</v>
      </c>
      <c r="D57" s="1" t="s">
        <v>622</v>
      </c>
      <c r="E57" s="1" t="s">
        <v>622</v>
      </c>
      <c r="F57" s="1" t="s">
        <v>622</v>
      </c>
      <c r="G57" s="1" t="s">
        <v>622</v>
      </c>
      <c r="H57" s="1" t="s">
        <v>622</v>
      </c>
      <c r="I57" s="1" t="s">
        <v>622</v>
      </c>
      <c r="J57" s="1" t="s">
        <v>622</v>
      </c>
      <c r="K57" s="1" t="s">
        <v>622</v>
      </c>
      <c r="L57" s="1" t="s">
        <v>622</v>
      </c>
      <c r="M57" s="1" t="s">
        <v>622</v>
      </c>
      <c r="N57" s="1" t="s">
        <v>622</v>
      </c>
      <c r="O57" s="1" t="s">
        <v>622</v>
      </c>
      <c r="P57" s="1" t="s">
        <v>622</v>
      </c>
      <c r="Q57" s="1" t="s">
        <v>622</v>
      </c>
      <c r="R57" s="1" t="s">
        <v>622</v>
      </c>
      <c r="S57" s="1" t="s">
        <v>622</v>
      </c>
      <c r="T57" s="1" t="s">
        <v>622</v>
      </c>
      <c r="U57" s="1" t="s">
        <v>622</v>
      </c>
      <c r="V57" s="1" t="s">
        <v>622</v>
      </c>
      <c r="W57" s="1" t="s">
        <v>622</v>
      </c>
      <c r="X57" s="1" t="s">
        <v>622</v>
      </c>
      <c r="Y57" s="1" t="s">
        <v>622</v>
      </c>
      <c r="Z57" s="1" t="s">
        <v>622</v>
      </c>
      <c r="AA57" s="1" t="s">
        <v>622</v>
      </c>
      <c r="AB57" s="1" t="s">
        <v>622</v>
      </c>
      <c r="AC57" s="1" t="s">
        <v>622</v>
      </c>
      <c r="AD57" s="1" t="s">
        <v>622</v>
      </c>
      <c r="AE57" s="1" t="s">
        <v>622</v>
      </c>
      <c r="AF57" s="1" t="s">
        <v>622</v>
      </c>
      <c r="AG57" s="1" t="s">
        <v>622</v>
      </c>
      <c r="AH57" s="1" t="s">
        <v>622</v>
      </c>
      <c r="AI57" s="1" t="s">
        <v>622</v>
      </c>
      <c r="AJ57" s="1" t="s">
        <v>622</v>
      </c>
      <c r="AK57" s="1" t="s">
        <v>622</v>
      </c>
      <c r="AL57" s="1" t="s">
        <v>622</v>
      </c>
      <c r="AM57" s="1" t="s">
        <v>622</v>
      </c>
      <c r="AN57" s="1" t="s">
        <v>622</v>
      </c>
      <c r="AO57" s="1" t="s">
        <v>622</v>
      </c>
      <c r="AP57" s="1" t="s">
        <v>622</v>
      </c>
      <c r="AQ57" s="1" t="s">
        <v>622</v>
      </c>
      <c r="AR57" s="1" t="s">
        <v>622</v>
      </c>
      <c r="AS57" s="1" t="s">
        <v>622</v>
      </c>
      <c r="AT57" s="1" t="s">
        <v>622</v>
      </c>
      <c r="AU57" s="1" t="s">
        <v>622</v>
      </c>
      <c r="AV57" s="1" t="s">
        <v>622</v>
      </c>
      <c r="AW57" s="1" t="s">
        <v>622</v>
      </c>
      <c r="AX57" s="1" t="s">
        <v>622</v>
      </c>
      <c r="AY57" s="1" t="s">
        <v>622</v>
      </c>
      <c r="AZ57" s="1" t="s">
        <v>622</v>
      </c>
      <c r="BA57" s="1" t="s">
        <v>622</v>
      </c>
      <c r="BB57" s="1" t="s">
        <v>622</v>
      </c>
      <c r="BC57" s="1" t="s">
        <v>622</v>
      </c>
      <c r="BD57" s="1" t="s">
        <v>622</v>
      </c>
      <c r="BE57" s="1" t="s">
        <v>622</v>
      </c>
      <c r="BF57" s="1" t="s">
        <v>622</v>
      </c>
      <c r="BG57" s="1" t="s">
        <v>622</v>
      </c>
      <c r="BH57" s="1" t="s">
        <v>622</v>
      </c>
      <c r="BI57" s="1" t="s">
        <v>622</v>
      </c>
      <c r="BJ57" s="1" t="s">
        <v>622</v>
      </c>
      <c r="BK57" s="1" t="s">
        <v>622</v>
      </c>
      <c r="BL57" s="1" t="s">
        <v>622</v>
      </c>
      <c r="BM57" s="1" t="s">
        <v>622</v>
      </c>
      <c r="BN57" s="1" t="s">
        <v>622</v>
      </c>
      <c r="BO57" s="1" t="s">
        <v>622</v>
      </c>
      <c r="BP57" s="1" t="s">
        <v>622</v>
      </c>
      <c r="BQ57" s="1" t="s">
        <v>622</v>
      </c>
      <c r="BR57" s="1" t="s">
        <v>622</v>
      </c>
      <c r="BS57" s="1" t="s">
        <v>622</v>
      </c>
      <c r="BT57" s="1" t="s">
        <v>622</v>
      </c>
      <c r="BU57" s="1" t="s">
        <v>622</v>
      </c>
      <c r="BV57" s="1" t="s">
        <v>622</v>
      </c>
      <c r="BW57" s="1" t="s">
        <v>622</v>
      </c>
      <c r="BX57" s="1" t="s">
        <v>622</v>
      </c>
      <c r="BY57" s="1" t="s">
        <v>622</v>
      </c>
      <c r="BZ57" s="1" t="s">
        <v>622</v>
      </c>
      <c r="CA57" s="1" t="s">
        <v>622</v>
      </c>
      <c r="CB57" s="1" t="s">
        <v>622</v>
      </c>
      <c r="CC57" s="1" t="s">
        <v>622</v>
      </c>
      <c r="CD57" s="1" t="s">
        <v>622</v>
      </c>
      <c r="CE57" s="1" t="s">
        <v>622</v>
      </c>
      <c r="CF57" s="1" t="s">
        <v>622</v>
      </c>
      <c r="CG57" s="1" t="s">
        <v>622</v>
      </c>
    </row>
    <row r="58" spans="1:85" x14ac:dyDescent="0.3">
      <c r="A58" s="9" t="s">
        <v>754</v>
      </c>
      <c r="B58" s="1" t="s">
        <v>622</v>
      </c>
      <c r="C58" s="1" t="s">
        <v>622</v>
      </c>
      <c r="D58" s="1" t="s">
        <v>622</v>
      </c>
      <c r="E58" s="1" t="s">
        <v>622</v>
      </c>
      <c r="F58" s="1" t="s">
        <v>622</v>
      </c>
      <c r="G58" s="1" t="s">
        <v>622</v>
      </c>
      <c r="H58" s="1" t="s">
        <v>622</v>
      </c>
      <c r="I58" s="1" t="s">
        <v>622</v>
      </c>
      <c r="J58" s="1" t="s">
        <v>622</v>
      </c>
      <c r="K58" s="1" t="s">
        <v>622</v>
      </c>
      <c r="L58" s="1" t="s">
        <v>622</v>
      </c>
      <c r="M58" s="1" t="s">
        <v>622</v>
      </c>
      <c r="N58" s="1" t="s">
        <v>622</v>
      </c>
      <c r="O58" s="1" t="s">
        <v>622</v>
      </c>
      <c r="P58" s="1" t="s">
        <v>622</v>
      </c>
      <c r="Q58" s="1" t="s">
        <v>622</v>
      </c>
      <c r="R58" s="1" t="s">
        <v>622</v>
      </c>
      <c r="S58" s="1" t="s">
        <v>622</v>
      </c>
      <c r="T58" s="1" t="s">
        <v>622</v>
      </c>
      <c r="U58" s="1" t="s">
        <v>622</v>
      </c>
      <c r="V58" s="1" t="s">
        <v>622</v>
      </c>
      <c r="W58" s="1" t="s">
        <v>622</v>
      </c>
      <c r="X58" s="1" t="s">
        <v>622</v>
      </c>
      <c r="Y58" s="1" t="s">
        <v>622</v>
      </c>
      <c r="Z58" s="1" t="s">
        <v>622</v>
      </c>
      <c r="AA58" s="1" t="s">
        <v>622</v>
      </c>
      <c r="AB58" s="1" t="s">
        <v>622</v>
      </c>
      <c r="AC58" s="1" t="s">
        <v>622</v>
      </c>
      <c r="AD58" s="1" t="s">
        <v>622</v>
      </c>
      <c r="AE58" s="1" t="s">
        <v>622</v>
      </c>
      <c r="AF58" s="1" t="s">
        <v>622</v>
      </c>
      <c r="AG58" s="1" t="s">
        <v>622</v>
      </c>
      <c r="AH58" s="1" t="s">
        <v>622</v>
      </c>
      <c r="AI58" s="1" t="s">
        <v>622</v>
      </c>
      <c r="AJ58" s="1" t="s">
        <v>622</v>
      </c>
      <c r="AK58" s="1" t="s">
        <v>622</v>
      </c>
      <c r="AL58" s="1" t="s">
        <v>622</v>
      </c>
      <c r="AM58" s="1" t="s">
        <v>622</v>
      </c>
      <c r="AN58" s="1" t="s">
        <v>622</v>
      </c>
      <c r="AO58" s="1" t="s">
        <v>622</v>
      </c>
      <c r="AP58" s="1" t="s">
        <v>622</v>
      </c>
      <c r="AQ58" s="1" t="s">
        <v>622</v>
      </c>
      <c r="AR58" s="1" t="s">
        <v>622</v>
      </c>
      <c r="AS58" s="1" t="s">
        <v>622</v>
      </c>
      <c r="AT58" s="1" t="s">
        <v>622</v>
      </c>
      <c r="AU58" s="1" t="s">
        <v>622</v>
      </c>
      <c r="AV58" s="1" t="s">
        <v>622</v>
      </c>
      <c r="AW58" s="1" t="s">
        <v>622</v>
      </c>
      <c r="AX58" s="1" t="s">
        <v>622</v>
      </c>
      <c r="AY58" s="1" t="s">
        <v>622</v>
      </c>
      <c r="AZ58" s="1" t="s">
        <v>622</v>
      </c>
      <c r="BA58" s="1" t="s">
        <v>622</v>
      </c>
      <c r="BB58" s="1" t="s">
        <v>622</v>
      </c>
      <c r="BC58" s="1" t="s">
        <v>622</v>
      </c>
      <c r="BD58" s="1" t="s">
        <v>622</v>
      </c>
      <c r="BE58" s="1" t="s">
        <v>622</v>
      </c>
      <c r="BF58" s="1" t="s">
        <v>622</v>
      </c>
      <c r="BG58" s="1" t="s">
        <v>622</v>
      </c>
      <c r="BH58" s="1" t="s">
        <v>622</v>
      </c>
      <c r="BI58" s="1" t="s">
        <v>622</v>
      </c>
      <c r="BJ58" s="1" t="s">
        <v>622</v>
      </c>
      <c r="BK58" s="1" t="s">
        <v>622</v>
      </c>
      <c r="BL58" s="1" t="s">
        <v>622</v>
      </c>
      <c r="BM58" s="1" t="s">
        <v>622</v>
      </c>
      <c r="BN58" s="1" t="s">
        <v>622</v>
      </c>
      <c r="BO58" s="1" t="s">
        <v>622</v>
      </c>
      <c r="BP58" s="1" t="s">
        <v>622</v>
      </c>
      <c r="BQ58" s="1" t="s">
        <v>622</v>
      </c>
      <c r="BR58" s="1" t="s">
        <v>622</v>
      </c>
      <c r="BS58" s="1" t="s">
        <v>622</v>
      </c>
      <c r="BT58" s="1" t="s">
        <v>622</v>
      </c>
      <c r="BU58" s="1" t="s">
        <v>622</v>
      </c>
      <c r="BV58" s="1" t="s">
        <v>622</v>
      </c>
      <c r="BW58" s="1" t="s">
        <v>622</v>
      </c>
      <c r="BX58" s="1" t="s">
        <v>622</v>
      </c>
      <c r="BY58" s="1" t="s">
        <v>622</v>
      </c>
      <c r="BZ58" s="1" t="s">
        <v>622</v>
      </c>
      <c r="CA58" s="1" t="s">
        <v>622</v>
      </c>
      <c r="CB58" s="1" t="s">
        <v>622</v>
      </c>
      <c r="CC58" s="1" t="s">
        <v>622</v>
      </c>
      <c r="CD58" s="1" t="s">
        <v>622</v>
      </c>
      <c r="CE58" s="1" t="s">
        <v>622</v>
      </c>
      <c r="CF58" s="1" t="s">
        <v>622</v>
      </c>
      <c r="CG58" s="1" t="s">
        <v>622</v>
      </c>
    </row>
    <row r="59" spans="1:85" x14ac:dyDescent="0.3">
      <c r="A59" s="9" t="s">
        <v>755</v>
      </c>
      <c r="B59" s="1" t="s">
        <v>622</v>
      </c>
      <c r="C59" s="1" t="s">
        <v>622</v>
      </c>
      <c r="D59" s="1" t="s">
        <v>622</v>
      </c>
      <c r="E59" s="1" t="s">
        <v>622</v>
      </c>
      <c r="F59" s="1" t="s">
        <v>622</v>
      </c>
      <c r="G59" s="1" t="s">
        <v>622</v>
      </c>
      <c r="H59" s="1" t="s">
        <v>622</v>
      </c>
      <c r="I59" s="1" t="s">
        <v>622</v>
      </c>
      <c r="J59" s="1" t="s">
        <v>622</v>
      </c>
      <c r="K59" s="1" t="s">
        <v>622</v>
      </c>
      <c r="L59" s="1" t="s">
        <v>622</v>
      </c>
      <c r="M59" s="1" t="s">
        <v>622</v>
      </c>
      <c r="N59" s="1" t="s">
        <v>622</v>
      </c>
      <c r="O59" s="1" t="s">
        <v>622</v>
      </c>
      <c r="P59" s="1" t="s">
        <v>622</v>
      </c>
      <c r="Q59" s="1" t="s">
        <v>622</v>
      </c>
      <c r="R59" s="1" t="s">
        <v>622</v>
      </c>
      <c r="S59" s="1" t="s">
        <v>622</v>
      </c>
      <c r="T59" s="1" t="s">
        <v>622</v>
      </c>
      <c r="U59" s="1" t="s">
        <v>622</v>
      </c>
      <c r="V59" s="1" t="s">
        <v>622</v>
      </c>
      <c r="W59" s="1" t="s">
        <v>622</v>
      </c>
      <c r="X59" s="1" t="s">
        <v>622</v>
      </c>
      <c r="Y59" s="1" t="s">
        <v>622</v>
      </c>
      <c r="Z59" s="1" t="s">
        <v>622</v>
      </c>
      <c r="AA59" s="1" t="s">
        <v>622</v>
      </c>
      <c r="AB59" s="1" t="s">
        <v>622</v>
      </c>
      <c r="AC59" s="1" t="s">
        <v>622</v>
      </c>
      <c r="AD59" s="1" t="s">
        <v>622</v>
      </c>
      <c r="AE59" s="1" t="s">
        <v>622</v>
      </c>
      <c r="AF59" s="1" t="s">
        <v>622</v>
      </c>
      <c r="AG59" s="1" t="s">
        <v>622</v>
      </c>
      <c r="AH59" s="1" t="s">
        <v>622</v>
      </c>
      <c r="AI59" s="1" t="s">
        <v>622</v>
      </c>
      <c r="AJ59" s="1" t="s">
        <v>622</v>
      </c>
      <c r="AK59" s="1" t="s">
        <v>622</v>
      </c>
      <c r="AL59" s="1" t="s">
        <v>622</v>
      </c>
      <c r="AM59" s="1" t="s">
        <v>622</v>
      </c>
      <c r="AN59" s="1" t="s">
        <v>622</v>
      </c>
      <c r="AO59" s="1" t="s">
        <v>622</v>
      </c>
      <c r="AP59" s="1" t="s">
        <v>622</v>
      </c>
      <c r="AQ59" s="1" t="s">
        <v>622</v>
      </c>
      <c r="AR59" s="1" t="s">
        <v>622</v>
      </c>
      <c r="AS59" s="1" t="s">
        <v>622</v>
      </c>
      <c r="AT59" s="1" t="s">
        <v>622</v>
      </c>
      <c r="AU59" s="1" t="s">
        <v>622</v>
      </c>
      <c r="AV59" s="1" t="s">
        <v>622</v>
      </c>
      <c r="AW59" s="1" t="s">
        <v>622</v>
      </c>
      <c r="AX59" s="1" t="s">
        <v>622</v>
      </c>
      <c r="AY59" s="1" t="s">
        <v>622</v>
      </c>
      <c r="AZ59" s="1" t="s">
        <v>622</v>
      </c>
      <c r="BA59" s="1" t="s">
        <v>622</v>
      </c>
      <c r="BB59" s="1" t="s">
        <v>622</v>
      </c>
      <c r="BC59" s="1" t="s">
        <v>622</v>
      </c>
      <c r="BD59" s="1" t="s">
        <v>622</v>
      </c>
      <c r="BE59" s="1" t="s">
        <v>622</v>
      </c>
      <c r="BF59" s="1" t="s">
        <v>622</v>
      </c>
      <c r="BG59" s="1" t="s">
        <v>622</v>
      </c>
      <c r="BH59" s="1" t="s">
        <v>622</v>
      </c>
      <c r="BI59" s="1" t="s">
        <v>622</v>
      </c>
      <c r="BJ59" s="1" t="s">
        <v>622</v>
      </c>
      <c r="BK59" s="1" t="s">
        <v>622</v>
      </c>
      <c r="BL59" s="1" t="s">
        <v>622</v>
      </c>
      <c r="BM59" s="1" t="s">
        <v>622</v>
      </c>
      <c r="BN59" s="1" t="s">
        <v>622</v>
      </c>
      <c r="BO59" s="1" t="s">
        <v>622</v>
      </c>
      <c r="BP59" s="1" t="s">
        <v>622</v>
      </c>
      <c r="BQ59" s="1" t="s">
        <v>622</v>
      </c>
      <c r="BR59" s="1" t="s">
        <v>622</v>
      </c>
      <c r="BS59" s="1" t="s">
        <v>622</v>
      </c>
      <c r="BT59" s="1" t="s">
        <v>622</v>
      </c>
      <c r="BU59" s="1" t="s">
        <v>622</v>
      </c>
      <c r="BV59" s="1" t="s">
        <v>622</v>
      </c>
      <c r="BW59" s="1" t="s">
        <v>622</v>
      </c>
      <c r="BX59" s="1" t="s">
        <v>622</v>
      </c>
      <c r="BY59" s="1" t="s">
        <v>622</v>
      </c>
      <c r="BZ59" s="1" t="s">
        <v>622</v>
      </c>
      <c r="CA59" s="1" t="s">
        <v>622</v>
      </c>
      <c r="CB59" s="1" t="s">
        <v>622</v>
      </c>
      <c r="CC59" s="1" t="s">
        <v>622</v>
      </c>
      <c r="CD59" s="1" t="s">
        <v>622</v>
      </c>
      <c r="CE59" s="1" t="s">
        <v>622</v>
      </c>
      <c r="CF59" s="1" t="s">
        <v>622</v>
      </c>
      <c r="CG59" s="1" t="s">
        <v>622</v>
      </c>
    </row>
    <row r="60" spans="1:85" x14ac:dyDescent="0.3">
      <c r="A60" s="9" t="s">
        <v>756</v>
      </c>
      <c r="B60" s="1" t="s">
        <v>622</v>
      </c>
      <c r="C60" s="1" t="s">
        <v>622</v>
      </c>
      <c r="D60" s="1" t="s">
        <v>622</v>
      </c>
      <c r="E60" s="1" t="s">
        <v>622</v>
      </c>
      <c r="F60" s="1" t="s">
        <v>622</v>
      </c>
      <c r="G60" s="1" t="s">
        <v>622</v>
      </c>
      <c r="H60" s="1" t="s">
        <v>622</v>
      </c>
      <c r="I60" s="1" t="s">
        <v>622</v>
      </c>
      <c r="J60" s="1" t="s">
        <v>622</v>
      </c>
      <c r="K60" s="1" t="s">
        <v>622</v>
      </c>
      <c r="L60" s="1" t="s">
        <v>622</v>
      </c>
      <c r="M60" s="1" t="s">
        <v>622</v>
      </c>
      <c r="N60" s="1" t="s">
        <v>622</v>
      </c>
      <c r="O60" s="1" t="s">
        <v>622</v>
      </c>
      <c r="P60" s="1" t="s">
        <v>622</v>
      </c>
      <c r="Q60" s="1" t="s">
        <v>622</v>
      </c>
      <c r="R60" s="1" t="s">
        <v>622</v>
      </c>
      <c r="S60" s="1" t="s">
        <v>622</v>
      </c>
      <c r="T60" s="1" t="s">
        <v>622</v>
      </c>
      <c r="U60" s="1" t="s">
        <v>622</v>
      </c>
      <c r="V60" s="1" t="s">
        <v>622</v>
      </c>
      <c r="W60" s="1" t="s">
        <v>622</v>
      </c>
      <c r="X60" s="1" t="s">
        <v>622</v>
      </c>
      <c r="Y60" s="1" t="s">
        <v>622</v>
      </c>
      <c r="Z60" s="1" t="s">
        <v>622</v>
      </c>
      <c r="AA60" s="1" t="s">
        <v>622</v>
      </c>
      <c r="AB60" s="1" t="s">
        <v>622</v>
      </c>
      <c r="AC60" s="1" t="s">
        <v>622</v>
      </c>
      <c r="AD60" s="1" t="s">
        <v>622</v>
      </c>
      <c r="AE60" s="1" t="s">
        <v>622</v>
      </c>
      <c r="AF60" s="1" t="s">
        <v>622</v>
      </c>
      <c r="AG60" s="1" t="s">
        <v>622</v>
      </c>
      <c r="AH60" s="1" t="s">
        <v>622</v>
      </c>
      <c r="AI60" s="1" t="s">
        <v>622</v>
      </c>
      <c r="AJ60" s="1" t="s">
        <v>622</v>
      </c>
      <c r="AK60" s="1" t="s">
        <v>622</v>
      </c>
      <c r="AL60" s="1" t="s">
        <v>622</v>
      </c>
      <c r="AM60" s="1" t="s">
        <v>622</v>
      </c>
      <c r="AN60" s="1" t="s">
        <v>622</v>
      </c>
      <c r="AO60" s="1" t="s">
        <v>622</v>
      </c>
      <c r="AP60" s="1" t="s">
        <v>622</v>
      </c>
      <c r="AQ60" s="1" t="s">
        <v>622</v>
      </c>
      <c r="AR60" s="1" t="s">
        <v>622</v>
      </c>
      <c r="AS60" s="1" t="s">
        <v>622</v>
      </c>
      <c r="AT60" s="1" t="s">
        <v>622</v>
      </c>
      <c r="AU60" s="1" t="s">
        <v>622</v>
      </c>
      <c r="AV60" s="1" t="s">
        <v>622</v>
      </c>
      <c r="AW60" s="1" t="s">
        <v>622</v>
      </c>
      <c r="AX60" s="1" t="s">
        <v>622</v>
      </c>
      <c r="AY60" s="1" t="s">
        <v>622</v>
      </c>
      <c r="AZ60" s="1" t="s">
        <v>622</v>
      </c>
      <c r="BA60" s="1" t="s">
        <v>622</v>
      </c>
      <c r="BB60" s="1" t="s">
        <v>622</v>
      </c>
      <c r="BC60" s="1" t="s">
        <v>622</v>
      </c>
      <c r="BD60" s="1" t="s">
        <v>622</v>
      </c>
      <c r="BE60" s="1" t="s">
        <v>622</v>
      </c>
      <c r="BF60" s="1" t="s">
        <v>622</v>
      </c>
      <c r="BG60" s="1" t="s">
        <v>622</v>
      </c>
      <c r="BH60" s="1" t="s">
        <v>622</v>
      </c>
      <c r="BI60" s="1" t="s">
        <v>622</v>
      </c>
      <c r="BJ60" s="1" t="s">
        <v>622</v>
      </c>
      <c r="BK60" s="1" t="s">
        <v>622</v>
      </c>
      <c r="BL60" s="1" t="s">
        <v>622</v>
      </c>
      <c r="BM60" s="1" t="s">
        <v>622</v>
      </c>
      <c r="BN60" s="1" t="s">
        <v>622</v>
      </c>
      <c r="BO60" s="1" t="s">
        <v>622</v>
      </c>
      <c r="BP60" s="1" t="s">
        <v>622</v>
      </c>
      <c r="BQ60" s="1" t="s">
        <v>622</v>
      </c>
      <c r="BR60" s="1" t="s">
        <v>622</v>
      </c>
      <c r="BS60" s="1" t="s">
        <v>622</v>
      </c>
      <c r="BT60" s="1" t="s">
        <v>622</v>
      </c>
      <c r="BU60" s="1" t="s">
        <v>622</v>
      </c>
      <c r="BV60" s="1" t="s">
        <v>622</v>
      </c>
      <c r="BW60" s="1" t="s">
        <v>622</v>
      </c>
      <c r="BX60" s="1" t="s">
        <v>622</v>
      </c>
      <c r="BY60" s="1" t="s">
        <v>622</v>
      </c>
      <c r="BZ60" s="1" t="s">
        <v>622</v>
      </c>
      <c r="CA60" s="1" t="s">
        <v>622</v>
      </c>
      <c r="CB60" s="1" t="s">
        <v>622</v>
      </c>
      <c r="CC60" s="1" t="s">
        <v>622</v>
      </c>
      <c r="CD60" s="1" t="s">
        <v>622</v>
      </c>
      <c r="CE60" s="1" t="s">
        <v>622</v>
      </c>
      <c r="CF60" s="1" t="s">
        <v>622</v>
      </c>
      <c r="CG60" s="1" t="s">
        <v>622</v>
      </c>
    </row>
    <row r="61" spans="1:85" x14ac:dyDescent="0.3">
      <c r="A61" s="8" t="s">
        <v>757</v>
      </c>
      <c r="B61" s="1">
        <f>26219*(1)</f>
        <v>26219</v>
      </c>
      <c r="C61" s="1" t="s">
        <v>758</v>
      </c>
      <c r="D61" s="1">
        <f>0.095*(1)</f>
        <v>9.5000000000000001E-2</v>
      </c>
      <c r="E61" s="1" t="s">
        <v>418</v>
      </c>
      <c r="F61" s="1">
        <f>74385*(1)</f>
        <v>74385</v>
      </c>
      <c r="G61" s="1" t="s">
        <v>759</v>
      </c>
      <c r="H61" s="1">
        <f>0.078*(1)</f>
        <v>7.8E-2</v>
      </c>
      <c r="I61" s="1" t="s">
        <v>79</v>
      </c>
      <c r="J61" s="1">
        <f>16318*(1)</f>
        <v>16318</v>
      </c>
      <c r="K61" s="1" t="s">
        <v>760</v>
      </c>
      <c r="L61" s="1">
        <f>0.035*(1)</f>
        <v>3.5000000000000003E-2</v>
      </c>
      <c r="M61" s="1" t="s">
        <v>99</v>
      </c>
      <c r="N61" s="1">
        <f>61107*(1)</f>
        <v>61107</v>
      </c>
      <c r="O61" s="1" t="s">
        <v>761</v>
      </c>
      <c r="P61" s="1">
        <f>0.117*(1)</f>
        <v>0.11700000000000001</v>
      </c>
      <c r="Q61" s="1" t="s">
        <v>127</v>
      </c>
      <c r="R61" s="1">
        <f>3214*(1)</f>
        <v>3214</v>
      </c>
      <c r="S61" s="1" t="s">
        <v>685</v>
      </c>
      <c r="T61" s="1">
        <f>0.034*(1)</f>
        <v>3.4000000000000002E-2</v>
      </c>
      <c r="U61" s="1" t="s">
        <v>591</v>
      </c>
      <c r="V61" s="1">
        <f>14521*(1)</f>
        <v>14521</v>
      </c>
      <c r="W61" s="1" t="s">
        <v>762</v>
      </c>
      <c r="X61" s="1">
        <f>0.095*(1)</f>
        <v>9.5000000000000001E-2</v>
      </c>
      <c r="Y61" s="1" t="s">
        <v>503</v>
      </c>
      <c r="Z61" s="1">
        <f>138312*(1)</f>
        <v>138312</v>
      </c>
      <c r="AA61" s="1" t="s">
        <v>763</v>
      </c>
      <c r="AB61" s="1">
        <f>0.162*(1)</f>
        <v>0.16200000000000001</v>
      </c>
      <c r="AC61" s="1" t="s">
        <v>127</v>
      </c>
      <c r="AD61" s="1">
        <f>12200*(1)</f>
        <v>12200</v>
      </c>
      <c r="AE61" s="1" t="s">
        <v>764</v>
      </c>
      <c r="AF61" s="1">
        <f>0.04*(1)</f>
        <v>0.04</v>
      </c>
      <c r="AG61" s="1" t="s">
        <v>127</v>
      </c>
      <c r="AH61" s="1">
        <f>108908*(1)</f>
        <v>108908</v>
      </c>
      <c r="AI61" s="1" t="s">
        <v>765</v>
      </c>
      <c r="AJ61" s="1">
        <f>0.155*(1)</f>
        <v>0.155</v>
      </c>
      <c r="AK61" s="1" t="s">
        <v>273</v>
      </c>
      <c r="AL61" s="1">
        <f>3455*(1)</f>
        <v>3455</v>
      </c>
      <c r="AM61" s="1" t="s">
        <v>766</v>
      </c>
      <c r="AN61" s="1">
        <f>0.027*(1)</f>
        <v>2.7E-2</v>
      </c>
      <c r="AO61" s="1" t="s">
        <v>140</v>
      </c>
      <c r="AP61" s="1">
        <f>29531*(1)</f>
        <v>29531</v>
      </c>
      <c r="AQ61" s="1" t="s">
        <v>767</v>
      </c>
      <c r="AR61" s="1">
        <f>0.077*(1)</f>
        <v>7.6999999999999999E-2</v>
      </c>
      <c r="AS61" s="1" t="s">
        <v>569</v>
      </c>
      <c r="AT61" s="1">
        <f>101767*(1)</f>
        <v>101767</v>
      </c>
      <c r="AU61" s="1" t="s">
        <v>768</v>
      </c>
      <c r="AV61" s="1">
        <f>0.118*(1)</f>
        <v>0.11799999999999999</v>
      </c>
      <c r="AW61" s="1" t="s">
        <v>127</v>
      </c>
      <c r="AX61" s="1">
        <f>30473*(1)</f>
        <v>30473</v>
      </c>
      <c r="AY61" s="1" t="s">
        <v>769</v>
      </c>
      <c r="AZ61" s="1">
        <f>0.047*(1)</f>
        <v>4.7E-2</v>
      </c>
      <c r="BA61" s="1" t="s">
        <v>108</v>
      </c>
      <c r="BB61" s="1">
        <f>35422*(1)</f>
        <v>35422</v>
      </c>
      <c r="BC61" s="1" t="s">
        <v>770</v>
      </c>
      <c r="BD61" s="1">
        <f>0.069*(1)</f>
        <v>6.9000000000000006E-2</v>
      </c>
      <c r="BE61" s="1" t="s">
        <v>127</v>
      </c>
      <c r="BF61" s="1">
        <f>19469*(1)</f>
        <v>19469</v>
      </c>
      <c r="BG61" s="1" t="s">
        <v>771</v>
      </c>
      <c r="BH61" s="1">
        <f>0.03*(1)</f>
        <v>0.03</v>
      </c>
      <c r="BI61" s="1" t="s">
        <v>108</v>
      </c>
      <c r="BJ61" s="1">
        <f>98923*(1)</f>
        <v>98923</v>
      </c>
      <c r="BK61" s="1" t="s">
        <v>772</v>
      </c>
      <c r="BL61" s="1">
        <f>0.191*(1)</f>
        <v>0.191</v>
      </c>
      <c r="BM61" s="1" t="s">
        <v>273</v>
      </c>
      <c r="BN61" s="1">
        <f>2610*(1)</f>
        <v>2610</v>
      </c>
      <c r="BO61" s="1" t="s">
        <v>773</v>
      </c>
      <c r="BP61" s="1">
        <f>0.04*(1)</f>
        <v>0.04</v>
      </c>
      <c r="BQ61" s="1" t="s">
        <v>591</v>
      </c>
      <c r="BR61" s="1">
        <f>26655*(1)</f>
        <v>26655</v>
      </c>
      <c r="BS61" s="1" t="s">
        <v>774</v>
      </c>
      <c r="BT61" s="1">
        <f>0.077*(1)</f>
        <v>7.6999999999999999E-2</v>
      </c>
      <c r="BU61" s="1" t="s">
        <v>140</v>
      </c>
      <c r="BV61" s="1">
        <f>4926*(1)</f>
        <v>4926</v>
      </c>
      <c r="BW61" s="1" t="s">
        <v>775</v>
      </c>
      <c r="BX61" s="1">
        <f>0.034*(1)</f>
        <v>3.4000000000000002E-2</v>
      </c>
      <c r="BY61" s="1" t="s">
        <v>127</v>
      </c>
      <c r="BZ61" s="1">
        <f>112277*(1)</f>
        <v>112277</v>
      </c>
      <c r="CA61" s="1" t="s">
        <v>776</v>
      </c>
      <c r="CB61" s="1">
        <f>0.196*(1)</f>
        <v>0.19600000000000001</v>
      </c>
      <c r="CC61" s="1" t="s">
        <v>140</v>
      </c>
      <c r="CD61" s="1">
        <f>4787*(1)</f>
        <v>4787</v>
      </c>
      <c r="CE61" s="1" t="s">
        <v>777</v>
      </c>
      <c r="CF61" s="1">
        <f>0.043*(1)</f>
        <v>4.2999999999999997E-2</v>
      </c>
      <c r="CG61" s="1" t="s">
        <v>138</v>
      </c>
    </row>
    <row r="62" spans="1:85" x14ac:dyDescent="0.3">
      <c r="A62" s="7" t="s">
        <v>562</v>
      </c>
      <c r="B62" s="1">
        <f>32964*(1)</f>
        <v>32964</v>
      </c>
      <c r="C62" s="1" t="s">
        <v>538</v>
      </c>
      <c r="D62" s="1">
        <f>0.12*(1)</f>
        <v>0.12</v>
      </c>
      <c r="E62" s="1" t="s">
        <v>539</v>
      </c>
      <c r="F62" s="1">
        <f>124697*(1)</f>
        <v>124697</v>
      </c>
      <c r="G62" s="1" t="s">
        <v>540</v>
      </c>
      <c r="H62" s="1">
        <f>0.131*(1)</f>
        <v>0.13100000000000001</v>
      </c>
      <c r="I62" s="1" t="s">
        <v>108</v>
      </c>
      <c r="J62" s="1">
        <f>40164*(1)</f>
        <v>40164</v>
      </c>
      <c r="K62" s="1" t="s">
        <v>541</v>
      </c>
      <c r="L62" s="1">
        <f>0.087*(1)</f>
        <v>8.6999999999999994E-2</v>
      </c>
      <c r="M62" s="1" t="s">
        <v>140</v>
      </c>
      <c r="N62" s="1">
        <f>43969*(1)</f>
        <v>43969</v>
      </c>
      <c r="O62" s="1" t="s">
        <v>542</v>
      </c>
      <c r="P62" s="1">
        <f>0.084*(1)</f>
        <v>8.4000000000000005E-2</v>
      </c>
      <c r="Q62" s="1" t="s">
        <v>140</v>
      </c>
      <c r="R62" s="1">
        <f>6115*(1)</f>
        <v>6115</v>
      </c>
      <c r="S62" s="1" t="s">
        <v>543</v>
      </c>
      <c r="T62" s="1">
        <f>0.064*(1)</f>
        <v>6.4000000000000001E-2</v>
      </c>
      <c r="U62" s="1" t="s">
        <v>501</v>
      </c>
      <c r="V62" s="1">
        <f>33848*(1)</f>
        <v>33848</v>
      </c>
      <c r="W62" s="1" t="s">
        <v>544</v>
      </c>
      <c r="X62" s="1">
        <f>0.22*(1)</f>
        <v>0.22</v>
      </c>
      <c r="Y62" s="1" t="s">
        <v>102</v>
      </c>
      <c r="Z62" s="1">
        <f>97700*(1)</f>
        <v>97700</v>
      </c>
      <c r="AA62" s="1" t="s">
        <v>545</v>
      </c>
      <c r="AB62" s="1">
        <f>0.114*(1)</f>
        <v>0.114</v>
      </c>
      <c r="AC62" s="1" t="s">
        <v>140</v>
      </c>
      <c r="AD62" s="1">
        <f>16755*(1)</f>
        <v>16755</v>
      </c>
      <c r="AE62" s="1" t="s">
        <v>546</v>
      </c>
      <c r="AF62" s="1">
        <f>0.055*(1)</f>
        <v>5.5E-2</v>
      </c>
      <c r="AG62" s="1" t="s">
        <v>127</v>
      </c>
      <c r="AH62" s="1">
        <f>175953*(1)</f>
        <v>175953</v>
      </c>
      <c r="AI62" s="1" t="s">
        <v>547</v>
      </c>
      <c r="AJ62" s="1">
        <f>0.25*(1)</f>
        <v>0.25</v>
      </c>
      <c r="AK62" s="1" t="s">
        <v>539</v>
      </c>
      <c r="AL62" s="1">
        <f>9303*(1)</f>
        <v>9303</v>
      </c>
      <c r="AM62" s="1" t="s">
        <v>548</v>
      </c>
      <c r="AN62" s="1">
        <f>0.072*(1)</f>
        <v>7.1999999999999995E-2</v>
      </c>
      <c r="AO62" s="1" t="s">
        <v>502</v>
      </c>
      <c r="AP62" s="1">
        <f>39562*(1)</f>
        <v>39562</v>
      </c>
      <c r="AQ62" s="1" t="s">
        <v>549</v>
      </c>
      <c r="AR62" s="1">
        <f>0.103*(1)</f>
        <v>0.10299999999999999</v>
      </c>
      <c r="AS62" s="1" t="s">
        <v>550</v>
      </c>
      <c r="AT62" s="1">
        <f>88845*(1)</f>
        <v>88845</v>
      </c>
      <c r="AU62" s="1" t="s">
        <v>551</v>
      </c>
      <c r="AV62" s="1">
        <f>0.103*(1)</f>
        <v>0.10299999999999999</v>
      </c>
      <c r="AW62" s="1" t="s">
        <v>79</v>
      </c>
      <c r="AX62" s="1">
        <f>56284*(1)</f>
        <v>56284</v>
      </c>
      <c r="AY62" s="1" t="s">
        <v>552</v>
      </c>
      <c r="AZ62" s="1">
        <f>0.087*(1)</f>
        <v>8.6999999999999994E-2</v>
      </c>
      <c r="BA62" s="1" t="s">
        <v>127</v>
      </c>
      <c r="BB62" s="1">
        <f>52145*(1)</f>
        <v>52145</v>
      </c>
      <c r="BC62" s="1" t="s">
        <v>553</v>
      </c>
      <c r="BD62" s="1">
        <f>0.102*(1)</f>
        <v>0.10199999999999999</v>
      </c>
      <c r="BE62" s="1" t="s">
        <v>127</v>
      </c>
      <c r="BF62" s="1">
        <f>45703*(1)</f>
        <v>45703</v>
      </c>
      <c r="BG62" s="1" t="s">
        <v>554</v>
      </c>
      <c r="BH62" s="1">
        <f>0.07*(1)</f>
        <v>7.0000000000000007E-2</v>
      </c>
      <c r="BI62" s="1" t="s">
        <v>108</v>
      </c>
      <c r="BJ62" s="1">
        <f>116193*(1)</f>
        <v>116193</v>
      </c>
      <c r="BK62" s="1" t="s">
        <v>555</v>
      </c>
      <c r="BL62" s="1">
        <f>0.224*(1)</f>
        <v>0.224</v>
      </c>
      <c r="BM62" s="1" t="s">
        <v>550</v>
      </c>
      <c r="BN62" s="1">
        <f>4807*(1)</f>
        <v>4807</v>
      </c>
      <c r="BO62" s="1" t="s">
        <v>556</v>
      </c>
      <c r="BP62" s="1">
        <f>0.074*(1)</f>
        <v>7.3999999999999996E-2</v>
      </c>
      <c r="BQ62" s="1" t="s">
        <v>557</v>
      </c>
      <c r="BR62" s="1">
        <f>31176*(1)</f>
        <v>31176</v>
      </c>
      <c r="BS62" s="1" t="s">
        <v>558</v>
      </c>
      <c r="BT62" s="1">
        <f>0.09*(1)</f>
        <v>0.09</v>
      </c>
      <c r="BU62" s="1" t="s">
        <v>94</v>
      </c>
      <c r="BV62" s="1">
        <f>14095*(1)</f>
        <v>14095</v>
      </c>
      <c r="BW62" s="1" t="s">
        <v>559</v>
      </c>
      <c r="BX62" s="1">
        <f>0.097*(1)</f>
        <v>9.7000000000000003E-2</v>
      </c>
      <c r="BY62" s="1" t="s">
        <v>273</v>
      </c>
      <c r="BZ62" s="1">
        <f>80271*(1)</f>
        <v>80271</v>
      </c>
      <c r="CA62" s="1" t="s">
        <v>560</v>
      </c>
      <c r="CB62" s="1">
        <f>0.14*(1)</f>
        <v>0.14000000000000001</v>
      </c>
      <c r="CC62" s="1" t="s">
        <v>94</v>
      </c>
      <c r="CD62" s="1">
        <f>9683*(1)</f>
        <v>9683</v>
      </c>
      <c r="CE62" s="1" t="s">
        <v>561</v>
      </c>
      <c r="CF62" s="1">
        <f>0.087*(1)</f>
        <v>8.6999999999999994E-2</v>
      </c>
      <c r="CG62" s="1" t="s">
        <v>418</v>
      </c>
    </row>
    <row r="63" spans="1:85" ht="28.8" x14ac:dyDescent="0.3">
      <c r="A63" s="8" t="s">
        <v>778</v>
      </c>
      <c r="B63" s="1">
        <f>4044*(1)</f>
        <v>4044</v>
      </c>
      <c r="C63" s="1" t="s">
        <v>231</v>
      </c>
      <c r="D63" s="1">
        <f>0.015*(1)</f>
        <v>1.4999999999999999E-2</v>
      </c>
      <c r="E63" s="1" t="s">
        <v>81</v>
      </c>
      <c r="F63" s="1">
        <f>5195*(1)</f>
        <v>5195</v>
      </c>
      <c r="G63" s="1" t="s">
        <v>429</v>
      </c>
      <c r="H63" s="1">
        <f>0.005*(1)</f>
        <v>5.0000000000000001E-3</v>
      </c>
      <c r="I63" s="1" t="s">
        <v>84</v>
      </c>
      <c r="J63" s="1">
        <f>5469*(1)</f>
        <v>5469</v>
      </c>
      <c r="K63" s="1" t="s">
        <v>779</v>
      </c>
      <c r="L63" s="1">
        <f>0.012*(1)</f>
        <v>1.2E-2</v>
      </c>
      <c r="M63" s="1" t="s">
        <v>73</v>
      </c>
      <c r="N63" s="1">
        <f>5734*(1)</f>
        <v>5734</v>
      </c>
      <c r="O63" s="1" t="s">
        <v>780</v>
      </c>
      <c r="P63" s="1">
        <f>0.011*(1)</f>
        <v>1.0999999999999999E-2</v>
      </c>
      <c r="Q63" s="1" t="s">
        <v>73</v>
      </c>
      <c r="R63" s="1">
        <f>1196*(1)</f>
        <v>1196</v>
      </c>
      <c r="S63" s="1" t="s">
        <v>334</v>
      </c>
      <c r="T63" s="1">
        <f>0.013*(1)</f>
        <v>1.2999999999999999E-2</v>
      </c>
      <c r="U63" s="1" t="s">
        <v>99</v>
      </c>
      <c r="V63" s="1">
        <f>2066*(1)</f>
        <v>2066</v>
      </c>
      <c r="W63" s="1" t="s">
        <v>781</v>
      </c>
      <c r="X63" s="1">
        <f>0.013*(1)</f>
        <v>1.2999999999999999E-2</v>
      </c>
      <c r="Y63" s="1" t="s">
        <v>99</v>
      </c>
      <c r="Z63" s="1">
        <f>7107*(1)</f>
        <v>7107</v>
      </c>
      <c r="AA63" s="1" t="s">
        <v>782</v>
      </c>
      <c r="AB63" s="1">
        <f>0.008*(1)</f>
        <v>8.0000000000000002E-3</v>
      </c>
      <c r="AC63" s="1" t="s">
        <v>73</v>
      </c>
      <c r="AD63" s="1">
        <f>3939*(1)</f>
        <v>3939</v>
      </c>
      <c r="AE63" s="1" t="s">
        <v>783</v>
      </c>
      <c r="AF63" s="1">
        <f>0.013*(1)</f>
        <v>1.2999999999999999E-2</v>
      </c>
      <c r="AG63" s="1" t="s">
        <v>106</v>
      </c>
      <c r="AH63" s="1">
        <f>7827*(1)</f>
        <v>7827</v>
      </c>
      <c r="AI63" s="1" t="s">
        <v>784</v>
      </c>
      <c r="AJ63" s="1">
        <f>0.011*(1)</f>
        <v>1.0999999999999999E-2</v>
      </c>
      <c r="AK63" s="1" t="s">
        <v>106</v>
      </c>
      <c r="AL63" s="1">
        <f>189*(1)</f>
        <v>189</v>
      </c>
      <c r="AM63" s="1" t="s">
        <v>785</v>
      </c>
      <c r="AN63" s="1">
        <f>0.001*(1)</f>
        <v>1E-3</v>
      </c>
      <c r="AO63" s="1" t="s">
        <v>84</v>
      </c>
      <c r="AP63" s="1">
        <f>4302*(1)</f>
        <v>4302</v>
      </c>
      <c r="AQ63" s="1" t="s">
        <v>361</v>
      </c>
      <c r="AR63" s="1">
        <f>0.011*(1)</f>
        <v>1.0999999999999999E-2</v>
      </c>
      <c r="AS63" s="1" t="s">
        <v>104</v>
      </c>
      <c r="AT63" s="1">
        <f>7206*(1)</f>
        <v>7206</v>
      </c>
      <c r="AU63" s="1" t="s">
        <v>786</v>
      </c>
      <c r="AV63" s="1">
        <f>0.008*(1)</f>
        <v>8.0000000000000002E-3</v>
      </c>
      <c r="AW63" s="1" t="s">
        <v>73</v>
      </c>
      <c r="AX63" s="1">
        <f>6818*(1)</f>
        <v>6818</v>
      </c>
      <c r="AY63" s="1" t="s">
        <v>787</v>
      </c>
      <c r="AZ63" s="1">
        <f>0.011*(1)</f>
        <v>1.0999999999999999E-2</v>
      </c>
      <c r="BA63" s="1" t="s">
        <v>106</v>
      </c>
      <c r="BB63" s="1">
        <f>3001*(1)</f>
        <v>3001</v>
      </c>
      <c r="BC63" s="1" t="s">
        <v>788</v>
      </c>
      <c r="BD63" s="1">
        <f>0.006*(1)</f>
        <v>6.0000000000000001E-3</v>
      </c>
      <c r="BE63" s="1" t="s">
        <v>73</v>
      </c>
      <c r="BF63" s="1">
        <f>5509*(1)</f>
        <v>5509</v>
      </c>
      <c r="BG63" s="1" t="s">
        <v>789</v>
      </c>
      <c r="BH63" s="1">
        <f>0.008*(1)</f>
        <v>8.0000000000000002E-3</v>
      </c>
      <c r="BI63" s="1" t="s">
        <v>104</v>
      </c>
      <c r="BJ63" s="1">
        <f>1724*(1)</f>
        <v>1724</v>
      </c>
      <c r="BK63" s="1" t="s">
        <v>790</v>
      </c>
      <c r="BL63" s="1">
        <f>0.003*(1)</f>
        <v>3.0000000000000001E-3</v>
      </c>
      <c r="BM63" s="1" t="s">
        <v>84</v>
      </c>
      <c r="BN63" s="1">
        <f>503*(1)</f>
        <v>503</v>
      </c>
      <c r="BO63" s="1" t="s">
        <v>791</v>
      </c>
      <c r="BP63" s="1">
        <f>0.008*(1)</f>
        <v>8.0000000000000002E-3</v>
      </c>
      <c r="BQ63" s="1" t="s">
        <v>81</v>
      </c>
      <c r="BR63" s="1">
        <f>2187*(1)</f>
        <v>2187</v>
      </c>
      <c r="BS63" s="1" t="s">
        <v>792</v>
      </c>
      <c r="BT63" s="1">
        <f>0.006*(1)</f>
        <v>6.0000000000000001E-3</v>
      </c>
      <c r="BU63" s="1" t="s">
        <v>73</v>
      </c>
      <c r="BV63" s="1">
        <f>687*(1)</f>
        <v>687</v>
      </c>
      <c r="BW63" s="1" t="s">
        <v>531</v>
      </c>
      <c r="BX63" s="1">
        <f>0.005*(1)</f>
        <v>5.0000000000000001E-3</v>
      </c>
      <c r="BY63" s="1" t="s">
        <v>73</v>
      </c>
      <c r="BZ63" s="1">
        <f>4364*(1)</f>
        <v>4364</v>
      </c>
      <c r="CA63" s="1" t="s">
        <v>793</v>
      </c>
      <c r="CB63" s="1">
        <f>0.008*(1)</f>
        <v>8.0000000000000002E-3</v>
      </c>
      <c r="CC63" s="1" t="s">
        <v>73</v>
      </c>
      <c r="CD63" s="1">
        <f>1490*(1)</f>
        <v>1490</v>
      </c>
      <c r="CE63" s="1" t="s">
        <v>794</v>
      </c>
      <c r="CF63" s="1">
        <f>0.013*(1)</f>
        <v>1.2999999999999999E-2</v>
      </c>
      <c r="CG63" s="1" t="s">
        <v>81</v>
      </c>
    </row>
    <row r="64" spans="1:85" ht="28.8" x14ac:dyDescent="0.3">
      <c r="A64" s="8" t="s">
        <v>795</v>
      </c>
      <c r="B64" s="1">
        <f>750*(1)</f>
        <v>750</v>
      </c>
      <c r="C64" s="1" t="s">
        <v>201</v>
      </c>
      <c r="D64" s="1">
        <f>0.003*(1)</f>
        <v>3.0000000000000001E-3</v>
      </c>
      <c r="E64" s="1" t="s">
        <v>75</v>
      </c>
      <c r="F64" s="1">
        <f>1224*(1)</f>
        <v>1224</v>
      </c>
      <c r="G64" s="1" t="s">
        <v>796</v>
      </c>
      <c r="H64" s="1">
        <f>0.001*(1)</f>
        <v>1E-3</v>
      </c>
      <c r="I64" s="1" t="s">
        <v>75</v>
      </c>
      <c r="J64" s="1">
        <f>1457*(1)</f>
        <v>1457</v>
      </c>
      <c r="K64" s="1" t="s">
        <v>797</v>
      </c>
      <c r="L64" s="1">
        <f>0.003*(1)</f>
        <v>3.0000000000000001E-3</v>
      </c>
      <c r="M64" s="1" t="s">
        <v>75</v>
      </c>
      <c r="N64" s="1">
        <f>1454*(1)</f>
        <v>1454</v>
      </c>
      <c r="O64" s="1" t="s">
        <v>798</v>
      </c>
      <c r="P64" s="1">
        <f>0.003*(1)</f>
        <v>3.0000000000000001E-3</v>
      </c>
      <c r="Q64" s="1" t="s">
        <v>75</v>
      </c>
      <c r="R64" s="1">
        <f>234*(1)</f>
        <v>234</v>
      </c>
      <c r="S64" s="1" t="s">
        <v>799</v>
      </c>
      <c r="T64" s="1">
        <f>0.002*(1)</f>
        <v>2E-3</v>
      </c>
      <c r="U64" s="1" t="s">
        <v>73</v>
      </c>
      <c r="V64" s="1">
        <f>1040*(1)</f>
        <v>1040</v>
      </c>
      <c r="W64" s="1" t="s">
        <v>800</v>
      </c>
      <c r="X64" s="1">
        <f>0.007*(1)</f>
        <v>7.0000000000000001E-3</v>
      </c>
      <c r="Y64" s="1" t="s">
        <v>84</v>
      </c>
      <c r="Z64" s="1">
        <f>1703*(1)</f>
        <v>1703</v>
      </c>
      <c r="AA64" s="1" t="s">
        <v>801</v>
      </c>
      <c r="AB64" s="1">
        <f>0.002*(1)</f>
        <v>2E-3</v>
      </c>
      <c r="AC64" s="1" t="s">
        <v>75</v>
      </c>
      <c r="AD64" s="1">
        <f>836*(1)</f>
        <v>836</v>
      </c>
      <c r="AE64" s="1" t="s">
        <v>802</v>
      </c>
      <c r="AF64" s="1">
        <f>0.003*(1)</f>
        <v>3.0000000000000001E-3</v>
      </c>
      <c r="AG64" s="1" t="s">
        <v>75</v>
      </c>
      <c r="AH64" s="1">
        <f>1639*(1)</f>
        <v>1639</v>
      </c>
      <c r="AI64" s="1" t="s">
        <v>595</v>
      </c>
      <c r="AJ64" s="1">
        <f>0.002*(1)</f>
        <v>2E-3</v>
      </c>
      <c r="AK64" s="1" t="s">
        <v>75</v>
      </c>
      <c r="AL64" s="1">
        <f>1057*(1)</f>
        <v>1057</v>
      </c>
      <c r="AM64" s="1" t="s">
        <v>803</v>
      </c>
      <c r="AN64" s="1">
        <f>0.008*(1)</f>
        <v>8.0000000000000002E-3</v>
      </c>
      <c r="AO64" s="1" t="s">
        <v>104</v>
      </c>
      <c r="AP64" s="1">
        <f>992*(1)</f>
        <v>992</v>
      </c>
      <c r="AQ64" s="1" t="s">
        <v>804</v>
      </c>
      <c r="AR64" s="1">
        <f>0.003*(1)</f>
        <v>3.0000000000000001E-3</v>
      </c>
      <c r="AS64" s="1" t="s">
        <v>75</v>
      </c>
      <c r="AT64" s="1">
        <f>2316*(1)</f>
        <v>2316</v>
      </c>
      <c r="AU64" s="1" t="s">
        <v>805</v>
      </c>
      <c r="AV64" s="1">
        <f>0.003*(1)</f>
        <v>3.0000000000000001E-3</v>
      </c>
      <c r="AW64" s="1" t="s">
        <v>75</v>
      </c>
      <c r="AX64" s="1">
        <f>2277*(1)</f>
        <v>2277</v>
      </c>
      <c r="AY64" s="1" t="s">
        <v>806</v>
      </c>
      <c r="AZ64" s="1">
        <f>0.004*(1)</f>
        <v>4.0000000000000001E-3</v>
      </c>
      <c r="BA64" s="1" t="s">
        <v>84</v>
      </c>
      <c r="BB64" s="1">
        <f>1197*(1)</f>
        <v>1197</v>
      </c>
      <c r="BC64" s="1" t="s">
        <v>807</v>
      </c>
      <c r="BD64" s="1">
        <f>0.002*(1)</f>
        <v>2E-3</v>
      </c>
      <c r="BE64" s="1" t="s">
        <v>75</v>
      </c>
      <c r="BF64" s="1">
        <f>1497*(1)</f>
        <v>1497</v>
      </c>
      <c r="BG64" s="1" t="s">
        <v>741</v>
      </c>
      <c r="BH64" s="1">
        <f>0.002*(1)</f>
        <v>2E-3</v>
      </c>
      <c r="BI64" s="1" t="s">
        <v>75</v>
      </c>
      <c r="BJ64" s="1">
        <f>1303*(1)</f>
        <v>1303</v>
      </c>
      <c r="BK64" s="1" t="s">
        <v>808</v>
      </c>
      <c r="BL64" s="1">
        <f>0.003*(1)</f>
        <v>3.0000000000000001E-3</v>
      </c>
      <c r="BM64" s="1" t="s">
        <v>75</v>
      </c>
      <c r="BN64" s="1">
        <f>346*(1)</f>
        <v>346</v>
      </c>
      <c r="BO64" s="1" t="s">
        <v>258</v>
      </c>
      <c r="BP64" s="1">
        <f>0.005*(1)</f>
        <v>5.0000000000000001E-3</v>
      </c>
      <c r="BQ64" s="1" t="s">
        <v>73</v>
      </c>
      <c r="BR64" s="1">
        <f>800*(1)</f>
        <v>800</v>
      </c>
      <c r="BS64" s="1" t="s">
        <v>809</v>
      </c>
      <c r="BT64" s="1">
        <f>0.002*(1)</f>
        <v>2E-3</v>
      </c>
      <c r="BU64" s="1" t="s">
        <v>75</v>
      </c>
      <c r="BV64" s="1">
        <f>1531*(1)</f>
        <v>1531</v>
      </c>
      <c r="BW64" s="1" t="s">
        <v>810</v>
      </c>
      <c r="BX64" s="1">
        <f>0.011*(1)</f>
        <v>1.0999999999999999E-2</v>
      </c>
      <c r="BY64" s="1" t="s">
        <v>104</v>
      </c>
      <c r="BZ64" s="1">
        <f>1571*(1)</f>
        <v>1571</v>
      </c>
      <c r="CA64" s="1" t="s">
        <v>811</v>
      </c>
      <c r="CB64" s="1">
        <f>0.003*(1)</f>
        <v>3.0000000000000001E-3</v>
      </c>
      <c r="CC64" s="1" t="s">
        <v>75</v>
      </c>
      <c r="CD64" s="1">
        <f>361*(1)</f>
        <v>361</v>
      </c>
      <c r="CE64" s="1" t="s">
        <v>258</v>
      </c>
      <c r="CF64" s="1">
        <f>0.003*(1)</f>
        <v>3.0000000000000001E-3</v>
      </c>
      <c r="CG64" s="1" t="s">
        <v>84</v>
      </c>
    </row>
    <row r="65" spans="1:85" x14ac:dyDescent="0.3">
      <c r="A65" s="8" t="s">
        <v>812</v>
      </c>
      <c r="B65" s="1">
        <f>2674*(1)</f>
        <v>2674</v>
      </c>
      <c r="C65" s="1" t="s">
        <v>813</v>
      </c>
      <c r="D65" s="1">
        <f>0.01*(1)</f>
        <v>0.01</v>
      </c>
      <c r="E65" s="1" t="s">
        <v>104</v>
      </c>
      <c r="F65" s="1">
        <f>6805*(1)</f>
        <v>6805</v>
      </c>
      <c r="G65" s="1" t="s">
        <v>814</v>
      </c>
      <c r="H65" s="1">
        <f>0.007*(1)</f>
        <v>7.0000000000000001E-3</v>
      </c>
      <c r="I65" s="1" t="s">
        <v>84</v>
      </c>
      <c r="J65" s="1">
        <f>4471*(1)</f>
        <v>4471</v>
      </c>
      <c r="K65" s="1" t="s">
        <v>815</v>
      </c>
      <c r="L65" s="1">
        <f>0.01*(1)</f>
        <v>0.01</v>
      </c>
      <c r="M65" s="1" t="s">
        <v>73</v>
      </c>
      <c r="N65" s="1">
        <f>2894*(1)</f>
        <v>2894</v>
      </c>
      <c r="O65" s="1" t="s">
        <v>160</v>
      </c>
      <c r="P65" s="1">
        <f>0.006*(1)</f>
        <v>6.0000000000000001E-3</v>
      </c>
      <c r="Q65" s="1" t="s">
        <v>84</v>
      </c>
      <c r="R65" s="1">
        <f>247*(1)</f>
        <v>247</v>
      </c>
      <c r="S65" s="1" t="s">
        <v>333</v>
      </c>
      <c r="T65" s="1">
        <f>0.003*(1)</f>
        <v>3.0000000000000001E-3</v>
      </c>
      <c r="U65" s="1" t="s">
        <v>104</v>
      </c>
      <c r="V65" s="1">
        <f>256*(1)</f>
        <v>256</v>
      </c>
      <c r="W65" s="1" t="s">
        <v>816</v>
      </c>
      <c r="X65" s="1">
        <f>0.002*(1)</f>
        <v>2E-3</v>
      </c>
      <c r="Y65" s="1" t="s">
        <v>84</v>
      </c>
      <c r="Z65" s="1">
        <f>4547*(1)</f>
        <v>4547</v>
      </c>
      <c r="AA65" s="1" t="s">
        <v>817</v>
      </c>
      <c r="AB65" s="1">
        <f>0.005*(1)</f>
        <v>5.0000000000000001E-3</v>
      </c>
      <c r="AC65" s="1" t="s">
        <v>75</v>
      </c>
      <c r="AD65" s="1">
        <f>1021*(1)</f>
        <v>1021</v>
      </c>
      <c r="AE65" s="1" t="s">
        <v>818</v>
      </c>
      <c r="AF65" s="1">
        <f>0.003*(1)</f>
        <v>3.0000000000000001E-3</v>
      </c>
      <c r="AG65" s="1" t="s">
        <v>84</v>
      </c>
      <c r="AH65" s="1">
        <f>5294*(1)</f>
        <v>5294</v>
      </c>
      <c r="AI65" s="1" t="s">
        <v>819</v>
      </c>
      <c r="AJ65" s="1">
        <f>0.008*(1)</f>
        <v>8.0000000000000002E-3</v>
      </c>
      <c r="AK65" s="1" t="s">
        <v>84</v>
      </c>
      <c r="AL65" s="1">
        <f>785*(1)</f>
        <v>785</v>
      </c>
      <c r="AM65" s="1" t="s">
        <v>820</v>
      </c>
      <c r="AN65" s="1">
        <f>0.006*(1)</f>
        <v>6.0000000000000001E-3</v>
      </c>
      <c r="AO65" s="1" t="s">
        <v>73</v>
      </c>
      <c r="AP65" s="1">
        <f>3531*(1)</f>
        <v>3531</v>
      </c>
      <c r="AQ65" s="1" t="s">
        <v>821</v>
      </c>
      <c r="AR65" s="1">
        <f>0.009*(1)</f>
        <v>8.9999999999999993E-3</v>
      </c>
      <c r="AS65" s="1" t="s">
        <v>73</v>
      </c>
      <c r="AT65" s="1">
        <f>4999*(1)</f>
        <v>4999</v>
      </c>
      <c r="AU65" s="1" t="s">
        <v>307</v>
      </c>
      <c r="AV65" s="1">
        <f>0.006*(1)</f>
        <v>6.0000000000000001E-3</v>
      </c>
      <c r="AW65" s="1" t="s">
        <v>84</v>
      </c>
      <c r="AX65" s="1">
        <f>4148*(1)</f>
        <v>4148</v>
      </c>
      <c r="AY65" s="1" t="s">
        <v>822</v>
      </c>
      <c r="AZ65" s="1">
        <f>0.006*(1)</f>
        <v>6.0000000000000001E-3</v>
      </c>
      <c r="BA65" s="1" t="s">
        <v>84</v>
      </c>
      <c r="BB65" s="1">
        <f>7785*(1)</f>
        <v>7785</v>
      </c>
      <c r="BC65" s="1" t="s">
        <v>823</v>
      </c>
      <c r="BD65" s="1">
        <f>0.015*(1)</f>
        <v>1.4999999999999999E-2</v>
      </c>
      <c r="BE65" s="1" t="s">
        <v>104</v>
      </c>
      <c r="BF65" s="1">
        <f>2853*(1)</f>
        <v>2853</v>
      </c>
      <c r="BG65" s="1" t="s">
        <v>824</v>
      </c>
      <c r="BH65" s="1">
        <f>0.004*(1)</f>
        <v>4.0000000000000001E-3</v>
      </c>
      <c r="BI65" s="1" t="s">
        <v>84</v>
      </c>
      <c r="BJ65" s="1">
        <f>2336*(1)</f>
        <v>2336</v>
      </c>
      <c r="BK65" s="1" t="s">
        <v>350</v>
      </c>
      <c r="BL65" s="1">
        <f>0.005*(1)</f>
        <v>5.0000000000000001E-3</v>
      </c>
      <c r="BM65" s="1" t="s">
        <v>73</v>
      </c>
      <c r="BN65" s="1">
        <f>0*(1)</f>
        <v>0</v>
      </c>
      <c r="BO65" s="1" t="s">
        <v>258</v>
      </c>
      <c r="BP65" s="1">
        <f>0*(1)</f>
        <v>0</v>
      </c>
      <c r="BQ65" s="1" t="s">
        <v>73</v>
      </c>
      <c r="BR65" s="1">
        <f>3274*(1)</f>
        <v>3274</v>
      </c>
      <c r="BS65" s="1" t="s">
        <v>825</v>
      </c>
      <c r="BT65" s="1">
        <f>0.009*(1)</f>
        <v>8.9999999999999993E-3</v>
      </c>
      <c r="BU65" s="1" t="s">
        <v>73</v>
      </c>
      <c r="BV65" s="1">
        <f>518*(1)</f>
        <v>518</v>
      </c>
      <c r="BW65" s="1" t="s">
        <v>826</v>
      </c>
      <c r="BX65" s="1">
        <f>0.004*(1)</f>
        <v>4.0000000000000001E-3</v>
      </c>
      <c r="BY65" s="1" t="s">
        <v>84</v>
      </c>
      <c r="BZ65" s="1">
        <f>1353*(1)</f>
        <v>1353</v>
      </c>
      <c r="CA65" s="1" t="s">
        <v>451</v>
      </c>
      <c r="CB65" s="1">
        <f>0.002*(1)</f>
        <v>2E-3</v>
      </c>
      <c r="CC65" s="1" t="s">
        <v>75</v>
      </c>
      <c r="CD65" s="1">
        <f>644*(1)</f>
        <v>644</v>
      </c>
      <c r="CE65" s="1" t="s">
        <v>827</v>
      </c>
      <c r="CF65" s="1">
        <f>0.006*(1)</f>
        <v>6.0000000000000001E-3</v>
      </c>
      <c r="CG65" s="1" t="s">
        <v>106</v>
      </c>
    </row>
    <row r="66" spans="1:85" ht="43.2" x14ac:dyDescent="0.3">
      <c r="A66" s="8" t="s">
        <v>828</v>
      </c>
      <c r="B66" s="1">
        <f>299*(1)</f>
        <v>299</v>
      </c>
      <c r="C66" s="1" t="s">
        <v>829</v>
      </c>
      <c r="D66" s="1">
        <f>0.001*(1)</f>
        <v>1E-3</v>
      </c>
      <c r="E66" s="1" t="s">
        <v>75</v>
      </c>
      <c r="F66" s="1">
        <f>1099*(1)</f>
        <v>1099</v>
      </c>
      <c r="G66" s="1" t="s">
        <v>830</v>
      </c>
      <c r="H66" s="1">
        <f>0.001*(1)</f>
        <v>1E-3</v>
      </c>
      <c r="I66" s="1" t="s">
        <v>75</v>
      </c>
      <c r="J66" s="1">
        <f>1029*(1)</f>
        <v>1029</v>
      </c>
      <c r="K66" s="1" t="s">
        <v>831</v>
      </c>
      <c r="L66" s="1">
        <f>0.002*(1)</f>
        <v>2E-3</v>
      </c>
      <c r="M66" s="1" t="s">
        <v>75</v>
      </c>
      <c r="N66" s="1">
        <f>1719*(1)</f>
        <v>1719</v>
      </c>
      <c r="O66" s="1" t="s">
        <v>832</v>
      </c>
      <c r="P66" s="1">
        <f>0.003*(1)</f>
        <v>3.0000000000000001E-3</v>
      </c>
      <c r="Q66" s="1" t="s">
        <v>84</v>
      </c>
      <c r="R66" s="1">
        <f>464*(1)</f>
        <v>464</v>
      </c>
      <c r="S66" s="1" t="s">
        <v>481</v>
      </c>
      <c r="T66" s="1">
        <f>0.005*(1)</f>
        <v>5.0000000000000001E-3</v>
      </c>
      <c r="U66" s="1" t="s">
        <v>104</v>
      </c>
      <c r="V66" s="1">
        <f>338*(1)</f>
        <v>338</v>
      </c>
      <c r="W66" s="1" t="s">
        <v>833</v>
      </c>
      <c r="X66" s="1">
        <f>0.002*(1)</f>
        <v>2E-3</v>
      </c>
      <c r="Y66" s="1" t="s">
        <v>73</v>
      </c>
      <c r="Z66" s="1">
        <f>2600*(1)</f>
        <v>2600</v>
      </c>
      <c r="AA66" s="1" t="s">
        <v>408</v>
      </c>
      <c r="AB66" s="1">
        <f>0.003*(1)</f>
        <v>3.0000000000000001E-3</v>
      </c>
      <c r="AC66" s="1" t="s">
        <v>75</v>
      </c>
      <c r="AD66" s="1">
        <f>262*(1)</f>
        <v>262</v>
      </c>
      <c r="AE66" s="1" t="s">
        <v>834</v>
      </c>
      <c r="AF66" s="1">
        <f>0.001*(1)</f>
        <v>1E-3</v>
      </c>
      <c r="AG66" s="1" t="s">
        <v>75</v>
      </c>
      <c r="AH66" s="1">
        <f>348*(1)</f>
        <v>348</v>
      </c>
      <c r="AI66" s="1" t="s">
        <v>835</v>
      </c>
      <c r="AJ66" s="1">
        <f>0*(1)</f>
        <v>0</v>
      </c>
      <c r="AK66" s="1" t="s">
        <v>75</v>
      </c>
      <c r="AL66" s="1">
        <f>73*(1)</f>
        <v>73</v>
      </c>
      <c r="AM66" s="1" t="s">
        <v>528</v>
      </c>
      <c r="AN66" s="1">
        <f>0.001*(1)</f>
        <v>1E-3</v>
      </c>
      <c r="AO66" s="1" t="s">
        <v>75</v>
      </c>
      <c r="AP66" s="1">
        <f>283*(1)</f>
        <v>283</v>
      </c>
      <c r="AQ66" s="1" t="s">
        <v>386</v>
      </c>
      <c r="AR66" s="1">
        <f>0.001*(1)</f>
        <v>1E-3</v>
      </c>
      <c r="AS66" s="1" t="s">
        <v>75</v>
      </c>
      <c r="AT66" s="1">
        <f>934*(1)</f>
        <v>934</v>
      </c>
      <c r="AU66" s="1" t="s">
        <v>836</v>
      </c>
      <c r="AV66" s="1">
        <f>0.001*(1)</f>
        <v>1E-3</v>
      </c>
      <c r="AW66" s="1" t="s">
        <v>75</v>
      </c>
      <c r="AX66" s="1">
        <f>519*(1)</f>
        <v>519</v>
      </c>
      <c r="AY66" s="1" t="s">
        <v>837</v>
      </c>
      <c r="AZ66" s="1">
        <f>0.001*(1)</f>
        <v>1E-3</v>
      </c>
      <c r="BA66" s="1" t="s">
        <v>75</v>
      </c>
      <c r="BB66" s="1">
        <f>256*(1)</f>
        <v>256</v>
      </c>
      <c r="BC66" s="1" t="s">
        <v>838</v>
      </c>
      <c r="BD66" s="1">
        <f>0.001*(1)</f>
        <v>1E-3</v>
      </c>
      <c r="BE66" s="1" t="s">
        <v>75</v>
      </c>
      <c r="BF66" s="1">
        <f>385*(1)</f>
        <v>385</v>
      </c>
      <c r="BG66" s="1" t="s">
        <v>839</v>
      </c>
      <c r="BH66" s="1">
        <f>0.001*(1)</f>
        <v>1E-3</v>
      </c>
      <c r="BI66" s="1" t="s">
        <v>75</v>
      </c>
      <c r="BJ66" s="1">
        <f>243*(1)</f>
        <v>243</v>
      </c>
      <c r="BK66" s="1" t="s">
        <v>76</v>
      </c>
      <c r="BL66" s="1">
        <f>0*(1)</f>
        <v>0</v>
      </c>
      <c r="BM66" s="1" t="s">
        <v>75</v>
      </c>
      <c r="BN66" s="1">
        <f>0*(1)</f>
        <v>0</v>
      </c>
      <c r="BO66" s="1" t="s">
        <v>258</v>
      </c>
      <c r="BP66" s="1">
        <f>0*(1)</f>
        <v>0</v>
      </c>
      <c r="BQ66" s="1" t="s">
        <v>73</v>
      </c>
      <c r="BR66" s="1">
        <f>926*(1)</f>
        <v>926</v>
      </c>
      <c r="BS66" s="1" t="s">
        <v>840</v>
      </c>
      <c r="BT66" s="1">
        <f>0.003*(1)</f>
        <v>3.0000000000000001E-3</v>
      </c>
      <c r="BU66" s="1" t="s">
        <v>73</v>
      </c>
      <c r="BV66" s="1">
        <f>0*(1)</f>
        <v>0</v>
      </c>
      <c r="BW66" s="1" t="s">
        <v>258</v>
      </c>
      <c r="BX66" s="1">
        <f>0*(1)</f>
        <v>0</v>
      </c>
      <c r="BY66" s="1" t="s">
        <v>75</v>
      </c>
      <c r="BZ66" s="1">
        <f>813*(1)</f>
        <v>813</v>
      </c>
      <c r="CA66" s="1" t="s">
        <v>841</v>
      </c>
      <c r="CB66" s="1">
        <f>0.001*(1)</f>
        <v>1E-3</v>
      </c>
      <c r="CC66" s="1" t="s">
        <v>75</v>
      </c>
      <c r="CD66" s="1">
        <f>0*(1)</f>
        <v>0</v>
      </c>
      <c r="CE66" s="1" t="s">
        <v>258</v>
      </c>
      <c r="CF66" s="1">
        <f>0*(1)</f>
        <v>0</v>
      </c>
      <c r="CG66" s="1" t="s">
        <v>84</v>
      </c>
    </row>
    <row r="67" spans="1:85" ht="28.8" x14ac:dyDescent="0.3">
      <c r="A67" s="4" t="s">
        <v>842</v>
      </c>
      <c r="B67" s="1">
        <f>0*(1)</f>
        <v>0</v>
      </c>
      <c r="C67" s="1">
        <f>0*(1)</f>
        <v>0</v>
      </c>
      <c r="D67" s="1">
        <f>0*(1)</f>
        <v>0</v>
      </c>
      <c r="E67" s="1">
        <f>0*(1)</f>
        <v>0</v>
      </c>
      <c r="F67" s="1">
        <f>0*(1)</f>
        <v>0</v>
      </c>
      <c r="G67" s="1">
        <f>0*(1)</f>
        <v>0</v>
      </c>
      <c r="H67" s="1">
        <f>0*(1)</f>
        <v>0</v>
      </c>
      <c r="I67" s="1">
        <f>0*(1)</f>
        <v>0</v>
      </c>
      <c r="J67" s="1">
        <f>0*(1)</f>
        <v>0</v>
      </c>
      <c r="K67" s="1">
        <f>0*(1)</f>
        <v>0</v>
      </c>
      <c r="L67" s="1">
        <f>0*(1)</f>
        <v>0</v>
      </c>
      <c r="M67" s="1">
        <f>0*(1)</f>
        <v>0</v>
      </c>
      <c r="N67" s="1">
        <f>0*(1)</f>
        <v>0</v>
      </c>
      <c r="O67" s="1">
        <f>0*(1)</f>
        <v>0</v>
      </c>
      <c r="P67" s="1">
        <f>0*(1)</f>
        <v>0</v>
      </c>
      <c r="Q67" s="1">
        <f>0*(1)</f>
        <v>0</v>
      </c>
      <c r="R67" s="1">
        <f>0*(1)</f>
        <v>0</v>
      </c>
      <c r="S67" s="1">
        <f>0*(1)</f>
        <v>0</v>
      </c>
      <c r="T67" s="1">
        <f>0*(1)</f>
        <v>0</v>
      </c>
      <c r="U67" s="1">
        <f>0*(1)</f>
        <v>0</v>
      </c>
      <c r="V67" s="1">
        <f>0*(1)</f>
        <v>0</v>
      </c>
      <c r="W67" s="1">
        <f>0*(1)</f>
        <v>0</v>
      </c>
      <c r="X67" s="1">
        <f>0*(1)</f>
        <v>0</v>
      </c>
      <c r="Y67" s="1">
        <f>0*(1)</f>
        <v>0</v>
      </c>
      <c r="Z67" s="1">
        <f>0*(1)</f>
        <v>0</v>
      </c>
      <c r="AA67" s="1">
        <f>0*(1)</f>
        <v>0</v>
      </c>
      <c r="AB67" s="1">
        <f>0*(1)</f>
        <v>0</v>
      </c>
      <c r="AC67" s="1">
        <f>0*(1)</f>
        <v>0</v>
      </c>
      <c r="AD67" s="1">
        <f>0*(1)</f>
        <v>0</v>
      </c>
      <c r="AE67" s="1">
        <f>0*(1)</f>
        <v>0</v>
      </c>
      <c r="AF67" s="1">
        <f>0*(1)</f>
        <v>0</v>
      </c>
      <c r="AG67" s="1">
        <f>0*(1)</f>
        <v>0</v>
      </c>
      <c r="AH67" s="1">
        <f>0*(1)</f>
        <v>0</v>
      </c>
      <c r="AI67" s="1">
        <f>0*(1)</f>
        <v>0</v>
      </c>
      <c r="AJ67" s="1">
        <f>0*(1)</f>
        <v>0</v>
      </c>
      <c r="AK67" s="1">
        <f>0*(1)</f>
        <v>0</v>
      </c>
      <c r="AL67" s="1">
        <f>0*(1)</f>
        <v>0</v>
      </c>
      <c r="AM67" s="1">
        <f>0*(1)</f>
        <v>0</v>
      </c>
      <c r="AN67" s="1">
        <f>0*(1)</f>
        <v>0</v>
      </c>
      <c r="AO67" s="1">
        <f>0*(1)</f>
        <v>0</v>
      </c>
      <c r="AP67" s="1">
        <f>0*(1)</f>
        <v>0</v>
      </c>
      <c r="AQ67" s="1">
        <f>0*(1)</f>
        <v>0</v>
      </c>
      <c r="AR67" s="1">
        <f>0*(1)</f>
        <v>0</v>
      </c>
      <c r="AS67" s="1">
        <f>0*(1)</f>
        <v>0</v>
      </c>
      <c r="AT67" s="1">
        <f>0*(1)</f>
        <v>0</v>
      </c>
      <c r="AU67" s="1">
        <f>0*(1)</f>
        <v>0</v>
      </c>
      <c r="AV67" s="1">
        <f>0*(1)</f>
        <v>0</v>
      </c>
      <c r="AW67" s="1">
        <f>0*(1)</f>
        <v>0</v>
      </c>
      <c r="AX67" s="1">
        <f>0*(1)</f>
        <v>0</v>
      </c>
      <c r="AY67" s="1">
        <f>0*(1)</f>
        <v>0</v>
      </c>
      <c r="AZ67" s="1">
        <f>0*(1)</f>
        <v>0</v>
      </c>
      <c r="BA67" s="1">
        <f>0*(1)</f>
        <v>0</v>
      </c>
      <c r="BB67" s="1">
        <f>0*(1)</f>
        <v>0</v>
      </c>
      <c r="BC67" s="1">
        <f>0*(1)</f>
        <v>0</v>
      </c>
      <c r="BD67" s="1">
        <f>0*(1)</f>
        <v>0</v>
      </c>
      <c r="BE67" s="1">
        <f>0*(1)</f>
        <v>0</v>
      </c>
      <c r="BF67" s="1">
        <f>0*(1)</f>
        <v>0</v>
      </c>
      <c r="BG67" s="1">
        <f>0*(1)</f>
        <v>0</v>
      </c>
      <c r="BH67" s="1">
        <f>0*(1)</f>
        <v>0</v>
      </c>
      <c r="BI67" s="1">
        <f>0*(1)</f>
        <v>0</v>
      </c>
      <c r="BJ67" s="1">
        <f>0*(1)</f>
        <v>0</v>
      </c>
      <c r="BK67" s="1">
        <f>0*(1)</f>
        <v>0</v>
      </c>
      <c r="BL67" s="1">
        <f>0*(1)</f>
        <v>0</v>
      </c>
      <c r="BM67" s="1">
        <f>0*(1)</f>
        <v>0</v>
      </c>
      <c r="BN67" s="1">
        <f>0*(1)</f>
        <v>0</v>
      </c>
      <c r="BO67" s="1">
        <f>0*(1)</f>
        <v>0</v>
      </c>
      <c r="BP67" s="1">
        <f>0*(1)</f>
        <v>0</v>
      </c>
      <c r="BQ67" s="1">
        <f>0*(1)</f>
        <v>0</v>
      </c>
      <c r="BR67" s="1">
        <f>0*(1)</f>
        <v>0</v>
      </c>
      <c r="BS67" s="1">
        <f>0*(1)</f>
        <v>0</v>
      </c>
      <c r="BT67" s="1">
        <f>0*(1)</f>
        <v>0</v>
      </c>
      <c r="BU67" s="1">
        <f>0*(1)</f>
        <v>0</v>
      </c>
      <c r="BV67" s="1">
        <f>0*(1)</f>
        <v>0</v>
      </c>
      <c r="BW67" s="1">
        <f>0*(1)</f>
        <v>0</v>
      </c>
      <c r="BX67" s="1">
        <f>0*(1)</f>
        <v>0</v>
      </c>
      <c r="BY67" s="1">
        <f>0*(1)</f>
        <v>0</v>
      </c>
      <c r="BZ67" s="1">
        <f>0*(1)</f>
        <v>0</v>
      </c>
      <c r="CA67" s="1">
        <f>0*(1)</f>
        <v>0</v>
      </c>
      <c r="CB67" s="1">
        <f>0*(1)</f>
        <v>0</v>
      </c>
      <c r="CC67" s="1">
        <f>0*(1)</f>
        <v>0</v>
      </c>
      <c r="CD67" s="1">
        <f>0*(1)</f>
        <v>0</v>
      </c>
      <c r="CE67" s="1">
        <f>0*(1)</f>
        <v>0</v>
      </c>
      <c r="CF67" s="1">
        <f>0*(1)</f>
        <v>0</v>
      </c>
      <c r="CG67" s="1">
        <f>0*(1)</f>
        <v>0</v>
      </c>
    </row>
    <row r="68" spans="1:85" x14ac:dyDescent="0.3">
      <c r="A68" s="6" t="s">
        <v>68</v>
      </c>
      <c r="B68" s="1">
        <f>274966*(1)</f>
        <v>274966</v>
      </c>
      <c r="C68" s="1" t="s">
        <v>69</v>
      </c>
      <c r="D68" s="1">
        <f>274966*(1)</f>
        <v>274966</v>
      </c>
      <c r="E68" s="1" t="s">
        <v>70</v>
      </c>
      <c r="F68" s="1">
        <f>953819*(1)</f>
        <v>953819</v>
      </c>
      <c r="G68" s="1" t="s">
        <v>69</v>
      </c>
      <c r="H68" s="1">
        <f>953819*(1)</f>
        <v>953819</v>
      </c>
      <c r="I68" s="1" t="s">
        <v>70</v>
      </c>
      <c r="J68" s="1">
        <f>464269*(1)</f>
        <v>464269</v>
      </c>
      <c r="K68" s="1" t="s">
        <v>69</v>
      </c>
      <c r="L68" s="1">
        <f>464269*(1)</f>
        <v>464269</v>
      </c>
      <c r="M68" s="1" t="s">
        <v>70</v>
      </c>
      <c r="N68" s="1">
        <f>523771*(1)</f>
        <v>523771</v>
      </c>
      <c r="O68" s="1" t="s">
        <v>69</v>
      </c>
      <c r="P68" s="1">
        <f>523771*(1)</f>
        <v>523771</v>
      </c>
      <c r="Q68" s="1" t="s">
        <v>70</v>
      </c>
      <c r="R68" s="1">
        <f>95661*(1)</f>
        <v>95661</v>
      </c>
      <c r="S68" s="1" t="s">
        <v>69</v>
      </c>
      <c r="T68" s="1">
        <f>95661*(1)</f>
        <v>95661</v>
      </c>
      <c r="U68" s="1" t="s">
        <v>70</v>
      </c>
      <c r="V68" s="1">
        <f>153627*(1)</f>
        <v>153627</v>
      </c>
      <c r="W68" s="1" t="s">
        <v>69</v>
      </c>
      <c r="X68" s="1">
        <f>153627*(1)</f>
        <v>153627</v>
      </c>
      <c r="Y68" s="1" t="s">
        <v>70</v>
      </c>
      <c r="Z68" s="1">
        <f>854917*(1)</f>
        <v>854917</v>
      </c>
      <c r="AA68" s="1" t="s">
        <v>69</v>
      </c>
      <c r="AB68" s="1">
        <f>854917*(1)</f>
        <v>854917</v>
      </c>
      <c r="AC68" s="1" t="s">
        <v>70</v>
      </c>
      <c r="AD68" s="1">
        <f>304477*(1)</f>
        <v>304477</v>
      </c>
      <c r="AE68" s="1" t="s">
        <v>69</v>
      </c>
      <c r="AF68" s="1">
        <f>304477*(1)</f>
        <v>304477</v>
      </c>
      <c r="AG68" s="1" t="s">
        <v>70</v>
      </c>
      <c r="AH68" s="1">
        <f>702463*(1)</f>
        <v>702463</v>
      </c>
      <c r="AI68" s="1" t="s">
        <v>69</v>
      </c>
      <c r="AJ68" s="1">
        <f>702463*(1)</f>
        <v>702463</v>
      </c>
      <c r="AK68" s="1" t="s">
        <v>70</v>
      </c>
      <c r="AL68" s="1">
        <f>129924*(1)</f>
        <v>129924</v>
      </c>
      <c r="AM68" s="1" t="s">
        <v>69</v>
      </c>
      <c r="AN68" s="1">
        <f>129924*(1)</f>
        <v>129924</v>
      </c>
      <c r="AO68" s="1" t="s">
        <v>70</v>
      </c>
      <c r="AP68" s="1">
        <f>385898*(1)</f>
        <v>385898</v>
      </c>
      <c r="AQ68" s="1" t="s">
        <v>69</v>
      </c>
      <c r="AR68" s="1">
        <f>385898*(1)</f>
        <v>385898</v>
      </c>
      <c r="AS68" s="1" t="s">
        <v>70</v>
      </c>
      <c r="AT68" s="1">
        <f>860807*(1)</f>
        <v>860807</v>
      </c>
      <c r="AU68" s="1" t="s">
        <v>69</v>
      </c>
      <c r="AV68" s="1">
        <f>860807*(1)</f>
        <v>860807</v>
      </c>
      <c r="AW68" s="1" t="s">
        <v>70</v>
      </c>
      <c r="AX68" s="1">
        <f>645354*(1)</f>
        <v>645354</v>
      </c>
      <c r="AY68" s="1" t="s">
        <v>69</v>
      </c>
      <c r="AZ68" s="1">
        <f>645354*(1)</f>
        <v>645354</v>
      </c>
      <c r="BA68" s="1" t="s">
        <v>70</v>
      </c>
      <c r="BB68" s="1">
        <f>510981*(1)</f>
        <v>510981</v>
      </c>
      <c r="BC68" s="1" t="s">
        <v>69</v>
      </c>
      <c r="BD68" s="1">
        <f>510981*(1)</f>
        <v>510981</v>
      </c>
      <c r="BE68" s="1" t="s">
        <v>70</v>
      </c>
      <c r="BF68" s="1">
        <f>648998*(1)</f>
        <v>648998</v>
      </c>
      <c r="BG68" s="1" t="s">
        <v>69</v>
      </c>
      <c r="BH68" s="1">
        <f>648998*(1)</f>
        <v>648998</v>
      </c>
      <c r="BI68" s="1" t="s">
        <v>70</v>
      </c>
      <c r="BJ68" s="1">
        <f>518117*(1)</f>
        <v>518117</v>
      </c>
      <c r="BK68" s="1" t="s">
        <v>69</v>
      </c>
      <c r="BL68" s="1">
        <f>518117*(1)</f>
        <v>518117</v>
      </c>
      <c r="BM68" s="1" t="s">
        <v>70</v>
      </c>
      <c r="BN68" s="1">
        <f>65046*(1)</f>
        <v>65046</v>
      </c>
      <c r="BO68" s="1" t="s">
        <v>69</v>
      </c>
      <c r="BP68" s="1">
        <f>65046*(1)</f>
        <v>65046</v>
      </c>
      <c r="BQ68" s="1" t="s">
        <v>70</v>
      </c>
      <c r="BR68" s="1">
        <f>345647*(1)</f>
        <v>345647</v>
      </c>
      <c r="BS68" s="1" t="s">
        <v>69</v>
      </c>
      <c r="BT68" s="1">
        <f>345647*(1)</f>
        <v>345647</v>
      </c>
      <c r="BU68" s="1" t="s">
        <v>70</v>
      </c>
      <c r="BV68" s="1">
        <f>145543*(1)</f>
        <v>145543</v>
      </c>
      <c r="BW68" s="1" t="s">
        <v>69</v>
      </c>
      <c r="BX68" s="1">
        <f>145543*(1)</f>
        <v>145543</v>
      </c>
      <c r="BY68" s="1" t="s">
        <v>70</v>
      </c>
      <c r="BZ68" s="1">
        <f>572114*(1)</f>
        <v>572114</v>
      </c>
      <c r="CA68" s="1" t="s">
        <v>69</v>
      </c>
      <c r="CB68" s="1">
        <f>572114*(1)</f>
        <v>572114</v>
      </c>
      <c r="CC68" s="1" t="s">
        <v>70</v>
      </c>
      <c r="CD68" s="1">
        <f>110731*(1)</f>
        <v>110731</v>
      </c>
      <c r="CE68" s="1" t="s">
        <v>69</v>
      </c>
      <c r="CF68" s="1">
        <f>110731*(1)</f>
        <v>110731</v>
      </c>
      <c r="CG68" s="1" t="s">
        <v>70</v>
      </c>
    </row>
    <row r="69" spans="1:85" x14ac:dyDescent="0.3">
      <c r="A69" s="7" t="s">
        <v>563</v>
      </c>
      <c r="B69" s="1">
        <f>184535*(1)</f>
        <v>184535</v>
      </c>
      <c r="C69" s="1" t="s">
        <v>843</v>
      </c>
      <c r="D69" s="1">
        <f>0.671*(1)</f>
        <v>0.67100000000000004</v>
      </c>
      <c r="E69" s="1" t="s">
        <v>844</v>
      </c>
      <c r="F69" s="1">
        <f>646206*(1)</f>
        <v>646206</v>
      </c>
      <c r="G69" s="1" t="s">
        <v>845</v>
      </c>
      <c r="H69" s="1">
        <f>0.677*(1)</f>
        <v>0.67700000000000005</v>
      </c>
      <c r="I69" s="1" t="s">
        <v>79</v>
      </c>
      <c r="J69" s="1">
        <f>336027*(1)</f>
        <v>336027</v>
      </c>
      <c r="K69" s="1" t="s">
        <v>846</v>
      </c>
      <c r="L69" s="1">
        <f>0.724*(1)</f>
        <v>0.72399999999999998</v>
      </c>
      <c r="M69" s="1" t="s">
        <v>79</v>
      </c>
      <c r="N69" s="1">
        <f>321849*(1)</f>
        <v>321849</v>
      </c>
      <c r="O69" s="1" t="s">
        <v>847</v>
      </c>
      <c r="P69" s="1">
        <f>0.614*(1)</f>
        <v>0.61399999999999999</v>
      </c>
      <c r="Q69" s="1" t="s">
        <v>127</v>
      </c>
      <c r="R69" s="1">
        <f>86917*(1)</f>
        <v>86917</v>
      </c>
      <c r="S69" s="1" t="s">
        <v>848</v>
      </c>
      <c r="T69" s="1">
        <f>0.909*(1)</f>
        <v>0.90900000000000003</v>
      </c>
      <c r="U69" s="1" t="s">
        <v>501</v>
      </c>
      <c r="V69" s="1">
        <f>101861*(1)</f>
        <v>101861</v>
      </c>
      <c r="W69" s="1" t="s">
        <v>849</v>
      </c>
      <c r="X69" s="1">
        <f>0.663*(1)</f>
        <v>0.66300000000000003</v>
      </c>
      <c r="Y69" s="1" t="s">
        <v>850</v>
      </c>
      <c r="Z69" s="1">
        <f>322691*(1)</f>
        <v>322691</v>
      </c>
      <c r="AA69" s="1" t="s">
        <v>851</v>
      </c>
      <c r="AB69" s="1">
        <f>0.377*(1)</f>
        <v>0.377</v>
      </c>
      <c r="AC69" s="1" t="s">
        <v>79</v>
      </c>
      <c r="AD69" s="1">
        <f>248492*(1)</f>
        <v>248492</v>
      </c>
      <c r="AE69" s="1" t="s">
        <v>852</v>
      </c>
      <c r="AF69" s="1">
        <f>0.816*(1)</f>
        <v>0.81599999999999995</v>
      </c>
      <c r="AG69" s="1" t="s">
        <v>140</v>
      </c>
      <c r="AH69" s="1">
        <f>375535*(1)</f>
        <v>375535</v>
      </c>
      <c r="AI69" s="1" t="s">
        <v>853</v>
      </c>
      <c r="AJ69" s="1">
        <f>0.535*(1)</f>
        <v>0.53500000000000003</v>
      </c>
      <c r="AK69" s="1" t="s">
        <v>550</v>
      </c>
      <c r="AL69" s="1">
        <f>115967*(1)</f>
        <v>115967</v>
      </c>
      <c r="AM69" s="1" t="s">
        <v>854</v>
      </c>
      <c r="AN69" s="1">
        <f>0.893*(1)</f>
        <v>0.89300000000000002</v>
      </c>
      <c r="AO69" s="1" t="s">
        <v>138</v>
      </c>
      <c r="AP69" s="1">
        <f>227098*(1)</f>
        <v>227098</v>
      </c>
      <c r="AQ69" s="1" t="s">
        <v>855</v>
      </c>
      <c r="AR69" s="1">
        <f>0.588*(1)</f>
        <v>0.58799999999999997</v>
      </c>
      <c r="AS69" s="1" t="s">
        <v>273</v>
      </c>
      <c r="AT69" s="1">
        <f>432356*(1)</f>
        <v>432356</v>
      </c>
      <c r="AU69" s="1" t="s">
        <v>856</v>
      </c>
      <c r="AV69" s="1">
        <f>0.502*(1)</f>
        <v>0.502</v>
      </c>
      <c r="AW69" s="1" t="s">
        <v>127</v>
      </c>
      <c r="AX69" s="1">
        <f>535051*(1)</f>
        <v>535051</v>
      </c>
      <c r="AY69" s="1" t="s">
        <v>857</v>
      </c>
      <c r="AZ69" s="1">
        <f>0.829*(1)</f>
        <v>0.82899999999999996</v>
      </c>
      <c r="BA69" s="1" t="s">
        <v>79</v>
      </c>
      <c r="BB69" s="1">
        <f>402087*(1)</f>
        <v>402087</v>
      </c>
      <c r="BC69" s="1" t="s">
        <v>858</v>
      </c>
      <c r="BD69" s="1">
        <f>0.787*(1)</f>
        <v>0.78700000000000003</v>
      </c>
      <c r="BE69" s="1" t="s">
        <v>140</v>
      </c>
      <c r="BF69" s="1">
        <f>589432*(1)</f>
        <v>589432</v>
      </c>
      <c r="BG69" s="1" t="s">
        <v>859</v>
      </c>
      <c r="BH69" s="1">
        <f>0.908*(1)</f>
        <v>0.90800000000000003</v>
      </c>
      <c r="BI69" s="1" t="s">
        <v>79</v>
      </c>
      <c r="BJ69" s="1">
        <f>324544*(1)</f>
        <v>324544</v>
      </c>
      <c r="BK69" s="1" t="s">
        <v>860</v>
      </c>
      <c r="BL69" s="1">
        <f>0.626*(1)</f>
        <v>0.626</v>
      </c>
      <c r="BM69" s="1" t="s">
        <v>550</v>
      </c>
      <c r="BN69" s="1">
        <f>51002*(1)</f>
        <v>51002</v>
      </c>
      <c r="BO69" s="1" t="s">
        <v>611</v>
      </c>
      <c r="BP69" s="1">
        <f>0.784*(1)</f>
        <v>0.78400000000000003</v>
      </c>
      <c r="BQ69" s="1" t="s">
        <v>418</v>
      </c>
      <c r="BR69" s="1">
        <f>211880*(1)</f>
        <v>211880</v>
      </c>
      <c r="BS69" s="1" t="s">
        <v>861</v>
      </c>
      <c r="BT69" s="1">
        <f>0.613*(1)</f>
        <v>0.61299999999999999</v>
      </c>
      <c r="BU69" s="1" t="s">
        <v>140</v>
      </c>
      <c r="BV69" s="1">
        <f>134635*(1)</f>
        <v>134635</v>
      </c>
      <c r="BW69" s="1" t="s">
        <v>862</v>
      </c>
      <c r="BX69" s="1">
        <f>0.925*(1)</f>
        <v>0.92500000000000004</v>
      </c>
      <c r="BY69" s="1" t="s">
        <v>502</v>
      </c>
      <c r="BZ69" s="1">
        <f>297985*(1)</f>
        <v>297985</v>
      </c>
      <c r="CA69" s="1" t="s">
        <v>863</v>
      </c>
      <c r="CB69" s="1">
        <f>0.521*(1)</f>
        <v>0.52100000000000002</v>
      </c>
      <c r="CC69" s="1" t="s">
        <v>94</v>
      </c>
      <c r="CD69" s="1">
        <f>96716*(1)</f>
        <v>96716</v>
      </c>
      <c r="CE69" s="1" t="s">
        <v>864</v>
      </c>
      <c r="CF69" s="1">
        <f>0.873*(1)</f>
        <v>0.873</v>
      </c>
      <c r="CG69" s="1" t="s">
        <v>273</v>
      </c>
    </row>
    <row r="70" spans="1:85" x14ac:dyDescent="0.3">
      <c r="A70" s="7" t="s">
        <v>584</v>
      </c>
      <c r="B70" s="1">
        <f>47132*(1)</f>
        <v>47132</v>
      </c>
      <c r="C70" s="1" t="s">
        <v>865</v>
      </c>
      <c r="D70" s="1">
        <f>0.171*(1)</f>
        <v>0.17100000000000001</v>
      </c>
      <c r="E70" s="1" t="s">
        <v>99</v>
      </c>
      <c r="F70" s="1">
        <f>78432*(1)</f>
        <v>78432</v>
      </c>
      <c r="G70" s="1" t="s">
        <v>866</v>
      </c>
      <c r="H70" s="1">
        <f>0.082*(1)</f>
        <v>8.2000000000000003E-2</v>
      </c>
      <c r="I70" s="1" t="s">
        <v>106</v>
      </c>
      <c r="J70" s="1">
        <f>92559*(1)</f>
        <v>92559</v>
      </c>
      <c r="K70" s="1" t="s">
        <v>867</v>
      </c>
      <c r="L70" s="1">
        <f>0.199*(1)</f>
        <v>0.19900000000000001</v>
      </c>
      <c r="M70" s="1" t="s">
        <v>104</v>
      </c>
      <c r="N70" s="1">
        <f>114746*(1)</f>
        <v>114746</v>
      </c>
      <c r="O70" s="1" t="s">
        <v>868</v>
      </c>
      <c r="P70" s="1">
        <f>0.219*(1)</f>
        <v>0.219</v>
      </c>
      <c r="Q70" s="1" t="s">
        <v>106</v>
      </c>
      <c r="R70" s="1">
        <f>5845*(1)</f>
        <v>5845</v>
      </c>
      <c r="S70" s="1" t="s">
        <v>869</v>
      </c>
      <c r="T70" s="1">
        <f>0.061*(1)</f>
        <v>6.0999999999999999E-2</v>
      </c>
      <c r="U70" s="1" t="s">
        <v>140</v>
      </c>
      <c r="V70" s="1">
        <f>36188*(1)</f>
        <v>36188</v>
      </c>
      <c r="W70" s="1" t="s">
        <v>870</v>
      </c>
      <c r="X70" s="1">
        <f>0.236*(1)</f>
        <v>0.23599999999999999</v>
      </c>
      <c r="Y70" s="1" t="s">
        <v>501</v>
      </c>
      <c r="Z70" s="1">
        <f>349258*(1)</f>
        <v>349258</v>
      </c>
      <c r="AA70" s="1" t="s">
        <v>871</v>
      </c>
      <c r="AB70" s="1">
        <f>0.409*(1)</f>
        <v>0.40899999999999997</v>
      </c>
      <c r="AC70" s="1" t="s">
        <v>106</v>
      </c>
      <c r="AD70" s="1">
        <f>37899*(1)</f>
        <v>37899</v>
      </c>
      <c r="AE70" s="1" t="s">
        <v>872</v>
      </c>
      <c r="AF70" s="1">
        <f>0.124*(1)</f>
        <v>0.124</v>
      </c>
      <c r="AG70" s="1" t="s">
        <v>106</v>
      </c>
      <c r="AH70" s="1">
        <f>110905*(1)</f>
        <v>110905</v>
      </c>
      <c r="AI70" s="1" t="s">
        <v>873</v>
      </c>
      <c r="AJ70" s="1">
        <f>0.158*(1)</f>
        <v>0.158</v>
      </c>
      <c r="AK70" s="1" t="s">
        <v>79</v>
      </c>
      <c r="AL70" s="1">
        <f>5062*(1)</f>
        <v>5062</v>
      </c>
      <c r="AM70" s="1" t="s">
        <v>346</v>
      </c>
      <c r="AN70" s="1">
        <f>0.039*(1)</f>
        <v>3.9E-2</v>
      </c>
      <c r="AO70" s="1" t="s">
        <v>106</v>
      </c>
      <c r="AP70" s="1">
        <f>85298*(1)</f>
        <v>85298</v>
      </c>
      <c r="AQ70" s="1" t="s">
        <v>874</v>
      </c>
      <c r="AR70" s="1">
        <f>0.221*(1)</f>
        <v>0.221</v>
      </c>
      <c r="AS70" s="1" t="s">
        <v>79</v>
      </c>
      <c r="AT70" s="1">
        <f>107341*(1)</f>
        <v>107341</v>
      </c>
      <c r="AU70" s="1" t="s">
        <v>875</v>
      </c>
      <c r="AV70" s="1">
        <f>0.125*(1)</f>
        <v>0.125</v>
      </c>
      <c r="AW70" s="1" t="s">
        <v>106</v>
      </c>
      <c r="AX70" s="1">
        <f>50477*(1)</f>
        <v>50477</v>
      </c>
      <c r="AY70" s="1" t="s">
        <v>432</v>
      </c>
      <c r="AZ70" s="1">
        <f>0.078*(1)</f>
        <v>7.8E-2</v>
      </c>
      <c r="BA70" s="1" t="s">
        <v>84</v>
      </c>
      <c r="BB70" s="1">
        <f>23119*(1)</f>
        <v>23119</v>
      </c>
      <c r="BC70" s="1" t="s">
        <v>638</v>
      </c>
      <c r="BD70" s="1">
        <f>0.045*(1)</f>
        <v>4.4999999999999998E-2</v>
      </c>
      <c r="BE70" s="1" t="s">
        <v>104</v>
      </c>
      <c r="BF70" s="1">
        <f>29575*(1)</f>
        <v>29575</v>
      </c>
      <c r="BG70" s="1" t="s">
        <v>876</v>
      </c>
      <c r="BH70" s="1">
        <f>0.046*(1)</f>
        <v>4.5999999999999999E-2</v>
      </c>
      <c r="BI70" s="1" t="s">
        <v>106</v>
      </c>
      <c r="BJ70" s="1">
        <f>65984*(1)</f>
        <v>65984</v>
      </c>
      <c r="BK70" s="1" t="s">
        <v>877</v>
      </c>
      <c r="BL70" s="1">
        <f>0.127*(1)</f>
        <v>0.127</v>
      </c>
      <c r="BM70" s="1" t="s">
        <v>81</v>
      </c>
      <c r="BN70" s="1">
        <f>10962*(1)</f>
        <v>10962</v>
      </c>
      <c r="BO70" s="1" t="s">
        <v>878</v>
      </c>
      <c r="BP70" s="1">
        <f>0.169*(1)</f>
        <v>0.16900000000000001</v>
      </c>
      <c r="BQ70" s="1" t="s">
        <v>557</v>
      </c>
      <c r="BR70" s="1">
        <f>39602*(1)</f>
        <v>39602</v>
      </c>
      <c r="BS70" s="1" t="s">
        <v>879</v>
      </c>
      <c r="BT70" s="1">
        <f>0.115*(1)</f>
        <v>0.115</v>
      </c>
      <c r="BU70" s="1" t="s">
        <v>81</v>
      </c>
      <c r="BV70" s="1">
        <f>4935*(1)</f>
        <v>4935</v>
      </c>
      <c r="BW70" s="1" t="s">
        <v>517</v>
      </c>
      <c r="BX70" s="1">
        <f>0.034*(1)</f>
        <v>3.4000000000000002E-2</v>
      </c>
      <c r="BY70" s="1" t="s">
        <v>73</v>
      </c>
      <c r="BZ70" s="1">
        <f>131717*(1)</f>
        <v>131717</v>
      </c>
      <c r="CA70" s="1" t="s">
        <v>880</v>
      </c>
      <c r="CB70" s="1">
        <f>0.23*(1)</f>
        <v>0.23</v>
      </c>
      <c r="CC70" s="1" t="s">
        <v>81</v>
      </c>
      <c r="CD70" s="1">
        <f>7653*(1)</f>
        <v>7653</v>
      </c>
      <c r="CE70" s="1" t="s">
        <v>750</v>
      </c>
      <c r="CF70" s="1">
        <f>0.069*(1)</f>
        <v>6.9000000000000006E-2</v>
      </c>
      <c r="CG70" s="1" t="s">
        <v>73</v>
      </c>
    </row>
    <row r="71" spans="1:85" ht="28.8" x14ac:dyDescent="0.3">
      <c r="A71" s="7" t="s">
        <v>606</v>
      </c>
      <c r="B71" s="1">
        <f>4894*(1)</f>
        <v>4894</v>
      </c>
      <c r="C71" s="1" t="s">
        <v>881</v>
      </c>
      <c r="D71" s="1">
        <f>0.018*(1)</f>
        <v>1.7999999999999999E-2</v>
      </c>
      <c r="E71" s="1" t="s">
        <v>79</v>
      </c>
      <c r="F71" s="1">
        <f>12318*(1)</f>
        <v>12318</v>
      </c>
      <c r="G71" s="1" t="s">
        <v>882</v>
      </c>
      <c r="H71" s="1">
        <f>0.013*(1)</f>
        <v>1.2999999999999999E-2</v>
      </c>
      <c r="I71" s="1" t="s">
        <v>104</v>
      </c>
      <c r="J71" s="1">
        <f>6476*(1)</f>
        <v>6476</v>
      </c>
      <c r="K71" s="1" t="s">
        <v>883</v>
      </c>
      <c r="L71" s="1">
        <f>0.014*(1)</f>
        <v>1.4E-2</v>
      </c>
      <c r="M71" s="1" t="s">
        <v>104</v>
      </c>
      <c r="N71" s="1">
        <f>7523*(1)</f>
        <v>7523</v>
      </c>
      <c r="O71" s="1" t="s">
        <v>158</v>
      </c>
      <c r="P71" s="1">
        <f>0.014*(1)</f>
        <v>1.4E-2</v>
      </c>
      <c r="Q71" s="1" t="s">
        <v>104</v>
      </c>
      <c r="R71" s="1">
        <f>998*(1)</f>
        <v>998</v>
      </c>
      <c r="S71" s="1" t="s">
        <v>884</v>
      </c>
      <c r="T71" s="1">
        <f>0.01*(1)</f>
        <v>0.01</v>
      </c>
      <c r="U71" s="1" t="s">
        <v>81</v>
      </c>
      <c r="V71" s="1">
        <f>3680*(1)</f>
        <v>3680</v>
      </c>
      <c r="W71" s="1" t="s">
        <v>885</v>
      </c>
      <c r="X71" s="1">
        <f>0.024*(1)</f>
        <v>2.4E-2</v>
      </c>
      <c r="Y71" s="1" t="s">
        <v>79</v>
      </c>
      <c r="Z71" s="1">
        <f>10628*(1)</f>
        <v>10628</v>
      </c>
      <c r="AA71" s="1" t="s">
        <v>886</v>
      </c>
      <c r="AB71" s="1">
        <f>0.012*(1)</f>
        <v>1.2E-2</v>
      </c>
      <c r="AC71" s="1" t="s">
        <v>73</v>
      </c>
      <c r="AD71" s="1">
        <f>1857*(1)</f>
        <v>1857</v>
      </c>
      <c r="AE71" s="1" t="s">
        <v>887</v>
      </c>
      <c r="AF71" s="1">
        <f>0.006*(1)</f>
        <v>6.0000000000000001E-3</v>
      </c>
      <c r="AG71" s="1" t="s">
        <v>84</v>
      </c>
      <c r="AH71" s="1">
        <f>12299*(1)</f>
        <v>12299</v>
      </c>
      <c r="AI71" s="1" t="s">
        <v>888</v>
      </c>
      <c r="AJ71" s="1">
        <f>0.018*(1)</f>
        <v>1.7999999999999999E-2</v>
      </c>
      <c r="AK71" s="1" t="s">
        <v>104</v>
      </c>
      <c r="AL71" s="1">
        <f>1546*(1)</f>
        <v>1546</v>
      </c>
      <c r="AM71" s="1" t="s">
        <v>889</v>
      </c>
      <c r="AN71" s="1">
        <f>0.012*(1)</f>
        <v>1.2E-2</v>
      </c>
      <c r="AO71" s="1" t="s">
        <v>104</v>
      </c>
      <c r="AP71" s="1">
        <f>3818*(1)</f>
        <v>3818</v>
      </c>
      <c r="AQ71" s="1" t="s">
        <v>890</v>
      </c>
      <c r="AR71" s="1">
        <f>0.01*(1)</f>
        <v>0.01</v>
      </c>
      <c r="AS71" s="1" t="s">
        <v>104</v>
      </c>
      <c r="AT71" s="1">
        <f>16007*(1)</f>
        <v>16007</v>
      </c>
      <c r="AU71" s="1" t="s">
        <v>891</v>
      </c>
      <c r="AV71" s="1">
        <f>0.019*(1)</f>
        <v>1.9E-2</v>
      </c>
      <c r="AW71" s="1" t="s">
        <v>104</v>
      </c>
      <c r="AX71" s="1">
        <f>6543*(1)</f>
        <v>6543</v>
      </c>
      <c r="AY71" s="1" t="s">
        <v>872</v>
      </c>
      <c r="AZ71" s="1">
        <f>0.01*(1)</f>
        <v>0.01</v>
      </c>
      <c r="BA71" s="1" t="s">
        <v>73</v>
      </c>
      <c r="BB71" s="1">
        <f>2456*(1)</f>
        <v>2456</v>
      </c>
      <c r="BC71" s="1" t="s">
        <v>232</v>
      </c>
      <c r="BD71" s="1">
        <f>0.005*(1)</f>
        <v>5.0000000000000001E-3</v>
      </c>
      <c r="BE71" s="1" t="s">
        <v>84</v>
      </c>
      <c r="BF71" s="1">
        <f>5732*(1)</f>
        <v>5732</v>
      </c>
      <c r="BG71" s="1" t="s">
        <v>892</v>
      </c>
      <c r="BH71" s="1">
        <f>0.009*(1)</f>
        <v>8.9999999999999993E-3</v>
      </c>
      <c r="BI71" s="1" t="s">
        <v>104</v>
      </c>
      <c r="BJ71" s="1">
        <f>7684*(1)</f>
        <v>7684</v>
      </c>
      <c r="BK71" s="1" t="s">
        <v>893</v>
      </c>
      <c r="BL71" s="1">
        <f>0.015*(1)</f>
        <v>1.4999999999999999E-2</v>
      </c>
      <c r="BM71" s="1" t="s">
        <v>104</v>
      </c>
      <c r="BN71" s="1">
        <f>346*(1)</f>
        <v>346</v>
      </c>
      <c r="BO71" s="1" t="s">
        <v>258</v>
      </c>
      <c r="BP71" s="1">
        <f>0.005*(1)</f>
        <v>5.0000000000000001E-3</v>
      </c>
      <c r="BQ71" s="1" t="s">
        <v>73</v>
      </c>
      <c r="BR71" s="1">
        <f>4670*(1)</f>
        <v>4670</v>
      </c>
      <c r="BS71" s="1" t="s">
        <v>894</v>
      </c>
      <c r="BT71" s="1">
        <f>0.014*(1)</f>
        <v>1.4E-2</v>
      </c>
      <c r="BU71" s="1" t="s">
        <v>81</v>
      </c>
      <c r="BV71" s="1">
        <f>2511*(1)</f>
        <v>2511</v>
      </c>
      <c r="BW71" s="1" t="s">
        <v>395</v>
      </c>
      <c r="BX71" s="1">
        <f>0.017*(1)</f>
        <v>1.7000000000000001E-2</v>
      </c>
      <c r="BY71" s="1" t="s">
        <v>108</v>
      </c>
      <c r="BZ71" s="1">
        <f>6754*(1)</f>
        <v>6754</v>
      </c>
      <c r="CA71" s="1" t="s">
        <v>895</v>
      </c>
      <c r="CB71" s="1">
        <f>0.012*(1)</f>
        <v>1.2E-2</v>
      </c>
      <c r="CC71" s="1" t="s">
        <v>73</v>
      </c>
      <c r="CD71" s="1">
        <f>628*(1)</f>
        <v>628</v>
      </c>
      <c r="CE71" s="1" t="s">
        <v>896</v>
      </c>
      <c r="CF71" s="1">
        <f>0.006*(1)</f>
        <v>6.0000000000000001E-3</v>
      </c>
      <c r="CG71" s="1" t="s">
        <v>84</v>
      </c>
    </row>
    <row r="72" spans="1:85" x14ac:dyDescent="0.3">
      <c r="A72" s="7" t="s">
        <v>626</v>
      </c>
      <c r="B72" s="1">
        <f>25265*(1)</f>
        <v>25265</v>
      </c>
      <c r="C72" s="1" t="s">
        <v>322</v>
      </c>
      <c r="D72" s="1">
        <f>0.092*(1)</f>
        <v>9.1999999999999998E-2</v>
      </c>
      <c r="E72" s="1" t="s">
        <v>73</v>
      </c>
      <c r="F72" s="1">
        <f>174020*(1)</f>
        <v>174020</v>
      </c>
      <c r="G72" s="1" t="s">
        <v>897</v>
      </c>
      <c r="H72" s="1">
        <f>0.182*(1)</f>
        <v>0.182</v>
      </c>
      <c r="I72" s="1" t="s">
        <v>84</v>
      </c>
      <c r="J72" s="1">
        <f>33026*(1)</f>
        <v>33026</v>
      </c>
      <c r="K72" s="1" t="s">
        <v>898</v>
      </c>
      <c r="L72" s="1">
        <f>0.071*(1)</f>
        <v>7.0999999999999994E-2</v>
      </c>
      <c r="M72" s="1" t="s">
        <v>73</v>
      </c>
      <c r="N72" s="1">
        <f>38509*(1)</f>
        <v>38509</v>
      </c>
      <c r="O72" s="1" t="s">
        <v>899</v>
      </c>
      <c r="P72" s="1">
        <f>0.074*(1)</f>
        <v>7.3999999999999996E-2</v>
      </c>
      <c r="Q72" s="1" t="s">
        <v>73</v>
      </c>
      <c r="R72" s="1">
        <f>1308*(1)</f>
        <v>1308</v>
      </c>
      <c r="S72" s="1" t="s">
        <v>258</v>
      </c>
      <c r="T72" s="1">
        <f>0.014*(1)</f>
        <v>1.4E-2</v>
      </c>
      <c r="U72" s="1" t="s">
        <v>84</v>
      </c>
      <c r="V72" s="1">
        <f>3037*(1)</f>
        <v>3037</v>
      </c>
      <c r="W72" s="1" t="s">
        <v>665</v>
      </c>
      <c r="X72" s="1">
        <f>0.02*(1)</f>
        <v>0.02</v>
      </c>
      <c r="Y72" s="1" t="s">
        <v>104</v>
      </c>
      <c r="Z72" s="1">
        <f>60297*(1)</f>
        <v>60297</v>
      </c>
      <c r="AA72" s="1" t="s">
        <v>900</v>
      </c>
      <c r="AB72" s="1">
        <f>0.071*(1)</f>
        <v>7.0999999999999994E-2</v>
      </c>
      <c r="AC72" s="1" t="s">
        <v>84</v>
      </c>
      <c r="AD72" s="1">
        <f>12367*(1)</f>
        <v>12367</v>
      </c>
      <c r="AE72" s="1" t="s">
        <v>901</v>
      </c>
      <c r="AF72" s="1">
        <f>0.041*(1)</f>
        <v>4.1000000000000002E-2</v>
      </c>
      <c r="AG72" s="1" t="s">
        <v>84</v>
      </c>
      <c r="AH72" s="1">
        <f>122817*(1)</f>
        <v>122817</v>
      </c>
      <c r="AI72" s="1" t="s">
        <v>902</v>
      </c>
      <c r="AJ72" s="1">
        <f>0.175*(1)</f>
        <v>0.17499999999999999</v>
      </c>
      <c r="AK72" s="1" t="s">
        <v>73</v>
      </c>
      <c r="AL72" s="1">
        <f>6262*(1)</f>
        <v>6262</v>
      </c>
      <c r="AM72" s="1" t="s">
        <v>903</v>
      </c>
      <c r="AN72" s="1">
        <f>0.048*(1)</f>
        <v>4.8000000000000001E-2</v>
      </c>
      <c r="AO72" s="1" t="s">
        <v>106</v>
      </c>
      <c r="AP72" s="1">
        <f>53947*(1)</f>
        <v>53947</v>
      </c>
      <c r="AQ72" s="1" t="s">
        <v>904</v>
      </c>
      <c r="AR72" s="1">
        <f>0.14*(1)</f>
        <v>0.14000000000000001</v>
      </c>
      <c r="AS72" s="1" t="s">
        <v>73</v>
      </c>
      <c r="AT72" s="1">
        <f>225076*(1)</f>
        <v>225076</v>
      </c>
      <c r="AU72" s="1" t="s">
        <v>905</v>
      </c>
      <c r="AV72" s="1">
        <f>0.261*(1)</f>
        <v>0.26100000000000001</v>
      </c>
      <c r="AW72" s="1" t="s">
        <v>73</v>
      </c>
      <c r="AX72" s="1">
        <f>42110*(1)</f>
        <v>42110</v>
      </c>
      <c r="AY72" s="1" t="s">
        <v>906</v>
      </c>
      <c r="AZ72" s="1">
        <f>0.065*(1)</f>
        <v>6.5000000000000002E-2</v>
      </c>
      <c r="BA72" s="1" t="s">
        <v>75</v>
      </c>
      <c r="BB72" s="1">
        <f>62185*(1)</f>
        <v>62185</v>
      </c>
      <c r="BC72" s="1" t="s">
        <v>706</v>
      </c>
      <c r="BD72" s="1">
        <f>0.122*(1)</f>
        <v>0.122</v>
      </c>
      <c r="BE72" s="1" t="s">
        <v>84</v>
      </c>
      <c r="BF72" s="1">
        <f>16948*(1)</f>
        <v>16948</v>
      </c>
      <c r="BG72" s="1" t="s">
        <v>184</v>
      </c>
      <c r="BH72" s="1">
        <f>0.026*(1)</f>
        <v>2.5999999999999999E-2</v>
      </c>
      <c r="BI72" s="1" t="s">
        <v>84</v>
      </c>
      <c r="BJ72" s="1">
        <f>34065*(1)</f>
        <v>34065</v>
      </c>
      <c r="BK72" s="1" t="s">
        <v>907</v>
      </c>
      <c r="BL72" s="1">
        <f>0.066*(1)</f>
        <v>6.6000000000000003E-2</v>
      </c>
      <c r="BM72" s="1" t="s">
        <v>104</v>
      </c>
      <c r="BN72" s="1">
        <f>1022*(1)</f>
        <v>1022</v>
      </c>
      <c r="BO72" s="1" t="s">
        <v>120</v>
      </c>
      <c r="BP72" s="1">
        <f>0.016*(1)</f>
        <v>1.6E-2</v>
      </c>
      <c r="BQ72" s="1" t="s">
        <v>75</v>
      </c>
      <c r="BR72" s="1">
        <f>73489*(1)</f>
        <v>73489</v>
      </c>
      <c r="BS72" s="1" t="s">
        <v>908</v>
      </c>
      <c r="BT72" s="1">
        <f>0.213*(1)</f>
        <v>0.21299999999999999</v>
      </c>
      <c r="BU72" s="1" t="s">
        <v>104</v>
      </c>
      <c r="BV72" s="1">
        <f>3240*(1)</f>
        <v>3240</v>
      </c>
      <c r="BW72" s="1" t="s">
        <v>909</v>
      </c>
      <c r="BX72" s="1">
        <f>0.022*(1)</f>
        <v>2.1999999999999999E-2</v>
      </c>
      <c r="BY72" s="1" t="s">
        <v>104</v>
      </c>
      <c r="BZ72" s="1">
        <f>35744*(1)</f>
        <v>35744</v>
      </c>
      <c r="CA72" s="1" t="s">
        <v>910</v>
      </c>
      <c r="CB72" s="1">
        <f>0.062*(1)</f>
        <v>6.2E-2</v>
      </c>
      <c r="CC72" s="1" t="s">
        <v>75</v>
      </c>
      <c r="CD72" s="1">
        <f>4092*(1)</f>
        <v>4092</v>
      </c>
      <c r="CE72" s="1" t="s">
        <v>476</v>
      </c>
      <c r="CF72" s="1">
        <f>0.037*(1)</f>
        <v>3.6999999999999998E-2</v>
      </c>
      <c r="CG72" s="1" t="s">
        <v>73</v>
      </c>
    </row>
    <row r="73" spans="1:85" ht="28.8" x14ac:dyDescent="0.3">
      <c r="A73" s="7" t="s">
        <v>743</v>
      </c>
      <c r="B73" s="1" t="s">
        <v>622</v>
      </c>
      <c r="C73" s="1" t="s">
        <v>622</v>
      </c>
      <c r="D73" s="1" t="s">
        <v>622</v>
      </c>
      <c r="E73" s="1" t="s">
        <v>622</v>
      </c>
      <c r="F73" s="1">
        <f>884*(1)</f>
        <v>884</v>
      </c>
      <c r="G73" s="1" t="s">
        <v>911</v>
      </c>
      <c r="H73" s="1">
        <f>0.001*(1)</f>
        <v>1E-3</v>
      </c>
      <c r="I73" s="1" t="s">
        <v>75</v>
      </c>
      <c r="J73" s="1">
        <f>312*(1)</f>
        <v>312</v>
      </c>
      <c r="K73" s="1" t="s">
        <v>254</v>
      </c>
      <c r="L73" s="1">
        <f>0.001*(1)</f>
        <v>1E-3</v>
      </c>
      <c r="M73" s="1" t="s">
        <v>75</v>
      </c>
      <c r="N73" s="1">
        <f>976*(1)</f>
        <v>976</v>
      </c>
      <c r="O73" s="1" t="s">
        <v>595</v>
      </c>
      <c r="P73" s="1">
        <f>0.002*(1)</f>
        <v>2E-3</v>
      </c>
      <c r="Q73" s="1" t="s">
        <v>75</v>
      </c>
      <c r="R73" s="1" t="s">
        <v>622</v>
      </c>
      <c r="S73" s="1" t="s">
        <v>622</v>
      </c>
      <c r="T73" s="1" t="s">
        <v>622</v>
      </c>
      <c r="U73" s="1" t="s">
        <v>622</v>
      </c>
      <c r="V73" s="1" t="s">
        <v>622</v>
      </c>
      <c r="W73" s="1" t="s">
        <v>622</v>
      </c>
      <c r="X73" s="1" t="s">
        <v>622</v>
      </c>
      <c r="Y73" s="1" t="s">
        <v>622</v>
      </c>
      <c r="Z73" s="1">
        <f>1214*(1)</f>
        <v>1214</v>
      </c>
      <c r="AA73" s="1" t="s">
        <v>912</v>
      </c>
      <c r="AB73" s="1">
        <f>0.001*(1)</f>
        <v>1E-3</v>
      </c>
      <c r="AC73" s="1" t="s">
        <v>75</v>
      </c>
      <c r="AD73" s="1">
        <f>467*(1)</f>
        <v>467</v>
      </c>
      <c r="AE73" s="1" t="s">
        <v>513</v>
      </c>
      <c r="AF73" s="1">
        <f>0.002*(1)</f>
        <v>2E-3</v>
      </c>
      <c r="AG73" s="1" t="s">
        <v>75</v>
      </c>
      <c r="AH73" s="1" t="s">
        <v>622</v>
      </c>
      <c r="AI73" s="1" t="s">
        <v>622</v>
      </c>
      <c r="AJ73" s="1" t="s">
        <v>622</v>
      </c>
      <c r="AK73" s="1" t="s">
        <v>622</v>
      </c>
      <c r="AL73" s="1" t="s">
        <v>622</v>
      </c>
      <c r="AM73" s="1" t="s">
        <v>622</v>
      </c>
      <c r="AN73" s="1" t="s">
        <v>622</v>
      </c>
      <c r="AO73" s="1" t="s">
        <v>622</v>
      </c>
      <c r="AP73" s="1">
        <f>228*(1)</f>
        <v>228</v>
      </c>
      <c r="AQ73" s="1" t="s">
        <v>913</v>
      </c>
      <c r="AR73" s="1">
        <f>0.001*(1)</f>
        <v>1E-3</v>
      </c>
      <c r="AS73" s="1" t="s">
        <v>75</v>
      </c>
      <c r="AT73" s="1">
        <f>2710*(1)</f>
        <v>2710</v>
      </c>
      <c r="AU73" s="1" t="s">
        <v>914</v>
      </c>
      <c r="AV73" s="1">
        <f>0.003*(1)</f>
        <v>3.0000000000000001E-3</v>
      </c>
      <c r="AW73" s="1" t="s">
        <v>84</v>
      </c>
      <c r="AX73" s="1" t="s">
        <v>622</v>
      </c>
      <c r="AY73" s="1" t="s">
        <v>622</v>
      </c>
      <c r="AZ73" s="1" t="s">
        <v>622</v>
      </c>
      <c r="BA73" s="1" t="s">
        <v>622</v>
      </c>
      <c r="BB73" s="1" t="s">
        <v>622</v>
      </c>
      <c r="BC73" s="1" t="s">
        <v>622</v>
      </c>
      <c r="BD73" s="1" t="s">
        <v>622</v>
      </c>
      <c r="BE73" s="1" t="s">
        <v>622</v>
      </c>
      <c r="BF73" s="1">
        <f>1918*(1)</f>
        <v>1918</v>
      </c>
      <c r="BG73" s="1" t="s">
        <v>915</v>
      </c>
      <c r="BH73" s="1">
        <f>0.003*(1)</f>
        <v>3.0000000000000001E-3</v>
      </c>
      <c r="BI73" s="1" t="s">
        <v>84</v>
      </c>
      <c r="BJ73" s="1">
        <f>1514*(1)</f>
        <v>1514</v>
      </c>
      <c r="BK73" s="1" t="s">
        <v>916</v>
      </c>
      <c r="BL73" s="1">
        <f>0.003*(1)</f>
        <v>3.0000000000000001E-3</v>
      </c>
      <c r="BM73" s="1" t="s">
        <v>84</v>
      </c>
      <c r="BN73" s="1">
        <f>857*(1)</f>
        <v>857</v>
      </c>
      <c r="BO73" s="1" t="s">
        <v>89</v>
      </c>
      <c r="BP73" s="1">
        <f>0.013*(1)</f>
        <v>1.2999999999999999E-2</v>
      </c>
      <c r="BQ73" s="1" t="s">
        <v>127</v>
      </c>
      <c r="BR73" s="1">
        <f>669*(1)</f>
        <v>669</v>
      </c>
      <c r="BS73" s="1" t="s">
        <v>917</v>
      </c>
      <c r="BT73" s="1">
        <f>0.002*(1)</f>
        <v>2E-3</v>
      </c>
      <c r="BU73" s="1" t="s">
        <v>84</v>
      </c>
      <c r="BV73" s="1" t="s">
        <v>622</v>
      </c>
      <c r="BW73" s="1" t="s">
        <v>622</v>
      </c>
      <c r="BX73" s="1" t="s">
        <v>622</v>
      </c>
      <c r="BY73" s="1" t="s">
        <v>622</v>
      </c>
      <c r="BZ73" s="1">
        <f>1395*(1)</f>
        <v>1395</v>
      </c>
      <c r="CA73" s="1" t="s">
        <v>918</v>
      </c>
      <c r="CB73" s="1">
        <f>0.002*(1)</f>
        <v>2E-3</v>
      </c>
      <c r="CC73" s="1" t="s">
        <v>84</v>
      </c>
      <c r="CD73" s="1" t="s">
        <v>622</v>
      </c>
      <c r="CE73" s="1" t="s">
        <v>622</v>
      </c>
      <c r="CF73" s="1" t="s">
        <v>622</v>
      </c>
      <c r="CG73" s="1" t="s">
        <v>622</v>
      </c>
    </row>
    <row r="74" spans="1:85" x14ac:dyDescent="0.3">
      <c r="A74" s="7" t="s">
        <v>757</v>
      </c>
      <c r="B74" s="1">
        <f>48978*(1)</f>
        <v>48978</v>
      </c>
      <c r="C74" s="1" t="s">
        <v>919</v>
      </c>
      <c r="D74" s="1">
        <f>0.178*(1)</f>
        <v>0.17799999999999999</v>
      </c>
      <c r="E74" s="1" t="s">
        <v>138</v>
      </c>
      <c r="F74" s="1">
        <f>180266*(1)</f>
        <v>180266</v>
      </c>
      <c r="G74" s="1" t="s">
        <v>920</v>
      </c>
      <c r="H74" s="1">
        <f>0.189*(1)</f>
        <v>0.189</v>
      </c>
      <c r="I74" s="1" t="s">
        <v>108</v>
      </c>
      <c r="J74" s="1">
        <f>40330*(1)</f>
        <v>40330</v>
      </c>
      <c r="K74" s="1" t="s">
        <v>921</v>
      </c>
      <c r="L74" s="1">
        <f>0.087*(1)</f>
        <v>8.6999999999999994E-2</v>
      </c>
      <c r="M74" s="1" t="s">
        <v>79</v>
      </c>
      <c r="N74" s="1">
        <f>88594*(1)</f>
        <v>88594</v>
      </c>
      <c r="O74" s="1" t="s">
        <v>922</v>
      </c>
      <c r="P74" s="1">
        <f>0.169*(1)</f>
        <v>0.16900000000000001</v>
      </c>
      <c r="Q74" s="1" t="s">
        <v>79</v>
      </c>
      <c r="R74" s="1">
        <f>7054*(1)</f>
        <v>7054</v>
      </c>
      <c r="S74" s="1" t="s">
        <v>366</v>
      </c>
      <c r="T74" s="1">
        <f>0.074*(1)</f>
        <v>7.3999999999999996E-2</v>
      </c>
      <c r="U74" s="1" t="s">
        <v>138</v>
      </c>
      <c r="V74" s="1">
        <f>43893*(1)</f>
        <v>43893</v>
      </c>
      <c r="W74" s="1" t="s">
        <v>923</v>
      </c>
      <c r="X74" s="1">
        <f>0.286*(1)</f>
        <v>0.28599999999999998</v>
      </c>
      <c r="Y74" s="1" t="s">
        <v>532</v>
      </c>
      <c r="Z74" s="1">
        <f>216545*(1)</f>
        <v>216545</v>
      </c>
      <c r="AA74" s="1" t="s">
        <v>924</v>
      </c>
      <c r="AB74" s="1">
        <f>0.253*(1)</f>
        <v>0.253</v>
      </c>
      <c r="AC74" s="1" t="s">
        <v>79</v>
      </c>
      <c r="AD74" s="1">
        <f>21872*(1)</f>
        <v>21872</v>
      </c>
      <c r="AE74" s="1" t="s">
        <v>925</v>
      </c>
      <c r="AF74" s="1">
        <f>0.072*(1)</f>
        <v>7.1999999999999995E-2</v>
      </c>
      <c r="AG74" s="1" t="s">
        <v>127</v>
      </c>
      <c r="AH74" s="1">
        <f>266030*(1)</f>
        <v>266030</v>
      </c>
      <c r="AI74" s="1" t="s">
        <v>926</v>
      </c>
      <c r="AJ74" s="1">
        <f>0.379*(1)</f>
        <v>0.379</v>
      </c>
      <c r="AK74" s="1" t="s">
        <v>140</v>
      </c>
      <c r="AL74" s="1">
        <f>10429*(1)</f>
        <v>10429</v>
      </c>
      <c r="AM74" s="1" t="s">
        <v>927</v>
      </c>
      <c r="AN74" s="1">
        <f>0.08*(1)</f>
        <v>0.08</v>
      </c>
      <c r="AO74" s="1" t="s">
        <v>127</v>
      </c>
      <c r="AP74" s="1">
        <f>58002*(1)</f>
        <v>58002</v>
      </c>
      <c r="AQ74" s="1" t="s">
        <v>928</v>
      </c>
      <c r="AR74" s="1">
        <f>0.15*(1)</f>
        <v>0.15</v>
      </c>
      <c r="AS74" s="1" t="s">
        <v>273</v>
      </c>
      <c r="AT74" s="1">
        <f>170847*(1)</f>
        <v>170847</v>
      </c>
      <c r="AU74" s="1" t="s">
        <v>929</v>
      </c>
      <c r="AV74" s="1">
        <f>0.198*(1)</f>
        <v>0.19800000000000001</v>
      </c>
      <c r="AW74" s="1" t="s">
        <v>108</v>
      </c>
      <c r="AX74" s="1">
        <f>70709*(1)</f>
        <v>70709</v>
      </c>
      <c r="AY74" s="1" t="s">
        <v>930</v>
      </c>
      <c r="AZ74" s="1">
        <f>0.11*(1)</f>
        <v>0.11</v>
      </c>
      <c r="BA74" s="1" t="s">
        <v>79</v>
      </c>
      <c r="BB74" s="1">
        <f>74654*(1)</f>
        <v>74654</v>
      </c>
      <c r="BC74" s="1" t="s">
        <v>931</v>
      </c>
      <c r="BD74" s="1">
        <f>0.146*(1)</f>
        <v>0.14599999999999999</v>
      </c>
      <c r="BE74" s="1" t="s">
        <v>108</v>
      </c>
      <c r="BF74" s="1">
        <f>52984*(1)</f>
        <v>52984</v>
      </c>
      <c r="BG74" s="1" t="s">
        <v>932</v>
      </c>
      <c r="BH74" s="1">
        <f>0.082*(1)</f>
        <v>8.2000000000000003E-2</v>
      </c>
      <c r="BI74" s="1" t="s">
        <v>79</v>
      </c>
      <c r="BJ74" s="1">
        <f>207645*(1)</f>
        <v>207645</v>
      </c>
      <c r="BK74" s="1" t="s">
        <v>933</v>
      </c>
      <c r="BL74" s="1">
        <f>0.401*(1)</f>
        <v>0.40100000000000002</v>
      </c>
      <c r="BM74" s="1" t="s">
        <v>94</v>
      </c>
      <c r="BN74" s="1">
        <f>5711*(1)</f>
        <v>5711</v>
      </c>
      <c r="BO74" s="1" t="s">
        <v>398</v>
      </c>
      <c r="BP74" s="1">
        <f>0.088*(1)</f>
        <v>8.7999999999999995E-2</v>
      </c>
      <c r="BQ74" s="1" t="s">
        <v>103</v>
      </c>
      <c r="BR74" s="1">
        <f>49573*(1)</f>
        <v>49573</v>
      </c>
      <c r="BS74" s="1" t="s">
        <v>934</v>
      </c>
      <c r="BT74" s="1">
        <f>0.143*(1)</f>
        <v>0.14299999999999999</v>
      </c>
      <c r="BU74" s="1" t="s">
        <v>108</v>
      </c>
      <c r="BV74" s="1">
        <f>15538*(1)</f>
        <v>15538</v>
      </c>
      <c r="BW74" s="1" t="s">
        <v>935</v>
      </c>
      <c r="BX74" s="1">
        <f>0.107*(1)</f>
        <v>0.107</v>
      </c>
      <c r="BY74" s="1" t="s">
        <v>140</v>
      </c>
      <c r="BZ74" s="1">
        <f>182460*(1)</f>
        <v>182460</v>
      </c>
      <c r="CA74" s="1" t="s">
        <v>936</v>
      </c>
      <c r="CB74" s="1">
        <f>0.319*(1)</f>
        <v>0.31900000000000001</v>
      </c>
      <c r="CC74" s="1" t="s">
        <v>108</v>
      </c>
      <c r="CD74" s="1">
        <f>11832*(1)</f>
        <v>11832</v>
      </c>
      <c r="CE74" s="1" t="s">
        <v>937</v>
      </c>
      <c r="CF74" s="1">
        <f>0.107*(1)</f>
        <v>0.107</v>
      </c>
      <c r="CG74" s="1" t="s">
        <v>844</v>
      </c>
    </row>
    <row r="75" spans="1:85" x14ac:dyDescent="0.3">
      <c r="A75" s="4" t="s">
        <v>938</v>
      </c>
      <c r="B75" s="1">
        <f>0*(1)</f>
        <v>0</v>
      </c>
      <c r="C75" s="1">
        <f>0*(1)</f>
        <v>0</v>
      </c>
      <c r="D75" s="1">
        <f>0*(1)</f>
        <v>0</v>
      </c>
      <c r="E75" s="1">
        <f>0*(1)</f>
        <v>0</v>
      </c>
      <c r="F75" s="1">
        <f>0*(1)</f>
        <v>0</v>
      </c>
      <c r="G75" s="1">
        <f>0*(1)</f>
        <v>0</v>
      </c>
      <c r="H75" s="1">
        <f>0*(1)</f>
        <v>0</v>
      </c>
      <c r="I75" s="1">
        <f>0*(1)</f>
        <v>0</v>
      </c>
      <c r="J75" s="1">
        <f>0*(1)</f>
        <v>0</v>
      </c>
      <c r="K75" s="1">
        <f>0*(1)</f>
        <v>0</v>
      </c>
      <c r="L75" s="1">
        <f>0*(1)</f>
        <v>0</v>
      </c>
      <c r="M75" s="1">
        <f>0*(1)</f>
        <v>0</v>
      </c>
      <c r="N75" s="1">
        <f>0*(1)</f>
        <v>0</v>
      </c>
      <c r="O75" s="1">
        <f>0*(1)</f>
        <v>0</v>
      </c>
      <c r="P75" s="1">
        <f>0*(1)</f>
        <v>0</v>
      </c>
      <c r="Q75" s="1">
        <f>0*(1)</f>
        <v>0</v>
      </c>
      <c r="R75" s="1">
        <f>0*(1)</f>
        <v>0</v>
      </c>
      <c r="S75" s="1">
        <f>0*(1)</f>
        <v>0</v>
      </c>
      <c r="T75" s="1">
        <f>0*(1)</f>
        <v>0</v>
      </c>
      <c r="U75" s="1">
        <f>0*(1)</f>
        <v>0</v>
      </c>
      <c r="V75" s="1">
        <f>0*(1)</f>
        <v>0</v>
      </c>
      <c r="W75" s="1">
        <f>0*(1)</f>
        <v>0</v>
      </c>
      <c r="X75" s="1">
        <f>0*(1)</f>
        <v>0</v>
      </c>
      <c r="Y75" s="1">
        <f>0*(1)</f>
        <v>0</v>
      </c>
      <c r="Z75" s="1">
        <f>0*(1)</f>
        <v>0</v>
      </c>
      <c r="AA75" s="1">
        <f>0*(1)</f>
        <v>0</v>
      </c>
      <c r="AB75" s="1">
        <f>0*(1)</f>
        <v>0</v>
      </c>
      <c r="AC75" s="1">
        <f>0*(1)</f>
        <v>0</v>
      </c>
      <c r="AD75" s="1">
        <f>0*(1)</f>
        <v>0</v>
      </c>
      <c r="AE75" s="1">
        <f>0*(1)</f>
        <v>0</v>
      </c>
      <c r="AF75" s="1">
        <f>0*(1)</f>
        <v>0</v>
      </c>
      <c r="AG75" s="1">
        <f>0*(1)</f>
        <v>0</v>
      </c>
      <c r="AH75" s="1">
        <f>0*(1)</f>
        <v>0</v>
      </c>
      <c r="AI75" s="1">
        <f>0*(1)</f>
        <v>0</v>
      </c>
      <c r="AJ75" s="1">
        <f>0*(1)</f>
        <v>0</v>
      </c>
      <c r="AK75" s="1">
        <f>0*(1)</f>
        <v>0</v>
      </c>
      <c r="AL75" s="1">
        <f>0*(1)</f>
        <v>0</v>
      </c>
      <c r="AM75" s="1">
        <f>0*(1)</f>
        <v>0</v>
      </c>
      <c r="AN75" s="1">
        <f>0*(1)</f>
        <v>0</v>
      </c>
      <c r="AO75" s="1">
        <f>0*(1)</f>
        <v>0</v>
      </c>
      <c r="AP75" s="1">
        <f>0*(1)</f>
        <v>0</v>
      </c>
      <c r="AQ75" s="1">
        <f>0*(1)</f>
        <v>0</v>
      </c>
      <c r="AR75" s="1">
        <f>0*(1)</f>
        <v>0</v>
      </c>
      <c r="AS75" s="1">
        <f>0*(1)</f>
        <v>0</v>
      </c>
      <c r="AT75" s="1">
        <f>0*(1)</f>
        <v>0</v>
      </c>
      <c r="AU75" s="1">
        <f>0*(1)</f>
        <v>0</v>
      </c>
      <c r="AV75" s="1">
        <f>0*(1)</f>
        <v>0</v>
      </c>
      <c r="AW75" s="1">
        <f>0*(1)</f>
        <v>0</v>
      </c>
      <c r="AX75" s="1">
        <f>0*(1)</f>
        <v>0</v>
      </c>
      <c r="AY75" s="1">
        <f>0*(1)</f>
        <v>0</v>
      </c>
      <c r="AZ75" s="1">
        <f>0*(1)</f>
        <v>0</v>
      </c>
      <c r="BA75" s="1">
        <f>0*(1)</f>
        <v>0</v>
      </c>
      <c r="BB75" s="1">
        <f>0*(1)</f>
        <v>0</v>
      </c>
      <c r="BC75" s="1">
        <f>0*(1)</f>
        <v>0</v>
      </c>
      <c r="BD75" s="1">
        <f>0*(1)</f>
        <v>0</v>
      </c>
      <c r="BE75" s="1">
        <f>0*(1)</f>
        <v>0</v>
      </c>
      <c r="BF75" s="1">
        <f>0*(1)</f>
        <v>0</v>
      </c>
      <c r="BG75" s="1">
        <f>0*(1)</f>
        <v>0</v>
      </c>
      <c r="BH75" s="1">
        <f>0*(1)</f>
        <v>0</v>
      </c>
      <c r="BI75" s="1">
        <f>0*(1)</f>
        <v>0</v>
      </c>
      <c r="BJ75" s="1">
        <f>0*(1)</f>
        <v>0</v>
      </c>
      <c r="BK75" s="1">
        <f>0*(1)</f>
        <v>0</v>
      </c>
      <c r="BL75" s="1">
        <f>0*(1)</f>
        <v>0</v>
      </c>
      <c r="BM75" s="1">
        <f>0*(1)</f>
        <v>0</v>
      </c>
      <c r="BN75" s="1">
        <f>0*(1)</f>
        <v>0</v>
      </c>
      <c r="BO75" s="1">
        <f>0*(1)</f>
        <v>0</v>
      </c>
      <c r="BP75" s="1">
        <f>0*(1)</f>
        <v>0</v>
      </c>
      <c r="BQ75" s="1">
        <f>0*(1)</f>
        <v>0</v>
      </c>
      <c r="BR75" s="1">
        <f>0*(1)</f>
        <v>0</v>
      </c>
      <c r="BS75" s="1">
        <f>0*(1)</f>
        <v>0</v>
      </c>
      <c r="BT75" s="1">
        <f>0*(1)</f>
        <v>0</v>
      </c>
      <c r="BU75" s="1">
        <f>0*(1)</f>
        <v>0</v>
      </c>
      <c r="BV75" s="1">
        <f>0*(1)</f>
        <v>0</v>
      </c>
      <c r="BW75" s="1">
        <f>0*(1)</f>
        <v>0</v>
      </c>
      <c r="BX75" s="1">
        <f>0*(1)</f>
        <v>0</v>
      </c>
      <c r="BY75" s="1">
        <f>0*(1)</f>
        <v>0</v>
      </c>
      <c r="BZ75" s="1">
        <f>0*(1)</f>
        <v>0</v>
      </c>
      <c r="CA75" s="1">
        <f>0*(1)</f>
        <v>0</v>
      </c>
      <c r="CB75" s="1">
        <f>0*(1)</f>
        <v>0</v>
      </c>
      <c r="CC75" s="1">
        <f>0*(1)</f>
        <v>0</v>
      </c>
      <c r="CD75" s="1">
        <f>0*(1)</f>
        <v>0</v>
      </c>
      <c r="CE75" s="1">
        <f>0*(1)</f>
        <v>0</v>
      </c>
      <c r="CF75" s="1">
        <f>0*(1)</f>
        <v>0</v>
      </c>
      <c r="CG75" s="1">
        <f>0*(1)</f>
        <v>0</v>
      </c>
    </row>
    <row r="76" spans="1:85" x14ac:dyDescent="0.3">
      <c r="A76" s="6" t="s">
        <v>68</v>
      </c>
      <c r="B76" s="1">
        <f>274966*(1)</f>
        <v>274966</v>
      </c>
      <c r="C76" s="1" t="s">
        <v>69</v>
      </c>
      <c r="D76" s="1">
        <f>274966*(1)</f>
        <v>274966</v>
      </c>
      <c r="E76" s="1" t="s">
        <v>70</v>
      </c>
      <c r="F76" s="1">
        <f>953819*(1)</f>
        <v>953819</v>
      </c>
      <c r="G76" s="1" t="s">
        <v>69</v>
      </c>
      <c r="H76" s="1">
        <f>953819*(1)</f>
        <v>953819</v>
      </c>
      <c r="I76" s="1" t="s">
        <v>70</v>
      </c>
      <c r="J76" s="1">
        <f>464269*(1)</f>
        <v>464269</v>
      </c>
      <c r="K76" s="1" t="s">
        <v>69</v>
      </c>
      <c r="L76" s="1">
        <f>464269*(1)</f>
        <v>464269</v>
      </c>
      <c r="M76" s="1" t="s">
        <v>70</v>
      </c>
      <c r="N76" s="1">
        <f>523771*(1)</f>
        <v>523771</v>
      </c>
      <c r="O76" s="1" t="s">
        <v>69</v>
      </c>
      <c r="P76" s="1">
        <f>523771*(1)</f>
        <v>523771</v>
      </c>
      <c r="Q76" s="1" t="s">
        <v>70</v>
      </c>
      <c r="R76" s="1">
        <f>95661*(1)</f>
        <v>95661</v>
      </c>
      <c r="S76" s="1" t="s">
        <v>69</v>
      </c>
      <c r="T76" s="1">
        <f>95661*(1)</f>
        <v>95661</v>
      </c>
      <c r="U76" s="1" t="s">
        <v>70</v>
      </c>
      <c r="V76" s="1">
        <f>153627*(1)</f>
        <v>153627</v>
      </c>
      <c r="W76" s="1" t="s">
        <v>69</v>
      </c>
      <c r="X76" s="1">
        <f>153627*(1)</f>
        <v>153627</v>
      </c>
      <c r="Y76" s="1" t="s">
        <v>70</v>
      </c>
      <c r="Z76" s="1">
        <f>854917*(1)</f>
        <v>854917</v>
      </c>
      <c r="AA76" s="1" t="s">
        <v>69</v>
      </c>
      <c r="AB76" s="1">
        <f>854917*(1)</f>
        <v>854917</v>
      </c>
      <c r="AC76" s="1" t="s">
        <v>70</v>
      </c>
      <c r="AD76" s="1">
        <f>304477*(1)</f>
        <v>304477</v>
      </c>
      <c r="AE76" s="1" t="s">
        <v>69</v>
      </c>
      <c r="AF76" s="1">
        <f>304477*(1)</f>
        <v>304477</v>
      </c>
      <c r="AG76" s="1" t="s">
        <v>70</v>
      </c>
      <c r="AH76" s="1">
        <f>702463*(1)</f>
        <v>702463</v>
      </c>
      <c r="AI76" s="1" t="s">
        <v>69</v>
      </c>
      <c r="AJ76" s="1">
        <f>702463*(1)</f>
        <v>702463</v>
      </c>
      <c r="AK76" s="1" t="s">
        <v>70</v>
      </c>
      <c r="AL76" s="1">
        <f>129924*(1)</f>
        <v>129924</v>
      </c>
      <c r="AM76" s="1" t="s">
        <v>69</v>
      </c>
      <c r="AN76" s="1">
        <f>129924*(1)</f>
        <v>129924</v>
      </c>
      <c r="AO76" s="1" t="s">
        <v>70</v>
      </c>
      <c r="AP76" s="1">
        <f>385898*(1)</f>
        <v>385898</v>
      </c>
      <c r="AQ76" s="1" t="s">
        <v>69</v>
      </c>
      <c r="AR76" s="1">
        <f>385898*(1)</f>
        <v>385898</v>
      </c>
      <c r="AS76" s="1" t="s">
        <v>70</v>
      </c>
      <c r="AT76" s="1">
        <f>860807*(1)</f>
        <v>860807</v>
      </c>
      <c r="AU76" s="1" t="s">
        <v>69</v>
      </c>
      <c r="AV76" s="1">
        <f>860807*(1)</f>
        <v>860807</v>
      </c>
      <c r="AW76" s="1" t="s">
        <v>70</v>
      </c>
      <c r="AX76" s="1">
        <f>645354*(1)</f>
        <v>645354</v>
      </c>
      <c r="AY76" s="1" t="s">
        <v>69</v>
      </c>
      <c r="AZ76" s="1">
        <f>645354*(1)</f>
        <v>645354</v>
      </c>
      <c r="BA76" s="1" t="s">
        <v>70</v>
      </c>
      <c r="BB76" s="1">
        <f>510981*(1)</f>
        <v>510981</v>
      </c>
      <c r="BC76" s="1" t="s">
        <v>69</v>
      </c>
      <c r="BD76" s="1">
        <f>510981*(1)</f>
        <v>510981</v>
      </c>
      <c r="BE76" s="1" t="s">
        <v>70</v>
      </c>
      <c r="BF76" s="1">
        <f>648998*(1)</f>
        <v>648998</v>
      </c>
      <c r="BG76" s="1" t="s">
        <v>69</v>
      </c>
      <c r="BH76" s="1">
        <f>648998*(1)</f>
        <v>648998</v>
      </c>
      <c r="BI76" s="1" t="s">
        <v>70</v>
      </c>
      <c r="BJ76" s="1">
        <f>518117*(1)</f>
        <v>518117</v>
      </c>
      <c r="BK76" s="1" t="s">
        <v>69</v>
      </c>
      <c r="BL76" s="1">
        <f>518117*(1)</f>
        <v>518117</v>
      </c>
      <c r="BM76" s="1" t="s">
        <v>70</v>
      </c>
      <c r="BN76" s="1">
        <f>65046*(1)</f>
        <v>65046</v>
      </c>
      <c r="BO76" s="1" t="s">
        <v>69</v>
      </c>
      <c r="BP76" s="1">
        <f>65046*(1)</f>
        <v>65046</v>
      </c>
      <c r="BQ76" s="1" t="s">
        <v>70</v>
      </c>
      <c r="BR76" s="1">
        <f>345647*(1)</f>
        <v>345647</v>
      </c>
      <c r="BS76" s="1" t="s">
        <v>69</v>
      </c>
      <c r="BT76" s="1">
        <f>345647*(1)</f>
        <v>345647</v>
      </c>
      <c r="BU76" s="1" t="s">
        <v>70</v>
      </c>
      <c r="BV76" s="1">
        <f>145543*(1)</f>
        <v>145543</v>
      </c>
      <c r="BW76" s="1" t="s">
        <v>69</v>
      </c>
      <c r="BX76" s="1">
        <f>145543*(1)</f>
        <v>145543</v>
      </c>
      <c r="BY76" s="1" t="s">
        <v>70</v>
      </c>
      <c r="BZ76" s="1">
        <f>572114*(1)</f>
        <v>572114</v>
      </c>
      <c r="CA76" s="1" t="s">
        <v>69</v>
      </c>
      <c r="CB76" s="1">
        <f>572114*(1)</f>
        <v>572114</v>
      </c>
      <c r="CC76" s="1" t="s">
        <v>70</v>
      </c>
      <c r="CD76" s="1">
        <f>110731*(1)</f>
        <v>110731</v>
      </c>
      <c r="CE76" s="1" t="s">
        <v>69</v>
      </c>
      <c r="CF76" s="1">
        <f>110731*(1)</f>
        <v>110731</v>
      </c>
      <c r="CG76" s="1" t="s">
        <v>70</v>
      </c>
    </row>
    <row r="77" spans="1:85" x14ac:dyDescent="0.3">
      <c r="A77" s="7" t="s">
        <v>939</v>
      </c>
      <c r="B77" s="1">
        <f>54734*(1)</f>
        <v>54734</v>
      </c>
      <c r="C77" s="1" t="s">
        <v>69</v>
      </c>
      <c r="D77" s="1">
        <f>0.199*(1)</f>
        <v>0.19900000000000001</v>
      </c>
      <c r="E77" s="1" t="s">
        <v>69</v>
      </c>
      <c r="F77" s="1">
        <f>210287*(1)</f>
        <v>210287</v>
      </c>
      <c r="G77" s="1" t="s">
        <v>69</v>
      </c>
      <c r="H77" s="1">
        <f>0.22*(1)</f>
        <v>0.22</v>
      </c>
      <c r="I77" s="1" t="s">
        <v>69</v>
      </c>
      <c r="J77" s="1">
        <f>42839*(1)</f>
        <v>42839</v>
      </c>
      <c r="K77" s="1" t="s">
        <v>69</v>
      </c>
      <c r="L77" s="1">
        <f>0.092*(1)</f>
        <v>9.1999999999999998E-2</v>
      </c>
      <c r="M77" s="1" t="s">
        <v>69</v>
      </c>
      <c r="N77" s="1">
        <f>96875*(1)</f>
        <v>96875</v>
      </c>
      <c r="O77" s="1" t="s">
        <v>69</v>
      </c>
      <c r="P77" s="1">
        <f>0.185*(1)</f>
        <v>0.185</v>
      </c>
      <c r="Q77" s="1" t="s">
        <v>69</v>
      </c>
      <c r="R77" s="1">
        <f>8047*(1)</f>
        <v>8047</v>
      </c>
      <c r="S77" s="1" t="s">
        <v>69</v>
      </c>
      <c r="T77" s="1">
        <f>0.084*(1)</f>
        <v>8.4000000000000005E-2</v>
      </c>
      <c r="U77" s="1" t="s">
        <v>69</v>
      </c>
      <c r="V77" s="1">
        <f>50648*(1)</f>
        <v>50648</v>
      </c>
      <c r="W77" s="1" t="s">
        <v>69</v>
      </c>
      <c r="X77" s="1">
        <f>0.33*(1)</f>
        <v>0.33</v>
      </c>
      <c r="Y77" s="1" t="s">
        <v>69</v>
      </c>
      <c r="Z77" s="1">
        <f>207841*(1)</f>
        <v>207841</v>
      </c>
      <c r="AA77" s="1" t="s">
        <v>69</v>
      </c>
      <c r="AB77" s="1">
        <f>0.243*(1)</f>
        <v>0.24299999999999999</v>
      </c>
      <c r="AC77" s="1" t="s">
        <v>69</v>
      </c>
      <c r="AD77" s="1">
        <f>22609*(1)</f>
        <v>22609</v>
      </c>
      <c r="AE77" s="1" t="s">
        <v>69</v>
      </c>
      <c r="AF77" s="1">
        <f>0.074*(1)</f>
        <v>7.3999999999999996E-2</v>
      </c>
      <c r="AG77" s="1" t="s">
        <v>69</v>
      </c>
      <c r="AH77" s="1">
        <f>298689*(1)</f>
        <v>298689</v>
      </c>
      <c r="AI77" s="1" t="s">
        <v>69</v>
      </c>
      <c r="AJ77" s="1">
        <f>0.425*(1)</f>
        <v>0.42499999999999999</v>
      </c>
      <c r="AK77" s="1" t="s">
        <v>69</v>
      </c>
      <c r="AL77" s="1">
        <f>10121*(1)</f>
        <v>10121</v>
      </c>
      <c r="AM77" s="1" t="s">
        <v>69</v>
      </c>
      <c r="AN77" s="1">
        <f>0.078*(1)</f>
        <v>7.8E-2</v>
      </c>
      <c r="AO77" s="1" t="s">
        <v>69</v>
      </c>
      <c r="AP77" s="1">
        <f>75028*(1)</f>
        <v>75028</v>
      </c>
      <c r="AQ77" s="1" t="s">
        <v>69</v>
      </c>
      <c r="AR77" s="1">
        <f>0.194*(1)</f>
        <v>0.19400000000000001</v>
      </c>
      <c r="AS77" s="1" t="s">
        <v>69</v>
      </c>
      <c r="AT77" s="1">
        <f>195440*(1)</f>
        <v>195440</v>
      </c>
      <c r="AU77" s="1" t="s">
        <v>69</v>
      </c>
      <c r="AV77" s="1">
        <f>0.227*(1)</f>
        <v>0.22700000000000001</v>
      </c>
      <c r="AW77" s="1" t="s">
        <v>69</v>
      </c>
      <c r="AX77" s="1">
        <f>73416*(1)</f>
        <v>73416</v>
      </c>
      <c r="AY77" s="1" t="s">
        <v>69</v>
      </c>
      <c r="AZ77" s="1">
        <f>0.114*(1)</f>
        <v>0.114</v>
      </c>
      <c r="BA77" s="1" t="s">
        <v>69</v>
      </c>
      <c r="BB77" s="1">
        <f>73161*(1)</f>
        <v>73161</v>
      </c>
      <c r="BC77" s="1" t="s">
        <v>69</v>
      </c>
      <c r="BD77" s="1">
        <f>0.143*(1)</f>
        <v>0.14299999999999999</v>
      </c>
      <c r="BE77" s="1" t="s">
        <v>69</v>
      </c>
      <c r="BF77" s="1">
        <f>63916*(1)</f>
        <v>63916</v>
      </c>
      <c r="BG77" s="1" t="s">
        <v>69</v>
      </c>
      <c r="BH77" s="1">
        <f>0.098*(1)</f>
        <v>9.8000000000000004E-2</v>
      </c>
      <c r="BI77" s="1" t="s">
        <v>69</v>
      </c>
      <c r="BJ77" s="1">
        <f>226634*(1)</f>
        <v>226634</v>
      </c>
      <c r="BK77" s="1" t="s">
        <v>69</v>
      </c>
      <c r="BL77" s="1">
        <f>0.437*(1)</f>
        <v>0.437</v>
      </c>
      <c r="BM77" s="1" t="s">
        <v>69</v>
      </c>
      <c r="BN77" s="1">
        <f>6861*(1)</f>
        <v>6861</v>
      </c>
      <c r="BO77" s="1" t="s">
        <v>69</v>
      </c>
      <c r="BP77" s="1">
        <f>0.105*(1)</f>
        <v>0.105</v>
      </c>
      <c r="BQ77" s="1" t="s">
        <v>69</v>
      </c>
      <c r="BR77" s="1">
        <f>54630*(1)</f>
        <v>54630</v>
      </c>
      <c r="BS77" s="1" t="s">
        <v>69</v>
      </c>
      <c r="BT77" s="1">
        <f>0.158*(1)</f>
        <v>0.158</v>
      </c>
      <c r="BU77" s="1" t="s">
        <v>69</v>
      </c>
      <c r="BV77" s="1">
        <f>15226*(1)</f>
        <v>15226</v>
      </c>
      <c r="BW77" s="1" t="s">
        <v>69</v>
      </c>
      <c r="BX77" s="1">
        <f>0.105*(1)</f>
        <v>0.105</v>
      </c>
      <c r="BY77" s="1" t="s">
        <v>69</v>
      </c>
      <c r="BZ77" s="1">
        <f>191958*(1)</f>
        <v>191958</v>
      </c>
      <c r="CA77" s="1" t="s">
        <v>69</v>
      </c>
      <c r="CB77" s="1">
        <f>0.336*(1)</f>
        <v>0.33600000000000002</v>
      </c>
      <c r="CC77" s="1" t="s">
        <v>69</v>
      </c>
      <c r="CD77" s="1">
        <f>12675*(1)</f>
        <v>12675</v>
      </c>
      <c r="CE77" s="1" t="s">
        <v>69</v>
      </c>
      <c r="CF77" s="1">
        <f>0.114*(1)</f>
        <v>0.114</v>
      </c>
      <c r="CG77" s="1" t="s">
        <v>69</v>
      </c>
    </row>
    <row r="78" spans="1:85" x14ac:dyDescent="0.3">
      <c r="A78" s="8" t="s">
        <v>940</v>
      </c>
      <c r="B78" s="1">
        <f>13934*(1)</f>
        <v>13934</v>
      </c>
      <c r="C78" s="1" t="s">
        <v>941</v>
      </c>
      <c r="D78" s="1">
        <f>0.051*(1)</f>
        <v>5.0999999999999997E-2</v>
      </c>
      <c r="E78" s="1" t="s">
        <v>273</v>
      </c>
      <c r="F78" s="1">
        <f>8239*(1)</f>
        <v>8239</v>
      </c>
      <c r="G78" s="1" t="s">
        <v>942</v>
      </c>
      <c r="H78" s="1">
        <f>0.009*(1)</f>
        <v>8.9999999999999993E-3</v>
      </c>
      <c r="I78" s="1" t="s">
        <v>84</v>
      </c>
      <c r="J78" s="1">
        <f>2574*(1)</f>
        <v>2574</v>
      </c>
      <c r="K78" s="1" t="s">
        <v>943</v>
      </c>
      <c r="L78" s="1">
        <f>0.006*(1)</f>
        <v>6.0000000000000001E-3</v>
      </c>
      <c r="M78" s="1" t="s">
        <v>84</v>
      </c>
      <c r="N78" s="1">
        <f>13225*(1)</f>
        <v>13225</v>
      </c>
      <c r="O78" s="1" t="s">
        <v>944</v>
      </c>
      <c r="P78" s="1">
        <f>0.025*(1)</f>
        <v>2.5000000000000001E-2</v>
      </c>
      <c r="Q78" s="1" t="s">
        <v>99</v>
      </c>
      <c r="R78" s="1" t="s">
        <v>622</v>
      </c>
      <c r="S78" s="1" t="s">
        <v>622</v>
      </c>
      <c r="T78" s="1" t="s">
        <v>622</v>
      </c>
      <c r="U78" s="1" t="s">
        <v>622</v>
      </c>
      <c r="V78" s="1">
        <f>15196*(1)</f>
        <v>15196</v>
      </c>
      <c r="W78" s="1" t="s">
        <v>945</v>
      </c>
      <c r="X78" s="1">
        <f>0.099*(1)</f>
        <v>9.9000000000000005E-2</v>
      </c>
      <c r="Y78" s="1" t="s">
        <v>532</v>
      </c>
      <c r="Z78" s="1">
        <f>10927*(1)</f>
        <v>10927</v>
      </c>
      <c r="AA78" s="1" t="s">
        <v>946</v>
      </c>
      <c r="AB78" s="1">
        <f>0.013*(1)</f>
        <v>1.2999999999999999E-2</v>
      </c>
      <c r="AC78" s="1" t="s">
        <v>104</v>
      </c>
      <c r="AD78" s="1">
        <f>3437*(1)</f>
        <v>3437</v>
      </c>
      <c r="AE78" s="1" t="s">
        <v>947</v>
      </c>
      <c r="AF78" s="1">
        <f>0.011*(1)</f>
        <v>1.0999999999999999E-2</v>
      </c>
      <c r="AG78" s="1" t="s">
        <v>104</v>
      </c>
      <c r="AH78" s="1">
        <f>26748*(1)</f>
        <v>26748</v>
      </c>
      <c r="AI78" s="1" t="s">
        <v>948</v>
      </c>
      <c r="AJ78" s="1">
        <f>0.038*(1)</f>
        <v>3.7999999999999999E-2</v>
      </c>
      <c r="AK78" s="1" t="s">
        <v>127</v>
      </c>
      <c r="AL78" s="1">
        <f>1497*(1)</f>
        <v>1497</v>
      </c>
      <c r="AM78" s="1" t="s">
        <v>366</v>
      </c>
      <c r="AN78" s="1">
        <f>0.012*(1)</f>
        <v>1.2E-2</v>
      </c>
      <c r="AO78" s="1" t="s">
        <v>79</v>
      </c>
      <c r="AP78" s="1">
        <f>4362*(1)</f>
        <v>4362</v>
      </c>
      <c r="AQ78" s="1" t="s">
        <v>949</v>
      </c>
      <c r="AR78" s="1">
        <f>0.011*(1)</f>
        <v>1.0999999999999999E-2</v>
      </c>
      <c r="AS78" s="1" t="s">
        <v>81</v>
      </c>
      <c r="AT78" s="1">
        <f>30843*(1)</f>
        <v>30843</v>
      </c>
      <c r="AU78" s="1" t="s">
        <v>950</v>
      </c>
      <c r="AV78" s="1">
        <f>0.036*(1)</f>
        <v>3.5999999999999997E-2</v>
      </c>
      <c r="AW78" s="1" t="s">
        <v>99</v>
      </c>
      <c r="AX78" s="1">
        <f>18601*(1)</f>
        <v>18601</v>
      </c>
      <c r="AY78" s="1" t="s">
        <v>951</v>
      </c>
      <c r="AZ78" s="1">
        <f>0.029*(1)</f>
        <v>2.9000000000000001E-2</v>
      </c>
      <c r="BA78" s="1" t="s">
        <v>99</v>
      </c>
      <c r="BB78" s="1">
        <f>8161*(1)</f>
        <v>8161</v>
      </c>
      <c r="BC78" s="1" t="s">
        <v>952</v>
      </c>
      <c r="BD78" s="1">
        <f>0.016*(1)</f>
        <v>1.6E-2</v>
      </c>
      <c r="BE78" s="1" t="s">
        <v>81</v>
      </c>
      <c r="BF78" s="1">
        <f>16743*(1)</f>
        <v>16743</v>
      </c>
      <c r="BG78" s="1" t="s">
        <v>953</v>
      </c>
      <c r="BH78" s="1">
        <f>0.026*(1)</f>
        <v>2.5999999999999999E-2</v>
      </c>
      <c r="BI78" s="1" t="s">
        <v>99</v>
      </c>
      <c r="BJ78" s="1">
        <f>37670*(1)</f>
        <v>37670</v>
      </c>
      <c r="BK78" s="1" t="s">
        <v>954</v>
      </c>
      <c r="BL78" s="1">
        <f>0.073*(1)</f>
        <v>7.2999999999999995E-2</v>
      </c>
      <c r="BM78" s="1" t="s">
        <v>502</v>
      </c>
      <c r="BN78" s="1">
        <f>1895*(1)</f>
        <v>1895</v>
      </c>
      <c r="BO78" s="1" t="s">
        <v>955</v>
      </c>
      <c r="BP78" s="1">
        <f>0.029*(1)</f>
        <v>2.9000000000000001E-2</v>
      </c>
      <c r="BQ78" s="1" t="s">
        <v>550</v>
      </c>
      <c r="BR78" s="1">
        <f>6550*(1)</f>
        <v>6550</v>
      </c>
      <c r="BS78" s="1" t="s">
        <v>956</v>
      </c>
      <c r="BT78" s="1">
        <f>0.019*(1)</f>
        <v>1.9E-2</v>
      </c>
      <c r="BU78" s="1" t="s">
        <v>99</v>
      </c>
      <c r="BV78" s="1">
        <f>375*(1)</f>
        <v>375</v>
      </c>
      <c r="BW78" s="1" t="s">
        <v>481</v>
      </c>
      <c r="BX78" s="1">
        <f>0.003*(1)</f>
        <v>3.0000000000000001E-3</v>
      </c>
      <c r="BY78" s="1" t="s">
        <v>73</v>
      </c>
      <c r="BZ78" s="1">
        <f>9031*(1)</f>
        <v>9031</v>
      </c>
      <c r="CA78" s="1" t="s">
        <v>957</v>
      </c>
      <c r="CB78" s="1">
        <f>0.016*(1)</f>
        <v>1.6E-2</v>
      </c>
      <c r="CC78" s="1" t="s">
        <v>81</v>
      </c>
      <c r="CD78" s="1">
        <f>411*(1)</f>
        <v>411</v>
      </c>
      <c r="CE78" s="1" t="s">
        <v>958</v>
      </c>
      <c r="CF78" s="1">
        <f>0.004*(1)</f>
        <v>4.0000000000000001E-3</v>
      </c>
      <c r="CG78" s="1" t="s">
        <v>104</v>
      </c>
    </row>
    <row r="79" spans="1:85" x14ac:dyDescent="0.3">
      <c r="A79" s="8" t="s">
        <v>959</v>
      </c>
      <c r="B79" s="1">
        <f>19070*(1)</f>
        <v>19070</v>
      </c>
      <c r="C79" s="1" t="s">
        <v>960</v>
      </c>
      <c r="D79" s="1">
        <f>0.069*(1)</f>
        <v>6.9000000000000006E-2</v>
      </c>
      <c r="E79" s="1" t="s">
        <v>138</v>
      </c>
      <c r="F79" s="1">
        <f>33492*(1)</f>
        <v>33492</v>
      </c>
      <c r="G79" s="1" t="s">
        <v>961</v>
      </c>
      <c r="H79" s="1">
        <f>0.035*(1)</f>
        <v>3.5000000000000003E-2</v>
      </c>
      <c r="I79" s="1" t="s">
        <v>81</v>
      </c>
      <c r="J79" s="1">
        <f>22537*(1)</f>
        <v>22537</v>
      </c>
      <c r="K79" s="1" t="s">
        <v>962</v>
      </c>
      <c r="L79" s="1">
        <f>0.049*(1)</f>
        <v>4.9000000000000002E-2</v>
      </c>
      <c r="M79" s="1" t="s">
        <v>99</v>
      </c>
      <c r="N79" s="1">
        <f>48061*(1)</f>
        <v>48061</v>
      </c>
      <c r="O79" s="1" t="s">
        <v>963</v>
      </c>
      <c r="P79" s="1">
        <f>0.092*(1)</f>
        <v>9.1999999999999998E-2</v>
      </c>
      <c r="Q79" s="1" t="s">
        <v>79</v>
      </c>
      <c r="R79" s="1" t="s">
        <v>622</v>
      </c>
      <c r="S79" s="1" t="s">
        <v>622</v>
      </c>
      <c r="T79" s="1" t="s">
        <v>622</v>
      </c>
      <c r="U79" s="1" t="s">
        <v>622</v>
      </c>
      <c r="V79" s="1">
        <f>28754*(1)</f>
        <v>28754</v>
      </c>
      <c r="W79" s="1" t="s">
        <v>964</v>
      </c>
      <c r="X79" s="1">
        <f>0.187*(1)</f>
        <v>0.187</v>
      </c>
      <c r="Y79" s="1" t="s">
        <v>103</v>
      </c>
      <c r="Z79" s="1">
        <f>53209*(1)</f>
        <v>53209</v>
      </c>
      <c r="AA79" s="1" t="s">
        <v>965</v>
      </c>
      <c r="AB79" s="1">
        <f>0.062*(1)</f>
        <v>6.2E-2</v>
      </c>
      <c r="AC79" s="1" t="s">
        <v>99</v>
      </c>
      <c r="AD79" s="1">
        <f>11234*(1)</f>
        <v>11234</v>
      </c>
      <c r="AE79" s="1" t="s">
        <v>966</v>
      </c>
      <c r="AF79" s="1">
        <f>0.037*(1)</f>
        <v>3.6999999999999998E-2</v>
      </c>
      <c r="AG79" s="1" t="s">
        <v>99</v>
      </c>
      <c r="AH79" s="1">
        <f>51601*(1)</f>
        <v>51601</v>
      </c>
      <c r="AI79" s="1" t="s">
        <v>967</v>
      </c>
      <c r="AJ79" s="1">
        <f>0.073*(1)</f>
        <v>7.2999999999999995E-2</v>
      </c>
      <c r="AK79" s="1" t="s">
        <v>79</v>
      </c>
      <c r="AL79" s="1">
        <f>1126*(1)</f>
        <v>1126</v>
      </c>
      <c r="AM79" s="1" t="s">
        <v>968</v>
      </c>
      <c r="AN79" s="1">
        <f>0.009*(1)</f>
        <v>8.9999999999999993E-3</v>
      </c>
      <c r="AO79" s="1" t="s">
        <v>81</v>
      </c>
      <c r="AP79" s="1">
        <f>21182*(1)</f>
        <v>21182</v>
      </c>
      <c r="AQ79" s="1" t="s">
        <v>969</v>
      </c>
      <c r="AR79" s="1">
        <f>0.055*(1)</f>
        <v>5.5E-2</v>
      </c>
      <c r="AS79" s="1" t="s">
        <v>94</v>
      </c>
      <c r="AT79" s="1">
        <f>45261*(1)</f>
        <v>45261</v>
      </c>
      <c r="AU79" s="1" t="s">
        <v>970</v>
      </c>
      <c r="AV79" s="1">
        <f>0.053*(1)</f>
        <v>5.2999999999999999E-2</v>
      </c>
      <c r="AW79" s="1" t="s">
        <v>99</v>
      </c>
      <c r="AX79" s="1">
        <f>22129*(1)</f>
        <v>22129</v>
      </c>
      <c r="AY79" s="1" t="s">
        <v>971</v>
      </c>
      <c r="AZ79" s="1">
        <f>0.034*(1)</f>
        <v>3.4000000000000002E-2</v>
      </c>
      <c r="BA79" s="1" t="s">
        <v>106</v>
      </c>
      <c r="BB79" s="1">
        <f>15322*(1)</f>
        <v>15322</v>
      </c>
      <c r="BC79" s="1" t="s">
        <v>919</v>
      </c>
      <c r="BD79" s="1">
        <f>0.03*(1)</f>
        <v>0.03</v>
      </c>
      <c r="BE79" s="1" t="s">
        <v>99</v>
      </c>
      <c r="BF79" s="1">
        <f>21015*(1)</f>
        <v>21015</v>
      </c>
      <c r="BG79" s="1" t="s">
        <v>972</v>
      </c>
      <c r="BH79" s="1">
        <f>0.032*(1)</f>
        <v>3.2000000000000001E-2</v>
      </c>
      <c r="BI79" s="1" t="s">
        <v>81</v>
      </c>
      <c r="BJ79" s="1">
        <f>37955*(1)</f>
        <v>37955</v>
      </c>
      <c r="BK79" s="1" t="s">
        <v>973</v>
      </c>
      <c r="BL79" s="1">
        <f>0.073*(1)</f>
        <v>7.2999999999999995E-2</v>
      </c>
      <c r="BM79" s="1" t="s">
        <v>79</v>
      </c>
      <c r="BN79" s="1">
        <f>3727*(1)</f>
        <v>3727</v>
      </c>
      <c r="BO79" s="1" t="s">
        <v>400</v>
      </c>
      <c r="BP79" s="1">
        <f>0.057*(1)</f>
        <v>5.7000000000000002E-2</v>
      </c>
      <c r="BQ79" s="1" t="s">
        <v>418</v>
      </c>
      <c r="BR79" s="1">
        <f>8093*(1)</f>
        <v>8093</v>
      </c>
      <c r="BS79" s="1" t="s">
        <v>974</v>
      </c>
      <c r="BT79" s="1">
        <f>0.023*(1)</f>
        <v>2.3E-2</v>
      </c>
      <c r="BU79" s="1" t="s">
        <v>108</v>
      </c>
      <c r="BV79" s="1">
        <f>4918*(1)</f>
        <v>4918</v>
      </c>
      <c r="BW79" s="1" t="s">
        <v>975</v>
      </c>
      <c r="BX79" s="1">
        <f>0.034*(1)</f>
        <v>3.4000000000000002E-2</v>
      </c>
      <c r="BY79" s="1" t="s">
        <v>108</v>
      </c>
      <c r="BZ79" s="1">
        <f>26266*(1)</f>
        <v>26266</v>
      </c>
      <c r="CA79" s="1" t="s">
        <v>976</v>
      </c>
      <c r="CB79" s="1">
        <f>0.046*(1)</f>
        <v>4.5999999999999999E-2</v>
      </c>
      <c r="CC79" s="1" t="s">
        <v>108</v>
      </c>
      <c r="CD79" s="1">
        <f>5237*(1)</f>
        <v>5237</v>
      </c>
      <c r="CE79" s="1" t="s">
        <v>977</v>
      </c>
      <c r="CF79" s="1">
        <f>0.047*(1)</f>
        <v>4.7E-2</v>
      </c>
      <c r="CG79" s="1" t="s">
        <v>138</v>
      </c>
    </row>
    <row r="80" spans="1:85" x14ac:dyDescent="0.3">
      <c r="A80" s="8" t="s">
        <v>978</v>
      </c>
      <c r="B80" s="1">
        <f>1228*(1)</f>
        <v>1228</v>
      </c>
      <c r="C80" s="1" t="s">
        <v>316</v>
      </c>
      <c r="D80" s="1">
        <f>0.004*(1)</f>
        <v>4.0000000000000001E-3</v>
      </c>
      <c r="E80" s="1" t="s">
        <v>73</v>
      </c>
      <c r="F80" s="1">
        <f>11408*(1)</f>
        <v>11408</v>
      </c>
      <c r="G80" s="1" t="s">
        <v>979</v>
      </c>
      <c r="H80" s="1">
        <f>0.012*(1)</f>
        <v>1.2E-2</v>
      </c>
      <c r="I80" s="1" t="s">
        <v>104</v>
      </c>
      <c r="J80" s="1">
        <f>1115*(1)</f>
        <v>1115</v>
      </c>
      <c r="K80" s="1" t="s">
        <v>980</v>
      </c>
      <c r="L80" s="1">
        <f>0.002*(1)</f>
        <v>2E-3</v>
      </c>
      <c r="M80" s="1" t="s">
        <v>75</v>
      </c>
      <c r="N80" s="1">
        <f>1955*(1)</f>
        <v>1955</v>
      </c>
      <c r="O80" s="1" t="s">
        <v>981</v>
      </c>
      <c r="P80" s="1">
        <f>0.004*(1)</f>
        <v>4.0000000000000001E-3</v>
      </c>
      <c r="Q80" s="1" t="s">
        <v>84</v>
      </c>
      <c r="R80" s="1" t="s">
        <v>622</v>
      </c>
      <c r="S80" s="1" t="s">
        <v>622</v>
      </c>
      <c r="T80" s="1" t="s">
        <v>622</v>
      </c>
      <c r="U80" s="1" t="s">
        <v>622</v>
      </c>
      <c r="V80" s="1">
        <f>622*(1)</f>
        <v>622</v>
      </c>
      <c r="W80" s="1" t="s">
        <v>982</v>
      </c>
      <c r="X80" s="1">
        <f>0.004*(1)</f>
        <v>4.0000000000000001E-3</v>
      </c>
      <c r="Y80" s="1" t="s">
        <v>106</v>
      </c>
      <c r="Z80" s="1">
        <f>6857*(1)</f>
        <v>6857</v>
      </c>
      <c r="AA80" s="1" t="s">
        <v>983</v>
      </c>
      <c r="AB80" s="1">
        <f>0.008*(1)</f>
        <v>8.0000000000000002E-3</v>
      </c>
      <c r="AC80" s="1" t="s">
        <v>73</v>
      </c>
      <c r="AD80" s="1">
        <f>504*(1)</f>
        <v>504</v>
      </c>
      <c r="AE80" s="1" t="s">
        <v>984</v>
      </c>
      <c r="AF80" s="1">
        <f>0.002*(1)</f>
        <v>2E-3</v>
      </c>
      <c r="AG80" s="1" t="s">
        <v>75</v>
      </c>
      <c r="AH80" s="1">
        <f>28134*(1)</f>
        <v>28134</v>
      </c>
      <c r="AI80" s="1" t="s">
        <v>985</v>
      </c>
      <c r="AJ80" s="1">
        <f>0.04*(1)</f>
        <v>0.04</v>
      </c>
      <c r="AK80" s="1" t="s">
        <v>99</v>
      </c>
      <c r="AL80" s="1">
        <f>1058*(1)</f>
        <v>1058</v>
      </c>
      <c r="AM80" s="1" t="s">
        <v>986</v>
      </c>
      <c r="AN80" s="1">
        <f>0.008*(1)</f>
        <v>8.0000000000000002E-3</v>
      </c>
      <c r="AO80" s="1" t="s">
        <v>106</v>
      </c>
      <c r="AP80" s="1">
        <f>1586*(1)</f>
        <v>1586</v>
      </c>
      <c r="AQ80" s="1" t="s">
        <v>987</v>
      </c>
      <c r="AR80" s="1">
        <f>0.004*(1)</f>
        <v>4.0000000000000001E-3</v>
      </c>
      <c r="AS80" s="1" t="s">
        <v>73</v>
      </c>
      <c r="AT80" s="1">
        <f>4381*(1)</f>
        <v>4381</v>
      </c>
      <c r="AU80" s="1" t="s">
        <v>988</v>
      </c>
      <c r="AV80" s="1">
        <f>0.005*(1)</f>
        <v>5.0000000000000001E-3</v>
      </c>
      <c r="AW80" s="1" t="s">
        <v>84</v>
      </c>
      <c r="AX80" s="1">
        <f>6493*(1)</f>
        <v>6493</v>
      </c>
      <c r="AY80" s="1" t="s">
        <v>989</v>
      </c>
      <c r="AZ80" s="1">
        <f>0.01*(1)</f>
        <v>0.01</v>
      </c>
      <c r="BA80" s="1" t="s">
        <v>73</v>
      </c>
      <c r="BB80" s="1">
        <f>4021*(1)</f>
        <v>4021</v>
      </c>
      <c r="BC80" s="1" t="s">
        <v>990</v>
      </c>
      <c r="BD80" s="1">
        <f>0.008*(1)</f>
        <v>8.0000000000000002E-3</v>
      </c>
      <c r="BE80" s="1" t="s">
        <v>73</v>
      </c>
      <c r="BF80" s="1">
        <f>2305*(1)</f>
        <v>2305</v>
      </c>
      <c r="BG80" s="1" t="s">
        <v>991</v>
      </c>
      <c r="BH80" s="1">
        <f>0.004*(1)</f>
        <v>4.0000000000000001E-3</v>
      </c>
      <c r="BI80" s="1" t="s">
        <v>84</v>
      </c>
      <c r="BJ80" s="1">
        <f>4018*(1)</f>
        <v>4018</v>
      </c>
      <c r="BK80" s="1" t="s">
        <v>992</v>
      </c>
      <c r="BL80" s="1">
        <f>0.008*(1)</f>
        <v>8.0000000000000002E-3</v>
      </c>
      <c r="BM80" s="1" t="s">
        <v>104</v>
      </c>
      <c r="BN80" s="1">
        <f>233*(1)</f>
        <v>233</v>
      </c>
      <c r="BO80" s="1" t="s">
        <v>896</v>
      </c>
      <c r="BP80" s="1">
        <f>0.004*(1)</f>
        <v>4.0000000000000001E-3</v>
      </c>
      <c r="BQ80" s="1" t="s">
        <v>104</v>
      </c>
      <c r="BR80" s="1">
        <f>2577*(1)</f>
        <v>2577</v>
      </c>
      <c r="BS80" s="1" t="s">
        <v>993</v>
      </c>
      <c r="BT80" s="1">
        <f>0.007*(1)</f>
        <v>7.0000000000000001E-3</v>
      </c>
      <c r="BU80" s="1" t="s">
        <v>104</v>
      </c>
      <c r="BV80" s="1">
        <f>840*(1)</f>
        <v>840</v>
      </c>
      <c r="BW80" s="1" t="s">
        <v>194</v>
      </c>
      <c r="BX80" s="1">
        <f>0.006*(1)</f>
        <v>6.0000000000000001E-3</v>
      </c>
      <c r="BY80" s="1" t="s">
        <v>106</v>
      </c>
      <c r="BZ80" s="1">
        <f>14270*(1)</f>
        <v>14270</v>
      </c>
      <c r="CA80" s="1" t="s">
        <v>994</v>
      </c>
      <c r="CB80" s="1">
        <f>0.025*(1)</f>
        <v>2.5000000000000001E-2</v>
      </c>
      <c r="CC80" s="1" t="s">
        <v>81</v>
      </c>
      <c r="CD80" s="1">
        <f>435*(1)</f>
        <v>435</v>
      </c>
      <c r="CE80" s="1" t="s">
        <v>995</v>
      </c>
      <c r="CF80" s="1">
        <f>0.004*(1)</f>
        <v>4.0000000000000001E-3</v>
      </c>
      <c r="CG80" s="1" t="s">
        <v>73</v>
      </c>
    </row>
    <row r="81" spans="1:85" x14ac:dyDescent="0.3">
      <c r="A81" s="8" t="s">
        <v>996</v>
      </c>
      <c r="B81" s="1">
        <f>20502*(1)</f>
        <v>20502</v>
      </c>
      <c r="C81" s="1" t="s">
        <v>997</v>
      </c>
      <c r="D81" s="1">
        <f>0.075*(1)</f>
        <v>7.4999999999999997E-2</v>
      </c>
      <c r="E81" s="1" t="s">
        <v>138</v>
      </c>
      <c r="F81" s="1">
        <f>157148*(1)</f>
        <v>157148</v>
      </c>
      <c r="G81" s="1" t="s">
        <v>998</v>
      </c>
      <c r="H81" s="1">
        <f>0.165*(1)</f>
        <v>0.16500000000000001</v>
      </c>
      <c r="I81" s="1" t="s">
        <v>108</v>
      </c>
      <c r="J81" s="1">
        <f>16613*(1)</f>
        <v>16613</v>
      </c>
      <c r="K81" s="1" t="s">
        <v>999</v>
      </c>
      <c r="L81" s="1">
        <f>0.036*(1)</f>
        <v>3.5999999999999997E-2</v>
      </c>
      <c r="M81" s="1" t="s">
        <v>99</v>
      </c>
      <c r="N81" s="1">
        <f>33634*(1)</f>
        <v>33634</v>
      </c>
      <c r="O81" s="1" t="s">
        <v>1000</v>
      </c>
      <c r="P81" s="1">
        <f>0.064*(1)</f>
        <v>6.4000000000000001E-2</v>
      </c>
      <c r="Q81" s="1" t="s">
        <v>79</v>
      </c>
      <c r="R81" s="1" t="s">
        <v>622</v>
      </c>
      <c r="S81" s="1" t="s">
        <v>622</v>
      </c>
      <c r="T81" s="1" t="s">
        <v>622</v>
      </c>
      <c r="U81" s="1" t="s">
        <v>622</v>
      </c>
      <c r="V81" s="1">
        <f>6076*(1)</f>
        <v>6076</v>
      </c>
      <c r="W81" s="1" t="s">
        <v>1001</v>
      </c>
      <c r="X81" s="1">
        <f>0.04*(1)</f>
        <v>0.04</v>
      </c>
      <c r="Y81" s="1" t="s">
        <v>418</v>
      </c>
      <c r="Z81" s="1">
        <f>136848*(1)</f>
        <v>136848</v>
      </c>
      <c r="AA81" s="1" t="s">
        <v>1002</v>
      </c>
      <c r="AB81" s="1">
        <f>0.16*(1)</f>
        <v>0.16</v>
      </c>
      <c r="AC81" s="1" t="s">
        <v>99</v>
      </c>
      <c r="AD81" s="1">
        <f>7434*(1)</f>
        <v>7434</v>
      </c>
      <c r="AE81" s="1" t="s">
        <v>1003</v>
      </c>
      <c r="AF81" s="1">
        <f>0.024*(1)</f>
        <v>2.4E-2</v>
      </c>
      <c r="AG81" s="1" t="s">
        <v>81</v>
      </c>
      <c r="AH81" s="1">
        <f>192206*(1)</f>
        <v>192206</v>
      </c>
      <c r="AI81" s="1" t="s">
        <v>1004</v>
      </c>
      <c r="AJ81" s="1">
        <f>0.274*(1)</f>
        <v>0.27400000000000002</v>
      </c>
      <c r="AK81" s="1" t="s">
        <v>138</v>
      </c>
      <c r="AL81" s="1">
        <f>6440*(1)</f>
        <v>6440</v>
      </c>
      <c r="AM81" s="1" t="s">
        <v>1005</v>
      </c>
      <c r="AN81" s="1">
        <f>0.05*(1)</f>
        <v>0.05</v>
      </c>
      <c r="AO81" s="1" t="s">
        <v>127</v>
      </c>
      <c r="AP81" s="1">
        <f>47898*(1)</f>
        <v>47898</v>
      </c>
      <c r="AQ81" s="1" t="s">
        <v>1006</v>
      </c>
      <c r="AR81" s="1">
        <f>0.124*(1)</f>
        <v>0.124</v>
      </c>
      <c r="AS81" s="1" t="s">
        <v>94</v>
      </c>
      <c r="AT81" s="1">
        <f>114955*(1)</f>
        <v>114955</v>
      </c>
      <c r="AU81" s="1" t="s">
        <v>1007</v>
      </c>
      <c r="AV81" s="1">
        <f>0.134*(1)</f>
        <v>0.13400000000000001</v>
      </c>
      <c r="AW81" s="1" t="s">
        <v>79</v>
      </c>
      <c r="AX81" s="1">
        <f>26193*(1)</f>
        <v>26193</v>
      </c>
      <c r="AY81" s="1" t="s">
        <v>1008</v>
      </c>
      <c r="AZ81" s="1">
        <f>0.041*(1)</f>
        <v>4.1000000000000002E-2</v>
      </c>
      <c r="BA81" s="1" t="s">
        <v>99</v>
      </c>
      <c r="BB81" s="1">
        <f>45657*(1)</f>
        <v>45657</v>
      </c>
      <c r="BC81" s="1" t="s">
        <v>1009</v>
      </c>
      <c r="BD81" s="1">
        <f>0.089*(1)</f>
        <v>8.8999999999999996E-2</v>
      </c>
      <c r="BE81" s="1" t="s">
        <v>79</v>
      </c>
      <c r="BF81" s="1">
        <f>23853*(1)</f>
        <v>23853</v>
      </c>
      <c r="BG81" s="1" t="s">
        <v>1010</v>
      </c>
      <c r="BH81" s="1">
        <f>0.037*(1)</f>
        <v>3.6999999999999998E-2</v>
      </c>
      <c r="BI81" s="1" t="s">
        <v>81</v>
      </c>
      <c r="BJ81" s="1">
        <f>146991*(1)</f>
        <v>146991</v>
      </c>
      <c r="BK81" s="1" t="s">
        <v>1011</v>
      </c>
      <c r="BL81" s="1">
        <f>0.284*(1)</f>
        <v>0.28399999999999997</v>
      </c>
      <c r="BM81" s="1" t="s">
        <v>273</v>
      </c>
      <c r="BN81" s="1">
        <f>1006*(1)</f>
        <v>1006</v>
      </c>
      <c r="BO81" s="1" t="s">
        <v>884</v>
      </c>
      <c r="BP81" s="1">
        <f>0.015*(1)</f>
        <v>1.4999999999999999E-2</v>
      </c>
      <c r="BQ81" s="1" t="s">
        <v>79</v>
      </c>
      <c r="BR81" s="1">
        <f>37410*(1)</f>
        <v>37410</v>
      </c>
      <c r="BS81" s="1" t="s">
        <v>1012</v>
      </c>
      <c r="BT81" s="1">
        <f>0.108*(1)</f>
        <v>0.108</v>
      </c>
      <c r="BU81" s="1" t="s">
        <v>94</v>
      </c>
      <c r="BV81" s="1">
        <f>9093*(1)</f>
        <v>9093</v>
      </c>
      <c r="BW81" s="1" t="s">
        <v>1013</v>
      </c>
      <c r="BX81" s="1">
        <f>0.062*(1)</f>
        <v>6.2E-2</v>
      </c>
      <c r="BY81" s="1" t="s">
        <v>79</v>
      </c>
      <c r="BZ81" s="1">
        <f>142391*(1)</f>
        <v>142391</v>
      </c>
      <c r="CA81" s="1" t="s">
        <v>1014</v>
      </c>
      <c r="CB81" s="1">
        <f>0.249*(1)</f>
        <v>0.249</v>
      </c>
      <c r="CC81" s="1" t="s">
        <v>127</v>
      </c>
      <c r="CD81" s="1">
        <f>6592*(1)</f>
        <v>6592</v>
      </c>
      <c r="CE81" s="1" t="s">
        <v>581</v>
      </c>
      <c r="CF81" s="1">
        <f>0.06*(1)</f>
        <v>0.06</v>
      </c>
      <c r="CG81" s="1" t="s">
        <v>502</v>
      </c>
    </row>
    <row r="82" spans="1:85" x14ac:dyDescent="0.3">
      <c r="A82" s="7" t="s">
        <v>1015</v>
      </c>
      <c r="B82" s="1">
        <f>220232*(1)</f>
        <v>220232</v>
      </c>
      <c r="C82" s="1" t="s">
        <v>69</v>
      </c>
      <c r="D82" s="1">
        <f>0.801*(1)</f>
        <v>0.80100000000000005</v>
      </c>
      <c r="E82" s="1" t="s">
        <v>69</v>
      </c>
      <c r="F82" s="1">
        <f>743532*(1)</f>
        <v>743532</v>
      </c>
      <c r="G82" s="1" t="s">
        <v>69</v>
      </c>
      <c r="H82" s="1">
        <f>0.78*(1)</f>
        <v>0.78</v>
      </c>
      <c r="I82" s="1" t="s">
        <v>69</v>
      </c>
      <c r="J82" s="1">
        <f>421430*(1)</f>
        <v>421430</v>
      </c>
      <c r="K82" s="1" t="s">
        <v>69</v>
      </c>
      <c r="L82" s="1">
        <f>0.908*(1)</f>
        <v>0.90800000000000003</v>
      </c>
      <c r="M82" s="1" t="s">
        <v>69</v>
      </c>
      <c r="N82" s="1">
        <f>426896*(1)</f>
        <v>426896</v>
      </c>
      <c r="O82" s="1" t="s">
        <v>69</v>
      </c>
      <c r="P82" s="1">
        <f>0.815*(1)</f>
        <v>0.81499999999999995</v>
      </c>
      <c r="Q82" s="1" t="s">
        <v>69</v>
      </c>
      <c r="R82" s="1">
        <f>87614*(1)</f>
        <v>87614</v>
      </c>
      <c r="S82" s="1" t="s">
        <v>69</v>
      </c>
      <c r="T82" s="1">
        <f>0.916*(1)</f>
        <v>0.91600000000000004</v>
      </c>
      <c r="U82" s="1" t="s">
        <v>69</v>
      </c>
      <c r="V82" s="1">
        <f>102979*(1)</f>
        <v>102979</v>
      </c>
      <c r="W82" s="1" t="s">
        <v>69</v>
      </c>
      <c r="X82" s="1">
        <f>0.67*(1)</f>
        <v>0.67</v>
      </c>
      <c r="Y82" s="1" t="s">
        <v>69</v>
      </c>
      <c r="Z82" s="1">
        <f>647076*(1)</f>
        <v>647076</v>
      </c>
      <c r="AA82" s="1" t="s">
        <v>69</v>
      </c>
      <c r="AB82" s="1">
        <f>0.757*(1)</f>
        <v>0.75700000000000001</v>
      </c>
      <c r="AC82" s="1" t="s">
        <v>69</v>
      </c>
      <c r="AD82" s="1">
        <f>281868*(1)</f>
        <v>281868</v>
      </c>
      <c r="AE82" s="1" t="s">
        <v>69</v>
      </c>
      <c r="AF82" s="1">
        <f>0.926*(1)</f>
        <v>0.92600000000000005</v>
      </c>
      <c r="AG82" s="1" t="s">
        <v>69</v>
      </c>
      <c r="AH82" s="1">
        <f>403774*(1)</f>
        <v>403774</v>
      </c>
      <c r="AI82" s="1" t="s">
        <v>69</v>
      </c>
      <c r="AJ82" s="1">
        <f>0.575*(1)</f>
        <v>0.57499999999999996</v>
      </c>
      <c r="AK82" s="1" t="s">
        <v>69</v>
      </c>
      <c r="AL82" s="1">
        <f>119803*(1)</f>
        <v>119803</v>
      </c>
      <c r="AM82" s="1" t="s">
        <v>69</v>
      </c>
      <c r="AN82" s="1">
        <f>0.922*(1)</f>
        <v>0.92200000000000004</v>
      </c>
      <c r="AO82" s="1" t="s">
        <v>69</v>
      </c>
      <c r="AP82" s="1">
        <f>310870*(1)</f>
        <v>310870</v>
      </c>
      <c r="AQ82" s="1" t="s">
        <v>69</v>
      </c>
      <c r="AR82" s="1">
        <f>0.806*(1)</f>
        <v>0.80600000000000005</v>
      </c>
      <c r="AS82" s="1" t="s">
        <v>69</v>
      </c>
      <c r="AT82" s="1">
        <f>665367*(1)</f>
        <v>665367</v>
      </c>
      <c r="AU82" s="1" t="s">
        <v>69</v>
      </c>
      <c r="AV82" s="1">
        <f>0.773*(1)</f>
        <v>0.77300000000000002</v>
      </c>
      <c r="AW82" s="1" t="s">
        <v>69</v>
      </c>
      <c r="AX82" s="1">
        <f>571938*(1)</f>
        <v>571938</v>
      </c>
      <c r="AY82" s="1" t="s">
        <v>69</v>
      </c>
      <c r="AZ82" s="1">
        <f>0.886*(1)</f>
        <v>0.88600000000000001</v>
      </c>
      <c r="BA82" s="1" t="s">
        <v>69</v>
      </c>
      <c r="BB82" s="1">
        <f>437820*(1)</f>
        <v>437820</v>
      </c>
      <c r="BC82" s="1" t="s">
        <v>69</v>
      </c>
      <c r="BD82" s="1">
        <f>0.857*(1)</f>
        <v>0.85699999999999998</v>
      </c>
      <c r="BE82" s="1" t="s">
        <v>69</v>
      </c>
      <c r="BF82" s="1">
        <f>585082*(1)</f>
        <v>585082</v>
      </c>
      <c r="BG82" s="1" t="s">
        <v>69</v>
      </c>
      <c r="BH82" s="1">
        <f>0.902*(1)</f>
        <v>0.90200000000000002</v>
      </c>
      <c r="BI82" s="1" t="s">
        <v>69</v>
      </c>
      <c r="BJ82" s="1">
        <f>291483*(1)</f>
        <v>291483</v>
      </c>
      <c r="BK82" s="1" t="s">
        <v>69</v>
      </c>
      <c r="BL82" s="1">
        <f>0.563*(1)</f>
        <v>0.56299999999999994</v>
      </c>
      <c r="BM82" s="1" t="s">
        <v>69</v>
      </c>
      <c r="BN82" s="1">
        <f>58185*(1)</f>
        <v>58185</v>
      </c>
      <c r="BO82" s="1" t="s">
        <v>69</v>
      </c>
      <c r="BP82" s="1">
        <f>0.895*(1)</f>
        <v>0.89500000000000002</v>
      </c>
      <c r="BQ82" s="1" t="s">
        <v>69</v>
      </c>
      <c r="BR82" s="1">
        <f>291017*(1)</f>
        <v>291017</v>
      </c>
      <c r="BS82" s="1" t="s">
        <v>69</v>
      </c>
      <c r="BT82" s="1">
        <f>0.842*(1)</f>
        <v>0.84199999999999997</v>
      </c>
      <c r="BU82" s="1" t="s">
        <v>69</v>
      </c>
      <c r="BV82" s="1">
        <f>130317*(1)</f>
        <v>130317</v>
      </c>
      <c r="BW82" s="1" t="s">
        <v>69</v>
      </c>
      <c r="BX82" s="1">
        <f>0.895*(1)</f>
        <v>0.89500000000000002</v>
      </c>
      <c r="BY82" s="1" t="s">
        <v>69</v>
      </c>
      <c r="BZ82" s="1">
        <f>380156*(1)</f>
        <v>380156</v>
      </c>
      <c r="CA82" s="1" t="s">
        <v>69</v>
      </c>
      <c r="CB82" s="1">
        <f>0.664*(1)</f>
        <v>0.66400000000000003</v>
      </c>
      <c r="CC82" s="1" t="s">
        <v>69</v>
      </c>
      <c r="CD82" s="1">
        <f>98056*(1)</f>
        <v>98056</v>
      </c>
      <c r="CE82" s="1" t="s">
        <v>69</v>
      </c>
      <c r="CF82" s="1">
        <f>0.886*(1)</f>
        <v>0.88600000000000001</v>
      </c>
      <c r="CG82" s="1" t="s">
        <v>69</v>
      </c>
    </row>
    <row r="83" spans="1:85" x14ac:dyDescent="0.3">
      <c r="A83" s="8" t="s">
        <v>1016</v>
      </c>
      <c r="B83" s="1">
        <f>149851*(1)</f>
        <v>149851</v>
      </c>
      <c r="C83" s="1" t="s">
        <v>897</v>
      </c>
      <c r="D83" s="1">
        <f>0.545*(1)</f>
        <v>0.54500000000000004</v>
      </c>
      <c r="E83" s="1" t="s">
        <v>108</v>
      </c>
      <c r="F83" s="1">
        <f>500079*(1)</f>
        <v>500079</v>
      </c>
      <c r="G83" s="1" t="s">
        <v>1017</v>
      </c>
      <c r="H83" s="1">
        <f>0.524*(1)</f>
        <v>0.52400000000000002</v>
      </c>
      <c r="I83" s="1" t="s">
        <v>73</v>
      </c>
      <c r="J83" s="1">
        <f>293708*(1)</f>
        <v>293708</v>
      </c>
      <c r="K83" s="1" t="s">
        <v>1001</v>
      </c>
      <c r="L83" s="1">
        <f>0.633*(1)</f>
        <v>0.63300000000000001</v>
      </c>
      <c r="M83" s="1" t="s">
        <v>81</v>
      </c>
      <c r="N83" s="1">
        <f>280408*(1)</f>
        <v>280408</v>
      </c>
      <c r="O83" s="1" t="s">
        <v>1018</v>
      </c>
      <c r="P83" s="1">
        <f>0.535*(1)</f>
        <v>0.53500000000000003</v>
      </c>
      <c r="Q83" s="1" t="s">
        <v>104</v>
      </c>
      <c r="R83" s="1">
        <f>80441*(1)</f>
        <v>80441</v>
      </c>
      <c r="S83" s="1" t="s">
        <v>97</v>
      </c>
      <c r="T83" s="1">
        <f>0.841*(1)</f>
        <v>0.84099999999999997</v>
      </c>
      <c r="U83" s="1" t="s">
        <v>106</v>
      </c>
      <c r="V83" s="1">
        <f>65835*(1)</f>
        <v>65835</v>
      </c>
      <c r="W83" s="1" t="s">
        <v>430</v>
      </c>
      <c r="X83" s="1">
        <f>0.429*(1)</f>
        <v>0.42899999999999999</v>
      </c>
      <c r="Y83" s="1" t="s">
        <v>127</v>
      </c>
      <c r="Z83" s="1">
        <f>235730*(1)</f>
        <v>235730</v>
      </c>
      <c r="AA83" s="1" t="s">
        <v>1019</v>
      </c>
      <c r="AB83" s="1">
        <f>0.276*(1)</f>
        <v>0.27600000000000002</v>
      </c>
      <c r="AC83" s="1" t="s">
        <v>104</v>
      </c>
      <c r="AD83" s="1">
        <f>229245*(1)</f>
        <v>229245</v>
      </c>
      <c r="AE83" s="1" t="s">
        <v>1020</v>
      </c>
      <c r="AF83" s="1">
        <f>0.753*(1)</f>
        <v>0.753</v>
      </c>
      <c r="AG83" s="1" t="s">
        <v>81</v>
      </c>
      <c r="AH83" s="1">
        <f>187312*(1)</f>
        <v>187312</v>
      </c>
      <c r="AI83" s="1" t="s">
        <v>1021</v>
      </c>
      <c r="AJ83" s="1">
        <f>0.267*(1)</f>
        <v>0.26700000000000002</v>
      </c>
      <c r="AK83" s="1" t="s">
        <v>104</v>
      </c>
      <c r="AL83" s="1">
        <f>105939*(1)</f>
        <v>105939</v>
      </c>
      <c r="AM83" s="1" t="s">
        <v>393</v>
      </c>
      <c r="AN83" s="1">
        <f>0.815*(1)</f>
        <v>0.81499999999999995</v>
      </c>
      <c r="AO83" s="1" t="s">
        <v>108</v>
      </c>
      <c r="AP83" s="1">
        <f>178210*(1)</f>
        <v>178210</v>
      </c>
      <c r="AQ83" s="1" t="s">
        <v>1022</v>
      </c>
      <c r="AR83" s="1">
        <f>0.462*(1)</f>
        <v>0.46200000000000002</v>
      </c>
      <c r="AS83" s="1" t="s">
        <v>73</v>
      </c>
      <c r="AT83" s="1">
        <f>334875*(1)</f>
        <v>334875</v>
      </c>
      <c r="AU83" s="1" t="s">
        <v>1023</v>
      </c>
      <c r="AV83" s="1">
        <f>0.389*(1)</f>
        <v>0.38900000000000001</v>
      </c>
      <c r="AW83" s="1" t="s">
        <v>73</v>
      </c>
      <c r="AX83" s="1">
        <f>468673*(1)</f>
        <v>468673</v>
      </c>
      <c r="AY83" s="1" t="s">
        <v>1024</v>
      </c>
      <c r="AZ83" s="1">
        <f>0.726*(1)</f>
        <v>0.72599999999999998</v>
      </c>
      <c r="BA83" s="1" t="s">
        <v>99</v>
      </c>
      <c r="BB83" s="1">
        <f>343464*(1)</f>
        <v>343464</v>
      </c>
      <c r="BC83" s="1" t="s">
        <v>1025</v>
      </c>
      <c r="BD83" s="1">
        <f>0.672*(1)</f>
        <v>0.67200000000000004</v>
      </c>
      <c r="BE83" s="1" t="s">
        <v>81</v>
      </c>
      <c r="BF83" s="1">
        <f>536855*(1)</f>
        <v>536855</v>
      </c>
      <c r="BG83" s="1" t="s">
        <v>1026</v>
      </c>
      <c r="BH83" s="1">
        <f>0.827*(1)</f>
        <v>0.82699999999999996</v>
      </c>
      <c r="BI83" s="1" t="s">
        <v>73</v>
      </c>
      <c r="BJ83" s="1">
        <f>201161*(1)</f>
        <v>201161</v>
      </c>
      <c r="BK83" s="1" t="s">
        <v>1027</v>
      </c>
      <c r="BL83" s="1">
        <f>0.388*(1)</f>
        <v>0.38800000000000001</v>
      </c>
      <c r="BM83" s="1" t="s">
        <v>73</v>
      </c>
      <c r="BN83" s="1">
        <f>45795*(1)</f>
        <v>45795</v>
      </c>
      <c r="BO83" s="1" t="s">
        <v>1028</v>
      </c>
      <c r="BP83" s="1">
        <f>0.704*(1)</f>
        <v>0.70399999999999996</v>
      </c>
      <c r="BQ83" s="1" t="s">
        <v>127</v>
      </c>
      <c r="BR83" s="1">
        <f>179664*(1)</f>
        <v>179664</v>
      </c>
      <c r="BS83" s="1" t="s">
        <v>885</v>
      </c>
      <c r="BT83" s="1">
        <f>0.52*(1)</f>
        <v>0.52</v>
      </c>
      <c r="BU83" s="1" t="s">
        <v>104</v>
      </c>
      <c r="BV83" s="1">
        <f>117820*(1)</f>
        <v>117820</v>
      </c>
      <c r="BW83" s="1" t="s">
        <v>815</v>
      </c>
      <c r="BX83" s="1">
        <f>0.81*(1)</f>
        <v>0.81</v>
      </c>
      <c r="BY83" s="1" t="s">
        <v>79</v>
      </c>
      <c r="BZ83" s="1">
        <f>209451*(1)</f>
        <v>209451</v>
      </c>
      <c r="CA83" s="1" t="s">
        <v>1029</v>
      </c>
      <c r="CB83" s="1">
        <f>0.366*(1)</f>
        <v>0.36599999999999999</v>
      </c>
      <c r="CC83" s="1" t="s">
        <v>106</v>
      </c>
      <c r="CD83" s="1">
        <f>84284*(1)</f>
        <v>84284</v>
      </c>
      <c r="CE83" s="1" t="s">
        <v>885</v>
      </c>
      <c r="CF83" s="1">
        <f>0.761*(1)</f>
        <v>0.76100000000000001</v>
      </c>
      <c r="CG83" s="1" t="s">
        <v>138</v>
      </c>
    </row>
    <row r="84" spans="1:85" ht="28.8" x14ac:dyDescent="0.3">
      <c r="A84" s="8" t="s">
        <v>1030</v>
      </c>
      <c r="B84" s="1">
        <f>35777*(1)</f>
        <v>35777</v>
      </c>
      <c r="C84" s="1" t="s">
        <v>1031</v>
      </c>
      <c r="D84" s="1">
        <f>0.13*(1)</f>
        <v>0.13</v>
      </c>
      <c r="E84" s="1" t="s">
        <v>108</v>
      </c>
      <c r="F84" s="1">
        <f>51140*(1)</f>
        <v>51140</v>
      </c>
      <c r="G84" s="1" t="s">
        <v>1032</v>
      </c>
      <c r="H84" s="1">
        <f>0.054*(1)</f>
        <v>5.3999999999999999E-2</v>
      </c>
      <c r="I84" s="1" t="s">
        <v>84</v>
      </c>
      <c r="J84" s="1">
        <f>76112*(1)</f>
        <v>76112</v>
      </c>
      <c r="K84" s="1" t="s">
        <v>1033</v>
      </c>
      <c r="L84" s="1">
        <f>0.164*(1)</f>
        <v>0.16400000000000001</v>
      </c>
      <c r="M84" s="1" t="s">
        <v>81</v>
      </c>
      <c r="N84" s="1">
        <f>91878*(1)</f>
        <v>91878</v>
      </c>
      <c r="O84" s="1" t="s">
        <v>1034</v>
      </c>
      <c r="P84" s="1">
        <f>0.175*(1)</f>
        <v>0.17499999999999999</v>
      </c>
      <c r="Q84" s="1" t="s">
        <v>106</v>
      </c>
      <c r="R84" s="1">
        <f>3013*(1)</f>
        <v>3013</v>
      </c>
      <c r="S84" s="1" t="s">
        <v>1035</v>
      </c>
      <c r="T84" s="1">
        <f>0.031*(1)</f>
        <v>3.1E-2</v>
      </c>
      <c r="U84" s="1" t="s">
        <v>108</v>
      </c>
      <c r="V84" s="1">
        <f>27365*(1)</f>
        <v>27365</v>
      </c>
      <c r="W84" s="1" t="s">
        <v>1036</v>
      </c>
      <c r="X84" s="1">
        <f>0.178*(1)</f>
        <v>0.17799999999999999</v>
      </c>
      <c r="Y84" s="1" t="s">
        <v>94</v>
      </c>
      <c r="Z84" s="1">
        <f>306510*(1)</f>
        <v>306510</v>
      </c>
      <c r="AA84" s="1" t="s">
        <v>1037</v>
      </c>
      <c r="AB84" s="1">
        <f>0.359*(1)</f>
        <v>0.35899999999999999</v>
      </c>
      <c r="AC84" s="1" t="s">
        <v>99</v>
      </c>
      <c r="AD84" s="1">
        <f>30169*(1)</f>
        <v>30169</v>
      </c>
      <c r="AE84" s="1" t="s">
        <v>1038</v>
      </c>
      <c r="AF84" s="1">
        <f>0.099*(1)</f>
        <v>9.9000000000000005E-2</v>
      </c>
      <c r="AG84" s="1" t="s">
        <v>81</v>
      </c>
      <c r="AH84" s="1">
        <f>74267*(1)</f>
        <v>74267</v>
      </c>
      <c r="AI84" s="1" t="s">
        <v>1039</v>
      </c>
      <c r="AJ84" s="1">
        <f>0.106*(1)</f>
        <v>0.106</v>
      </c>
      <c r="AK84" s="1" t="s">
        <v>104</v>
      </c>
      <c r="AL84" s="1">
        <f>3820*(1)</f>
        <v>3820</v>
      </c>
      <c r="AM84" s="1" t="s">
        <v>469</v>
      </c>
      <c r="AN84" s="1">
        <f>0.029*(1)</f>
        <v>2.9000000000000001E-2</v>
      </c>
      <c r="AO84" s="1" t="s">
        <v>73</v>
      </c>
      <c r="AP84" s="1">
        <f>72151*(1)</f>
        <v>72151</v>
      </c>
      <c r="AQ84" s="1" t="s">
        <v>168</v>
      </c>
      <c r="AR84" s="1">
        <f>0.187*(1)</f>
        <v>0.187</v>
      </c>
      <c r="AS84" s="1" t="s">
        <v>106</v>
      </c>
      <c r="AT84" s="1">
        <f>81366*(1)</f>
        <v>81366</v>
      </c>
      <c r="AU84" s="1" t="s">
        <v>1040</v>
      </c>
      <c r="AV84" s="1">
        <f>0.095*(1)</f>
        <v>9.5000000000000001E-2</v>
      </c>
      <c r="AW84" s="1" t="s">
        <v>104</v>
      </c>
      <c r="AX84" s="1">
        <f>37999*(1)</f>
        <v>37999</v>
      </c>
      <c r="AY84" s="1" t="s">
        <v>1041</v>
      </c>
      <c r="AZ84" s="1">
        <f>0.059*(1)</f>
        <v>5.8999999999999997E-2</v>
      </c>
      <c r="BA84" s="1" t="s">
        <v>104</v>
      </c>
      <c r="BB84" s="1">
        <f>15993*(1)</f>
        <v>15993</v>
      </c>
      <c r="BC84" s="1" t="s">
        <v>1042</v>
      </c>
      <c r="BD84" s="1">
        <f>0.031*(1)</f>
        <v>3.1E-2</v>
      </c>
      <c r="BE84" s="1" t="s">
        <v>73</v>
      </c>
      <c r="BF84" s="1">
        <f>19656*(1)</f>
        <v>19656</v>
      </c>
      <c r="BG84" s="1" t="s">
        <v>1043</v>
      </c>
      <c r="BH84" s="1">
        <f>0.03*(1)</f>
        <v>0.03</v>
      </c>
      <c r="BI84" s="1" t="s">
        <v>84</v>
      </c>
      <c r="BJ84" s="1">
        <f>52148*(1)</f>
        <v>52148</v>
      </c>
      <c r="BK84" s="1" t="s">
        <v>1044</v>
      </c>
      <c r="BL84" s="1">
        <f>0.101*(1)</f>
        <v>0.10100000000000001</v>
      </c>
      <c r="BM84" s="1" t="s">
        <v>84</v>
      </c>
      <c r="BN84" s="1">
        <f>8865*(1)</f>
        <v>8865</v>
      </c>
      <c r="BO84" s="1" t="s">
        <v>911</v>
      </c>
      <c r="BP84" s="1">
        <f>0.136*(1)</f>
        <v>0.13600000000000001</v>
      </c>
      <c r="BQ84" s="1" t="s">
        <v>127</v>
      </c>
      <c r="BR84" s="1">
        <f>31623*(1)</f>
        <v>31623</v>
      </c>
      <c r="BS84" s="1" t="s">
        <v>1045</v>
      </c>
      <c r="BT84" s="1">
        <f>0.091*(1)</f>
        <v>9.0999999999999998E-2</v>
      </c>
      <c r="BU84" s="1" t="s">
        <v>104</v>
      </c>
      <c r="BV84" s="1">
        <f>2995*(1)</f>
        <v>2995</v>
      </c>
      <c r="BW84" s="1" t="s">
        <v>916</v>
      </c>
      <c r="BX84" s="1">
        <f>0.021*(1)</f>
        <v>2.1000000000000001E-2</v>
      </c>
      <c r="BY84" s="1" t="s">
        <v>99</v>
      </c>
      <c r="BZ84" s="1">
        <f>113346*(1)</f>
        <v>113346</v>
      </c>
      <c r="CA84" s="1" t="s">
        <v>1046</v>
      </c>
      <c r="CB84" s="1">
        <f>0.198*(1)</f>
        <v>0.19800000000000001</v>
      </c>
      <c r="CC84" s="1" t="s">
        <v>106</v>
      </c>
      <c r="CD84" s="1">
        <f>5332*(1)</f>
        <v>5332</v>
      </c>
      <c r="CE84" s="1" t="s">
        <v>901</v>
      </c>
      <c r="CF84" s="1">
        <f>0.048*(1)</f>
        <v>4.8000000000000001E-2</v>
      </c>
      <c r="CG84" s="1" t="s">
        <v>81</v>
      </c>
    </row>
    <row r="85" spans="1:85" ht="28.8" x14ac:dyDescent="0.3">
      <c r="A85" s="8" t="s">
        <v>1047</v>
      </c>
      <c r="B85" s="1">
        <f>198*(1)</f>
        <v>198</v>
      </c>
      <c r="C85" s="1" t="s">
        <v>1048</v>
      </c>
      <c r="D85" s="1">
        <f>0.001*(1)</f>
        <v>1E-3</v>
      </c>
      <c r="E85" s="1" t="s">
        <v>75</v>
      </c>
      <c r="F85" s="1">
        <f>989*(1)</f>
        <v>989</v>
      </c>
      <c r="G85" s="1" t="s">
        <v>1049</v>
      </c>
      <c r="H85" s="1">
        <f>0.001*(1)</f>
        <v>1E-3</v>
      </c>
      <c r="I85" s="1" t="s">
        <v>75</v>
      </c>
      <c r="J85" s="1">
        <f>200*(1)</f>
        <v>200</v>
      </c>
      <c r="K85" s="1" t="s">
        <v>268</v>
      </c>
      <c r="L85" s="1">
        <f>0*(1)</f>
        <v>0</v>
      </c>
      <c r="M85" s="1" t="s">
        <v>75</v>
      </c>
      <c r="N85" s="1">
        <f>210*(1)</f>
        <v>210</v>
      </c>
      <c r="O85" s="1" t="s">
        <v>129</v>
      </c>
      <c r="P85" s="1">
        <f>0*(1)</f>
        <v>0</v>
      </c>
      <c r="Q85" s="1" t="s">
        <v>75</v>
      </c>
      <c r="R85" s="1">
        <f>60*(1)</f>
        <v>60</v>
      </c>
      <c r="S85" s="1" t="s">
        <v>526</v>
      </c>
      <c r="T85" s="1">
        <f>0.001*(1)</f>
        <v>1E-3</v>
      </c>
      <c r="U85" s="1" t="s">
        <v>75</v>
      </c>
      <c r="V85" s="1">
        <f>346*(1)</f>
        <v>346</v>
      </c>
      <c r="W85" s="1" t="s">
        <v>1050</v>
      </c>
      <c r="X85" s="1">
        <f>0.002*(1)</f>
        <v>2E-3</v>
      </c>
      <c r="Y85" s="1" t="s">
        <v>84</v>
      </c>
      <c r="Z85" s="1">
        <f>1287*(1)</f>
        <v>1287</v>
      </c>
      <c r="AA85" s="1" t="s">
        <v>721</v>
      </c>
      <c r="AB85" s="1">
        <f>0.002*(1)</f>
        <v>2E-3</v>
      </c>
      <c r="AC85" s="1" t="s">
        <v>75</v>
      </c>
      <c r="AD85" s="1">
        <f>85*(1)</f>
        <v>85</v>
      </c>
      <c r="AE85" s="1" t="s">
        <v>1051</v>
      </c>
      <c r="AF85" s="1">
        <f>0*(1)</f>
        <v>0</v>
      </c>
      <c r="AG85" s="1" t="s">
        <v>75</v>
      </c>
      <c r="AH85" s="1">
        <f>822*(1)</f>
        <v>822</v>
      </c>
      <c r="AI85" s="1" t="s">
        <v>513</v>
      </c>
      <c r="AJ85" s="1">
        <f>0.001*(1)</f>
        <v>1E-3</v>
      </c>
      <c r="AK85" s="1" t="s">
        <v>75</v>
      </c>
      <c r="AL85" s="1">
        <f>173*(1)</f>
        <v>173</v>
      </c>
      <c r="AM85" s="1" t="s">
        <v>1052</v>
      </c>
      <c r="AN85" s="1">
        <f>0.001*(1)</f>
        <v>1E-3</v>
      </c>
      <c r="AO85" s="1" t="s">
        <v>84</v>
      </c>
      <c r="AP85" s="1">
        <f>184*(1)</f>
        <v>184</v>
      </c>
      <c r="AQ85" s="1" t="s">
        <v>1053</v>
      </c>
      <c r="AR85" s="1">
        <f>0*(1)</f>
        <v>0</v>
      </c>
      <c r="AS85" s="1" t="s">
        <v>75</v>
      </c>
      <c r="AT85" s="1">
        <f>579*(1)</f>
        <v>579</v>
      </c>
      <c r="AU85" s="1" t="s">
        <v>491</v>
      </c>
      <c r="AV85" s="1">
        <f>0.001*(1)</f>
        <v>1E-3</v>
      </c>
      <c r="AW85" s="1" t="s">
        <v>75</v>
      </c>
      <c r="AX85" s="1">
        <f>246*(1)</f>
        <v>246</v>
      </c>
      <c r="AY85" s="1" t="s">
        <v>458</v>
      </c>
      <c r="AZ85" s="1">
        <f>0*(1)</f>
        <v>0</v>
      </c>
      <c r="BA85" s="1" t="s">
        <v>75</v>
      </c>
      <c r="BB85" s="1">
        <f>147*(1)</f>
        <v>147</v>
      </c>
      <c r="BC85" s="1" t="s">
        <v>1054</v>
      </c>
      <c r="BD85" s="1">
        <f>0*(1)</f>
        <v>0</v>
      </c>
      <c r="BE85" s="1" t="s">
        <v>75</v>
      </c>
      <c r="BF85" s="1">
        <f>0*(1)</f>
        <v>0</v>
      </c>
      <c r="BG85" s="1" t="s">
        <v>258</v>
      </c>
      <c r="BH85" s="1">
        <f>0*(1)</f>
        <v>0</v>
      </c>
      <c r="BI85" s="1" t="s">
        <v>75</v>
      </c>
      <c r="BJ85" s="1">
        <f>223*(1)</f>
        <v>223</v>
      </c>
      <c r="BK85" s="1" t="s">
        <v>1055</v>
      </c>
      <c r="BL85" s="1">
        <f>0*(1)</f>
        <v>0</v>
      </c>
      <c r="BM85" s="1" t="s">
        <v>75</v>
      </c>
      <c r="BN85" s="1">
        <f>0*(1)</f>
        <v>0</v>
      </c>
      <c r="BO85" s="1" t="s">
        <v>258</v>
      </c>
      <c r="BP85" s="1">
        <f>0*(1)</f>
        <v>0</v>
      </c>
      <c r="BQ85" s="1" t="s">
        <v>73</v>
      </c>
      <c r="BR85" s="1">
        <f>64*(1)</f>
        <v>64</v>
      </c>
      <c r="BS85" s="1" t="s">
        <v>1056</v>
      </c>
      <c r="BT85" s="1">
        <f>0*(1)</f>
        <v>0</v>
      </c>
      <c r="BU85" s="1" t="s">
        <v>75</v>
      </c>
      <c r="BV85" s="1">
        <f>0*(1)</f>
        <v>0</v>
      </c>
      <c r="BW85" s="1" t="s">
        <v>258</v>
      </c>
      <c r="BX85" s="1">
        <f>0*(1)</f>
        <v>0</v>
      </c>
      <c r="BY85" s="1" t="s">
        <v>75</v>
      </c>
      <c r="BZ85" s="1">
        <f>195*(1)</f>
        <v>195</v>
      </c>
      <c r="CA85" s="1" t="s">
        <v>1057</v>
      </c>
      <c r="CB85" s="1">
        <f>0*(1)</f>
        <v>0</v>
      </c>
      <c r="CC85" s="1" t="s">
        <v>75</v>
      </c>
      <c r="CD85" s="1">
        <f>0*(1)</f>
        <v>0</v>
      </c>
      <c r="CE85" s="1" t="s">
        <v>258</v>
      </c>
      <c r="CF85" s="1">
        <f>0*(1)</f>
        <v>0</v>
      </c>
      <c r="CG85" s="1" t="s">
        <v>84</v>
      </c>
    </row>
    <row r="86" spans="1:85" x14ac:dyDescent="0.3">
      <c r="A86" s="8" t="s">
        <v>1058</v>
      </c>
      <c r="B86" s="1">
        <f>21070*(1)</f>
        <v>21070</v>
      </c>
      <c r="C86" s="1" t="s">
        <v>1059</v>
      </c>
      <c r="D86" s="1">
        <f>0.077*(1)</f>
        <v>7.6999999999999999E-2</v>
      </c>
      <c r="E86" s="1" t="s">
        <v>104</v>
      </c>
      <c r="F86" s="1">
        <f>161674*(1)</f>
        <v>161674</v>
      </c>
      <c r="G86" s="1" t="s">
        <v>1060</v>
      </c>
      <c r="H86" s="1">
        <f>0.17*(1)</f>
        <v>0.17</v>
      </c>
      <c r="I86" s="1" t="s">
        <v>73</v>
      </c>
      <c r="J86" s="1">
        <f>25144*(1)</f>
        <v>25144</v>
      </c>
      <c r="K86" s="1" t="s">
        <v>993</v>
      </c>
      <c r="L86" s="1">
        <f>0.054*(1)</f>
        <v>5.3999999999999999E-2</v>
      </c>
      <c r="M86" s="1" t="s">
        <v>73</v>
      </c>
      <c r="N86" s="1">
        <f>31243*(1)</f>
        <v>31243</v>
      </c>
      <c r="O86" s="1" t="s">
        <v>1061</v>
      </c>
      <c r="P86" s="1">
        <f>0.06*(1)</f>
        <v>0.06</v>
      </c>
      <c r="Q86" s="1" t="s">
        <v>84</v>
      </c>
      <c r="R86" s="1">
        <f>1061*(1)</f>
        <v>1061</v>
      </c>
      <c r="S86" s="1" t="s">
        <v>333</v>
      </c>
      <c r="T86" s="1">
        <f>0.011*(1)</f>
        <v>1.0999999999999999E-2</v>
      </c>
      <c r="U86" s="1" t="s">
        <v>104</v>
      </c>
      <c r="V86" s="1">
        <f>2264*(1)</f>
        <v>2264</v>
      </c>
      <c r="W86" s="1" t="s">
        <v>816</v>
      </c>
      <c r="X86" s="1">
        <f>0.015*(1)</f>
        <v>1.4999999999999999E-2</v>
      </c>
      <c r="Y86" s="1" t="s">
        <v>84</v>
      </c>
      <c r="Z86" s="1">
        <f>49923*(1)</f>
        <v>49923</v>
      </c>
      <c r="AA86" s="1" t="s">
        <v>299</v>
      </c>
      <c r="AB86" s="1">
        <f>0.058*(1)</f>
        <v>5.8000000000000003E-2</v>
      </c>
      <c r="AC86" s="1" t="s">
        <v>84</v>
      </c>
      <c r="AD86" s="1">
        <f>10522*(1)</f>
        <v>10522</v>
      </c>
      <c r="AE86" s="1" t="s">
        <v>630</v>
      </c>
      <c r="AF86" s="1">
        <f>0.035*(1)</f>
        <v>3.5000000000000003E-2</v>
      </c>
      <c r="AG86" s="1" t="s">
        <v>84</v>
      </c>
      <c r="AH86" s="1">
        <f>110514*(1)</f>
        <v>110514</v>
      </c>
      <c r="AI86" s="1" t="s">
        <v>1062</v>
      </c>
      <c r="AJ86" s="1">
        <f>0.157*(1)</f>
        <v>0.157</v>
      </c>
      <c r="AK86" s="1" t="s">
        <v>104</v>
      </c>
      <c r="AL86" s="1">
        <f>5167*(1)</f>
        <v>5167</v>
      </c>
      <c r="AM86" s="1" t="s">
        <v>271</v>
      </c>
      <c r="AN86" s="1">
        <f>0.04*(1)</f>
        <v>0.04</v>
      </c>
      <c r="AO86" s="1" t="s">
        <v>81</v>
      </c>
      <c r="AP86" s="1">
        <f>47801*(1)</f>
        <v>47801</v>
      </c>
      <c r="AQ86" s="1" t="s">
        <v>364</v>
      </c>
      <c r="AR86" s="1">
        <f>0.124*(1)</f>
        <v>0.124</v>
      </c>
      <c r="AS86" s="1" t="s">
        <v>73</v>
      </c>
      <c r="AT86" s="1">
        <f>215467*(1)</f>
        <v>215467</v>
      </c>
      <c r="AU86" s="1" t="s">
        <v>1063</v>
      </c>
      <c r="AV86" s="1">
        <f>0.25*(1)</f>
        <v>0.25</v>
      </c>
      <c r="AW86" s="1" t="s">
        <v>73</v>
      </c>
      <c r="AX86" s="1">
        <f>35897*(1)</f>
        <v>35897</v>
      </c>
      <c r="AY86" s="1" t="s">
        <v>1064</v>
      </c>
      <c r="AZ86" s="1">
        <f>0.056*(1)</f>
        <v>5.6000000000000001E-2</v>
      </c>
      <c r="BA86" s="1" t="s">
        <v>84</v>
      </c>
      <c r="BB86" s="1">
        <f>53446*(1)</f>
        <v>53446</v>
      </c>
      <c r="BC86" s="1" t="s">
        <v>1065</v>
      </c>
      <c r="BD86" s="1">
        <f>0.105*(1)</f>
        <v>0.105</v>
      </c>
      <c r="BE86" s="1" t="s">
        <v>106</v>
      </c>
      <c r="BF86" s="1">
        <f>11916*(1)</f>
        <v>11916</v>
      </c>
      <c r="BG86" s="1" t="s">
        <v>1066</v>
      </c>
      <c r="BH86" s="1">
        <f>0.018*(1)</f>
        <v>1.7999999999999999E-2</v>
      </c>
      <c r="BI86" s="1" t="s">
        <v>84</v>
      </c>
      <c r="BJ86" s="1">
        <f>27837*(1)</f>
        <v>27837</v>
      </c>
      <c r="BK86" s="1" t="s">
        <v>819</v>
      </c>
      <c r="BL86" s="1">
        <f>0.054*(1)</f>
        <v>5.3999999999999999E-2</v>
      </c>
      <c r="BM86" s="1" t="s">
        <v>73</v>
      </c>
      <c r="BN86" s="1">
        <f>488*(1)</f>
        <v>488</v>
      </c>
      <c r="BO86" s="1" t="s">
        <v>639</v>
      </c>
      <c r="BP86" s="1">
        <f>0.008*(1)</f>
        <v>8.0000000000000002E-3</v>
      </c>
      <c r="BQ86" s="1" t="s">
        <v>81</v>
      </c>
      <c r="BR86" s="1">
        <f>68156*(1)</f>
        <v>68156</v>
      </c>
      <c r="BS86" s="1" t="s">
        <v>742</v>
      </c>
      <c r="BT86" s="1">
        <f>0.197*(1)</f>
        <v>0.19700000000000001</v>
      </c>
      <c r="BU86" s="1" t="s">
        <v>104</v>
      </c>
      <c r="BV86" s="1">
        <f>2293*(1)</f>
        <v>2293</v>
      </c>
      <c r="BW86" s="1" t="s">
        <v>236</v>
      </c>
      <c r="BX86" s="1">
        <f>0.016*(1)</f>
        <v>1.6E-2</v>
      </c>
      <c r="BY86" s="1" t="s">
        <v>73</v>
      </c>
      <c r="BZ86" s="1">
        <f>33302*(1)</f>
        <v>33302</v>
      </c>
      <c r="CA86" s="1" t="s">
        <v>641</v>
      </c>
      <c r="CB86" s="1">
        <f>0.058*(1)</f>
        <v>5.8000000000000003E-2</v>
      </c>
      <c r="CC86" s="1" t="s">
        <v>84</v>
      </c>
      <c r="CD86" s="1">
        <f>3189*(1)</f>
        <v>3189</v>
      </c>
      <c r="CE86" s="1" t="s">
        <v>642</v>
      </c>
      <c r="CF86" s="1">
        <f>0.029*(1)</f>
        <v>2.9000000000000001E-2</v>
      </c>
      <c r="CG86" s="1" t="s">
        <v>106</v>
      </c>
    </row>
    <row r="87" spans="1:85" ht="28.8" x14ac:dyDescent="0.3">
      <c r="A87" s="8" t="s">
        <v>1067</v>
      </c>
      <c r="B87" s="1">
        <f>284*(1)</f>
        <v>284</v>
      </c>
      <c r="C87" s="1" t="s">
        <v>744</v>
      </c>
      <c r="D87" s="1">
        <f>0.001*(1)</f>
        <v>1E-3</v>
      </c>
      <c r="E87" s="1" t="s">
        <v>75</v>
      </c>
      <c r="F87" s="1">
        <f>185*(1)</f>
        <v>185</v>
      </c>
      <c r="G87" s="1" t="s">
        <v>263</v>
      </c>
      <c r="H87" s="1">
        <f>0*(1)</f>
        <v>0</v>
      </c>
      <c r="I87" s="1" t="s">
        <v>75</v>
      </c>
      <c r="J87" s="1">
        <f>0*(1)</f>
        <v>0</v>
      </c>
      <c r="K87" s="1" t="s">
        <v>258</v>
      </c>
      <c r="L87" s="1">
        <f>0*(1)</f>
        <v>0</v>
      </c>
      <c r="M87" s="1" t="s">
        <v>75</v>
      </c>
      <c r="N87" s="1">
        <f>329*(1)</f>
        <v>329</v>
      </c>
      <c r="O87" s="1" t="s">
        <v>745</v>
      </c>
      <c r="P87" s="1">
        <f>0.001*(1)</f>
        <v>1E-3</v>
      </c>
      <c r="Q87" s="1" t="s">
        <v>75</v>
      </c>
      <c r="R87" s="1">
        <f>0*(1)</f>
        <v>0</v>
      </c>
      <c r="S87" s="1" t="s">
        <v>258</v>
      </c>
      <c r="T87" s="1">
        <f>0*(1)</f>
        <v>0</v>
      </c>
      <c r="U87" s="1" t="s">
        <v>84</v>
      </c>
      <c r="V87" s="1">
        <f>157*(1)</f>
        <v>157</v>
      </c>
      <c r="W87" s="1" t="s">
        <v>746</v>
      </c>
      <c r="X87" s="1">
        <f>0.001*(1)</f>
        <v>1E-3</v>
      </c>
      <c r="Y87" s="1" t="s">
        <v>84</v>
      </c>
      <c r="Z87" s="1">
        <f>59*(1)</f>
        <v>59</v>
      </c>
      <c r="AA87" s="1" t="s">
        <v>1068</v>
      </c>
      <c r="AB87" s="1">
        <f>0*(1)</f>
        <v>0</v>
      </c>
      <c r="AC87" s="1" t="s">
        <v>75</v>
      </c>
      <c r="AD87" s="1">
        <f>241*(1)</f>
        <v>241</v>
      </c>
      <c r="AE87" s="1" t="s">
        <v>747</v>
      </c>
      <c r="AF87" s="1">
        <f>0.001*(1)</f>
        <v>1E-3</v>
      </c>
      <c r="AG87" s="1" t="s">
        <v>75</v>
      </c>
      <c r="AH87" s="1">
        <f>0*(1)</f>
        <v>0</v>
      </c>
      <c r="AI87" s="1" t="s">
        <v>258</v>
      </c>
      <c r="AJ87" s="1">
        <f>0*(1)</f>
        <v>0</v>
      </c>
      <c r="AK87" s="1" t="s">
        <v>75</v>
      </c>
      <c r="AL87" s="1">
        <f>190*(1)</f>
        <v>190</v>
      </c>
      <c r="AM87" s="1" t="s">
        <v>258</v>
      </c>
      <c r="AN87" s="1">
        <f>0.001*(1)</f>
        <v>1E-3</v>
      </c>
      <c r="AO87" s="1" t="s">
        <v>84</v>
      </c>
      <c r="AP87" s="1">
        <f>145*(1)</f>
        <v>145</v>
      </c>
      <c r="AQ87" s="1" t="s">
        <v>748</v>
      </c>
      <c r="AR87" s="1">
        <f>0*(1)</f>
        <v>0</v>
      </c>
      <c r="AS87" s="1" t="s">
        <v>75</v>
      </c>
      <c r="AT87" s="1">
        <f>599*(1)</f>
        <v>599</v>
      </c>
      <c r="AU87" s="1" t="s">
        <v>203</v>
      </c>
      <c r="AV87" s="1">
        <f>0.001*(1)</f>
        <v>1E-3</v>
      </c>
      <c r="AW87" s="1" t="s">
        <v>75</v>
      </c>
      <c r="AX87" s="1">
        <f>87*(1)</f>
        <v>87</v>
      </c>
      <c r="AY87" s="1" t="s">
        <v>749</v>
      </c>
      <c r="AZ87" s="1">
        <f>0*(1)</f>
        <v>0</v>
      </c>
      <c r="BA87" s="1" t="s">
        <v>75</v>
      </c>
      <c r="BB87" s="1">
        <f>0*(1)</f>
        <v>0</v>
      </c>
      <c r="BC87" s="1" t="s">
        <v>258</v>
      </c>
      <c r="BD87" s="1">
        <f>0*(1)</f>
        <v>0</v>
      </c>
      <c r="BE87" s="1" t="s">
        <v>75</v>
      </c>
      <c r="BF87" s="1">
        <f>99*(1)</f>
        <v>99</v>
      </c>
      <c r="BG87" s="1" t="s">
        <v>1069</v>
      </c>
      <c r="BH87" s="1">
        <f>0*(1)</f>
        <v>0</v>
      </c>
      <c r="BI87" s="1" t="s">
        <v>75</v>
      </c>
      <c r="BJ87" s="1">
        <f>233*(1)</f>
        <v>233</v>
      </c>
      <c r="BK87" s="1" t="s">
        <v>750</v>
      </c>
      <c r="BL87" s="1">
        <f>0*(1)</f>
        <v>0</v>
      </c>
      <c r="BM87" s="1" t="s">
        <v>75</v>
      </c>
      <c r="BN87" s="1">
        <f>0*(1)</f>
        <v>0</v>
      </c>
      <c r="BO87" s="1" t="s">
        <v>258</v>
      </c>
      <c r="BP87" s="1">
        <f>0*(1)</f>
        <v>0</v>
      </c>
      <c r="BQ87" s="1" t="s">
        <v>73</v>
      </c>
      <c r="BR87" s="1">
        <f>43*(1)</f>
        <v>43</v>
      </c>
      <c r="BS87" s="1" t="s">
        <v>751</v>
      </c>
      <c r="BT87" s="1">
        <f>0*(1)</f>
        <v>0</v>
      </c>
      <c r="BU87" s="1" t="s">
        <v>75</v>
      </c>
      <c r="BV87" s="1">
        <f>0*(1)</f>
        <v>0</v>
      </c>
      <c r="BW87" s="1" t="s">
        <v>258</v>
      </c>
      <c r="BX87" s="1">
        <f>0*(1)</f>
        <v>0</v>
      </c>
      <c r="BY87" s="1" t="s">
        <v>75</v>
      </c>
      <c r="BZ87" s="1">
        <f>69*(1)</f>
        <v>69</v>
      </c>
      <c r="CA87" s="1" t="s">
        <v>228</v>
      </c>
      <c r="CB87" s="1">
        <f>0*(1)</f>
        <v>0</v>
      </c>
      <c r="CC87" s="1" t="s">
        <v>75</v>
      </c>
      <c r="CD87" s="1">
        <f>0*(1)</f>
        <v>0</v>
      </c>
      <c r="CE87" s="1" t="s">
        <v>258</v>
      </c>
      <c r="CF87" s="1">
        <f>0*(1)</f>
        <v>0</v>
      </c>
      <c r="CG87" s="1" t="s">
        <v>84</v>
      </c>
    </row>
    <row r="88" spans="1:85" x14ac:dyDescent="0.3">
      <c r="A88" s="8" t="s">
        <v>1070</v>
      </c>
      <c r="B88" s="1">
        <f>1855*(1)</f>
        <v>1855</v>
      </c>
      <c r="C88" s="1" t="s">
        <v>1071</v>
      </c>
      <c r="D88" s="1">
        <f>0.007*(1)</f>
        <v>7.0000000000000001E-3</v>
      </c>
      <c r="E88" s="1" t="s">
        <v>108</v>
      </c>
      <c r="F88" s="1">
        <f>7067*(1)</f>
        <v>7067</v>
      </c>
      <c r="G88" s="1" t="s">
        <v>1072</v>
      </c>
      <c r="H88" s="1">
        <f>0.007*(1)</f>
        <v>7.0000000000000001E-3</v>
      </c>
      <c r="I88" s="1" t="s">
        <v>73</v>
      </c>
      <c r="J88" s="1">
        <f>3728*(1)</f>
        <v>3728</v>
      </c>
      <c r="K88" s="1" t="s">
        <v>1073</v>
      </c>
      <c r="L88" s="1">
        <f>0.008*(1)</f>
        <v>8.0000000000000002E-3</v>
      </c>
      <c r="M88" s="1" t="s">
        <v>104</v>
      </c>
      <c r="N88" s="1">
        <f>2832*(1)</f>
        <v>2832</v>
      </c>
      <c r="O88" s="1" t="s">
        <v>824</v>
      </c>
      <c r="P88" s="1">
        <f>0.005*(1)</f>
        <v>5.0000000000000001E-3</v>
      </c>
      <c r="Q88" s="1" t="s">
        <v>73</v>
      </c>
      <c r="R88" s="1">
        <f>117*(1)</f>
        <v>117</v>
      </c>
      <c r="S88" s="1" t="s">
        <v>802</v>
      </c>
      <c r="T88" s="1">
        <f>0.001*(1)</f>
        <v>1E-3</v>
      </c>
      <c r="U88" s="1" t="s">
        <v>84</v>
      </c>
      <c r="V88" s="1">
        <f>1993*(1)</f>
        <v>1993</v>
      </c>
      <c r="W88" s="1" t="s">
        <v>1074</v>
      </c>
      <c r="X88" s="1">
        <f>0.013*(1)</f>
        <v>1.2999999999999999E-2</v>
      </c>
      <c r="Y88" s="1" t="s">
        <v>127</v>
      </c>
      <c r="Z88" s="1">
        <f>18630*(1)</f>
        <v>18630</v>
      </c>
      <c r="AA88" s="1" t="s">
        <v>1075</v>
      </c>
      <c r="AB88" s="1">
        <f>0.022*(1)</f>
        <v>2.1999999999999999E-2</v>
      </c>
      <c r="AC88" s="1" t="s">
        <v>104</v>
      </c>
      <c r="AD88" s="1">
        <f>2733*(1)</f>
        <v>2733</v>
      </c>
      <c r="AE88" s="1" t="s">
        <v>1076</v>
      </c>
      <c r="AF88" s="1">
        <f>0.009*(1)</f>
        <v>8.9999999999999993E-3</v>
      </c>
      <c r="AG88" s="1" t="s">
        <v>81</v>
      </c>
      <c r="AH88" s="1">
        <f>6441*(1)</f>
        <v>6441</v>
      </c>
      <c r="AI88" s="1" t="s">
        <v>1077</v>
      </c>
      <c r="AJ88" s="1">
        <f>0.009*(1)</f>
        <v>8.9999999999999993E-3</v>
      </c>
      <c r="AK88" s="1" t="s">
        <v>104</v>
      </c>
      <c r="AL88" s="1">
        <f>684*(1)</f>
        <v>684</v>
      </c>
      <c r="AM88" s="1" t="s">
        <v>1078</v>
      </c>
      <c r="AN88" s="1">
        <f>0.005*(1)</f>
        <v>5.0000000000000001E-3</v>
      </c>
      <c r="AO88" s="1" t="s">
        <v>106</v>
      </c>
      <c r="AP88" s="1">
        <f>1052*(1)</f>
        <v>1052</v>
      </c>
      <c r="AQ88" s="1" t="s">
        <v>222</v>
      </c>
      <c r="AR88" s="1">
        <f>0.003*(1)</f>
        <v>3.0000000000000001E-3</v>
      </c>
      <c r="AS88" s="1" t="s">
        <v>84</v>
      </c>
      <c r="AT88" s="1">
        <f>4985*(1)</f>
        <v>4985</v>
      </c>
      <c r="AU88" s="1" t="s">
        <v>1079</v>
      </c>
      <c r="AV88" s="1">
        <f>0.006*(1)</f>
        <v>6.0000000000000001E-3</v>
      </c>
      <c r="AW88" s="1" t="s">
        <v>73</v>
      </c>
      <c r="AX88" s="1">
        <f>5462*(1)</f>
        <v>5462</v>
      </c>
      <c r="AY88" s="1" t="s">
        <v>1080</v>
      </c>
      <c r="AZ88" s="1">
        <f>0.008*(1)</f>
        <v>8.0000000000000002E-3</v>
      </c>
      <c r="BA88" s="1" t="s">
        <v>104</v>
      </c>
      <c r="BB88" s="1">
        <f>5650*(1)</f>
        <v>5650</v>
      </c>
      <c r="BC88" s="1" t="s">
        <v>1081</v>
      </c>
      <c r="BD88" s="1">
        <f>0.011*(1)</f>
        <v>1.0999999999999999E-2</v>
      </c>
      <c r="BE88" s="1" t="s">
        <v>106</v>
      </c>
      <c r="BF88" s="1">
        <f>1574*(1)</f>
        <v>1574</v>
      </c>
      <c r="BG88" s="1" t="s">
        <v>1061</v>
      </c>
      <c r="BH88" s="1">
        <f>0.002*(1)</f>
        <v>2E-3</v>
      </c>
      <c r="BI88" s="1" t="s">
        <v>84</v>
      </c>
      <c r="BJ88" s="1">
        <f>2306*(1)</f>
        <v>2306</v>
      </c>
      <c r="BK88" s="1" t="s">
        <v>1082</v>
      </c>
      <c r="BL88" s="1">
        <f>0.004*(1)</f>
        <v>4.0000000000000001E-3</v>
      </c>
      <c r="BM88" s="1" t="s">
        <v>84</v>
      </c>
      <c r="BN88" s="1">
        <f>45*(1)</f>
        <v>45</v>
      </c>
      <c r="BO88" s="1" t="s">
        <v>1083</v>
      </c>
      <c r="BP88" s="1">
        <f>0.001*(1)</f>
        <v>1E-3</v>
      </c>
      <c r="BQ88" s="1" t="s">
        <v>75</v>
      </c>
      <c r="BR88" s="1">
        <f>1626*(1)</f>
        <v>1626</v>
      </c>
      <c r="BS88" s="1" t="s">
        <v>1084</v>
      </c>
      <c r="BT88" s="1">
        <f>0.005*(1)</f>
        <v>5.0000000000000001E-3</v>
      </c>
      <c r="BU88" s="1" t="s">
        <v>73</v>
      </c>
      <c r="BV88" s="1">
        <f>1226*(1)</f>
        <v>1226</v>
      </c>
      <c r="BW88" s="1" t="s">
        <v>1085</v>
      </c>
      <c r="BX88" s="1">
        <f>0.008*(1)</f>
        <v>8.0000000000000002E-3</v>
      </c>
      <c r="BY88" s="1" t="s">
        <v>81</v>
      </c>
      <c r="BZ88" s="1">
        <f>6808*(1)</f>
        <v>6808</v>
      </c>
      <c r="CA88" s="1" t="s">
        <v>1086</v>
      </c>
      <c r="CB88" s="1">
        <f>0.012*(1)</f>
        <v>1.2E-2</v>
      </c>
      <c r="CC88" s="1" t="s">
        <v>104</v>
      </c>
      <c r="CD88" s="1">
        <f>334*(1)</f>
        <v>334</v>
      </c>
      <c r="CE88" s="1" t="s">
        <v>1087</v>
      </c>
      <c r="CF88" s="1">
        <f>0.003*(1)</f>
        <v>3.0000000000000001E-3</v>
      </c>
      <c r="CG88" s="1" t="s">
        <v>73</v>
      </c>
    </row>
    <row r="89" spans="1:85" x14ac:dyDescent="0.3">
      <c r="A89" s="8" t="s">
        <v>562</v>
      </c>
      <c r="B89" s="1">
        <f>11197*(1)</f>
        <v>11197</v>
      </c>
      <c r="C89" s="1" t="s">
        <v>1039</v>
      </c>
      <c r="D89" s="1">
        <f>0.041*(1)</f>
        <v>4.1000000000000002E-2</v>
      </c>
      <c r="E89" s="1" t="s">
        <v>79</v>
      </c>
      <c r="F89" s="1">
        <f>22398*(1)</f>
        <v>22398</v>
      </c>
      <c r="G89" s="1" t="s">
        <v>1088</v>
      </c>
      <c r="H89" s="1">
        <f>0.023*(1)</f>
        <v>2.3E-2</v>
      </c>
      <c r="I89" s="1" t="s">
        <v>104</v>
      </c>
      <c r="J89" s="1">
        <f>22538*(1)</f>
        <v>22538</v>
      </c>
      <c r="K89" s="1" t="s">
        <v>1089</v>
      </c>
      <c r="L89" s="1">
        <f>0.049*(1)</f>
        <v>4.9000000000000002E-2</v>
      </c>
      <c r="M89" s="1" t="s">
        <v>108</v>
      </c>
      <c r="N89" s="1">
        <f>19996*(1)</f>
        <v>19996</v>
      </c>
      <c r="O89" s="1" t="s">
        <v>1090</v>
      </c>
      <c r="P89" s="1">
        <f>0.038*(1)</f>
        <v>3.7999999999999999E-2</v>
      </c>
      <c r="Q89" s="1" t="s">
        <v>81</v>
      </c>
      <c r="R89" s="1">
        <f>2922*(1)</f>
        <v>2922</v>
      </c>
      <c r="S89" s="1" t="s">
        <v>1091</v>
      </c>
      <c r="T89" s="1">
        <f>0.031*(1)</f>
        <v>3.1E-2</v>
      </c>
      <c r="U89" s="1" t="s">
        <v>127</v>
      </c>
      <c r="V89" s="1">
        <f>5019*(1)</f>
        <v>5019</v>
      </c>
      <c r="W89" s="1" t="s">
        <v>288</v>
      </c>
      <c r="X89" s="1">
        <f>0.033*(1)</f>
        <v>3.3000000000000002E-2</v>
      </c>
      <c r="Y89" s="1" t="s">
        <v>140</v>
      </c>
      <c r="Z89" s="1">
        <f>34937*(1)</f>
        <v>34937</v>
      </c>
      <c r="AA89" s="1" t="s">
        <v>1092</v>
      </c>
      <c r="AB89" s="1">
        <f>0.041*(1)</f>
        <v>4.1000000000000002E-2</v>
      </c>
      <c r="AC89" s="1" t="s">
        <v>99</v>
      </c>
      <c r="AD89" s="1">
        <f>8873*(1)</f>
        <v>8873</v>
      </c>
      <c r="AE89" s="1" t="s">
        <v>1093</v>
      </c>
      <c r="AF89" s="1">
        <f>0.029*(1)</f>
        <v>2.9000000000000001E-2</v>
      </c>
      <c r="AG89" s="1" t="s">
        <v>99</v>
      </c>
      <c r="AH89" s="1">
        <f>24418*(1)</f>
        <v>24418</v>
      </c>
      <c r="AI89" s="1" t="s">
        <v>1094</v>
      </c>
      <c r="AJ89" s="1">
        <f>0.035*(1)</f>
        <v>3.5000000000000003E-2</v>
      </c>
      <c r="AK89" s="1" t="s">
        <v>81</v>
      </c>
      <c r="AL89" s="1">
        <f>3830*(1)</f>
        <v>3830</v>
      </c>
      <c r="AM89" s="1" t="s">
        <v>207</v>
      </c>
      <c r="AN89" s="1">
        <f>0.029*(1)</f>
        <v>2.9000000000000001E-2</v>
      </c>
      <c r="AO89" s="1" t="s">
        <v>108</v>
      </c>
      <c r="AP89" s="1">
        <f>11327*(1)</f>
        <v>11327</v>
      </c>
      <c r="AQ89" s="1" t="s">
        <v>1095</v>
      </c>
      <c r="AR89" s="1">
        <f>0.029*(1)</f>
        <v>2.9000000000000001E-2</v>
      </c>
      <c r="AS89" s="1" t="s">
        <v>81</v>
      </c>
      <c r="AT89" s="1">
        <f>27496*(1)</f>
        <v>27496</v>
      </c>
      <c r="AU89" s="1" t="s">
        <v>1096</v>
      </c>
      <c r="AV89" s="1">
        <f>0.032*(1)</f>
        <v>3.2000000000000001E-2</v>
      </c>
      <c r="AW89" s="1" t="s">
        <v>81</v>
      </c>
      <c r="AX89" s="1">
        <f>23574*(1)</f>
        <v>23574</v>
      </c>
      <c r="AY89" s="1" t="s">
        <v>1097</v>
      </c>
      <c r="AZ89" s="1">
        <f>0.037*(1)</f>
        <v>3.6999999999999998E-2</v>
      </c>
      <c r="BA89" s="1" t="s">
        <v>99</v>
      </c>
      <c r="BB89" s="1">
        <f>19120*(1)</f>
        <v>19120</v>
      </c>
      <c r="BC89" s="1" t="s">
        <v>1098</v>
      </c>
      <c r="BD89" s="1">
        <f>0.037*(1)</f>
        <v>3.6999999999999998E-2</v>
      </c>
      <c r="BE89" s="1" t="s">
        <v>81</v>
      </c>
      <c r="BF89" s="1">
        <f>14982*(1)</f>
        <v>14982</v>
      </c>
      <c r="BG89" s="1" t="s">
        <v>1099</v>
      </c>
      <c r="BH89" s="1">
        <f>0.023*(1)</f>
        <v>2.3E-2</v>
      </c>
      <c r="BI89" s="1" t="s">
        <v>104</v>
      </c>
      <c r="BJ89" s="1">
        <f>7575*(1)</f>
        <v>7575</v>
      </c>
      <c r="BK89" s="1" t="s">
        <v>1100</v>
      </c>
      <c r="BL89" s="1">
        <f>0.015*(1)</f>
        <v>1.4999999999999999E-2</v>
      </c>
      <c r="BM89" s="1" t="s">
        <v>104</v>
      </c>
      <c r="BN89" s="1">
        <f>2992*(1)</f>
        <v>2992</v>
      </c>
      <c r="BO89" s="1" t="s">
        <v>1101</v>
      </c>
      <c r="BP89" s="1">
        <f>0.046*(1)</f>
        <v>4.5999999999999999E-2</v>
      </c>
      <c r="BQ89" s="1" t="s">
        <v>502</v>
      </c>
      <c r="BR89" s="1">
        <f>9841*(1)</f>
        <v>9841</v>
      </c>
      <c r="BS89" s="1" t="s">
        <v>1102</v>
      </c>
      <c r="BT89" s="1">
        <f>0.028*(1)</f>
        <v>2.8000000000000001E-2</v>
      </c>
      <c r="BU89" s="1" t="s">
        <v>81</v>
      </c>
      <c r="BV89" s="1">
        <f>5983*(1)</f>
        <v>5983</v>
      </c>
      <c r="BW89" s="1" t="s">
        <v>1103</v>
      </c>
      <c r="BX89" s="1">
        <f>0.041*(1)</f>
        <v>4.1000000000000002E-2</v>
      </c>
      <c r="BY89" s="1" t="s">
        <v>140</v>
      </c>
      <c r="BZ89" s="1">
        <f>16985*(1)</f>
        <v>16985</v>
      </c>
      <c r="CA89" s="1" t="s">
        <v>1104</v>
      </c>
      <c r="CB89" s="1">
        <f>0.03*(1)</f>
        <v>0.03</v>
      </c>
      <c r="CC89" s="1" t="s">
        <v>81</v>
      </c>
      <c r="CD89" s="1">
        <f>4917*(1)</f>
        <v>4917</v>
      </c>
      <c r="CE89" s="1" t="s">
        <v>1105</v>
      </c>
      <c r="CF89" s="1">
        <f>0.044*(1)</f>
        <v>4.3999999999999997E-2</v>
      </c>
      <c r="CG89" s="1" t="s">
        <v>273</v>
      </c>
    </row>
    <row r="90" spans="1:85" ht="28.8" x14ac:dyDescent="0.3">
      <c r="A90" s="9" t="s">
        <v>1106</v>
      </c>
      <c r="B90" s="1">
        <f>1237*(1)</f>
        <v>1237</v>
      </c>
      <c r="C90" s="1" t="s">
        <v>1107</v>
      </c>
      <c r="D90" s="1">
        <f>0.004*(1)</f>
        <v>4.0000000000000001E-3</v>
      </c>
      <c r="E90" s="1" t="s">
        <v>84</v>
      </c>
      <c r="F90" s="1">
        <f>6560*(1)</f>
        <v>6560</v>
      </c>
      <c r="G90" s="1" t="s">
        <v>1108</v>
      </c>
      <c r="H90" s="1">
        <f>0.007*(1)</f>
        <v>7.0000000000000001E-3</v>
      </c>
      <c r="I90" s="1" t="s">
        <v>84</v>
      </c>
      <c r="J90" s="1">
        <f>6949*(1)</f>
        <v>6949</v>
      </c>
      <c r="K90" s="1" t="s">
        <v>1109</v>
      </c>
      <c r="L90" s="1">
        <f>0.015*(1)</f>
        <v>1.4999999999999999E-2</v>
      </c>
      <c r="M90" s="1" t="s">
        <v>81</v>
      </c>
      <c r="N90" s="1">
        <f>4639*(1)</f>
        <v>4639</v>
      </c>
      <c r="O90" s="1" t="s">
        <v>315</v>
      </c>
      <c r="P90" s="1">
        <f>0.009*(1)</f>
        <v>8.9999999999999993E-3</v>
      </c>
      <c r="Q90" s="1" t="s">
        <v>106</v>
      </c>
      <c r="R90" s="1">
        <f>589*(1)</f>
        <v>589</v>
      </c>
      <c r="S90" s="1" t="s">
        <v>1110</v>
      </c>
      <c r="T90" s="1">
        <f>0.006*(1)</f>
        <v>6.0000000000000001E-3</v>
      </c>
      <c r="U90" s="1" t="s">
        <v>104</v>
      </c>
      <c r="V90" s="1">
        <f>844*(1)</f>
        <v>844</v>
      </c>
      <c r="W90" s="1" t="s">
        <v>1111</v>
      </c>
      <c r="X90" s="1">
        <f>0.005*(1)</f>
        <v>5.0000000000000001E-3</v>
      </c>
      <c r="Y90" s="1" t="s">
        <v>104</v>
      </c>
      <c r="Z90" s="1">
        <f>17785*(1)</f>
        <v>17785</v>
      </c>
      <c r="AA90" s="1" t="s">
        <v>1112</v>
      </c>
      <c r="AB90" s="1">
        <f>0.021*(1)</f>
        <v>2.1000000000000001E-2</v>
      </c>
      <c r="AC90" s="1" t="s">
        <v>106</v>
      </c>
      <c r="AD90" s="1">
        <f>1753*(1)</f>
        <v>1753</v>
      </c>
      <c r="AE90" s="1" t="s">
        <v>248</v>
      </c>
      <c r="AF90" s="1">
        <f>0.006*(1)</f>
        <v>6.0000000000000001E-3</v>
      </c>
      <c r="AG90" s="1" t="s">
        <v>73</v>
      </c>
      <c r="AH90" s="1">
        <f>10815*(1)</f>
        <v>10815</v>
      </c>
      <c r="AI90" s="1" t="s">
        <v>1113</v>
      </c>
      <c r="AJ90" s="1">
        <f>0.015*(1)</f>
        <v>1.4999999999999999E-2</v>
      </c>
      <c r="AK90" s="1" t="s">
        <v>104</v>
      </c>
      <c r="AL90" s="1">
        <f>1501*(1)</f>
        <v>1501</v>
      </c>
      <c r="AM90" s="1" t="s">
        <v>1114</v>
      </c>
      <c r="AN90" s="1">
        <f>0.012*(1)</f>
        <v>1.2E-2</v>
      </c>
      <c r="AO90" s="1" t="s">
        <v>99</v>
      </c>
      <c r="AP90" s="1">
        <f>2157*(1)</f>
        <v>2157</v>
      </c>
      <c r="AQ90" s="1" t="s">
        <v>1115</v>
      </c>
      <c r="AR90" s="1">
        <f>0.006*(1)</f>
        <v>6.0000000000000001E-3</v>
      </c>
      <c r="AS90" s="1" t="s">
        <v>73</v>
      </c>
      <c r="AT90" s="1">
        <f>10767*(1)</f>
        <v>10767</v>
      </c>
      <c r="AU90" s="1" t="s">
        <v>1116</v>
      </c>
      <c r="AV90" s="1">
        <f>0.013*(1)</f>
        <v>1.2999999999999999E-2</v>
      </c>
      <c r="AW90" s="1" t="s">
        <v>104</v>
      </c>
      <c r="AX90" s="1">
        <f>9872*(1)</f>
        <v>9872</v>
      </c>
      <c r="AY90" s="1" t="s">
        <v>1117</v>
      </c>
      <c r="AZ90" s="1">
        <f>0.015*(1)</f>
        <v>1.4999999999999999E-2</v>
      </c>
      <c r="BA90" s="1" t="s">
        <v>106</v>
      </c>
      <c r="BB90" s="1">
        <f>7063*(1)</f>
        <v>7063</v>
      </c>
      <c r="BC90" s="1" t="s">
        <v>1118</v>
      </c>
      <c r="BD90" s="1">
        <f>0.014*(1)</f>
        <v>1.4E-2</v>
      </c>
      <c r="BE90" s="1" t="s">
        <v>104</v>
      </c>
      <c r="BF90" s="1">
        <f>5328*(1)</f>
        <v>5328</v>
      </c>
      <c r="BG90" s="1" t="s">
        <v>1119</v>
      </c>
      <c r="BH90" s="1">
        <f>0.008*(1)</f>
        <v>8.0000000000000002E-3</v>
      </c>
      <c r="BI90" s="1" t="s">
        <v>73</v>
      </c>
      <c r="BJ90" s="1">
        <f>1570*(1)</f>
        <v>1570</v>
      </c>
      <c r="BK90" s="1" t="s">
        <v>1120</v>
      </c>
      <c r="BL90" s="1">
        <f>0.003*(1)</f>
        <v>3.0000000000000001E-3</v>
      </c>
      <c r="BM90" s="1" t="s">
        <v>75</v>
      </c>
      <c r="BN90" s="1">
        <f>1317*(1)</f>
        <v>1317</v>
      </c>
      <c r="BO90" s="1" t="s">
        <v>1121</v>
      </c>
      <c r="BP90" s="1">
        <f>0.02*(1)</f>
        <v>0.02</v>
      </c>
      <c r="BQ90" s="1" t="s">
        <v>127</v>
      </c>
      <c r="BR90" s="1">
        <f>2454*(1)</f>
        <v>2454</v>
      </c>
      <c r="BS90" s="1" t="s">
        <v>1122</v>
      </c>
      <c r="BT90" s="1">
        <f>0.007*(1)</f>
        <v>7.0000000000000001E-3</v>
      </c>
      <c r="BU90" s="1" t="s">
        <v>104</v>
      </c>
      <c r="BV90" s="1">
        <f>2394*(1)</f>
        <v>2394</v>
      </c>
      <c r="BW90" s="1" t="s">
        <v>1123</v>
      </c>
      <c r="BX90" s="1">
        <f>0.016*(1)</f>
        <v>1.6E-2</v>
      </c>
      <c r="BY90" s="1" t="s">
        <v>99</v>
      </c>
      <c r="BZ90" s="1">
        <f>8248*(1)</f>
        <v>8248</v>
      </c>
      <c r="CA90" s="1" t="s">
        <v>1124</v>
      </c>
      <c r="CB90" s="1">
        <f>0.014*(1)</f>
        <v>1.4E-2</v>
      </c>
      <c r="CC90" s="1" t="s">
        <v>104</v>
      </c>
      <c r="CD90" s="1">
        <f>2349*(1)</f>
        <v>2349</v>
      </c>
      <c r="CE90" s="1" t="s">
        <v>819</v>
      </c>
      <c r="CF90" s="1">
        <f>0.021*(1)</f>
        <v>2.1000000000000001E-2</v>
      </c>
      <c r="CG90" s="1" t="s">
        <v>138</v>
      </c>
    </row>
    <row r="91" spans="1:85" ht="43.2" x14ac:dyDescent="0.3">
      <c r="A91" s="9" t="s">
        <v>1125</v>
      </c>
      <c r="B91" s="1">
        <f>9960*(1)</f>
        <v>9960</v>
      </c>
      <c r="C91" s="1" t="s">
        <v>1126</v>
      </c>
      <c r="D91" s="1">
        <f>0.036*(1)</f>
        <v>3.5999999999999997E-2</v>
      </c>
      <c r="E91" s="1" t="s">
        <v>79</v>
      </c>
      <c r="F91" s="1">
        <f>15838*(1)</f>
        <v>15838</v>
      </c>
      <c r="G91" s="1" t="s">
        <v>1127</v>
      </c>
      <c r="H91" s="1">
        <f>0.017*(1)</f>
        <v>1.7000000000000001E-2</v>
      </c>
      <c r="I91" s="1" t="s">
        <v>73</v>
      </c>
      <c r="J91" s="1">
        <f>15589*(1)</f>
        <v>15589</v>
      </c>
      <c r="K91" s="1" t="s">
        <v>1128</v>
      </c>
      <c r="L91" s="1">
        <f>0.034*(1)</f>
        <v>3.4000000000000002E-2</v>
      </c>
      <c r="M91" s="1" t="s">
        <v>81</v>
      </c>
      <c r="N91" s="1">
        <f>15357*(1)</f>
        <v>15357</v>
      </c>
      <c r="O91" s="1" t="s">
        <v>1129</v>
      </c>
      <c r="P91" s="1">
        <f>0.029*(1)</f>
        <v>2.9000000000000001E-2</v>
      </c>
      <c r="Q91" s="1" t="s">
        <v>106</v>
      </c>
      <c r="R91" s="1">
        <f>2333*(1)</f>
        <v>2333</v>
      </c>
      <c r="S91" s="1" t="s">
        <v>1130</v>
      </c>
      <c r="T91" s="1">
        <f>0.024*(1)</f>
        <v>2.4E-2</v>
      </c>
      <c r="U91" s="1" t="s">
        <v>79</v>
      </c>
      <c r="V91" s="1">
        <f>4175*(1)</f>
        <v>4175</v>
      </c>
      <c r="W91" s="1" t="s">
        <v>872</v>
      </c>
      <c r="X91" s="1">
        <f>0.027*(1)</f>
        <v>2.7E-2</v>
      </c>
      <c r="Y91" s="1" t="s">
        <v>140</v>
      </c>
      <c r="Z91" s="1">
        <f>17152*(1)</f>
        <v>17152</v>
      </c>
      <c r="AA91" s="1" t="s">
        <v>1131</v>
      </c>
      <c r="AB91" s="1">
        <f>0.02*(1)</f>
        <v>0.02</v>
      </c>
      <c r="AC91" s="1" t="s">
        <v>104</v>
      </c>
      <c r="AD91" s="1">
        <f>7120*(1)</f>
        <v>7120</v>
      </c>
      <c r="AE91" s="1" t="s">
        <v>1132</v>
      </c>
      <c r="AF91" s="1">
        <f>0.023*(1)</f>
        <v>2.3E-2</v>
      </c>
      <c r="AG91" s="1" t="s">
        <v>81</v>
      </c>
      <c r="AH91" s="1">
        <f>13603*(1)</f>
        <v>13603</v>
      </c>
      <c r="AI91" s="1" t="s">
        <v>1133</v>
      </c>
      <c r="AJ91" s="1">
        <f>0.019*(1)</f>
        <v>1.9E-2</v>
      </c>
      <c r="AK91" s="1" t="s">
        <v>104</v>
      </c>
      <c r="AL91" s="1">
        <f>2329*(1)</f>
        <v>2329</v>
      </c>
      <c r="AM91" s="1" t="s">
        <v>724</v>
      </c>
      <c r="AN91" s="1">
        <f>0.018*(1)</f>
        <v>1.7999999999999999E-2</v>
      </c>
      <c r="AO91" s="1" t="s">
        <v>106</v>
      </c>
      <c r="AP91" s="1">
        <f>9170*(1)</f>
        <v>9170</v>
      </c>
      <c r="AQ91" s="1" t="s">
        <v>1134</v>
      </c>
      <c r="AR91" s="1">
        <f>0.024*(1)</f>
        <v>2.4E-2</v>
      </c>
      <c r="AS91" s="1" t="s">
        <v>106</v>
      </c>
      <c r="AT91" s="1">
        <f>16729*(1)</f>
        <v>16729</v>
      </c>
      <c r="AU91" s="1" t="s">
        <v>1135</v>
      </c>
      <c r="AV91" s="1">
        <f>0.019*(1)</f>
        <v>1.9E-2</v>
      </c>
      <c r="AW91" s="1" t="s">
        <v>104</v>
      </c>
      <c r="AX91" s="1">
        <f>13702*(1)</f>
        <v>13702</v>
      </c>
      <c r="AY91" s="1" t="s">
        <v>952</v>
      </c>
      <c r="AZ91" s="1">
        <f>0.021*(1)</f>
        <v>2.1000000000000001E-2</v>
      </c>
      <c r="BA91" s="1" t="s">
        <v>106</v>
      </c>
      <c r="BB91" s="1">
        <f>12057*(1)</f>
        <v>12057</v>
      </c>
      <c r="BC91" s="1" t="s">
        <v>1136</v>
      </c>
      <c r="BD91" s="1">
        <f>0.024*(1)</f>
        <v>2.4E-2</v>
      </c>
      <c r="BE91" s="1" t="s">
        <v>81</v>
      </c>
      <c r="BF91" s="1">
        <f>9654*(1)</f>
        <v>9654</v>
      </c>
      <c r="BG91" s="1" t="s">
        <v>1137</v>
      </c>
      <c r="BH91" s="1">
        <f>0.015*(1)</f>
        <v>1.4999999999999999E-2</v>
      </c>
      <c r="BI91" s="1" t="s">
        <v>73</v>
      </c>
      <c r="BJ91" s="1">
        <f>6005*(1)</f>
        <v>6005</v>
      </c>
      <c r="BK91" s="1" t="s">
        <v>1138</v>
      </c>
      <c r="BL91" s="1">
        <f>0.012*(1)</f>
        <v>1.2E-2</v>
      </c>
      <c r="BM91" s="1" t="s">
        <v>73</v>
      </c>
      <c r="BN91" s="1">
        <f>1675*(1)</f>
        <v>1675</v>
      </c>
      <c r="BO91" s="1" t="s">
        <v>1139</v>
      </c>
      <c r="BP91" s="1">
        <f>0.026*(1)</f>
        <v>2.5999999999999999E-2</v>
      </c>
      <c r="BQ91" s="1" t="s">
        <v>79</v>
      </c>
      <c r="BR91" s="1">
        <f>7387*(1)</f>
        <v>7387</v>
      </c>
      <c r="BS91" s="1" t="s">
        <v>1140</v>
      </c>
      <c r="BT91" s="1">
        <f>0.021*(1)</f>
        <v>2.1000000000000001E-2</v>
      </c>
      <c r="BU91" s="1" t="s">
        <v>106</v>
      </c>
      <c r="BV91" s="1">
        <f>3589*(1)</f>
        <v>3589</v>
      </c>
      <c r="BW91" s="1" t="s">
        <v>1141</v>
      </c>
      <c r="BX91" s="1">
        <f>0.025*(1)</f>
        <v>2.5000000000000001E-2</v>
      </c>
      <c r="BY91" s="1" t="s">
        <v>108</v>
      </c>
      <c r="BZ91" s="1">
        <f>8737*(1)</f>
        <v>8737</v>
      </c>
      <c r="CA91" s="1" t="s">
        <v>1093</v>
      </c>
      <c r="CB91" s="1">
        <f>0.015*(1)</f>
        <v>1.4999999999999999E-2</v>
      </c>
      <c r="CC91" s="1" t="s">
        <v>104</v>
      </c>
      <c r="CD91" s="1">
        <f>2568*(1)</f>
        <v>2568</v>
      </c>
      <c r="CE91" s="1" t="s">
        <v>1142</v>
      </c>
      <c r="CF91" s="1">
        <f>0.023*(1)</f>
        <v>2.3E-2</v>
      </c>
      <c r="CG91" s="1" t="s">
        <v>99</v>
      </c>
    </row>
    <row r="92" spans="1:85" x14ac:dyDescent="0.3">
      <c r="A92" s="4" t="s">
        <v>1143</v>
      </c>
      <c r="B92" s="1">
        <f>132214*(1)</f>
        <v>132214</v>
      </c>
      <c r="C92" s="1" t="s">
        <v>1144</v>
      </c>
      <c r="D92" s="1" t="s">
        <v>70</v>
      </c>
      <c r="E92" s="1" t="s">
        <v>70</v>
      </c>
      <c r="F92" s="1">
        <f>369201*(1)</f>
        <v>369201</v>
      </c>
      <c r="G92" s="1" t="s">
        <v>1145</v>
      </c>
      <c r="H92" s="1" t="s">
        <v>70</v>
      </c>
      <c r="I92" s="1" t="s">
        <v>70</v>
      </c>
      <c r="J92" s="1">
        <f>186150*(1)</f>
        <v>186150</v>
      </c>
      <c r="K92" s="1" t="s">
        <v>1085</v>
      </c>
      <c r="L92" s="1" t="s">
        <v>70</v>
      </c>
      <c r="M92" s="1" t="s">
        <v>70</v>
      </c>
      <c r="N92" s="1">
        <f>213475*(1)</f>
        <v>213475</v>
      </c>
      <c r="O92" s="1" t="s">
        <v>1146</v>
      </c>
      <c r="P92" s="1" t="s">
        <v>70</v>
      </c>
      <c r="Q92" s="1" t="s">
        <v>70</v>
      </c>
      <c r="R92" s="1">
        <f>99233*(1)</f>
        <v>99233</v>
      </c>
      <c r="S92" s="1" t="s">
        <v>1147</v>
      </c>
      <c r="T92" s="1" t="s">
        <v>70</v>
      </c>
      <c r="U92" s="1" t="s">
        <v>70</v>
      </c>
      <c r="V92" s="1">
        <f>57204*(1)</f>
        <v>57204</v>
      </c>
      <c r="W92" s="1" t="s">
        <v>422</v>
      </c>
      <c r="X92" s="1" t="s">
        <v>70</v>
      </c>
      <c r="Y92" s="1" t="s">
        <v>70</v>
      </c>
      <c r="Z92" s="1">
        <f>336277*(1)</f>
        <v>336277</v>
      </c>
      <c r="AA92" s="1" t="s">
        <v>1148</v>
      </c>
      <c r="AB92" s="1" t="s">
        <v>70</v>
      </c>
      <c r="AC92" s="1" t="s">
        <v>70</v>
      </c>
      <c r="AD92" s="1">
        <f>117734*(1)</f>
        <v>117734</v>
      </c>
      <c r="AE92" s="1" t="s">
        <v>89</v>
      </c>
      <c r="AF92" s="1" t="s">
        <v>70</v>
      </c>
      <c r="AG92" s="1" t="s">
        <v>70</v>
      </c>
      <c r="AH92" s="1">
        <f>317049*(1)</f>
        <v>317049</v>
      </c>
      <c r="AI92" s="1" t="s">
        <v>1149</v>
      </c>
      <c r="AJ92" s="1" t="s">
        <v>70</v>
      </c>
      <c r="AK92" s="1" t="s">
        <v>70</v>
      </c>
      <c r="AL92" s="1">
        <f>51904*(1)</f>
        <v>51904</v>
      </c>
      <c r="AM92" s="1" t="s">
        <v>1150</v>
      </c>
      <c r="AN92" s="1" t="s">
        <v>70</v>
      </c>
      <c r="AO92" s="1" t="s">
        <v>70</v>
      </c>
      <c r="AP92" s="1">
        <f>150655*(1)</f>
        <v>150655</v>
      </c>
      <c r="AQ92" s="1" t="s">
        <v>1151</v>
      </c>
      <c r="AR92" s="1" t="s">
        <v>70</v>
      </c>
      <c r="AS92" s="1" t="s">
        <v>70</v>
      </c>
      <c r="AT92" s="1">
        <f>317102*(1)</f>
        <v>317102</v>
      </c>
      <c r="AU92" s="1" t="s">
        <v>1152</v>
      </c>
      <c r="AV92" s="1" t="s">
        <v>70</v>
      </c>
      <c r="AW92" s="1" t="s">
        <v>70</v>
      </c>
      <c r="AX92" s="1">
        <f>269883*(1)</f>
        <v>269883</v>
      </c>
      <c r="AY92" s="1" t="s">
        <v>335</v>
      </c>
      <c r="AZ92" s="1" t="s">
        <v>70</v>
      </c>
      <c r="BA92" s="1" t="s">
        <v>70</v>
      </c>
      <c r="BB92" s="1">
        <f>198738*(1)</f>
        <v>198738</v>
      </c>
      <c r="BC92" s="1" t="s">
        <v>1153</v>
      </c>
      <c r="BD92" s="1" t="s">
        <v>70</v>
      </c>
      <c r="BE92" s="1" t="s">
        <v>70</v>
      </c>
      <c r="BF92" s="1">
        <f>295585*(1)</f>
        <v>295585</v>
      </c>
      <c r="BG92" s="1" t="s">
        <v>1154</v>
      </c>
      <c r="BH92" s="1" t="s">
        <v>70</v>
      </c>
      <c r="BI92" s="1" t="s">
        <v>70</v>
      </c>
      <c r="BJ92" s="1">
        <f>185494*(1)</f>
        <v>185494</v>
      </c>
      <c r="BK92" s="1" t="s">
        <v>367</v>
      </c>
      <c r="BL92" s="1" t="s">
        <v>70</v>
      </c>
      <c r="BM92" s="1" t="s">
        <v>70</v>
      </c>
      <c r="BN92" s="1">
        <f>27736*(1)</f>
        <v>27736</v>
      </c>
      <c r="BO92" s="1" t="s">
        <v>1155</v>
      </c>
      <c r="BP92" s="1" t="s">
        <v>70</v>
      </c>
      <c r="BQ92" s="1" t="s">
        <v>70</v>
      </c>
      <c r="BR92" s="1">
        <f>133257*(1)</f>
        <v>133257</v>
      </c>
      <c r="BS92" s="1" t="s">
        <v>995</v>
      </c>
      <c r="BT92" s="1" t="s">
        <v>70</v>
      </c>
      <c r="BU92" s="1" t="s">
        <v>70</v>
      </c>
      <c r="BV92" s="1">
        <f>62865*(1)</f>
        <v>62865</v>
      </c>
      <c r="BW92" s="1" t="s">
        <v>829</v>
      </c>
      <c r="BX92" s="1" t="s">
        <v>70</v>
      </c>
      <c r="BY92" s="1" t="s">
        <v>70</v>
      </c>
      <c r="BZ92" s="1">
        <f>211071*(1)</f>
        <v>211071</v>
      </c>
      <c r="CA92" s="1" t="s">
        <v>1085</v>
      </c>
      <c r="CB92" s="1" t="s">
        <v>70</v>
      </c>
      <c r="CC92" s="1" t="s">
        <v>70</v>
      </c>
      <c r="CD92" s="1">
        <f>46764*(1)</f>
        <v>46764</v>
      </c>
      <c r="CE92" s="1" t="s">
        <v>800</v>
      </c>
      <c r="CF92" s="1" t="s">
        <v>70</v>
      </c>
      <c r="CG92" s="1" t="s">
        <v>70</v>
      </c>
    </row>
    <row r="93" spans="1:85" ht="28.8" x14ac:dyDescent="0.3">
      <c r="A93" s="4" t="s">
        <v>1156</v>
      </c>
      <c r="B93" s="1">
        <f>0*(1)</f>
        <v>0</v>
      </c>
      <c r="C93" s="1">
        <f>0*(1)</f>
        <v>0</v>
      </c>
      <c r="D93" s="1">
        <f>0*(1)</f>
        <v>0</v>
      </c>
      <c r="E93" s="1">
        <f>0*(1)</f>
        <v>0</v>
      </c>
      <c r="F93" s="1">
        <f>0*(1)</f>
        <v>0</v>
      </c>
      <c r="G93" s="1">
        <f>0*(1)</f>
        <v>0</v>
      </c>
      <c r="H93" s="1">
        <f>0*(1)</f>
        <v>0</v>
      </c>
      <c r="I93" s="1">
        <f>0*(1)</f>
        <v>0</v>
      </c>
      <c r="J93" s="1">
        <f>0*(1)</f>
        <v>0</v>
      </c>
      <c r="K93" s="1">
        <f>0*(1)</f>
        <v>0</v>
      </c>
      <c r="L93" s="1">
        <f>0*(1)</f>
        <v>0</v>
      </c>
      <c r="M93" s="1">
        <f>0*(1)</f>
        <v>0</v>
      </c>
      <c r="N93" s="1">
        <f>0*(1)</f>
        <v>0</v>
      </c>
      <c r="O93" s="1">
        <f>0*(1)</f>
        <v>0</v>
      </c>
      <c r="P93" s="1">
        <f>0*(1)</f>
        <v>0</v>
      </c>
      <c r="Q93" s="1">
        <f>0*(1)</f>
        <v>0</v>
      </c>
      <c r="R93" s="1">
        <f>0*(1)</f>
        <v>0</v>
      </c>
      <c r="S93" s="1">
        <f>0*(1)</f>
        <v>0</v>
      </c>
      <c r="T93" s="1">
        <f>0*(1)</f>
        <v>0</v>
      </c>
      <c r="U93" s="1">
        <f>0*(1)</f>
        <v>0</v>
      </c>
      <c r="V93" s="1">
        <f>0*(1)</f>
        <v>0</v>
      </c>
      <c r="W93" s="1">
        <f>0*(1)</f>
        <v>0</v>
      </c>
      <c r="X93" s="1">
        <f>0*(1)</f>
        <v>0</v>
      </c>
      <c r="Y93" s="1">
        <f>0*(1)</f>
        <v>0</v>
      </c>
      <c r="Z93" s="1">
        <f>0*(1)</f>
        <v>0</v>
      </c>
      <c r="AA93" s="1">
        <f>0*(1)</f>
        <v>0</v>
      </c>
      <c r="AB93" s="1">
        <f>0*(1)</f>
        <v>0</v>
      </c>
      <c r="AC93" s="1">
        <f>0*(1)</f>
        <v>0</v>
      </c>
      <c r="AD93" s="1">
        <f>0*(1)</f>
        <v>0</v>
      </c>
      <c r="AE93" s="1">
        <f>0*(1)</f>
        <v>0</v>
      </c>
      <c r="AF93" s="1">
        <f>0*(1)</f>
        <v>0</v>
      </c>
      <c r="AG93" s="1">
        <f>0*(1)</f>
        <v>0</v>
      </c>
      <c r="AH93" s="1">
        <f>0*(1)</f>
        <v>0</v>
      </c>
      <c r="AI93" s="1">
        <f>0*(1)</f>
        <v>0</v>
      </c>
      <c r="AJ93" s="1">
        <f>0*(1)</f>
        <v>0</v>
      </c>
      <c r="AK93" s="1">
        <f>0*(1)</f>
        <v>0</v>
      </c>
      <c r="AL93" s="1">
        <f>0*(1)</f>
        <v>0</v>
      </c>
      <c r="AM93" s="1">
        <f>0*(1)</f>
        <v>0</v>
      </c>
      <c r="AN93" s="1">
        <f>0*(1)</f>
        <v>0</v>
      </c>
      <c r="AO93" s="1">
        <f>0*(1)</f>
        <v>0</v>
      </c>
      <c r="AP93" s="1">
        <f>0*(1)</f>
        <v>0</v>
      </c>
      <c r="AQ93" s="1">
        <f>0*(1)</f>
        <v>0</v>
      </c>
      <c r="AR93" s="1">
        <f>0*(1)</f>
        <v>0</v>
      </c>
      <c r="AS93" s="1">
        <f>0*(1)</f>
        <v>0</v>
      </c>
      <c r="AT93" s="1">
        <f>0*(1)</f>
        <v>0</v>
      </c>
      <c r="AU93" s="1">
        <f>0*(1)</f>
        <v>0</v>
      </c>
      <c r="AV93" s="1">
        <f>0*(1)</f>
        <v>0</v>
      </c>
      <c r="AW93" s="1">
        <f>0*(1)</f>
        <v>0</v>
      </c>
      <c r="AX93" s="1">
        <f>0*(1)</f>
        <v>0</v>
      </c>
      <c r="AY93" s="1">
        <f>0*(1)</f>
        <v>0</v>
      </c>
      <c r="AZ93" s="1">
        <f>0*(1)</f>
        <v>0</v>
      </c>
      <c r="BA93" s="1">
        <f>0*(1)</f>
        <v>0</v>
      </c>
      <c r="BB93" s="1">
        <f>0*(1)</f>
        <v>0</v>
      </c>
      <c r="BC93" s="1">
        <f>0*(1)</f>
        <v>0</v>
      </c>
      <c r="BD93" s="1">
        <f>0*(1)</f>
        <v>0</v>
      </c>
      <c r="BE93" s="1">
        <f>0*(1)</f>
        <v>0</v>
      </c>
      <c r="BF93" s="1">
        <f>0*(1)</f>
        <v>0</v>
      </c>
      <c r="BG93" s="1">
        <f>0*(1)</f>
        <v>0</v>
      </c>
      <c r="BH93" s="1">
        <f>0*(1)</f>
        <v>0</v>
      </c>
      <c r="BI93" s="1">
        <f>0*(1)</f>
        <v>0</v>
      </c>
      <c r="BJ93" s="1">
        <f>0*(1)</f>
        <v>0</v>
      </c>
      <c r="BK93" s="1">
        <f>0*(1)</f>
        <v>0</v>
      </c>
      <c r="BL93" s="1">
        <f>0*(1)</f>
        <v>0</v>
      </c>
      <c r="BM93" s="1">
        <f>0*(1)</f>
        <v>0</v>
      </c>
      <c r="BN93" s="1">
        <f>0*(1)</f>
        <v>0</v>
      </c>
      <c r="BO93" s="1">
        <f>0*(1)</f>
        <v>0</v>
      </c>
      <c r="BP93" s="1">
        <f>0*(1)</f>
        <v>0</v>
      </c>
      <c r="BQ93" s="1">
        <f>0*(1)</f>
        <v>0</v>
      </c>
      <c r="BR93" s="1">
        <f>0*(1)</f>
        <v>0</v>
      </c>
      <c r="BS93" s="1">
        <f>0*(1)</f>
        <v>0</v>
      </c>
      <c r="BT93" s="1">
        <f>0*(1)</f>
        <v>0</v>
      </c>
      <c r="BU93" s="1">
        <f>0*(1)</f>
        <v>0</v>
      </c>
      <c r="BV93" s="1">
        <f>0*(1)</f>
        <v>0</v>
      </c>
      <c r="BW93" s="1">
        <f>0*(1)</f>
        <v>0</v>
      </c>
      <c r="BX93" s="1">
        <f>0*(1)</f>
        <v>0</v>
      </c>
      <c r="BY93" s="1">
        <f>0*(1)</f>
        <v>0</v>
      </c>
      <c r="BZ93" s="1">
        <f>0*(1)</f>
        <v>0</v>
      </c>
      <c r="CA93" s="1">
        <f>0*(1)</f>
        <v>0</v>
      </c>
      <c r="CB93" s="1">
        <f>0*(1)</f>
        <v>0</v>
      </c>
      <c r="CC93" s="1">
        <f>0*(1)</f>
        <v>0</v>
      </c>
      <c r="CD93" s="1">
        <f>0*(1)</f>
        <v>0</v>
      </c>
      <c r="CE93" s="1">
        <f>0*(1)</f>
        <v>0</v>
      </c>
      <c r="CF93" s="1">
        <f>0*(1)</f>
        <v>0</v>
      </c>
      <c r="CG93" s="1">
        <f>0*(1)</f>
        <v>0</v>
      </c>
    </row>
    <row r="94" spans="1:85" x14ac:dyDescent="0.3">
      <c r="A94" s="6" t="s">
        <v>1157</v>
      </c>
      <c r="B94" s="1">
        <f>200081*(1)</f>
        <v>200081</v>
      </c>
      <c r="C94" s="1" t="s">
        <v>1158</v>
      </c>
      <c r="D94" s="1">
        <f>200081*(1)</f>
        <v>200081</v>
      </c>
      <c r="E94" s="1" t="s">
        <v>70</v>
      </c>
      <c r="F94" s="1">
        <f>667007*(1)</f>
        <v>667007</v>
      </c>
      <c r="G94" s="1" t="s">
        <v>1159</v>
      </c>
      <c r="H94" s="1">
        <f>667007*(1)</f>
        <v>667007</v>
      </c>
      <c r="I94" s="1" t="s">
        <v>70</v>
      </c>
      <c r="J94" s="1">
        <f>354104*(1)</f>
        <v>354104</v>
      </c>
      <c r="K94" s="1" t="s">
        <v>1160</v>
      </c>
      <c r="L94" s="1">
        <f>354104*(1)</f>
        <v>354104</v>
      </c>
      <c r="M94" s="1" t="s">
        <v>70</v>
      </c>
      <c r="N94" s="1">
        <f>380318*(1)</f>
        <v>380318</v>
      </c>
      <c r="O94" s="1" t="s">
        <v>1161</v>
      </c>
      <c r="P94" s="1">
        <f>380318*(1)</f>
        <v>380318</v>
      </c>
      <c r="Q94" s="1" t="s">
        <v>70</v>
      </c>
      <c r="R94" s="1">
        <f>78213*(1)</f>
        <v>78213</v>
      </c>
      <c r="S94" s="1" t="s">
        <v>266</v>
      </c>
      <c r="T94" s="1">
        <f>78213*(1)</f>
        <v>78213</v>
      </c>
      <c r="U94" s="1" t="s">
        <v>70</v>
      </c>
      <c r="V94" s="1">
        <f>106734*(1)</f>
        <v>106734</v>
      </c>
      <c r="W94" s="1" t="s">
        <v>1162</v>
      </c>
      <c r="X94" s="1">
        <f>106734*(1)</f>
        <v>106734</v>
      </c>
      <c r="Y94" s="1" t="s">
        <v>70</v>
      </c>
      <c r="Z94" s="1">
        <f>550363*(1)</f>
        <v>550363</v>
      </c>
      <c r="AA94" s="1" t="s">
        <v>1163</v>
      </c>
      <c r="AB94" s="1">
        <f>550363*(1)</f>
        <v>550363</v>
      </c>
      <c r="AC94" s="1" t="s">
        <v>70</v>
      </c>
      <c r="AD94" s="1">
        <f>234044*(1)</f>
        <v>234044</v>
      </c>
      <c r="AE94" s="1" t="s">
        <v>1164</v>
      </c>
      <c r="AF94" s="1">
        <f>234044*(1)</f>
        <v>234044</v>
      </c>
      <c r="AG94" s="1" t="s">
        <v>70</v>
      </c>
      <c r="AH94" s="1">
        <f>428693*(1)</f>
        <v>428693</v>
      </c>
      <c r="AI94" s="1" t="s">
        <v>1165</v>
      </c>
      <c r="AJ94" s="1">
        <f>428693*(1)</f>
        <v>428693</v>
      </c>
      <c r="AK94" s="1" t="s">
        <v>70</v>
      </c>
      <c r="AL94" s="1">
        <f>101781*(1)</f>
        <v>101781</v>
      </c>
      <c r="AM94" s="1" t="s">
        <v>1166</v>
      </c>
      <c r="AN94" s="1">
        <f>101781*(1)</f>
        <v>101781</v>
      </c>
      <c r="AO94" s="1" t="s">
        <v>70</v>
      </c>
      <c r="AP94" s="1">
        <f>268190*(1)</f>
        <v>268190</v>
      </c>
      <c r="AQ94" s="1" t="s">
        <v>1167</v>
      </c>
      <c r="AR94" s="1">
        <f>268190*(1)</f>
        <v>268190</v>
      </c>
      <c r="AS94" s="1" t="s">
        <v>70</v>
      </c>
      <c r="AT94" s="1">
        <f>556550*(1)</f>
        <v>556550</v>
      </c>
      <c r="AU94" s="1" t="s">
        <v>1168</v>
      </c>
      <c r="AV94" s="1">
        <f>556550*(1)</f>
        <v>556550</v>
      </c>
      <c r="AW94" s="1" t="s">
        <v>70</v>
      </c>
      <c r="AX94" s="1">
        <f>486205*(1)</f>
        <v>486205</v>
      </c>
      <c r="AY94" s="1" t="s">
        <v>1169</v>
      </c>
      <c r="AZ94" s="1">
        <f>486205*(1)</f>
        <v>486205</v>
      </c>
      <c r="BA94" s="1" t="s">
        <v>70</v>
      </c>
      <c r="BB94" s="1">
        <f>371394*(1)</f>
        <v>371394</v>
      </c>
      <c r="BC94" s="1" t="s">
        <v>1170</v>
      </c>
      <c r="BD94" s="1">
        <f>371394*(1)</f>
        <v>371394</v>
      </c>
      <c r="BE94" s="1" t="s">
        <v>70</v>
      </c>
      <c r="BF94" s="1">
        <f>468827*(1)</f>
        <v>468827</v>
      </c>
      <c r="BG94" s="1" t="s">
        <v>1171</v>
      </c>
      <c r="BH94" s="1">
        <f>468827*(1)</f>
        <v>468827</v>
      </c>
      <c r="BI94" s="1" t="s">
        <v>70</v>
      </c>
      <c r="BJ94" s="1">
        <f>332155*(1)</f>
        <v>332155</v>
      </c>
      <c r="BK94" s="1" t="s">
        <v>1172</v>
      </c>
      <c r="BL94" s="1">
        <f>332155*(1)</f>
        <v>332155</v>
      </c>
      <c r="BM94" s="1" t="s">
        <v>70</v>
      </c>
      <c r="BN94" s="1">
        <f>50005*(1)</f>
        <v>50005</v>
      </c>
      <c r="BO94" s="1" t="s">
        <v>1028</v>
      </c>
      <c r="BP94" s="1">
        <f>50005*(1)</f>
        <v>50005</v>
      </c>
      <c r="BQ94" s="1" t="s">
        <v>70</v>
      </c>
      <c r="BR94" s="1">
        <f>239173*(1)</f>
        <v>239173</v>
      </c>
      <c r="BS94" s="1" t="s">
        <v>1173</v>
      </c>
      <c r="BT94" s="1">
        <f>239173*(1)</f>
        <v>239173</v>
      </c>
      <c r="BU94" s="1" t="s">
        <v>70</v>
      </c>
      <c r="BV94" s="1">
        <f>114210*(1)</f>
        <v>114210</v>
      </c>
      <c r="BW94" s="1" t="s">
        <v>1174</v>
      </c>
      <c r="BX94" s="1">
        <f>114210*(1)</f>
        <v>114210</v>
      </c>
      <c r="BY94" s="1" t="s">
        <v>70</v>
      </c>
      <c r="BZ94" s="1">
        <f>359498*(1)</f>
        <v>359498</v>
      </c>
      <c r="CA94" s="1" t="s">
        <v>1175</v>
      </c>
      <c r="CB94" s="1">
        <f>359498*(1)</f>
        <v>359498</v>
      </c>
      <c r="CC94" s="1" t="s">
        <v>70</v>
      </c>
      <c r="CD94" s="1">
        <f>85523*(1)</f>
        <v>85523</v>
      </c>
      <c r="CE94" s="1" t="s">
        <v>1176</v>
      </c>
      <c r="CF94" s="1">
        <f>85523*(1)</f>
        <v>85523</v>
      </c>
      <c r="CG94" s="1" t="s">
        <v>70</v>
      </c>
    </row>
    <row r="95" spans="1:85" x14ac:dyDescent="0.3">
      <c r="A95" s="7" t="s">
        <v>71</v>
      </c>
      <c r="B95" s="1">
        <f>97179*(1)</f>
        <v>97179</v>
      </c>
      <c r="C95" s="1" t="s">
        <v>1177</v>
      </c>
      <c r="D95" s="1">
        <f>0.486*(1)</f>
        <v>0.48599999999999999</v>
      </c>
      <c r="E95" s="1" t="s">
        <v>81</v>
      </c>
      <c r="F95" s="1">
        <f>323887*(1)</f>
        <v>323887</v>
      </c>
      <c r="G95" s="1" t="s">
        <v>1178</v>
      </c>
      <c r="H95" s="1">
        <f>0.486*(1)</f>
        <v>0.48599999999999999</v>
      </c>
      <c r="I95" s="1" t="s">
        <v>73</v>
      </c>
      <c r="J95" s="1">
        <f>174248*(1)</f>
        <v>174248</v>
      </c>
      <c r="K95" s="1" t="s">
        <v>726</v>
      </c>
      <c r="L95" s="1">
        <f>0.492*(1)</f>
        <v>0.49199999999999999</v>
      </c>
      <c r="M95" s="1" t="s">
        <v>73</v>
      </c>
      <c r="N95" s="1">
        <f>181604*(1)</f>
        <v>181604</v>
      </c>
      <c r="O95" s="1" t="s">
        <v>596</v>
      </c>
      <c r="P95" s="1">
        <f>0.478*(1)</f>
        <v>0.47799999999999998</v>
      </c>
      <c r="Q95" s="1" t="s">
        <v>73</v>
      </c>
      <c r="R95" s="1">
        <f>38134*(1)</f>
        <v>38134</v>
      </c>
      <c r="S95" s="1" t="s">
        <v>1179</v>
      </c>
      <c r="T95" s="1">
        <f>0.488*(1)</f>
        <v>0.48799999999999999</v>
      </c>
      <c r="U95" s="1" t="s">
        <v>81</v>
      </c>
      <c r="V95" s="1">
        <f>53462*(1)</f>
        <v>53462</v>
      </c>
      <c r="W95" s="1" t="s">
        <v>1013</v>
      </c>
      <c r="X95" s="1">
        <f>0.501*(1)</f>
        <v>0.501</v>
      </c>
      <c r="Y95" s="1" t="s">
        <v>81</v>
      </c>
      <c r="Z95" s="1">
        <f>259289*(1)</f>
        <v>259289</v>
      </c>
      <c r="AA95" s="1" t="s">
        <v>1180</v>
      </c>
      <c r="AB95" s="1">
        <f>0.471*(1)</f>
        <v>0.47099999999999997</v>
      </c>
      <c r="AC95" s="1" t="s">
        <v>104</v>
      </c>
      <c r="AD95" s="1">
        <f>113078*(1)</f>
        <v>113078</v>
      </c>
      <c r="AE95" s="1" t="s">
        <v>1181</v>
      </c>
      <c r="AF95" s="1">
        <f>0.483*(1)</f>
        <v>0.48299999999999998</v>
      </c>
      <c r="AG95" s="1" t="s">
        <v>84</v>
      </c>
      <c r="AH95" s="1">
        <f>211672*(1)</f>
        <v>211672</v>
      </c>
      <c r="AI95" s="1" t="s">
        <v>1182</v>
      </c>
      <c r="AJ95" s="1">
        <f>0.494*(1)</f>
        <v>0.49399999999999999</v>
      </c>
      <c r="AK95" s="1" t="s">
        <v>81</v>
      </c>
      <c r="AL95" s="1">
        <f>50843*(1)</f>
        <v>50843</v>
      </c>
      <c r="AM95" s="1" t="s">
        <v>1183</v>
      </c>
      <c r="AN95" s="1">
        <f>0.5*(1)</f>
        <v>0.5</v>
      </c>
      <c r="AO95" s="1" t="s">
        <v>108</v>
      </c>
      <c r="AP95" s="1">
        <f>128779*(1)</f>
        <v>128779</v>
      </c>
      <c r="AQ95" s="1" t="s">
        <v>1184</v>
      </c>
      <c r="AR95" s="1">
        <f>0.48*(1)</f>
        <v>0.48</v>
      </c>
      <c r="AS95" s="1" t="s">
        <v>81</v>
      </c>
      <c r="AT95" s="1">
        <f>270049*(1)</f>
        <v>270049</v>
      </c>
      <c r="AU95" s="1" t="s">
        <v>1185</v>
      </c>
      <c r="AV95" s="1">
        <f>0.485*(1)</f>
        <v>0.48499999999999999</v>
      </c>
      <c r="AW95" s="1" t="s">
        <v>104</v>
      </c>
      <c r="AX95" s="1">
        <f>236685*(1)</f>
        <v>236685</v>
      </c>
      <c r="AY95" s="1" t="s">
        <v>1186</v>
      </c>
      <c r="AZ95" s="1">
        <f>0.487*(1)</f>
        <v>0.48699999999999999</v>
      </c>
      <c r="BA95" s="1" t="s">
        <v>84</v>
      </c>
      <c r="BB95" s="1">
        <f>181497*(1)</f>
        <v>181497</v>
      </c>
      <c r="BC95" s="1" t="s">
        <v>1187</v>
      </c>
      <c r="BD95" s="1">
        <f>0.489*(1)</f>
        <v>0.48899999999999999</v>
      </c>
      <c r="BE95" s="1" t="s">
        <v>104</v>
      </c>
      <c r="BF95" s="1">
        <f>224974*(1)</f>
        <v>224974</v>
      </c>
      <c r="BG95" s="1" t="s">
        <v>1188</v>
      </c>
      <c r="BH95" s="1">
        <f>0.48*(1)</f>
        <v>0.48</v>
      </c>
      <c r="BI95" s="1" t="s">
        <v>73</v>
      </c>
      <c r="BJ95" s="1">
        <f>161046*(1)</f>
        <v>161046</v>
      </c>
      <c r="BK95" s="1" t="s">
        <v>1189</v>
      </c>
      <c r="BL95" s="1">
        <f>0.485*(1)</f>
        <v>0.48499999999999999</v>
      </c>
      <c r="BM95" s="1" t="s">
        <v>106</v>
      </c>
      <c r="BN95" s="1">
        <f>24385*(1)</f>
        <v>24385</v>
      </c>
      <c r="BO95" s="1" t="s">
        <v>195</v>
      </c>
      <c r="BP95" s="1">
        <f>0.488*(1)</f>
        <v>0.48799999999999999</v>
      </c>
      <c r="BQ95" s="1" t="s">
        <v>106</v>
      </c>
      <c r="BR95" s="1">
        <f>116249*(1)</f>
        <v>116249</v>
      </c>
      <c r="BS95" s="1" t="s">
        <v>1190</v>
      </c>
      <c r="BT95" s="1">
        <f>0.486*(1)</f>
        <v>0.48599999999999999</v>
      </c>
      <c r="BU95" s="1" t="s">
        <v>106</v>
      </c>
      <c r="BV95" s="1">
        <f>57193*(1)</f>
        <v>57193</v>
      </c>
      <c r="BW95" s="1" t="s">
        <v>1191</v>
      </c>
      <c r="BX95" s="1">
        <f>0.501*(1)</f>
        <v>0.501</v>
      </c>
      <c r="BY95" s="1" t="s">
        <v>73</v>
      </c>
      <c r="BZ95" s="1">
        <f>173456*(1)</f>
        <v>173456</v>
      </c>
      <c r="CA95" s="1" t="s">
        <v>1192</v>
      </c>
      <c r="CB95" s="1">
        <f>0.482*(1)</f>
        <v>0.48199999999999998</v>
      </c>
      <c r="CC95" s="1" t="s">
        <v>106</v>
      </c>
      <c r="CD95" s="1">
        <f>42100*(1)</f>
        <v>42100</v>
      </c>
      <c r="CE95" s="1" t="s">
        <v>1193</v>
      </c>
      <c r="CF95" s="1">
        <f>0.492*(1)</f>
        <v>0.49199999999999999</v>
      </c>
      <c r="CG95" s="1" t="s">
        <v>79</v>
      </c>
    </row>
    <row r="96" spans="1:85" x14ac:dyDescent="0.3">
      <c r="A96" s="7" t="s">
        <v>100</v>
      </c>
      <c r="B96" s="1">
        <f>102902*(1)</f>
        <v>102902</v>
      </c>
      <c r="C96" s="1" t="s">
        <v>1194</v>
      </c>
      <c r="D96" s="1">
        <f>0.514*(1)</f>
        <v>0.51400000000000001</v>
      </c>
      <c r="E96" s="1" t="s">
        <v>81</v>
      </c>
      <c r="F96" s="1">
        <f>343120*(1)</f>
        <v>343120</v>
      </c>
      <c r="G96" s="1" t="s">
        <v>1195</v>
      </c>
      <c r="H96" s="1">
        <f>0.514*(1)</f>
        <v>0.51400000000000001</v>
      </c>
      <c r="I96" s="1" t="s">
        <v>73</v>
      </c>
      <c r="J96" s="1">
        <f>179856*(1)</f>
        <v>179856</v>
      </c>
      <c r="K96" s="1" t="s">
        <v>1196</v>
      </c>
      <c r="L96" s="1">
        <f>0.508*(1)</f>
        <v>0.50800000000000001</v>
      </c>
      <c r="M96" s="1" t="s">
        <v>73</v>
      </c>
      <c r="N96" s="1">
        <f>198714*(1)</f>
        <v>198714</v>
      </c>
      <c r="O96" s="1" t="s">
        <v>1197</v>
      </c>
      <c r="P96" s="1">
        <f>0.522*(1)</f>
        <v>0.52200000000000002</v>
      </c>
      <c r="Q96" s="1" t="s">
        <v>73</v>
      </c>
      <c r="R96" s="1">
        <f>40079*(1)</f>
        <v>40079</v>
      </c>
      <c r="S96" s="1" t="s">
        <v>206</v>
      </c>
      <c r="T96" s="1">
        <f>0.512*(1)</f>
        <v>0.51200000000000001</v>
      </c>
      <c r="U96" s="1" t="s">
        <v>81</v>
      </c>
      <c r="V96" s="1">
        <f>53272*(1)</f>
        <v>53272</v>
      </c>
      <c r="W96" s="1" t="s">
        <v>1198</v>
      </c>
      <c r="X96" s="1">
        <f>0.499*(1)</f>
        <v>0.499</v>
      </c>
      <c r="Y96" s="1" t="s">
        <v>81</v>
      </c>
      <c r="Z96" s="1">
        <f>291074*(1)</f>
        <v>291074</v>
      </c>
      <c r="AA96" s="1" t="s">
        <v>1199</v>
      </c>
      <c r="AB96" s="1">
        <f>0.529*(1)</f>
        <v>0.52900000000000003</v>
      </c>
      <c r="AC96" s="1" t="s">
        <v>104</v>
      </c>
      <c r="AD96" s="1">
        <f>120966*(1)</f>
        <v>120966</v>
      </c>
      <c r="AE96" s="1" t="s">
        <v>1200</v>
      </c>
      <c r="AF96" s="1">
        <f>0.517*(1)</f>
        <v>0.51700000000000002</v>
      </c>
      <c r="AG96" s="1" t="s">
        <v>84</v>
      </c>
      <c r="AH96" s="1">
        <f>217021*(1)</f>
        <v>217021</v>
      </c>
      <c r="AI96" s="1" t="s">
        <v>1201</v>
      </c>
      <c r="AJ96" s="1">
        <f>0.506*(1)</f>
        <v>0.50600000000000001</v>
      </c>
      <c r="AK96" s="1" t="s">
        <v>81</v>
      </c>
      <c r="AL96" s="1">
        <f>50938*(1)</f>
        <v>50938</v>
      </c>
      <c r="AM96" s="1" t="s">
        <v>1202</v>
      </c>
      <c r="AN96" s="1">
        <f>0.5*(1)</f>
        <v>0.5</v>
      </c>
      <c r="AO96" s="1" t="s">
        <v>108</v>
      </c>
      <c r="AP96" s="1">
        <f>139411*(1)</f>
        <v>139411</v>
      </c>
      <c r="AQ96" s="1" t="s">
        <v>1203</v>
      </c>
      <c r="AR96" s="1">
        <f>0.52*(1)</f>
        <v>0.52</v>
      </c>
      <c r="AS96" s="1" t="s">
        <v>81</v>
      </c>
      <c r="AT96" s="1">
        <f>286501*(1)</f>
        <v>286501</v>
      </c>
      <c r="AU96" s="1" t="s">
        <v>1204</v>
      </c>
      <c r="AV96" s="1">
        <f>0.515*(1)</f>
        <v>0.51500000000000001</v>
      </c>
      <c r="AW96" s="1" t="s">
        <v>104</v>
      </c>
      <c r="AX96" s="1">
        <f>249520*(1)</f>
        <v>249520</v>
      </c>
      <c r="AY96" s="1" t="s">
        <v>1205</v>
      </c>
      <c r="AZ96" s="1">
        <f>0.513*(1)</f>
        <v>0.51300000000000001</v>
      </c>
      <c r="BA96" s="1" t="s">
        <v>84</v>
      </c>
      <c r="BB96" s="1">
        <f>189897*(1)</f>
        <v>189897</v>
      </c>
      <c r="BC96" s="1" t="s">
        <v>1206</v>
      </c>
      <c r="BD96" s="1">
        <f>0.511*(1)</f>
        <v>0.51100000000000001</v>
      </c>
      <c r="BE96" s="1" t="s">
        <v>104</v>
      </c>
      <c r="BF96" s="1">
        <f>243853*(1)</f>
        <v>243853</v>
      </c>
      <c r="BG96" s="1" t="s">
        <v>1207</v>
      </c>
      <c r="BH96" s="1">
        <f>0.52*(1)</f>
        <v>0.52</v>
      </c>
      <c r="BI96" s="1" t="s">
        <v>73</v>
      </c>
      <c r="BJ96" s="1">
        <f>171109*(1)</f>
        <v>171109</v>
      </c>
      <c r="BK96" s="1" t="s">
        <v>1208</v>
      </c>
      <c r="BL96" s="1">
        <f>0.515*(1)</f>
        <v>0.51500000000000001</v>
      </c>
      <c r="BM96" s="1" t="s">
        <v>106</v>
      </c>
      <c r="BN96" s="1">
        <f>25620*(1)</f>
        <v>25620</v>
      </c>
      <c r="BO96" s="1" t="s">
        <v>487</v>
      </c>
      <c r="BP96" s="1">
        <f>0.512*(1)</f>
        <v>0.51200000000000001</v>
      </c>
      <c r="BQ96" s="1" t="s">
        <v>106</v>
      </c>
      <c r="BR96" s="1">
        <f>122924*(1)</f>
        <v>122924</v>
      </c>
      <c r="BS96" s="1" t="s">
        <v>1209</v>
      </c>
      <c r="BT96" s="1">
        <f>0.514*(1)</f>
        <v>0.51400000000000001</v>
      </c>
      <c r="BU96" s="1" t="s">
        <v>106</v>
      </c>
      <c r="BV96" s="1">
        <f>57017*(1)</f>
        <v>57017</v>
      </c>
      <c r="BW96" s="1" t="s">
        <v>1210</v>
      </c>
      <c r="BX96" s="1">
        <f>0.499*(1)</f>
        <v>0.499</v>
      </c>
      <c r="BY96" s="1" t="s">
        <v>73</v>
      </c>
      <c r="BZ96" s="1">
        <f>186042*(1)</f>
        <v>186042</v>
      </c>
      <c r="CA96" s="1" t="s">
        <v>1211</v>
      </c>
      <c r="CB96" s="1">
        <f>0.518*(1)</f>
        <v>0.51800000000000002</v>
      </c>
      <c r="CC96" s="1" t="s">
        <v>106</v>
      </c>
      <c r="CD96" s="1">
        <f>43423*(1)</f>
        <v>43423</v>
      </c>
      <c r="CE96" s="1" t="s">
        <v>1212</v>
      </c>
      <c r="CF96" s="1">
        <f>0.508*(1)</f>
        <v>0.50800000000000001</v>
      </c>
      <c r="CG96" s="1" t="s">
        <v>79</v>
      </c>
    </row>
  </sheetData>
  <mergeCells count="21">
    <mergeCell ref="CD1:CG1"/>
    <mergeCell ref="BJ1:BM1"/>
    <mergeCell ref="BN1:BQ1"/>
    <mergeCell ref="BR1:BU1"/>
    <mergeCell ref="BV1:BY1"/>
    <mergeCell ref="BZ1:CC1"/>
    <mergeCell ref="AP1:AS1"/>
    <mergeCell ref="AT1:AW1"/>
    <mergeCell ref="AX1:BA1"/>
    <mergeCell ref="BB1:BE1"/>
    <mergeCell ref="BF1:BI1"/>
    <mergeCell ref="V1:Y1"/>
    <mergeCell ref="Z1:AC1"/>
    <mergeCell ref="AD1:AG1"/>
    <mergeCell ref="AH1:AK1"/>
    <mergeCell ref="AL1:AO1"/>
    <mergeCell ref="B1:E1"/>
    <mergeCell ref="F1:I1"/>
    <mergeCell ref="J1:M1"/>
    <mergeCell ref="N1:Q1"/>
    <mergeCell ref="R1:U1"/>
  </mergeCells>
  <printOptions gridLines="1"/>
  <pageMargins left="0.7" right="0.7" top="0.75" bottom="0.75" header="0.3" footer="0.3"/>
  <pageSetup pageOrder="overThenDown" orientation="landscape"/>
  <headerFooter>
    <oddHeader>&amp;LTable: ACSDP1Y2021.DP05</oddHeader>
    <oddFooter>&amp;L&amp;Bdata.census.gov&amp;B | Measuring America's People, Places, and Economy &amp;R&amp;P</oddFooter>
    <evenHeader>&amp;LTable: ACSDP1Y2021.DP05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2022-10-25T05:45:49Z</dcterms:created>
  <dcterms:modified xsi:type="dcterms:W3CDTF">2022-10-25T05:47:12Z</dcterms:modified>
</cp:coreProperties>
</file>