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xr:revisionPtr revIDLastSave="2" documentId="11_A0C94D81A5700396FB77E414D1A412E47BAD92CD" xr6:coauthVersionLast="47" xr6:coauthVersionMax="47" xr10:uidLastSave="{5D69E12F-5DCF-4406-A5B8-2D32C21618C7}"/>
  <bookViews>
    <workbookView xWindow="-108" yWindow="-108" windowWidth="23256" windowHeight="12456" activeTab="1" xr2:uid="{00000000-000D-0000-FFFF-FFFF00000000}"/>
  </bookViews>
  <sheets>
    <sheet name="Information" sheetId="1" r:id="rId1"/>
    <sheet name="Data" sheetId="2" r:id="rId2"/>
  </sheets>
  <definedNames>
    <definedName name="_xlnm.Print_Titles" localSheetId="1">Data!$A:$A,Data!$1:$2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P10" i="2" l="1"/>
  <c r="AN10" i="2"/>
  <c r="AL10" i="2"/>
  <c r="AJ10" i="2"/>
  <c r="AH10" i="2"/>
  <c r="AF10" i="2"/>
  <c r="AD10" i="2"/>
  <c r="AB10" i="2"/>
  <c r="Z10" i="2"/>
  <c r="X10" i="2"/>
  <c r="V10" i="2"/>
  <c r="T10" i="2"/>
  <c r="R10" i="2"/>
  <c r="P10" i="2"/>
  <c r="N10" i="2"/>
  <c r="L10" i="2"/>
  <c r="J10" i="2"/>
  <c r="H10" i="2"/>
  <c r="F10" i="2"/>
  <c r="D10" i="2"/>
  <c r="B10" i="2"/>
  <c r="AP9" i="2"/>
  <c r="AN9" i="2"/>
  <c r="AL9" i="2"/>
  <c r="AJ9" i="2"/>
  <c r="AH9" i="2"/>
  <c r="AF9" i="2"/>
  <c r="AD9" i="2"/>
  <c r="AB9" i="2"/>
  <c r="Z9" i="2"/>
  <c r="X9" i="2"/>
  <c r="V9" i="2"/>
  <c r="T9" i="2"/>
  <c r="R9" i="2"/>
  <c r="P9" i="2"/>
  <c r="N9" i="2"/>
  <c r="L9" i="2"/>
  <c r="J9" i="2"/>
  <c r="H9" i="2"/>
  <c r="F9" i="2"/>
  <c r="D9" i="2"/>
  <c r="B9" i="2"/>
  <c r="AP8" i="2"/>
  <c r="AN8" i="2"/>
  <c r="AL8" i="2"/>
  <c r="AJ8" i="2"/>
  <c r="AH8" i="2"/>
  <c r="AF8" i="2"/>
  <c r="AD8" i="2"/>
  <c r="AB8" i="2"/>
  <c r="Z8" i="2"/>
  <c r="X8" i="2"/>
  <c r="V8" i="2"/>
  <c r="T8" i="2"/>
  <c r="R8" i="2"/>
  <c r="P8" i="2"/>
  <c r="N8" i="2"/>
  <c r="L8" i="2"/>
  <c r="J8" i="2"/>
  <c r="H8" i="2"/>
  <c r="F8" i="2"/>
  <c r="D8" i="2"/>
  <c r="B8" i="2"/>
  <c r="AP7" i="2"/>
  <c r="AN7" i="2"/>
  <c r="AL7" i="2"/>
  <c r="AJ7" i="2"/>
  <c r="AH7" i="2"/>
  <c r="AF7" i="2"/>
  <c r="AD7" i="2"/>
  <c r="AB7" i="2"/>
  <c r="Z7" i="2"/>
  <c r="X7" i="2"/>
  <c r="V7" i="2"/>
  <c r="T7" i="2"/>
  <c r="R7" i="2"/>
  <c r="P7" i="2"/>
  <c r="N7" i="2"/>
  <c r="L7" i="2"/>
  <c r="J7" i="2"/>
  <c r="H7" i="2"/>
  <c r="F7" i="2"/>
  <c r="D7" i="2"/>
  <c r="B7" i="2"/>
  <c r="AP6" i="2"/>
  <c r="AN6" i="2"/>
  <c r="AL6" i="2"/>
  <c r="AJ6" i="2"/>
  <c r="AH6" i="2"/>
  <c r="AF6" i="2"/>
  <c r="AD6" i="2"/>
  <c r="AB6" i="2"/>
  <c r="Z6" i="2"/>
  <c r="X6" i="2"/>
  <c r="V6" i="2"/>
  <c r="T6" i="2"/>
  <c r="R6" i="2"/>
  <c r="P6" i="2"/>
  <c r="N6" i="2"/>
  <c r="L6" i="2"/>
  <c r="J6" i="2"/>
  <c r="H6" i="2"/>
  <c r="F6" i="2"/>
  <c r="D6" i="2"/>
  <c r="B6" i="2"/>
  <c r="AP5" i="2"/>
  <c r="AN5" i="2"/>
  <c r="AL5" i="2"/>
  <c r="AJ5" i="2"/>
  <c r="AH5" i="2"/>
  <c r="AF5" i="2"/>
  <c r="AD5" i="2"/>
  <c r="AB5" i="2"/>
  <c r="Z5" i="2"/>
  <c r="X5" i="2"/>
  <c r="V5" i="2"/>
  <c r="T5" i="2"/>
  <c r="R5" i="2"/>
  <c r="P5" i="2"/>
  <c r="N5" i="2"/>
  <c r="L5" i="2"/>
  <c r="J5" i="2"/>
  <c r="H5" i="2"/>
  <c r="F5" i="2"/>
  <c r="D5" i="2"/>
  <c r="B5" i="2"/>
  <c r="AP4" i="2"/>
  <c r="AN4" i="2"/>
  <c r="AL4" i="2"/>
  <c r="AJ4" i="2"/>
  <c r="AH4" i="2"/>
  <c r="AF4" i="2"/>
  <c r="AD4" i="2"/>
  <c r="AB4" i="2"/>
  <c r="Z4" i="2"/>
  <c r="X4" i="2"/>
  <c r="V4" i="2"/>
  <c r="T4" i="2"/>
  <c r="R4" i="2"/>
  <c r="P4" i="2"/>
  <c r="N4" i="2"/>
  <c r="L4" i="2"/>
  <c r="J4" i="2"/>
  <c r="H4" i="2"/>
  <c r="F4" i="2"/>
  <c r="D4" i="2"/>
  <c r="B4" i="2"/>
  <c r="AP3" i="2"/>
  <c r="AN3" i="2"/>
  <c r="AL3" i="2"/>
  <c r="AJ3" i="2"/>
  <c r="AH3" i="2"/>
  <c r="AF3" i="2"/>
  <c r="AD3" i="2"/>
  <c r="AB3" i="2"/>
  <c r="Z3" i="2"/>
  <c r="X3" i="2"/>
  <c r="V3" i="2"/>
  <c r="T3" i="2"/>
  <c r="R3" i="2"/>
  <c r="P3" i="2"/>
  <c r="N3" i="2"/>
  <c r="L3" i="2"/>
  <c r="J3" i="2"/>
  <c r="H3" i="2"/>
  <c r="F3" i="2"/>
  <c r="D3" i="2"/>
  <c r="B3" i="2"/>
  <c r="A39" i="1"/>
</calcChain>
</file>

<file path=xl/sharedStrings.xml><?xml version="1.0" encoding="utf-8"?>
<sst xmlns="http://schemas.openxmlformats.org/spreadsheetml/2006/main" count="293" uniqueCount="238">
  <si>
    <t>CITIZEN, VOTING-AGE POPULATION BY EDUCATIONAL ATTAINMENT</t>
  </si>
  <si>
    <t>Note: The table shown may have been modified by user selections. Some information may be missing.</t>
  </si>
  <si>
    <t>DATA NOTES</t>
  </si>
  <si>
    <t/>
  </si>
  <si>
    <t>TABLE ID:</t>
  </si>
  <si>
    <t>B29002</t>
  </si>
  <si>
    <t>SURVEY/PROGRAM:</t>
  </si>
  <si>
    <t>American Community Survey</t>
  </si>
  <si>
    <t>VINTAGE:</t>
  </si>
  <si>
    <t>2021</t>
  </si>
  <si>
    <t>DATASET:</t>
  </si>
  <si>
    <t>ACSDT1Y2021</t>
  </si>
  <si>
    <t>PRODUCT:</t>
  </si>
  <si>
    <t>ACS 1-Year Estimates Detailed Tables</t>
  </si>
  <si>
    <t>UNIVERSE:</t>
  </si>
  <si>
    <t>Citizens 18 years and over</t>
  </si>
  <si>
    <t>FTP URL:</t>
  </si>
  <si>
    <t>None</t>
  </si>
  <si>
    <t>API URL:</t>
  </si>
  <si>
    <t>https://api.census.gov/data/2021/acs/acs1</t>
  </si>
  <si>
    <t>USER SELECTIONS</t>
  </si>
  <si>
    <t>GEOS</t>
  </si>
  <si>
    <t>All Counties within New Jersey</t>
  </si>
  <si>
    <t>TOPICS</t>
  </si>
  <si>
    <t>Education</t>
  </si>
  <si>
    <t>EXCLUDED COLUMNS</t>
  </si>
  <si>
    <t>APPLIED FILTERS</t>
  </si>
  <si>
    <t>APPLIED SORTS</t>
  </si>
  <si>
    <t>PIVOT &amp; GROUPING</t>
  </si>
  <si>
    <t>WEB ADDRESS</t>
  </si>
  <si>
    <t>https://data.census.gov/cedsci/table?t=Education&amp;g=0400000US34%240500000&amp;tid=ACSDT1Y2021.B29002</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</si>
  <si>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</si>
  <si>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</si>
  <si>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</si>
  <si>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2021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</si>
  <si>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</si>
  <si>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The 2021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</si>
  <si>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</si>
  <si>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</si>
  <si>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</si>
  <si>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Atlantic County, New Jersey</t>
  </si>
  <si>
    <t>Bergen County, New Jersey</t>
  </si>
  <si>
    <t>Burlington County, New Jersey</t>
  </si>
  <si>
    <t>Camden County, New Jersey</t>
  </si>
  <si>
    <t>Cape May County, New Jersey</t>
  </si>
  <si>
    <t>Cumberland County, New Jersey</t>
  </si>
  <si>
    <t>Essex County, New Jersey</t>
  </si>
  <si>
    <t>Gloucester County, New Jersey</t>
  </si>
  <si>
    <t>Hudson County, New Jersey</t>
  </si>
  <si>
    <t>Hunterdon County, New Jersey</t>
  </si>
  <si>
    <t>Mercer County, New Jersey</t>
  </si>
  <si>
    <t>Middlesex County, New Jersey</t>
  </si>
  <si>
    <t>Monmouth County, New Jersey</t>
  </si>
  <si>
    <t>Morris County, New Jersey</t>
  </si>
  <si>
    <t>Ocean County, New Jersey</t>
  </si>
  <si>
    <t>Passaic County, New Jersey</t>
  </si>
  <si>
    <t>Salem County, New Jersey</t>
  </si>
  <si>
    <t>Somerset County, New Jersey</t>
  </si>
  <si>
    <t>Sussex County, New Jersey</t>
  </si>
  <si>
    <t>Union County, New Jersey</t>
  </si>
  <si>
    <t>Warren County, New Jersey</t>
  </si>
  <si>
    <t>Label</t>
  </si>
  <si>
    <t>Estimate</t>
  </si>
  <si>
    <t>Margin of Error</t>
  </si>
  <si>
    <t>Total:</t>
  </si>
  <si>
    <t>±3,249</t>
  </si>
  <si>
    <t>±6,691</t>
  </si>
  <si>
    <t>±2,633</t>
  </si>
  <si>
    <t>±3,684</t>
  </si>
  <si>
    <t>±777</t>
  </si>
  <si>
    <t>±2,299</t>
  </si>
  <si>
    <t>±7,267</t>
  </si>
  <si>
    <t>±1,259</t>
  </si>
  <si>
    <t>±7,344</t>
  </si>
  <si>
    <t>±1,253</t>
  </si>
  <si>
    <t>±3,652</t>
  </si>
  <si>
    <t>±7,084</t>
  </si>
  <si>
    <t>±3,906</t>
  </si>
  <si>
    <t>±3,989</t>
  </si>
  <si>
    <t>±3,363</t>
  </si>
  <si>
    <t>±5,472</t>
  </si>
  <si>
    <t>±621</t>
  </si>
  <si>
    <t>±3,149</t>
  </si>
  <si>
    <t>±851</t>
  </si>
  <si>
    <t>±5,797</t>
  </si>
  <si>
    <t>±1,174</t>
  </si>
  <si>
    <t>Less than 9th grade</t>
  </si>
  <si>
    <t>±1,348</t>
  </si>
  <si>
    <t>±3,229</t>
  </si>
  <si>
    <t>±1,427</t>
  </si>
  <si>
    <t>±1,593</t>
  </si>
  <si>
    <t>±726</t>
  </si>
  <si>
    <t>±1,321</t>
  </si>
  <si>
    <t>±2,925</t>
  </si>
  <si>
    <t>±858</t>
  </si>
  <si>
    <t>±3,364</t>
  </si>
  <si>
    <t>±558</t>
  </si>
  <si>
    <t>±1,434</t>
  </si>
  <si>
    <t>±2,522</t>
  </si>
  <si>
    <t>±1,616</t>
  </si>
  <si>
    <t>±1,664</t>
  </si>
  <si>
    <t>±1,967</t>
  </si>
  <si>
    <t>±3,052</t>
  </si>
  <si>
    <t>±654</t>
  </si>
  <si>
    <t>±1,006</t>
  </si>
  <si>
    <t>±564</t>
  </si>
  <si>
    <t>±2,404</t>
  </si>
  <si>
    <t>±413</t>
  </si>
  <si>
    <t>9th to 12th grade, no diploma</t>
  </si>
  <si>
    <t>±2,466</t>
  </si>
  <si>
    <t>±2,577</t>
  </si>
  <si>
    <t>±1,808</t>
  </si>
  <si>
    <t>±2,895</t>
  </si>
  <si>
    <t>±950</t>
  </si>
  <si>
    <t>±2,019</t>
  </si>
  <si>
    <t>±3,833</t>
  </si>
  <si>
    <t>±1,975</t>
  </si>
  <si>
    <t>±2,998</t>
  </si>
  <si>
    <t>±783</t>
  </si>
  <si>
    <t>±2,667</t>
  </si>
  <si>
    <t>±2,571</t>
  </si>
  <si>
    <t>±2,379</t>
  </si>
  <si>
    <t>±1,744</t>
  </si>
  <si>
    <t>±2,704</t>
  </si>
  <si>
    <t>±2,753</t>
  </si>
  <si>
    <t>±986</t>
  </si>
  <si>
    <t>±1,507</t>
  </si>
  <si>
    <t>±1,133</t>
  </si>
  <si>
    <t>±2,572</t>
  </si>
  <si>
    <t>±1,093</t>
  </si>
  <si>
    <t>High school graduate (includes equivalency)</t>
  </si>
  <si>
    <t>±4,685</t>
  </si>
  <si>
    <t>±6,324</t>
  </si>
  <si>
    <t>±4,843</t>
  </si>
  <si>
    <t>±6,254</t>
  </si>
  <si>
    <t>±2,959</t>
  </si>
  <si>
    <t>±3,467</t>
  </si>
  <si>
    <t>±7,356</t>
  </si>
  <si>
    <t>±4,020</t>
  </si>
  <si>
    <t>±5,975</t>
  </si>
  <si>
    <t>±2,575</t>
  </si>
  <si>
    <t>±5,910</t>
  </si>
  <si>
    <t>±5,595</t>
  </si>
  <si>
    <t>±5,859</t>
  </si>
  <si>
    <t>±5,013</t>
  </si>
  <si>
    <t>±6,873</t>
  </si>
  <si>
    <t>±5,783</t>
  </si>
  <si>
    <t>±1,605</t>
  </si>
  <si>
    <t>±3,568</t>
  </si>
  <si>
    <t>±2,391</t>
  </si>
  <si>
    <t>±4,906</t>
  </si>
  <si>
    <t>±2,336</t>
  </si>
  <si>
    <t>Some college, no degree</t>
  </si>
  <si>
    <t>±3,721</t>
  </si>
  <si>
    <t>±6,454</t>
  </si>
  <si>
    <t>±4,363</t>
  </si>
  <si>
    <t>±2,856</t>
  </si>
  <si>
    <t>±2,847</t>
  </si>
  <si>
    <t>±6,144</t>
  </si>
  <si>
    <t>±3,355</t>
  </si>
  <si>
    <t>±4,922</t>
  </si>
  <si>
    <t>±2,032</t>
  </si>
  <si>
    <t>±3,986</t>
  </si>
  <si>
    <t>±6,279</t>
  </si>
  <si>
    <t>±4,864</t>
  </si>
  <si>
    <t>±3,820</t>
  </si>
  <si>
    <t>±5,459</t>
  </si>
  <si>
    <t>±4,418</t>
  </si>
  <si>
    <t>±1,073</t>
  </si>
  <si>
    <t>±3,841</t>
  </si>
  <si>
    <t>±2,188</t>
  </si>
  <si>
    <t>±4,366</t>
  </si>
  <si>
    <t>±2,037</t>
  </si>
  <si>
    <t>Associate's degree</t>
  </si>
  <si>
    <t>±2,172</t>
  </si>
  <si>
    <t>±4,279</t>
  </si>
  <si>
    <t>±2,778</t>
  </si>
  <si>
    <t>±3,332</t>
  </si>
  <si>
    <t>±1,920</t>
  </si>
  <si>
    <t>±4,039</t>
  </si>
  <si>
    <t>±2,195</t>
  </si>
  <si>
    <t>±3,581</t>
  </si>
  <si>
    <t>±1,626</t>
  </si>
  <si>
    <t>±2,443</t>
  </si>
  <si>
    <t>±3,705</t>
  </si>
  <si>
    <t>±3,256</t>
  </si>
  <si>
    <t>±2,276</t>
  </si>
  <si>
    <t>±3,045</t>
  </si>
  <si>
    <t>±2,771</t>
  </si>
  <si>
    <t>±967</t>
  </si>
  <si>
    <t>±1,694</t>
  </si>
  <si>
    <t>±1,658</t>
  </si>
  <si>
    <t>±2,871</t>
  </si>
  <si>
    <t>±1,013</t>
  </si>
  <si>
    <t>Bachelor's degree</t>
  </si>
  <si>
    <t>±3,214</t>
  </si>
  <si>
    <t>±7,860</t>
  </si>
  <si>
    <t>±4,558</t>
  </si>
  <si>
    <t>±4,502</t>
  </si>
  <si>
    <t>±2,239</t>
  </si>
  <si>
    <t>±2,315</t>
  </si>
  <si>
    <t>±6,525</t>
  </si>
  <si>
    <t>±3,474</t>
  </si>
  <si>
    <t>±6,651</t>
  </si>
  <si>
    <t>±2,454</t>
  </si>
  <si>
    <t>±4,862</t>
  </si>
  <si>
    <t>±6,586</t>
  </si>
  <si>
    <t>±6,226</t>
  </si>
  <si>
    <t>±5,485</t>
  </si>
  <si>
    <t>±5,782</t>
  </si>
  <si>
    <t>±4,491</t>
  </si>
  <si>
    <t>±1,150</t>
  </si>
  <si>
    <t>±3,810</t>
  </si>
  <si>
    <t>±2,192</t>
  </si>
  <si>
    <t>±4,747</t>
  </si>
  <si>
    <t>±2,175</t>
  </si>
  <si>
    <t>Graduate or professional degree</t>
  </si>
  <si>
    <t>±2,536</t>
  </si>
  <si>
    <t>±6,115</t>
  </si>
  <si>
    <t>±3,407</t>
  </si>
  <si>
    <t>±4,030</t>
  </si>
  <si>
    <t>±1,733</t>
  </si>
  <si>
    <t>±1,428</t>
  </si>
  <si>
    <t>±4,831</t>
  </si>
  <si>
    <t>±2,492</t>
  </si>
  <si>
    <t>±4,799</t>
  </si>
  <si>
    <t>±2,499</t>
  </si>
  <si>
    <t>±3,814</t>
  </si>
  <si>
    <t>±4,171</t>
  </si>
  <si>
    <t>±4,943</t>
  </si>
  <si>
    <t>±4,861</t>
  </si>
  <si>
    <t>±4,145</t>
  </si>
  <si>
    <t>±3,000</t>
  </si>
  <si>
    <t>±861</t>
  </si>
  <si>
    <t>±3,720</t>
  </si>
  <si>
    <t>±1,828</t>
  </si>
  <si>
    <t>±3,700</t>
  </si>
  <si>
    <t>±1,833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</si>
</sst>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name val="Calibri"/>
    </font>
    <font>
      <b/>
      <sz val="11"/>
      <name val="Calibri"/>
    </font>
  </fonts>
  <fills count="2">
    <fill>
      <patternFill patternType="none"/>
    </fill>
    <fill>
      <patternFill patternType="gray125"/>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xf>
    <xf numFmtId="0" fontId="0" fillId="0" borderId="0" xfId="0" applyAlignment="1">
      <alignment wrapText="1" indent="1"/>
    </xf>
    <xf numFmtId="0" fontId="1" fillId="0" borderId="1" xfId="0" applyFont="1" applyBorder="1" applyAlignment="1">
      <alignment horizontal="center" vertical="center" wrapText="1"/>
    </xf>
    <xf numFmtId="0" fontId="0" fillId="0" borderId="0" xfId="0" applyAlignment="1">
      <alignment vertical="top" wrapText="1"/>
    </xf>
    <xf numFmtId="0" fontId="2" fillId="0" borderId="0" xfId="0" applyFont="1"/>
    <xf numFmtId="0" fontId="2" fillId="0" borderId="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cedsci"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cedsci"/>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39"/>
  <sheetViews>
    <sheetView topLeftCell="A37" workbookViewId="0">
      <selection activeCell="A39" sqref="A39"/>
    </sheetView>
  </sheetViews>
  <sheetFormatPr defaultRowHeight="14.4" x14ac:dyDescent="0.3"/>
  <cols>
    <col min="1" max="1" width="25" style="1" customWidth="1"/>
    <col min="2" max="2" width="80" style="1" customWidth="1"/>
    <col min="3" max="3" width="20" customWidth="1"/>
  </cols>
  <sheetData>
    <row r="1" spans="1:3" ht="48" customHeight="1" x14ac:dyDescent="0.3">
      <c r="A1" s="7" t="s">
        <v>0</v>
      </c>
      <c r="B1" s="7"/>
      <c r="C1" s="2"/>
    </row>
    <row r="2" spans="1:3" x14ac:dyDescent="0.3">
      <c r="A2" s="8"/>
      <c r="B2" s="8"/>
      <c r="C2" s="8"/>
    </row>
    <row r="3" spans="1:3" x14ac:dyDescent="0.3">
      <c r="A3" s="9" t="s">
        <v>1</v>
      </c>
      <c r="B3" s="9"/>
      <c r="C3" s="9"/>
    </row>
    <row r="4" spans="1:3" x14ac:dyDescent="0.3">
      <c r="A4" s="8"/>
      <c r="B4" s="8"/>
      <c r="C4" s="8"/>
    </row>
    <row r="5" spans="1:3" ht="12.75" customHeight="1" x14ac:dyDescent="0.3">
      <c r="A5" s="3" t="s">
        <v>2</v>
      </c>
      <c r="B5" s="8" t="s">
        <v>3</v>
      </c>
      <c r="C5" s="8"/>
    </row>
    <row r="6" spans="1:3" ht="12.75" customHeight="1" x14ac:dyDescent="0.3">
      <c r="A6" s="1" t="s">
        <v>4</v>
      </c>
      <c r="B6" s="8" t="s">
        <v>5</v>
      </c>
      <c r="C6" s="8"/>
    </row>
    <row r="7" spans="1:3" ht="12.75" customHeight="1" x14ac:dyDescent="0.3">
      <c r="A7" s="1" t="s">
        <v>6</v>
      </c>
      <c r="B7" s="8" t="s">
        <v>7</v>
      </c>
      <c r="C7" s="8"/>
    </row>
    <row r="8" spans="1:3" ht="12.75" customHeight="1" x14ac:dyDescent="0.3">
      <c r="A8" s="1" t="s">
        <v>8</v>
      </c>
      <c r="B8" s="8" t="s">
        <v>9</v>
      </c>
      <c r="C8" s="8"/>
    </row>
    <row r="9" spans="1:3" ht="12.75" customHeight="1" x14ac:dyDescent="0.3">
      <c r="A9" s="1" t="s">
        <v>10</v>
      </c>
      <c r="B9" s="8" t="s">
        <v>11</v>
      </c>
      <c r="C9" s="8"/>
    </row>
    <row r="10" spans="1:3" ht="12.75" customHeight="1" x14ac:dyDescent="0.3">
      <c r="A10" s="1" t="s">
        <v>12</v>
      </c>
      <c r="B10" s="8" t="s">
        <v>13</v>
      </c>
      <c r="C10" s="8"/>
    </row>
    <row r="11" spans="1:3" ht="12.75" customHeight="1" x14ac:dyDescent="0.3">
      <c r="A11" s="1" t="s">
        <v>14</v>
      </c>
      <c r="B11" s="8" t="s">
        <v>15</v>
      </c>
      <c r="C11" s="8"/>
    </row>
    <row r="12" spans="1:3" ht="12.75" customHeight="1" x14ac:dyDescent="0.3">
      <c r="A12" s="1" t="s">
        <v>16</v>
      </c>
      <c r="B12" s="8" t="s">
        <v>17</v>
      </c>
      <c r="C12" s="8"/>
    </row>
    <row r="13" spans="1:3" ht="12.75" customHeight="1" x14ac:dyDescent="0.3">
      <c r="A13" s="1" t="s">
        <v>18</v>
      </c>
      <c r="B13" s="8" t="s">
        <v>19</v>
      </c>
      <c r="C13" s="8"/>
    </row>
    <row r="14" spans="1:3" x14ac:dyDescent="0.3">
      <c r="A14" s="8"/>
      <c r="B14" s="8"/>
      <c r="C14" s="8"/>
    </row>
    <row r="15" spans="1:3" ht="12.75" customHeight="1" x14ac:dyDescent="0.3">
      <c r="A15" s="3" t="s">
        <v>20</v>
      </c>
      <c r="B15" s="8" t="s">
        <v>3</v>
      </c>
      <c r="C15" s="8"/>
    </row>
    <row r="16" spans="1:3" ht="12.75" customHeight="1" x14ac:dyDescent="0.3">
      <c r="A16" s="1" t="s">
        <v>21</v>
      </c>
      <c r="B16" s="8" t="s">
        <v>22</v>
      </c>
      <c r="C16" s="8"/>
    </row>
    <row r="17" spans="1:3" ht="12.75" customHeight="1" x14ac:dyDescent="0.3">
      <c r="A17" s="1" t="s">
        <v>23</v>
      </c>
      <c r="B17" s="8" t="s">
        <v>24</v>
      </c>
      <c r="C17" s="8"/>
    </row>
    <row r="18" spans="1:3" x14ac:dyDescent="0.3">
      <c r="A18" s="8"/>
      <c r="B18" s="8"/>
      <c r="C18" s="8"/>
    </row>
    <row r="19" spans="1:3" ht="12.75" customHeight="1" x14ac:dyDescent="0.3">
      <c r="A19" s="3" t="s">
        <v>25</v>
      </c>
      <c r="B19" s="8" t="s">
        <v>17</v>
      </c>
      <c r="C19" s="8"/>
    </row>
    <row r="20" spans="1:3" x14ac:dyDescent="0.3">
      <c r="A20" s="8"/>
      <c r="B20" s="8"/>
      <c r="C20" s="8"/>
    </row>
    <row r="21" spans="1:3" ht="12.75" customHeight="1" x14ac:dyDescent="0.3">
      <c r="A21" s="3" t="s">
        <v>26</v>
      </c>
      <c r="B21" s="8" t="s">
        <v>17</v>
      </c>
      <c r="C21" s="8"/>
    </row>
    <row r="22" spans="1:3" x14ac:dyDescent="0.3">
      <c r="A22" s="8"/>
      <c r="B22" s="8"/>
      <c r="C22" s="8"/>
    </row>
    <row r="23" spans="1:3" ht="12.75" customHeight="1" x14ac:dyDescent="0.3">
      <c r="A23" s="3" t="s">
        <v>27</v>
      </c>
      <c r="B23" s="8" t="s">
        <v>17</v>
      </c>
      <c r="C23" s="8"/>
    </row>
    <row r="24" spans="1:3" x14ac:dyDescent="0.3">
      <c r="A24" s="8"/>
      <c r="B24" s="8"/>
      <c r="C24" s="8"/>
    </row>
    <row r="25" spans="1:3" ht="12.75" customHeight="1" x14ac:dyDescent="0.3">
      <c r="A25" s="3" t="s">
        <v>28</v>
      </c>
      <c r="B25" s="8" t="s">
        <v>17</v>
      </c>
      <c r="C25" s="8"/>
    </row>
    <row r="26" spans="1:3" x14ac:dyDescent="0.3">
      <c r="A26" s="8"/>
      <c r="B26" s="8"/>
      <c r="C26" s="8"/>
    </row>
    <row r="27" spans="1:3" ht="25.65" customHeight="1" x14ac:dyDescent="0.3">
      <c r="A27" s="3" t="s">
        <v>29</v>
      </c>
      <c r="B27" s="8" t="s">
        <v>30</v>
      </c>
      <c r="C27" s="8"/>
    </row>
    <row r="28" spans="1:3" x14ac:dyDescent="0.3">
      <c r="A28" s="8"/>
      <c r="B28" s="8"/>
      <c r="C28" s="8"/>
    </row>
    <row r="29" spans="1:3" ht="51.15" customHeight="1" x14ac:dyDescent="0.3">
      <c r="A29" s="3" t="s">
        <v>31</v>
      </c>
      <c r="B29" s="8" t="s">
        <v>32</v>
      </c>
      <c r="C29" s="8"/>
    </row>
    <row r="30" spans="1:3" ht="89.55" customHeight="1" x14ac:dyDescent="0.3">
      <c r="A30" s="1" t="s">
        <v>3</v>
      </c>
      <c r="B30" s="8" t="s">
        <v>33</v>
      </c>
      <c r="C30" s="8"/>
    </row>
    <row r="31" spans="1:3" ht="25.65" customHeight="1" x14ac:dyDescent="0.3">
      <c r="A31" s="1" t="s">
        <v>3</v>
      </c>
      <c r="B31" s="8" t="s">
        <v>34</v>
      </c>
      <c r="C31" s="8"/>
    </row>
    <row r="32" spans="1:3" ht="89.55" customHeight="1" x14ac:dyDescent="0.3">
      <c r="A32" s="1" t="s">
        <v>3</v>
      </c>
      <c r="B32" s="8" t="s">
        <v>35</v>
      </c>
      <c r="C32" s="8"/>
    </row>
    <row r="33" spans="1:3" ht="51.15" customHeight="1" x14ac:dyDescent="0.3">
      <c r="A33" s="1" t="s">
        <v>3</v>
      </c>
      <c r="B33" s="8" t="s">
        <v>36</v>
      </c>
      <c r="C33" s="8"/>
    </row>
    <row r="34" spans="1:3" ht="38.4" customHeight="1" x14ac:dyDescent="0.3">
      <c r="A34" s="1" t="s">
        <v>3</v>
      </c>
      <c r="B34" s="8" t="s">
        <v>37</v>
      </c>
      <c r="C34" s="8"/>
    </row>
    <row r="35" spans="1:3" ht="153.6" customHeight="1" x14ac:dyDescent="0.3">
      <c r="A35" s="1" t="s">
        <v>3</v>
      </c>
      <c r="B35" s="8" t="s">
        <v>38</v>
      </c>
      <c r="C35" s="8"/>
    </row>
    <row r="36" spans="1:3" x14ac:dyDescent="0.3">
      <c r="A36" s="8"/>
      <c r="B36" s="8"/>
      <c r="C36" s="8"/>
    </row>
    <row r="37" spans="1:3" ht="12.75" customHeight="1" x14ac:dyDescent="0.3">
      <c r="A37" s="3" t="s">
        <v>39</v>
      </c>
      <c r="B37" s="8" t="s">
        <v>17</v>
      </c>
      <c r="C37" s="8"/>
    </row>
    <row r="38" spans="1:3" x14ac:dyDescent="0.3">
      <c r="A38" s="8"/>
      <c r="B38" s="8"/>
      <c r="C38" s="8"/>
    </row>
    <row r="39" spans="1:3" x14ac:dyDescent="0.3">
      <c r="A39" s="1">
        <f>1</f>
        <v>1</v>
      </c>
    </row>
  </sheetData>
  <mergeCells count="38">
    <mergeCell ref="A36:C36"/>
    <mergeCell ref="B37:C37"/>
    <mergeCell ref="A38:C38"/>
    <mergeCell ref="B31:C31"/>
    <mergeCell ref="B32:C32"/>
    <mergeCell ref="B33:C33"/>
    <mergeCell ref="B34:C34"/>
    <mergeCell ref="B35:C35"/>
    <mergeCell ref="A26:C26"/>
    <mergeCell ref="B27:C27"/>
    <mergeCell ref="A28:C28"/>
    <mergeCell ref="B29:C29"/>
    <mergeCell ref="B30:C30"/>
    <mergeCell ref="B21:C21"/>
    <mergeCell ref="A22:C22"/>
    <mergeCell ref="B23:C23"/>
    <mergeCell ref="A24:C24"/>
    <mergeCell ref="B25:C25"/>
    <mergeCell ref="B16:C16"/>
    <mergeCell ref="B17:C17"/>
    <mergeCell ref="A18:C18"/>
    <mergeCell ref="B19:C19"/>
    <mergeCell ref="A20:C20"/>
    <mergeCell ref="B11:C11"/>
    <mergeCell ref="B12:C12"/>
    <mergeCell ref="B13:C13"/>
    <mergeCell ref="A14:C14"/>
    <mergeCell ref="B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ACSDT1Y2021.B29002</oddHeader>
    <oddFooter>&amp;L&amp;Bdata.census.gov&amp;B | Measuring America's People, Places, and Economy &amp;R&amp;P</oddFooter>
    <evenHeader>&amp;LTable: ACSDT1Y2021.B29002</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0"/>
  <sheetViews>
    <sheetView tabSelected="1" workbookViewId="0">
      <pane xSplit="1" ySplit="2" topLeftCell="AK3" activePane="bottomRight" state="frozen"/>
      <selection pane="topRight"/>
      <selection pane="bottomLeft"/>
      <selection pane="bottomRight" activeCell="AQ16" sqref="AQ16"/>
    </sheetView>
  </sheetViews>
  <sheetFormatPr defaultRowHeight="14.4" x14ac:dyDescent="0.3"/>
  <cols>
    <col min="1" max="1" width="30" style="4" customWidth="1"/>
    <col min="2" max="43" width="20" style="4" customWidth="1"/>
  </cols>
  <sheetData>
    <row r="1" spans="1:43" ht="30" customHeight="1" x14ac:dyDescent="0.3">
      <c r="A1" s="5" t="s">
        <v>3</v>
      </c>
      <c r="B1" s="10" t="s">
        <v>40</v>
      </c>
      <c r="C1" s="10"/>
      <c r="D1" s="10" t="s">
        <v>41</v>
      </c>
      <c r="E1" s="10"/>
      <c r="F1" s="10" t="s">
        <v>42</v>
      </c>
      <c r="G1" s="10"/>
      <c r="H1" s="10" t="s">
        <v>43</v>
      </c>
      <c r="I1" s="10"/>
      <c r="J1" s="10" t="s">
        <v>44</v>
      </c>
      <c r="K1" s="10"/>
      <c r="L1" s="10" t="s">
        <v>45</v>
      </c>
      <c r="M1" s="10"/>
      <c r="N1" s="10" t="s">
        <v>46</v>
      </c>
      <c r="O1" s="10"/>
      <c r="P1" s="10" t="s">
        <v>47</v>
      </c>
      <c r="Q1" s="10"/>
      <c r="R1" s="10" t="s">
        <v>48</v>
      </c>
      <c r="S1" s="10"/>
      <c r="T1" s="10" t="s">
        <v>49</v>
      </c>
      <c r="U1" s="10"/>
      <c r="V1" s="10" t="s">
        <v>50</v>
      </c>
      <c r="W1" s="10"/>
      <c r="X1" s="10" t="s">
        <v>51</v>
      </c>
      <c r="Y1" s="10"/>
      <c r="Z1" s="10" t="s">
        <v>52</v>
      </c>
      <c r="AA1" s="10"/>
      <c r="AB1" s="10" t="s">
        <v>53</v>
      </c>
      <c r="AC1" s="10"/>
      <c r="AD1" s="10" t="s">
        <v>54</v>
      </c>
      <c r="AE1" s="10"/>
      <c r="AF1" s="10" t="s">
        <v>55</v>
      </c>
      <c r="AG1" s="10"/>
      <c r="AH1" s="10" t="s">
        <v>56</v>
      </c>
      <c r="AI1" s="10"/>
      <c r="AJ1" s="10" t="s">
        <v>57</v>
      </c>
      <c r="AK1" s="10"/>
      <c r="AL1" s="10" t="s">
        <v>58</v>
      </c>
      <c r="AM1" s="10"/>
      <c r="AN1" s="10" t="s">
        <v>59</v>
      </c>
      <c r="AO1" s="10"/>
      <c r="AP1" s="10" t="s">
        <v>60</v>
      </c>
      <c r="AQ1" s="10"/>
    </row>
    <row r="2" spans="1:43" ht="30" customHeight="1" x14ac:dyDescent="0.3">
      <c r="A2" s="5" t="s">
        <v>61</v>
      </c>
      <c r="B2" s="5" t="s">
        <v>62</v>
      </c>
      <c r="C2" s="5" t="s">
        <v>63</v>
      </c>
      <c r="D2" s="5" t="s">
        <v>62</v>
      </c>
      <c r="E2" s="5" t="s">
        <v>63</v>
      </c>
      <c r="F2" s="5" t="s">
        <v>62</v>
      </c>
      <c r="G2" s="5" t="s">
        <v>63</v>
      </c>
      <c r="H2" s="5" t="s">
        <v>62</v>
      </c>
      <c r="I2" s="5" t="s">
        <v>63</v>
      </c>
      <c r="J2" s="5" t="s">
        <v>62</v>
      </c>
      <c r="K2" s="5" t="s">
        <v>63</v>
      </c>
      <c r="L2" s="5" t="s">
        <v>62</v>
      </c>
      <c r="M2" s="5" t="s">
        <v>63</v>
      </c>
      <c r="N2" s="5" t="s">
        <v>62</v>
      </c>
      <c r="O2" s="5" t="s">
        <v>63</v>
      </c>
      <c r="P2" s="5" t="s">
        <v>62</v>
      </c>
      <c r="Q2" s="5" t="s">
        <v>63</v>
      </c>
      <c r="R2" s="5" t="s">
        <v>62</v>
      </c>
      <c r="S2" s="5" t="s">
        <v>63</v>
      </c>
      <c r="T2" s="5" t="s">
        <v>62</v>
      </c>
      <c r="U2" s="5" t="s">
        <v>63</v>
      </c>
      <c r="V2" s="5" t="s">
        <v>62</v>
      </c>
      <c r="W2" s="5" t="s">
        <v>63</v>
      </c>
      <c r="X2" s="5" t="s">
        <v>62</v>
      </c>
      <c r="Y2" s="5" t="s">
        <v>63</v>
      </c>
      <c r="Z2" s="5" t="s">
        <v>62</v>
      </c>
      <c r="AA2" s="5" t="s">
        <v>63</v>
      </c>
      <c r="AB2" s="5" t="s">
        <v>62</v>
      </c>
      <c r="AC2" s="5" t="s">
        <v>63</v>
      </c>
      <c r="AD2" s="5" t="s">
        <v>62</v>
      </c>
      <c r="AE2" s="5" t="s">
        <v>63</v>
      </c>
      <c r="AF2" s="5" t="s">
        <v>62</v>
      </c>
      <c r="AG2" s="5" t="s">
        <v>63</v>
      </c>
      <c r="AH2" s="5" t="s">
        <v>62</v>
      </c>
      <c r="AI2" s="5" t="s">
        <v>63</v>
      </c>
      <c r="AJ2" s="5" t="s">
        <v>62</v>
      </c>
      <c r="AK2" s="5" t="s">
        <v>63</v>
      </c>
      <c r="AL2" s="5" t="s">
        <v>62</v>
      </c>
      <c r="AM2" s="5" t="s">
        <v>63</v>
      </c>
      <c r="AN2" s="5" t="s">
        <v>62</v>
      </c>
      <c r="AO2" s="5" t="s">
        <v>63</v>
      </c>
      <c r="AP2" s="5" t="s">
        <v>62</v>
      </c>
      <c r="AQ2" s="5" t="s">
        <v>63</v>
      </c>
    </row>
    <row r="3" spans="1:43" x14ac:dyDescent="0.3">
      <c r="A3" s="4" t="s">
        <v>64</v>
      </c>
      <c r="B3" s="1">
        <f>200081*(1)</f>
        <v>200081</v>
      </c>
      <c r="C3" s="1" t="s">
        <v>65</v>
      </c>
      <c r="D3" s="1">
        <f>667007*(1)</f>
        <v>667007</v>
      </c>
      <c r="E3" s="1" t="s">
        <v>66</v>
      </c>
      <c r="F3" s="1">
        <f>354104*(1)</f>
        <v>354104</v>
      </c>
      <c r="G3" s="1" t="s">
        <v>67</v>
      </c>
      <c r="H3" s="1">
        <f>380318*(1)</f>
        <v>380318</v>
      </c>
      <c r="I3" s="1" t="s">
        <v>68</v>
      </c>
      <c r="J3" s="1">
        <f>78213*(1)</f>
        <v>78213</v>
      </c>
      <c r="K3" s="1" t="s">
        <v>69</v>
      </c>
      <c r="L3" s="1">
        <f>106734*(1)</f>
        <v>106734</v>
      </c>
      <c r="M3" s="1" t="s">
        <v>70</v>
      </c>
      <c r="N3" s="1">
        <f>550363*(1)</f>
        <v>550363</v>
      </c>
      <c r="O3" s="1" t="s">
        <v>71</v>
      </c>
      <c r="P3" s="1">
        <f>234044*(1)</f>
        <v>234044</v>
      </c>
      <c r="Q3" s="1" t="s">
        <v>72</v>
      </c>
      <c r="R3" s="1">
        <f>428693*(1)</f>
        <v>428693</v>
      </c>
      <c r="S3" s="1" t="s">
        <v>73</v>
      </c>
      <c r="T3" s="1">
        <f>101781*(1)</f>
        <v>101781</v>
      </c>
      <c r="U3" s="1" t="s">
        <v>74</v>
      </c>
      <c r="V3" s="1">
        <f>268190*(1)</f>
        <v>268190</v>
      </c>
      <c r="W3" s="1" t="s">
        <v>75</v>
      </c>
      <c r="X3" s="1">
        <f>556550*(1)</f>
        <v>556550</v>
      </c>
      <c r="Y3" s="1" t="s">
        <v>76</v>
      </c>
      <c r="Z3" s="1">
        <f>486205*(1)</f>
        <v>486205</v>
      </c>
      <c r="AA3" s="1" t="s">
        <v>77</v>
      </c>
      <c r="AB3" s="1">
        <f>371394*(1)</f>
        <v>371394</v>
      </c>
      <c r="AC3" s="1" t="s">
        <v>78</v>
      </c>
      <c r="AD3" s="1">
        <f>468827*(1)</f>
        <v>468827</v>
      </c>
      <c r="AE3" s="1" t="s">
        <v>79</v>
      </c>
      <c r="AF3" s="1">
        <f>332155*(1)</f>
        <v>332155</v>
      </c>
      <c r="AG3" s="1" t="s">
        <v>80</v>
      </c>
      <c r="AH3" s="1">
        <f>50005*(1)</f>
        <v>50005</v>
      </c>
      <c r="AI3" s="1" t="s">
        <v>81</v>
      </c>
      <c r="AJ3" s="1">
        <f>239173*(1)</f>
        <v>239173</v>
      </c>
      <c r="AK3" s="1" t="s">
        <v>82</v>
      </c>
      <c r="AL3" s="1">
        <f>114210*(1)</f>
        <v>114210</v>
      </c>
      <c r="AM3" s="1" t="s">
        <v>83</v>
      </c>
      <c r="AN3" s="1">
        <f>359498*(1)</f>
        <v>359498</v>
      </c>
      <c r="AO3" s="1" t="s">
        <v>84</v>
      </c>
      <c r="AP3" s="1">
        <f>85523*(1)</f>
        <v>85523</v>
      </c>
      <c r="AQ3" s="1" t="s">
        <v>85</v>
      </c>
    </row>
    <row r="4" spans="1:43" x14ac:dyDescent="0.3">
      <c r="A4" s="6" t="s">
        <v>86</v>
      </c>
      <c r="B4" s="1">
        <f>5430*(1)</f>
        <v>5430</v>
      </c>
      <c r="C4" s="1" t="s">
        <v>87</v>
      </c>
      <c r="D4" s="1">
        <f>18259*(1)</f>
        <v>18259</v>
      </c>
      <c r="E4" s="1" t="s">
        <v>88</v>
      </c>
      <c r="F4" s="1">
        <f>5539*(1)</f>
        <v>5539</v>
      </c>
      <c r="G4" s="1" t="s">
        <v>89</v>
      </c>
      <c r="H4" s="1">
        <f>10124*(1)</f>
        <v>10124</v>
      </c>
      <c r="I4" s="1" t="s">
        <v>90</v>
      </c>
      <c r="J4" s="1">
        <f>1289*(1)</f>
        <v>1289</v>
      </c>
      <c r="K4" s="1" t="s">
        <v>91</v>
      </c>
      <c r="L4" s="1">
        <f>5130*(1)</f>
        <v>5130</v>
      </c>
      <c r="M4" s="1" t="s">
        <v>92</v>
      </c>
      <c r="N4" s="1">
        <f>23286*(1)</f>
        <v>23286</v>
      </c>
      <c r="O4" s="1" t="s">
        <v>93</v>
      </c>
      <c r="P4" s="1">
        <f>2814*(1)</f>
        <v>2814</v>
      </c>
      <c r="Q4" s="1" t="s">
        <v>94</v>
      </c>
      <c r="R4" s="1">
        <f>21263*(1)</f>
        <v>21263</v>
      </c>
      <c r="S4" s="1" t="s">
        <v>95</v>
      </c>
      <c r="T4" s="1">
        <f>1382*(1)</f>
        <v>1382</v>
      </c>
      <c r="U4" s="1" t="s">
        <v>96</v>
      </c>
      <c r="V4" s="1">
        <f>4637*(1)</f>
        <v>4637</v>
      </c>
      <c r="W4" s="1" t="s">
        <v>97</v>
      </c>
      <c r="X4" s="1">
        <f>16424*(1)</f>
        <v>16424</v>
      </c>
      <c r="Y4" s="1" t="s">
        <v>98</v>
      </c>
      <c r="Z4" s="1">
        <f>8058*(1)</f>
        <v>8058</v>
      </c>
      <c r="AA4" s="1" t="s">
        <v>99</v>
      </c>
      <c r="AB4" s="1">
        <f>5560*(1)</f>
        <v>5560</v>
      </c>
      <c r="AC4" s="1" t="s">
        <v>100</v>
      </c>
      <c r="AD4" s="1">
        <f>8837*(1)</f>
        <v>8837</v>
      </c>
      <c r="AE4" s="1" t="s">
        <v>101</v>
      </c>
      <c r="AF4" s="1">
        <f>19880*(1)</f>
        <v>19880</v>
      </c>
      <c r="AG4" s="1" t="s">
        <v>102</v>
      </c>
      <c r="AH4" s="1">
        <f>1033*(1)</f>
        <v>1033</v>
      </c>
      <c r="AI4" s="1" t="s">
        <v>103</v>
      </c>
      <c r="AJ4" s="1">
        <f>3542*(1)</f>
        <v>3542</v>
      </c>
      <c r="AK4" s="1" t="s">
        <v>104</v>
      </c>
      <c r="AL4" s="1">
        <f>1364*(1)</f>
        <v>1364</v>
      </c>
      <c r="AM4" s="1" t="s">
        <v>105</v>
      </c>
      <c r="AN4" s="1">
        <f>13872*(1)</f>
        <v>13872</v>
      </c>
      <c r="AO4" s="1" t="s">
        <v>106</v>
      </c>
      <c r="AP4" s="1">
        <f>895*(1)</f>
        <v>895</v>
      </c>
      <c r="AQ4" s="1" t="s">
        <v>107</v>
      </c>
    </row>
    <row r="5" spans="1:43" x14ac:dyDescent="0.3">
      <c r="A5" s="6" t="s">
        <v>108</v>
      </c>
      <c r="B5" s="1">
        <f>15028*(1)</f>
        <v>15028</v>
      </c>
      <c r="C5" s="1" t="s">
        <v>109</v>
      </c>
      <c r="D5" s="1">
        <f>23987*(1)</f>
        <v>23987</v>
      </c>
      <c r="E5" s="1" t="s">
        <v>110</v>
      </c>
      <c r="F5" s="1">
        <f>13748*(1)</f>
        <v>13748</v>
      </c>
      <c r="G5" s="1" t="s">
        <v>111</v>
      </c>
      <c r="H5" s="1">
        <f>21374*(1)</f>
        <v>21374</v>
      </c>
      <c r="I5" s="1" t="s">
        <v>112</v>
      </c>
      <c r="J5" s="1">
        <f>2170*(1)</f>
        <v>2170</v>
      </c>
      <c r="K5" s="1" t="s">
        <v>113</v>
      </c>
      <c r="L5" s="1">
        <f>9969*(1)</f>
        <v>9969</v>
      </c>
      <c r="M5" s="1" t="s">
        <v>114</v>
      </c>
      <c r="N5" s="1">
        <f>31469*(1)</f>
        <v>31469</v>
      </c>
      <c r="O5" s="1" t="s">
        <v>115</v>
      </c>
      <c r="P5" s="1">
        <f>11378*(1)</f>
        <v>11378</v>
      </c>
      <c r="Q5" s="1" t="s">
        <v>116</v>
      </c>
      <c r="R5" s="1">
        <f>20179*(1)</f>
        <v>20179</v>
      </c>
      <c r="S5" s="1" t="s">
        <v>117</v>
      </c>
      <c r="T5" s="1">
        <f>2418*(1)</f>
        <v>2418</v>
      </c>
      <c r="U5" s="1" t="s">
        <v>118</v>
      </c>
      <c r="V5" s="1">
        <f>12733*(1)</f>
        <v>12733</v>
      </c>
      <c r="W5" s="1" t="s">
        <v>119</v>
      </c>
      <c r="X5" s="1">
        <f>23395*(1)</f>
        <v>23395</v>
      </c>
      <c r="Y5" s="1" t="s">
        <v>120</v>
      </c>
      <c r="Z5" s="1">
        <f>14835*(1)</f>
        <v>14835</v>
      </c>
      <c r="AA5" s="1" t="s">
        <v>121</v>
      </c>
      <c r="AB5" s="1">
        <f>9594*(1)</f>
        <v>9594</v>
      </c>
      <c r="AC5" s="1" t="s">
        <v>122</v>
      </c>
      <c r="AD5" s="1">
        <f>20985*(1)</f>
        <v>20985</v>
      </c>
      <c r="AE5" s="1" t="s">
        <v>123</v>
      </c>
      <c r="AF5" s="1">
        <f>18914*(1)</f>
        <v>18914</v>
      </c>
      <c r="AG5" s="1" t="s">
        <v>124</v>
      </c>
      <c r="AH5" s="1">
        <f>4019*(1)</f>
        <v>4019</v>
      </c>
      <c r="AI5" s="1" t="s">
        <v>125</v>
      </c>
      <c r="AJ5" s="1">
        <f>7292*(1)</f>
        <v>7292</v>
      </c>
      <c r="AK5" s="1" t="s">
        <v>126</v>
      </c>
      <c r="AL5" s="1">
        <f>4412*(1)</f>
        <v>4412</v>
      </c>
      <c r="AM5" s="1" t="s">
        <v>127</v>
      </c>
      <c r="AN5" s="1">
        <f>16924*(1)</f>
        <v>16924</v>
      </c>
      <c r="AO5" s="1" t="s">
        <v>128</v>
      </c>
      <c r="AP5" s="1">
        <f>4972*(1)</f>
        <v>4972</v>
      </c>
      <c r="AQ5" s="1" t="s">
        <v>129</v>
      </c>
    </row>
    <row r="6" spans="1:43" ht="28.8" x14ac:dyDescent="0.3">
      <c r="A6" s="6" t="s">
        <v>130</v>
      </c>
      <c r="B6" s="1">
        <f>61515*(1)</f>
        <v>61515</v>
      </c>
      <c r="C6" s="1" t="s">
        <v>131</v>
      </c>
      <c r="D6" s="1">
        <f>129360*(1)</f>
        <v>129360</v>
      </c>
      <c r="E6" s="1" t="s">
        <v>132</v>
      </c>
      <c r="F6" s="1">
        <f>91784*(1)</f>
        <v>91784</v>
      </c>
      <c r="G6" s="1" t="s">
        <v>133</v>
      </c>
      <c r="H6" s="1">
        <f>112507*(1)</f>
        <v>112507</v>
      </c>
      <c r="I6" s="1" t="s">
        <v>134</v>
      </c>
      <c r="J6" s="1">
        <f>22599*(1)</f>
        <v>22599</v>
      </c>
      <c r="K6" s="1" t="s">
        <v>135</v>
      </c>
      <c r="L6" s="1">
        <f>44004*(1)</f>
        <v>44004</v>
      </c>
      <c r="M6" s="1" t="s">
        <v>136</v>
      </c>
      <c r="N6" s="1">
        <f>148063*(1)</f>
        <v>148063</v>
      </c>
      <c r="O6" s="1" t="s">
        <v>137</v>
      </c>
      <c r="P6" s="1">
        <f>70414*(1)</f>
        <v>70414</v>
      </c>
      <c r="Q6" s="1" t="s">
        <v>138</v>
      </c>
      <c r="R6" s="1">
        <f>103543*(1)</f>
        <v>103543</v>
      </c>
      <c r="S6" s="1" t="s">
        <v>139</v>
      </c>
      <c r="T6" s="1">
        <f>22621*(1)</f>
        <v>22621</v>
      </c>
      <c r="U6" s="1" t="s">
        <v>140</v>
      </c>
      <c r="V6" s="1">
        <f>64597*(1)</f>
        <v>64597</v>
      </c>
      <c r="W6" s="1" t="s">
        <v>141</v>
      </c>
      <c r="X6" s="1">
        <f>139263*(1)</f>
        <v>139263</v>
      </c>
      <c r="Y6" s="1" t="s">
        <v>142</v>
      </c>
      <c r="Z6" s="1">
        <f>101578*(1)</f>
        <v>101578</v>
      </c>
      <c r="AA6" s="1" t="s">
        <v>143</v>
      </c>
      <c r="AB6" s="1">
        <f>74297*(1)</f>
        <v>74297</v>
      </c>
      <c r="AC6" s="1" t="s">
        <v>144</v>
      </c>
      <c r="AD6" s="1">
        <f>156212*(1)</f>
        <v>156212</v>
      </c>
      <c r="AE6" s="1" t="s">
        <v>145</v>
      </c>
      <c r="AF6" s="1">
        <f>108489*(1)</f>
        <v>108489</v>
      </c>
      <c r="AG6" s="1" t="s">
        <v>146</v>
      </c>
      <c r="AH6" s="1">
        <f>18967*(1)</f>
        <v>18967</v>
      </c>
      <c r="AI6" s="1" t="s">
        <v>147</v>
      </c>
      <c r="AJ6" s="1">
        <f>45863*(1)</f>
        <v>45863</v>
      </c>
      <c r="AK6" s="1" t="s">
        <v>148</v>
      </c>
      <c r="AL6" s="1">
        <f>31525*(1)</f>
        <v>31525</v>
      </c>
      <c r="AM6" s="1" t="s">
        <v>149</v>
      </c>
      <c r="AN6" s="1">
        <f>94832*(1)</f>
        <v>94832</v>
      </c>
      <c r="AO6" s="1" t="s">
        <v>150</v>
      </c>
      <c r="AP6" s="1">
        <f>26865*(1)</f>
        <v>26865</v>
      </c>
      <c r="AQ6" s="1" t="s">
        <v>151</v>
      </c>
    </row>
    <row r="7" spans="1:43" x14ac:dyDescent="0.3">
      <c r="A7" s="6" t="s">
        <v>152</v>
      </c>
      <c r="B7" s="1">
        <f>39236*(1)</f>
        <v>39236</v>
      </c>
      <c r="C7" s="1" t="s">
        <v>153</v>
      </c>
      <c r="D7" s="1">
        <f>106632*(1)</f>
        <v>106632</v>
      </c>
      <c r="E7" s="1" t="s">
        <v>154</v>
      </c>
      <c r="F7" s="1">
        <f>68449*(1)</f>
        <v>68449</v>
      </c>
      <c r="G7" s="1" t="s">
        <v>155</v>
      </c>
      <c r="H7" s="1">
        <f>72099*(1)</f>
        <v>72099</v>
      </c>
      <c r="I7" s="1" t="s">
        <v>144</v>
      </c>
      <c r="J7" s="1">
        <f>16680*(1)</f>
        <v>16680</v>
      </c>
      <c r="K7" s="1" t="s">
        <v>156</v>
      </c>
      <c r="L7" s="1">
        <f>19306*(1)</f>
        <v>19306</v>
      </c>
      <c r="M7" s="1" t="s">
        <v>157</v>
      </c>
      <c r="N7" s="1">
        <f>100973*(1)</f>
        <v>100973</v>
      </c>
      <c r="O7" s="1" t="s">
        <v>158</v>
      </c>
      <c r="P7" s="1">
        <f>46484*(1)</f>
        <v>46484</v>
      </c>
      <c r="Q7" s="1" t="s">
        <v>159</v>
      </c>
      <c r="R7" s="1">
        <f>66618*(1)</f>
        <v>66618</v>
      </c>
      <c r="S7" s="1" t="s">
        <v>160</v>
      </c>
      <c r="T7" s="1">
        <f>15219*(1)</f>
        <v>15219</v>
      </c>
      <c r="U7" s="1" t="s">
        <v>161</v>
      </c>
      <c r="V7" s="1">
        <f>57383*(1)</f>
        <v>57383</v>
      </c>
      <c r="W7" s="1" t="s">
        <v>162</v>
      </c>
      <c r="X7" s="1">
        <f>108804*(1)</f>
        <v>108804</v>
      </c>
      <c r="Y7" s="1" t="s">
        <v>163</v>
      </c>
      <c r="Z7" s="1">
        <f>87795*(1)</f>
        <v>87795</v>
      </c>
      <c r="AA7" s="1" t="s">
        <v>164</v>
      </c>
      <c r="AB7" s="1">
        <f>59645*(1)</f>
        <v>59645</v>
      </c>
      <c r="AC7" s="1" t="s">
        <v>165</v>
      </c>
      <c r="AD7" s="1">
        <f>97737*(1)</f>
        <v>97737</v>
      </c>
      <c r="AE7" s="1" t="s">
        <v>166</v>
      </c>
      <c r="AF7" s="1">
        <f>62763*(1)</f>
        <v>62763</v>
      </c>
      <c r="AG7" s="1" t="s">
        <v>167</v>
      </c>
      <c r="AH7" s="1">
        <f>9176*(1)</f>
        <v>9176</v>
      </c>
      <c r="AI7" s="1" t="s">
        <v>168</v>
      </c>
      <c r="AJ7" s="1">
        <f>38209*(1)</f>
        <v>38209</v>
      </c>
      <c r="AK7" s="1" t="s">
        <v>169</v>
      </c>
      <c r="AL7" s="1">
        <f>23282*(1)</f>
        <v>23282</v>
      </c>
      <c r="AM7" s="1" t="s">
        <v>170</v>
      </c>
      <c r="AN7" s="1">
        <f>66282*(1)</f>
        <v>66282</v>
      </c>
      <c r="AO7" s="1" t="s">
        <v>171</v>
      </c>
      <c r="AP7" s="1">
        <f>16920*(1)</f>
        <v>16920</v>
      </c>
      <c r="AQ7" s="1" t="s">
        <v>172</v>
      </c>
    </row>
    <row r="8" spans="1:43" x14ac:dyDescent="0.3">
      <c r="A8" s="6" t="s">
        <v>173</v>
      </c>
      <c r="B8" s="1">
        <f>15173*(1)</f>
        <v>15173</v>
      </c>
      <c r="C8" s="1" t="s">
        <v>174</v>
      </c>
      <c r="D8" s="1">
        <f>47144*(1)</f>
        <v>47144</v>
      </c>
      <c r="E8" s="1" t="s">
        <v>175</v>
      </c>
      <c r="F8" s="1">
        <f>28965*(1)</f>
        <v>28965</v>
      </c>
      <c r="G8" s="1" t="s">
        <v>176</v>
      </c>
      <c r="H8" s="1">
        <f>32281*(1)</f>
        <v>32281</v>
      </c>
      <c r="I8" s="1" t="s">
        <v>177</v>
      </c>
      <c r="J8" s="1">
        <f>5430*(1)</f>
        <v>5430</v>
      </c>
      <c r="K8" s="1" t="s">
        <v>74</v>
      </c>
      <c r="L8" s="1">
        <f>9319*(1)</f>
        <v>9319</v>
      </c>
      <c r="M8" s="1" t="s">
        <v>178</v>
      </c>
      <c r="N8" s="1">
        <f>38362*(1)</f>
        <v>38362</v>
      </c>
      <c r="O8" s="1" t="s">
        <v>179</v>
      </c>
      <c r="P8" s="1">
        <f>22086*(1)</f>
        <v>22086</v>
      </c>
      <c r="Q8" s="1" t="s">
        <v>180</v>
      </c>
      <c r="R8" s="1">
        <f>24185*(1)</f>
        <v>24185</v>
      </c>
      <c r="S8" s="1" t="s">
        <v>181</v>
      </c>
      <c r="T8" s="1">
        <f>7566*(1)</f>
        <v>7566</v>
      </c>
      <c r="U8" s="1" t="s">
        <v>182</v>
      </c>
      <c r="V8" s="1">
        <f>15099*(1)</f>
        <v>15099</v>
      </c>
      <c r="W8" s="1" t="s">
        <v>183</v>
      </c>
      <c r="X8" s="1">
        <f>40635*(1)</f>
        <v>40635</v>
      </c>
      <c r="Y8" s="1" t="s">
        <v>184</v>
      </c>
      <c r="Z8" s="1">
        <f>39604*(1)</f>
        <v>39604</v>
      </c>
      <c r="AA8" s="1" t="s">
        <v>185</v>
      </c>
      <c r="AB8" s="1">
        <f>22683*(1)</f>
        <v>22683</v>
      </c>
      <c r="AC8" s="1" t="s">
        <v>186</v>
      </c>
      <c r="AD8" s="1">
        <f>38291*(1)</f>
        <v>38291</v>
      </c>
      <c r="AE8" s="1" t="s">
        <v>187</v>
      </c>
      <c r="AF8" s="1">
        <f>19551*(1)</f>
        <v>19551</v>
      </c>
      <c r="AG8" s="1" t="s">
        <v>188</v>
      </c>
      <c r="AH8" s="1">
        <f>4886*(1)</f>
        <v>4886</v>
      </c>
      <c r="AI8" s="1" t="s">
        <v>189</v>
      </c>
      <c r="AJ8" s="1">
        <f>12649*(1)</f>
        <v>12649</v>
      </c>
      <c r="AK8" s="1" t="s">
        <v>190</v>
      </c>
      <c r="AL8" s="1">
        <f>10322*(1)</f>
        <v>10322</v>
      </c>
      <c r="AM8" s="1" t="s">
        <v>191</v>
      </c>
      <c r="AN8" s="1">
        <f>25245*(1)</f>
        <v>25245</v>
      </c>
      <c r="AO8" s="1" t="s">
        <v>192</v>
      </c>
      <c r="AP8" s="1">
        <f>5466*(1)</f>
        <v>5466</v>
      </c>
      <c r="AQ8" s="1" t="s">
        <v>193</v>
      </c>
    </row>
    <row r="9" spans="1:43" x14ac:dyDescent="0.3">
      <c r="A9" s="6" t="s">
        <v>194</v>
      </c>
      <c r="B9" s="1">
        <f>42718*(1)</f>
        <v>42718</v>
      </c>
      <c r="C9" s="1" t="s">
        <v>195</v>
      </c>
      <c r="D9" s="1">
        <f>208490*(1)</f>
        <v>208490</v>
      </c>
      <c r="E9" s="1" t="s">
        <v>196</v>
      </c>
      <c r="F9" s="1">
        <f>97649*(1)</f>
        <v>97649</v>
      </c>
      <c r="G9" s="1" t="s">
        <v>197</v>
      </c>
      <c r="H9" s="1">
        <f>83189*(1)</f>
        <v>83189</v>
      </c>
      <c r="I9" s="1" t="s">
        <v>198</v>
      </c>
      <c r="J9" s="1">
        <f>18604*(1)</f>
        <v>18604</v>
      </c>
      <c r="K9" s="1" t="s">
        <v>199</v>
      </c>
      <c r="L9" s="1">
        <f>12589*(1)</f>
        <v>12589</v>
      </c>
      <c r="M9" s="1" t="s">
        <v>200</v>
      </c>
      <c r="N9" s="1">
        <f>123227*(1)</f>
        <v>123227</v>
      </c>
      <c r="O9" s="1" t="s">
        <v>201</v>
      </c>
      <c r="P9" s="1">
        <f>52873*(1)</f>
        <v>52873</v>
      </c>
      <c r="Q9" s="1" t="s">
        <v>202</v>
      </c>
      <c r="R9" s="1">
        <f>126450*(1)</f>
        <v>126450</v>
      </c>
      <c r="S9" s="1" t="s">
        <v>203</v>
      </c>
      <c r="T9" s="1">
        <f>30795*(1)</f>
        <v>30795</v>
      </c>
      <c r="U9" s="1" t="s">
        <v>204</v>
      </c>
      <c r="V9" s="1">
        <f>64624*(1)</f>
        <v>64624</v>
      </c>
      <c r="W9" s="1" t="s">
        <v>205</v>
      </c>
      <c r="X9" s="1">
        <f>144422*(1)</f>
        <v>144422</v>
      </c>
      <c r="Y9" s="1" t="s">
        <v>206</v>
      </c>
      <c r="Z9" s="1">
        <f>148041*(1)</f>
        <v>148041</v>
      </c>
      <c r="AA9" s="1" t="s">
        <v>207</v>
      </c>
      <c r="AB9" s="1">
        <f>114745*(1)</f>
        <v>114745</v>
      </c>
      <c r="AC9" s="1" t="s">
        <v>208</v>
      </c>
      <c r="AD9" s="1">
        <f>93493*(1)</f>
        <v>93493</v>
      </c>
      <c r="AE9" s="1" t="s">
        <v>209</v>
      </c>
      <c r="AF9" s="1">
        <f>67891*(1)</f>
        <v>67891</v>
      </c>
      <c r="AG9" s="1" t="s">
        <v>210</v>
      </c>
      <c r="AH9" s="1">
        <f>7854*(1)</f>
        <v>7854</v>
      </c>
      <c r="AI9" s="1" t="s">
        <v>211</v>
      </c>
      <c r="AJ9" s="1">
        <f>70295*(1)</f>
        <v>70295</v>
      </c>
      <c r="AK9" s="1" t="s">
        <v>212</v>
      </c>
      <c r="AL9" s="1">
        <f>28210*(1)</f>
        <v>28210</v>
      </c>
      <c r="AM9" s="1" t="s">
        <v>213</v>
      </c>
      <c r="AN9" s="1">
        <f>89853*(1)</f>
        <v>89853</v>
      </c>
      <c r="AO9" s="1" t="s">
        <v>214</v>
      </c>
      <c r="AP9" s="1">
        <f>20268*(1)</f>
        <v>20268</v>
      </c>
      <c r="AQ9" s="1" t="s">
        <v>215</v>
      </c>
    </row>
    <row r="10" spans="1:43" x14ac:dyDescent="0.3">
      <c r="A10" s="6" t="s">
        <v>216</v>
      </c>
      <c r="B10" s="1">
        <f>20981*(1)</f>
        <v>20981</v>
      </c>
      <c r="C10" s="1" t="s">
        <v>217</v>
      </c>
      <c r="D10" s="1">
        <f>133135*(1)</f>
        <v>133135</v>
      </c>
      <c r="E10" s="1" t="s">
        <v>218</v>
      </c>
      <c r="F10" s="1">
        <f>47970*(1)</f>
        <v>47970</v>
      </c>
      <c r="G10" s="1" t="s">
        <v>219</v>
      </c>
      <c r="H10" s="1">
        <f>48744*(1)</f>
        <v>48744</v>
      </c>
      <c r="I10" s="1" t="s">
        <v>220</v>
      </c>
      <c r="J10" s="1">
        <f>11441*(1)</f>
        <v>11441</v>
      </c>
      <c r="K10" s="1" t="s">
        <v>221</v>
      </c>
      <c r="L10" s="1">
        <f>6417*(1)</f>
        <v>6417</v>
      </c>
      <c r="M10" s="1" t="s">
        <v>222</v>
      </c>
      <c r="N10" s="1">
        <f>84983*(1)</f>
        <v>84983</v>
      </c>
      <c r="O10" s="1" t="s">
        <v>223</v>
      </c>
      <c r="P10" s="1">
        <f>27995*(1)</f>
        <v>27995</v>
      </c>
      <c r="Q10" s="1" t="s">
        <v>224</v>
      </c>
      <c r="R10" s="1">
        <f>66455*(1)</f>
        <v>66455</v>
      </c>
      <c r="S10" s="1" t="s">
        <v>225</v>
      </c>
      <c r="T10" s="1">
        <f>21780*(1)</f>
        <v>21780</v>
      </c>
      <c r="U10" s="1" t="s">
        <v>226</v>
      </c>
      <c r="V10" s="1">
        <f>49117*(1)</f>
        <v>49117</v>
      </c>
      <c r="W10" s="1" t="s">
        <v>227</v>
      </c>
      <c r="X10" s="1">
        <f>83607*(1)</f>
        <v>83607</v>
      </c>
      <c r="Y10" s="1" t="s">
        <v>228</v>
      </c>
      <c r="Z10" s="1">
        <f>86294*(1)</f>
        <v>86294</v>
      </c>
      <c r="AA10" s="1" t="s">
        <v>229</v>
      </c>
      <c r="AB10" s="1">
        <f>84870*(1)</f>
        <v>84870</v>
      </c>
      <c r="AC10" s="1" t="s">
        <v>230</v>
      </c>
      <c r="AD10" s="1">
        <f>53272*(1)</f>
        <v>53272</v>
      </c>
      <c r="AE10" s="1" t="s">
        <v>231</v>
      </c>
      <c r="AF10" s="1">
        <f>34667*(1)</f>
        <v>34667</v>
      </c>
      <c r="AG10" s="1" t="s">
        <v>232</v>
      </c>
      <c r="AH10" s="1">
        <f>4070*(1)</f>
        <v>4070</v>
      </c>
      <c r="AI10" s="1" t="s">
        <v>233</v>
      </c>
      <c r="AJ10" s="1">
        <f>61323*(1)</f>
        <v>61323</v>
      </c>
      <c r="AK10" s="1" t="s">
        <v>234</v>
      </c>
      <c r="AL10" s="1">
        <f>15095*(1)</f>
        <v>15095</v>
      </c>
      <c r="AM10" s="1" t="s">
        <v>235</v>
      </c>
      <c r="AN10" s="1">
        <f>52490*(1)</f>
        <v>52490</v>
      </c>
      <c r="AO10" s="1" t="s">
        <v>236</v>
      </c>
      <c r="AP10" s="1">
        <f>10137*(1)</f>
        <v>10137</v>
      </c>
      <c r="AQ10" s="1" t="s">
        <v>237</v>
      </c>
    </row>
  </sheetData>
  <mergeCells count="21">
    <mergeCell ref="AP1:AQ1"/>
    <mergeCell ref="AF1:AG1"/>
    <mergeCell ref="AH1:AI1"/>
    <mergeCell ref="AJ1:AK1"/>
    <mergeCell ref="AL1:AM1"/>
    <mergeCell ref="AN1:AO1"/>
    <mergeCell ref="V1:W1"/>
    <mergeCell ref="X1:Y1"/>
    <mergeCell ref="Z1:AA1"/>
    <mergeCell ref="AB1:AC1"/>
    <mergeCell ref="AD1:AE1"/>
    <mergeCell ref="L1:M1"/>
    <mergeCell ref="N1:O1"/>
    <mergeCell ref="P1:Q1"/>
    <mergeCell ref="R1:S1"/>
    <mergeCell ref="T1:U1"/>
    <mergeCell ref="B1:C1"/>
    <mergeCell ref="D1:E1"/>
    <mergeCell ref="F1:G1"/>
    <mergeCell ref="H1:I1"/>
    <mergeCell ref="J1:K1"/>
  </mergeCells>
  <printOptions gridLines="1"/>
  <pageMargins left="0.7" right="0.7" top="0.75" bottom="0.75" header="0.3" footer="0.3"/>
  <pageSetup pageOrder="overThenDown" orientation="landscape"/>
  <headerFooter>
    <oddHeader>&amp;LTable: ACSDT1Y2021.B29002</oddHeader>
    <oddFooter>&amp;L&amp;Bdata.census.gov&amp;B | Measuring America's People, Places, and Economy &amp;R&amp;P</oddFooter>
    <evenHeader>&amp;LTable: ACSDT1Y2021.B29002</evenHeader>
    <evenFooter>&amp;L&amp;Bdata.census.gov&amp;B | Measuring America's People, Places, and Economy &amp;R&amp;P</even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vt:lpstr>
      <vt:lpstr>Data</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2022-10-25T05:31:12Z</dcterms:created>
  <dcterms:modified xsi:type="dcterms:W3CDTF">2022-10-25T05:38:48Z</dcterms:modified>
</cp:coreProperties>
</file>