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2" documentId="11_22D24D81D9C06AC8EB5C2D4DAC3891EE8A2B85DE" xr6:coauthVersionLast="47" xr6:coauthVersionMax="47" xr10:uidLastSave="{9ACD50F3-20F1-46CF-A8B8-7B4338E95205}"/>
  <bookViews>
    <workbookView xWindow="-108" yWindow="-108" windowWidth="23256" windowHeight="12456" activeTab="1" xr2:uid="{00000000-000D-0000-FFFF-FFFF00000000}"/>
  </bookViews>
  <sheets>
    <sheet name="Information" sheetId="1" r:id="rId1"/>
    <sheet name="Data" sheetId="2" r:id="rId2"/>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R96" i="2" l="1"/>
  <c r="EP96" i="2"/>
  <c r="EN96" i="2"/>
  <c r="EL96" i="2"/>
  <c r="EJ96" i="2"/>
  <c r="EH96" i="2"/>
  <c r="EF96" i="2"/>
  <c r="ED96" i="2"/>
  <c r="EB96" i="2"/>
  <c r="DZ96" i="2"/>
  <c r="DX96" i="2"/>
  <c r="DV96" i="2"/>
  <c r="DT96" i="2"/>
  <c r="DR96" i="2"/>
  <c r="DP96" i="2"/>
  <c r="DN96" i="2"/>
  <c r="DL96" i="2"/>
  <c r="DJ96" i="2"/>
  <c r="DH96" i="2"/>
  <c r="DF96" i="2"/>
  <c r="DD96" i="2"/>
  <c r="DB96" i="2"/>
  <c r="CZ96" i="2"/>
  <c r="CX96" i="2"/>
  <c r="CV96" i="2"/>
  <c r="CT96" i="2"/>
  <c r="CR96" i="2"/>
  <c r="CP96" i="2"/>
  <c r="CN96" i="2"/>
  <c r="CL96" i="2"/>
  <c r="CJ96" i="2"/>
  <c r="CH96" i="2"/>
  <c r="CF96" i="2"/>
  <c r="CD96" i="2"/>
  <c r="CB96" i="2"/>
  <c r="BZ96" i="2"/>
  <c r="BX96" i="2"/>
  <c r="BV96" i="2"/>
  <c r="BT96" i="2"/>
  <c r="BR96" i="2"/>
  <c r="BP96" i="2"/>
  <c r="BN96" i="2"/>
  <c r="BL96" i="2"/>
  <c r="BJ96" i="2"/>
  <c r="BH96" i="2"/>
  <c r="BF96" i="2"/>
  <c r="BD96" i="2"/>
  <c r="BB96" i="2"/>
  <c r="AZ96" i="2"/>
  <c r="AX96" i="2"/>
  <c r="AV96" i="2"/>
  <c r="AT96" i="2"/>
  <c r="AR96" i="2"/>
  <c r="AP96" i="2"/>
  <c r="AN96" i="2"/>
  <c r="AL96" i="2"/>
  <c r="AJ96" i="2"/>
  <c r="AH96" i="2"/>
  <c r="AF96" i="2"/>
  <c r="AD96" i="2"/>
  <c r="AB96" i="2"/>
  <c r="Z96" i="2"/>
  <c r="X96" i="2"/>
  <c r="V96" i="2"/>
  <c r="T96" i="2"/>
  <c r="R96" i="2"/>
  <c r="P96" i="2"/>
  <c r="N96" i="2"/>
  <c r="L96" i="2"/>
  <c r="J96" i="2"/>
  <c r="H96" i="2"/>
  <c r="F96" i="2"/>
  <c r="D96" i="2"/>
  <c r="B96" i="2"/>
  <c r="ER95" i="2"/>
  <c r="EP95" i="2"/>
  <c r="EN95" i="2"/>
  <c r="EL95" i="2"/>
  <c r="EJ95" i="2"/>
  <c r="EH95" i="2"/>
  <c r="EF95" i="2"/>
  <c r="ED95" i="2"/>
  <c r="EB95" i="2"/>
  <c r="DZ95" i="2"/>
  <c r="DX95" i="2"/>
  <c r="DV95" i="2"/>
  <c r="DT95" i="2"/>
  <c r="DR95" i="2"/>
  <c r="DP95" i="2"/>
  <c r="DN95" i="2"/>
  <c r="DL95" i="2"/>
  <c r="DJ95" i="2"/>
  <c r="DH95" i="2"/>
  <c r="DF95" i="2"/>
  <c r="DD95" i="2"/>
  <c r="DB95" i="2"/>
  <c r="CZ95" i="2"/>
  <c r="CX95" i="2"/>
  <c r="CV95" i="2"/>
  <c r="CT95" i="2"/>
  <c r="CR95" i="2"/>
  <c r="CP95" i="2"/>
  <c r="CN95" i="2"/>
  <c r="CL95" i="2"/>
  <c r="CJ95" i="2"/>
  <c r="CH95" i="2"/>
  <c r="CF95" i="2"/>
  <c r="CD95" i="2"/>
  <c r="CB95" i="2"/>
  <c r="BZ95" i="2"/>
  <c r="BX95" i="2"/>
  <c r="BV95" i="2"/>
  <c r="BT95" i="2"/>
  <c r="BR95" i="2"/>
  <c r="BP95" i="2"/>
  <c r="BN95" i="2"/>
  <c r="BL95" i="2"/>
  <c r="BJ95" i="2"/>
  <c r="BH95" i="2"/>
  <c r="BF95" i="2"/>
  <c r="BD95" i="2"/>
  <c r="BB95" i="2"/>
  <c r="AZ95" i="2"/>
  <c r="AX95" i="2"/>
  <c r="AV95" i="2"/>
  <c r="AT95" i="2"/>
  <c r="AR95" i="2"/>
  <c r="AP95" i="2"/>
  <c r="AN95" i="2"/>
  <c r="AL95" i="2"/>
  <c r="AJ95" i="2"/>
  <c r="AH95" i="2"/>
  <c r="AF95" i="2"/>
  <c r="AD95" i="2"/>
  <c r="AB95" i="2"/>
  <c r="Z95" i="2"/>
  <c r="X95" i="2"/>
  <c r="V95" i="2"/>
  <c r="T95" i="2"/>
  <c r="R95" i="2"/>
  <c r="P95" i="2"/>
  <c r="N95" i="2"/>
  <c r="L95" i="2"/>
  <c r="J95" i="2"/>
  <c r="H95" i="2"/>
  <c r="F95" i="2"/>
  <c r="D95" i="2"/>
  <c r="B95" i="2"/>
  <c r="ER94" i="2"/>
  <c r="EP94" i="2"/>
  <c r="EN94" i="2"/>
  <c r="EL94" i="2"/>
  <c r="EJ94" i="2"/>
  <c r="EH94" i="2"/>
  <c r="EF94" i="2"/>
  <c r="ED94" i="2"/>
  <c r="EB94" i="2"/>
  <c r="DZ94" i="2"/>
  <c r="DX94" i="2"/>
  <c r="DV94" i="2"/>
  <c r="DT94" i="2"/>
  <c r="DR94" i="2"/>
  <c r="DP94" i="2"/>
  <c r="DN94" i="2"/>
  <c r="DL94" i="2"/>
  <c r="DJ94" i="2"/>
  <c r="DH94" i="2"/>
  <c r="DF94" i="2"/>
  <c r="DD94" i="2"/>
  <c r="DB94" i="2"/>
  <c r="CZ94" i="2"/>
  <c r="CX94" i="2"/>
  <c r="CV94" i="2"/>
  <c r="CT94" i="2"/>
  <c r="CR94" i="2"/>
  <c r="CP94" i="2"/>
  <c r="CN94" i="2"/>
  <c r="CL94" i="2"/>
  <c r="CJ94" i="2"/>
  <c r="CH94" i="2"/>
  <c r="CF94" i="2"/>
  <c r="CD94" i="2"/>
  <c r="CB94" i="2"/>
  <c r="BZ94" i="2"/>
  <c r="BX94" i="2"/>
  <c r="BV94" i="2"/>
  <c r="BT94" i="2"/>
  <c r="BR94" i="2"/>
  <c r="BP94" i="2"/>
  <c r="BN94" i="2"/>
  <c r="BL94" i="2"/>
  <c r="BJ94" i="2"/>
  <c r="BH94" i="2"/>
  <c r="BF94" i="2"/>
  <c r="BD94" i="2"/>
  <c r="BB94" i="2"/>
  <c r="AZ94" i="2"/>
  <c r="AX94" i="2"/>
  <c r="AV94" i="2"/>
  <c r="AT94" i="2"/>
  <c r="AR94" i="2"/>
  <c r="AP94" i="2"/>
  <c r="AN94" i="2"/>
  <c r="AL94" i="2"/>
  <c r="AJ94" i="2"/>
  <c r="AH94" i="2"/>
  <c r="AF94" i="2"/>
  <c r="AD94" i="2"/>
  <c r="AB94" i="2"/>
  <c r="Z94" i="2"/>
  <c r="X94" i="2"/>
  <c r="V94" i="2"/>
  <c r="T94" i="2"/>
  <c r="R94" i="2"/>
  <c r="P94" i="2"/>
  <c r="N94" i="2"/>
  <c r="L94" i="2"/>
  <c r="J94" i="2"/>
  <c r="H94" i="2"/>
  <c r="F94" i="2"/>
  <c r="D94" i="2"/>
  <c r="B94" i="2"/>
  <c r="ES93" i="2"/>
  <c r="ER93" i="2"/>
  <c r="EQ93" i="2"/>
  <c r="EP93" i="2"/>
  <c r="EO93" i="2"/>
  <c r="EN93" i="2"/>
  <c r="EM93" i="2"/>
  <c r="EL93" i="2"/>
  <c r="EK93" i="2"/>
  <c r="EJ93" i="2"/>
  <c r="EI93" i="2"/>
  <c r="EH93" i="2"/>
  <c r="EG93" i="2"/>
  <c r="EF93" i="2"/>
  <c r="EE93" i="2"/>
  <c r="ED93" i="2"/>
  <c r="EC93" i="2"/>
  <c r="EB93" i="2"/>
  <c r="EA93" i="2"/>
  <c r="DZ93" i="2"/>
  <c r="DY93" i="2"/>
  <c r="DX93" i="2"/>
  <c r="DW93" i="2"/>
  <c r="DV93" i="2"/>
  <c r="DU93" i="2"/>
  <c r="DT93" i="2"/>
  <c r="DS93" i="2"/>
  <c r="DR93" i="2"/>
  <c r="DQ93" i="2"/>
  <c r="DP93" i="2"/>
  <c r="DO93" i="2"/>
  <c r="DN93" i="2"/>
  <c r="DM93" i="2"/>
  <c r="DL93" i="2"/>
  <c r="DK93" i="2"/>
  <c r="DJ93" i="2"/>
  <c r="DI93" i="2"/>
  <c r="DH93" i="2"/>
  <c r="DG93" i="2"/>
  <c r="DF93" i="2"/>
  <c r="DE93" i="2"/>
  <c r="DD93" i="2"/>
  <c r="DC93" i="2"/>
  <c r="DB93" i="2"/>
  <c r="DA93" i="2"/>
  <c r="CZ93" i="2"/>
  <c r="CY93" i="2"/>
  <c r="CX93" i="2"/>
  <c r="CW93" i="2"/>
  <c r="CV93" i="2"/>
  <c r="CU93" i="2"/>
  <c r="CT93" i="2"/>
  <c r="CS93" i="2"/>
  <c r="CR93" i="2"/>
  <c r="CQ93" i="2"/>
  <c r="CP93" i="2"/>
  <c r="CO93" i="2"/>
  <c r="CN93" i="2"/>
  <c r="CM93" i="2"/>
  <c r="CL93" i="2"/>
  <c r="CK93" i="2"/>
  <c r="CJ93" i="2"/>
  <c r="CI93" i="2"/>
  <c r="CH93" i="2"/>
  <c r="CG93" i="2"/>
  <c r="CF93" i="2"/>
  <c r="CE93" i="2"/>
  <c r="CD93" i="2"/>
  <c r="CC93" i="2"/>
  <c r="CB93" i="2"/>
  <c r="CA93" i="2"/>
  <c r="BZ93" i="2"/>
  <c r="BY93" i="2"/>
  <c r="BX93" i="2"/>
  <c r="BW93" i="2"/>
  <c r="BV93" i="2"/>
  <c r="BU93" i="2"/>
  <c r="BT93" i="2"/>
  <c r="BS93" i="2"/>
  <c r="BR93"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93" i="2"/>
  <c r="EP92" i="2"/>
  <c r="EL92" i="2"/>
  <c r="EH92" i="2"/>
  <c r="ED92" i="2"/>
  <c r="DZ92" i="2"/>
  <c r="DV92" i="2"/>
  <c r="DR92" i="2"/>
  <c r="DN92" i="2"/>
  <c r="DJ92" i="2"/>
  <c r="DF92" i="2"/>
  <c r="DB92" i="2"/>
  <c r="CX92" i="2"/>
  <c r="CT92" i="2"/>
  <c r="CP92" i="2"/>
  <c r="CL92" i="2"/>
  <c r="CH92" i="2"/>
  <c r="CD92" i="2"/>
  <c r="BZ92" i="2"/>
  <c r="BV92" i="2"/>
  <c r="BR92" i="2"/>
  <c r="BN92" i="2"/>
  <c r="BJ92" i="2"/>
  <c r="BF92" i="2"/>
  <c r="BB92" i="2"/>
  <c r="AX92" i="2"/>
  <c r="AT92" i="2"/>
  <c r="AP92" i="2"/>
  <c r="AL92" i="2"/>
  <c r="AH92" i="2"/>
  <c r="AD92" i="2"/>
  <c r="Z92" i="2"/>
  <c r="V92" i="2"/>
  <c r="R92" i="2"/>
  <c r="N92" i="2"/>
  <c r="J92" i="2"/>
  <c r="F92" i="2"/>
  <c r="B92" i="2"/>
  <c r="ER91" i="2"/>
  <c r="EP91" i="2"/>
  <c r="EN91" i="2"/>
  <c r="EL91" i="2"/>
  <c r="EJ91" i="2"/>
  <c r="EH91" i="2"/>
  <c r="EF91" i="2"/>
  <c r="ED91" i="2"/>
  <c r="EB91" i="2"/>
  <c r="DZ91" i="2"/>
  <c r="DX91" i="2"/>
  <c r="DV91" i="2"/>
  <c r="DT91" i="2"/>
  <c r="DR91" i="2"/>
  <c r="DP91" i="2"/>
  <c r="DN91" i="2"/>
  <c r="DL91" i="2"/>
  <c r="DJ91" i="2"/>
  <c r="DH91" i="2"/>
  <c r="DF91" i="2"/>
  <c r="DD91" i="2"/>
  <c r="DB91" i="2"/>
  <c r="CV91" i="2"/>
  <c r="CT91" i="2"/>
  <c r="CR91" i="2"/>
  <c r="CP91" i="2"/>
  <c r="CN91" i="2"/>
  <c r="CL91" i="2"/>
  <c r="CJ91" i="2"/>
  <c r="CH91" i="2"/>
  <c r="CF91" i="2"/>
  <c r="CD91" i="2"/>
  <c r="CB91" i="2"/>
  <c r="BZ91" i="2"/>
  <c r="BX91" i="2"/>
  <c r="BV91" i="2"/>
  <c r="BT91" i="2"/>
  <c r="BR91" i="2"/>
  <c r="BP91" i="2"/>
  <c r="BN91" i="2"/>
  <c r="BL91" i="2"/>
  <c r="BJ91" i="2"/>
  <c r="BH91" i="2"/>
  <c r="BF91" i="2"/>
  <c r="BD91" i="2"/>
  <c r="BB91" i="2"/>
  <c r="AZ91" i="2"/>
  <c r="AX91" i="2"/>
  <c r="AV91" i="2"/>
  <c r="AT91" i="2"/>
  <c r="AR91" i="2"/>
  <c r="AP91" i="2"/>
  <c r="AN91" i="2"/>
  <c r="AL91" i="2"/>
  <c r="AJ91" i="2"/>
  <c r="AH91" i="2"/>
  <c r="AF91" i="2"/>
  <c r="AD91" i="2"/>
  <c r="AB91" i="2"/>
  <c r="Z91" i="2"/>
  <c r="X91" i="2"/>
  <c r="V91" i="2"/>
  <c r="T91" i="2"/>
  <c r="R91" i="2"/>
  <c r="P91" i="2"/>
  <c r="N91" i="2"/>
  <c r="L91" i="2"/>
  <c r="J91" i="2"/>
  <c r="H91" i="2"/>
  <c r="F91" i="2"/>
  <c r="D91" i="2"/>
  <c r="B91" i="2"/>
  <c r="ER90" i="2"/>
  <c r="EP90" i="2"/>
  <c r="EN90" i="2"/>
  <c r="EL90" i="2"/>
  <c r="EJ90" i="2"/>
  <c r="EH90" i="2"/>
  <c r="EF90" i="2"/>
  <c r="ED90" i="2"/>
  <c r="EB90" i="2"/>
  <c r="DZ90" i="2"/>
  <c r="DX90" i="2"/>
  <c r="DV90" i="2"/>
  <c r="DT90" i="2"/>
  <c r="DR90" i="2"/>
  <c r="DP90" i="2"/>
  <c r="DN90" i="2"/>
  <c r="DL90" i="2"/>
  <c r="DJ90" i="2"/>
  <c r="DH90" i="2"/>
  <c r="DF90" i="2"/>
  <c r="DD90" i="2"/>
  <c r="DB90" i="2"/>
  <c r="CV90" i="2"/>
  <c r="CT90" i="2"/>
  <c r="CR90" i="2"/>
  <c r="CP90" i="2"/>
  <c r="CN90" i="2"/>
  <c r="CL90" i="2"/>
  <c r="CJ90" i="2"/>
  <c r="CH90" i="2"/>
  <c r="CF90" i="2"/>
  <c r="CD90" i="2"/>
  <c r="CB90" i="2"/>
  <c r="BZ90" i="2"/>
  <c r="BX90" i="2"/>
  <c r="BV90" i="2"/>
  <c r="BT90" i="2"/>
  <c r="BR90" i="2"/>
  <c r="BP90" i="2"/>
  <c r="BN90" i="2"/>
  <c r="BL90" i="2"/>
  <c r="BJ90" i="2"/>
  <c r="BH90" i="2"/>
  <c r="BF90" i="2"/>
  <c r="BD90" i="2"/>
  <c r="BB90" i="2"/>
  <c r="AZ90" i="2"/>
  <c r="AX90" i="2"/>
  <c r="AV90" i="2"/>
  <c r="AT90" i="2"/>
  <c r="AR90" i="2"/>
  <c r="AP90" i="2"/>
  <c r="AN90" i="2"/>
  <c r="AL90" i="2"/>
  <c r="AJ90" i="2"/>
  <c r="AH90" i="2"/>
  <c r="AF90" i="2"/>
  <c r="AD90" i="2"/>
  <c r="AB90" i="2"/>
  <c r="Z90" i="2"/>
  <c r="X90" i="2"/>
  <c r="V90" i="2"/>
  <c r="T90" i="2"/>
  <c r="R90" i="2"/>
  <c r="P90" i="2"/>
  <c r="N90" i="2"/>
  <c r="L90" i="2"/>
  <c r="J90" i="2"/>
  <c r="H90" i="2"/>
  <c r="F90" i="2"/>
  <c r="D90" i="2"/>
  <c r="B90" i="2"/>
  <c r="ER89" i="2"/>
  <c r="EP89" i="2"/>
  <c r="EN89" i="2"/>
  <c r="EL89" i="2"/>
  <c r="EJ89" i="2"/>
  <c r="EH89" i="2"/>
  <c r="EF89" i="2"/>
  <c r="ED89" i="2"/>
  <c r="EB89" i="2"/>
  <c r="DZ89" i="2"/>
  <c r="DX89" i="2"/>
  <c r="DV89" i="2"/>
  <c r="DT89" i="2"/>
  <c r="DR89" i="2"/>
  <c r="DP89" i="2"/>
  <c r="DN89" i="2"/>
  <c r="DL89" i="2"/>
  <c r="DJ89" i="2"/>
  <c r="DH89" i="2"/>
  <c r="DF89" i="2"/>
  <c r="DD89" i="2"/>
  <c r="DB89" i="2"/>
  <c r="CV89" i="2"/>
  <c r="CT89" i="2"/>
  <c r="CR89" i="2"/>
  <c r="CP89" i="2"/>
  <c r="CN89" i="2"/>
  <c r="CL89" i="2"/>
  <c r="CJ89" i="2"/>
  <c r="CH89" i="2"/>
  <c r="CF89" i="2"/>
  <c r="CD89" i="2"/>
  <c r="CB89" i="2"/>
  <c r="BZ89" i="2"/>
  <c r="BX89" i="2"/>
  <c r="BV89" i="2"/>
  <c r="BT89" i="2"/>
  <c r="BR89" i="2"/>
  <c r="BP89" i="2"/>
  <c r="BN89" i="2"/>
  <c r="BL89" i="2"/>
  <c r="BJ89" i="2"/>
  <c r="BH89" i="2"/>
  <c r="BF89" i="2"/>
  <c r="BD89" i="2"/>
  <c r="BB89" i="2"/>
  <c r="AZ89" i="2"/>
  <c r="AX89" i="2"/>
  <c r="AV89" i="2"/>
  <c r="AT89" i="2"/>
  <c r="AR89" i="2"/>
  <c r="AP89" i="2"/>
  <c r="AN89" i="2"/>
  <c r="AL89" i="2"/>
  <c r="AJ89" i="2"/>
  <c r="AH89" i="2"/>
  <c r="AF89" i="2"/>
  <c r="AD89" i="2"/>
  <c r="AB89" i="2"/>
  <c r="Z89" i="2"/>
  <c r="X89" i="2"/>
  <c r="V89" i="2"/>
  <c r="T89" i="2"/>
  <c r="R89" i="2"/>
  <c r="P89" i="2"/>
  <c r="N89" i="2"/>
  <c r="L89" i="2"/>
  <c r="J89" i="2"/>
  <c r="H89" i="2"/>
  <c r="F89" i="2"/>
  <c r="D89" i="2"/>
  <c r="B89" i="2"/>
  <c r="ER88" i="2"/>
  <c r="EP88" i="2"/>
  <c r="EN88" i="2"/>
  <c r="EL88" i="2"/>
  <c r="EJ88" i="2"/>
  <c r="EH88" i="2"/>
  <c r="EF88" i="2"/>
  <c r="ED88" i="2"/>
  <c r="EB88" i="2"/>
  <c r="DZ88" i="2"/>
  <c r="DX88" i="2"/>
  <c r="DV88" i="2"/>
  <c r="DT88" i="2"/>
  <c r="DR88" i="2"/>
  <c r="DP88" i="2"/>
  <c r="DN88" i="2"/>
  <c r="DL88" i="2"/>
  <c r="DJ88" i="2"/>
  <c r="DH88" i="2"/>
  <c r="DF88" i="2"/>
  <c r="DD88" i="2"/>
  <c r="DB88" i="2"/>
  <c r="CV88" i="2"/>
  <c r="CT88" i="2"/>
  <c r="CR88" i="2"/>
  <c r="CP88" i="2"/>
  <c r="CN88" i="2"/>
  <c r="CL88" i="2"/>
  <c r="CJ88" i="2"/>
  <c r="CH88" i="2"/>
  <c r="CF88" i="2"/>
  <c r="CD88" i="2"/>
  <c r="CB88" i="2"/>
  <c r="BZ88" i="2"/>
  <c r="BX88" i="2"/>
  <c r="BV88" i="2"/>
  <c r="BT88" i="2"/>
  <c r="BR88" i="2"/>
  <c r="BP88" i="2"/>
  <c r="BN88" i="2"/>
  <c r="BL88" i="2"/>
  <c r="BJ88" i="2"/>
  <c r="BH88" i="2"/>
  <c r="BF88" i="2"/>
  <c r="BD88" i="2"/>
  <c r="BB88" i="2"/>
  <c r="AZ88" i="2"/>
  <c r="AX88" i="2"/>
  <c r="AV88" i="2"/>
  <c r="AT88" i="2"/>
  <c r="AR88" i="2"/>
  <c r="AP88" i="2"/>
  <c r="AN88" i="2"/>
  <c r="AL88" i="2"/>
  <c r="AJ88" i="2"/>
  <c r="AH88" i="2"/>
  <c r="AF88" i="2"/>
  <c r="AD88" i="2"/>
  <c r="AB88" i="2"/>
  <c r="Z88" i="2"/>
  <c r="X88" i="2"/>
  <c r="V88" i="2"/>
  <c r="T88" i="2"/>
  <c r="R88" i="2"/>
  <c r="P88" i="2"/>
  <c r="N88" i="2"/>
  <c r="L88" i="2"/>
  <c r="J88" i="2"/>
  <c r="H88" i="2"/>
  <c r="F88" i="2"/>
  <c r="D88" i="2"/>
  <c r="B88" i="2"/>
  <c r="ER87" i="2"/>
  <c r="EP87" i="2"/>
  <c r="EN87" i="2"/>
  <c r="EL87" i="2"/>
  <c r="EJ87" i="2"/>
  <c r="EH87" i="2"/>
  <c r="EF87" i="2"/>
  <c r="ED87" i="2"/>
  <c r="EB87" i="2"/>
  <c r="DZ87" i="2"/>
  <c r="DX87" i="2"/>
  <c r="DV87" i="2"/>
  <c r="DT87" i="2"/>
  <c r="DR87" i="2"/>
  <c r="DP87" i="2"/>
  <c r="DN87" i="2"/>
  <c r="DL87" i="2"/>
  <c r="DJ87" i="2"/>
  <c r="DH87" i="2"/>
  <c r="DF87" i="2"/>
  <c r="DD87" i="2"/>
  <c r="DB87" i="2"/>
  <c r="CV87" i="2"/>
  <c r="CT87" i="2"/>
  <c r="CR87" i="2"/>
  <c r="CP87" i="2"/>
  <c r="CN87" i="2"/>
  <c r="CL87" i="2"/>
  <c r="CJ87" i="2"/>
  <c r="CH87" i="2"/>
  <c r="CF87" i="2"/>
  <c r="CD87" i="2"/>
  <c r="CB87" i="2"/>
  <c r="BZ87" i="2"/>
  <c r="BX87" i="2"/>
  <c r="BV87" i="2"/>
  <c r="BT87" i="2"/>
  <c r="BR87" i="2"/>
  <c r="BP87" i="2"/>
  <c r="BN87" i="2"/>
  <c r="BL87" i="2"/>
  <c r="BJ87" i="2"/>
  <c r="BH87" i="2"/>
  <c r="BF87" i="2"/>
  <c r="BD87" i="2"/>
  <c r="BB87" i="2"/>
  <c r="AZ87" i="2"/>
  <c r="AX87" i="2"/>
  <c r="AV87" i="2"/>
  <c r="AT87" i="2"/>
  <c r="AR87" i="2"/>
  <c r="AP87" i="2"/>
  <c r="AN87" i="2"/>
  <c r="AL87" i="2"/>
  <c r="AJ87" i="2"/>
  <c r="AH87" i="2"/>
  <c r="AF87" i="2"/>
  <c r="AD87" i="2"/>
  <c r="AB87" i="2"/>
  <c r="Z87" i="2"/>
  <c r="X87" i="2"/>
  <c r="V87" i="2"/>
  <c r="T87" i="2"/>
  <c r="R87" i="2"/>
  <c r="P87" i="2"/>
  <c r="N87" i="2"/>
  <c r="L87" i="2"/>
  <c r="J87" i="2"/>
  <c r="H87" i="2"/>
  <c r="F87" i="2"/>
  <c r="D87" i="2"/>
  <c r="B87" i="2"/>
  <c r="ER86" i="2"/>
  <c r="EP86" i="2"/>
  <c r="EN86" i="2"/>
  <c r="EL86" i="2"/>
  <c r="EJ86" i="2"/>
  <c r="EH86" i="2"/>
  <c r="EF86" i="2"/>
  <c r="ED86" i="2"/>
  <c r="EB86" i="2"/>
  <c r="DZ86" i="2"/>
  <c r="DX86" i="2"/>
  <c r="DV86" i="2"/>
  <c r="DT86" i="2"/>
  <c r="DR86" i="2"/>
  <c r="DP86" i="2"/>
  <c r="DN86" i="2"/>
  <c r="DL86" i="2"/>
  <c r="DJ86" i="2"/>
  <c r="DH86" i="2"/>
  <c r="DF86" i="2"/>
  <c r="DD86" i="2"/>
  <c r="DB86" i="2"/>
  <c r="CV86" i="2"/>
  <c r="CT86" i="2"/>
  <c r="CR86" i="2"/>
  <c r="CP86" i="2"/>
  <c r="CN86" i="2"/>
  <c r="CL86" i="2"/>
  <c r="CJ86" i="2"/>
  <c r="CH86" i="2"/>
  <c r="CF86" i="2"/>
  <c r="CD86" i="2"/>
  <c r="CB86" i="2"/>
  <c r="BZ86" i="2"/>
  <c r="BX86" i="2"/>
  <c r="BV86" i="2"/>
  <c r="BT86" i="2"/>
  <c r="BR86" i="2"/>
  <c r="BP86" i="2"/>
  <c r="BN86" i="2"/>
  <c r="BL86" i="2"/>
  <c r="BJ86" i="2"/>
  <c r="BH86" i="2"/>
  <c r="BF86" i="2"/>
  <c r="BD86" i="2"/>
  <c r="BB86" i="2"/>
  <c r="AZ86" i="2"/>
  <c r="AX86" i="2"/>
  <c r="AV86" i="2"/>
  <c r="AT86" i="2"/>
  <c r="AR86" i="2"/>
  <c r="AP86" i="2"/>
  <c r="AN86" i="2"/>
  <c r="AL86" i="2"/>
  <c r="AJ86" i="2"/>
  <c r="AH86" i="2"/>
  <c r="AF86" i="2"/>
  <c r="AD86" i="2"/>
  <c r="AB86" i="2"/>
  <c r="Z86" i="2"/>
  <c r="X86" i="2"/>
  <c r="V86" i="2"/>
  <c r="T86" i="2"/>
  <c r="R86" i="2"/>
  <c r="P86" i="2"/>
  <c r="N86" i="2"/>
  <c r="L86" i="2"/>
  <c r="J86" i="2"/>
  <c r="H86" i="2"/>
  <c r="F86" i="2"/>
  <c r="D86" i="2"/>
  <c r="B86" i="2"/>
  <c r="ER85" i="2"/>
  <c r="EP85" i="2"/>
  <c r="EN85" i="2"/>
  <c r="EL85" i="2"/>
  <c r="EJ85" i="2"/>
  <c r="EH85" i="2"/>
  <c r="EF85" i="2"/>
  <c r="ED85" i="2"/>
  <c r="EB85" i="2"/>
  <c r="DZ85" i="2"/>
  <c r="DX85" i="2"/>
  <c r="DV85" i="2"/>
  <c r="DT85" i="2"/>
  <c r="DR85" i="2"/>
  <c r="DP85" i="2"/>
  <c r="DN85" i="2"/>
  <c r="DL85" i="2"/>
  <c r="DJ85" i="2"/>
  <c r="DH85" i="2"/>
  <c r="DF85" i="2"/>
  <c r="DD85" i="2"/>
  <c r="DB85" i="2"/>
  <c r="CV85" i="2"/>
  <c r="CT85" i="2"/>
  <c r="CR85" i="2"/>
  <c r="CP85" i="2"/>
  <c r="CN85" i="2"/>
  <c r="CL85" i="2"/>
  <c r="CJ85" i="2"/>
  <c r="CH85" i="2"/>
  <c r="CF85" i="2"/>
  <c r="CD85" i="2"/>
  <c r="CB85" i="2"/>
  <c r="BZ85" i="2"/>
  <c r="BX85" i="2"/>
  <c r="BV85" i="2"/>
  <c r="BT85" i="2"/>
  <c r="BR85" i="2"/>
  <c r="BP85" i="2"/>
  <c r="BN85" i="2"/>
  <c r="BL85" i="2"/>
  <c r="BJ85" i="2"/>
  <c r="BH85" i="2"/>
  <c r="BF85" i="2"/>
  <c r="BD85" i="2"/>
  <c r="BB85" i="2"/>
  <c r="AZ85" i="2"/>
  <c r="AX85" i="2"/>
  <c r="AV85" i="2"/>
  <c r="AT85" i="2"/>
  <c r="AR85" i="2"/>
  <c r="AP85" i="2"/>
  <c r="AN85" i="2"/>
  <c r="AL85" i="2"/>
  <c r="AJ85" i="2"/>
  <c r="AH85" i="2"/>
  <c r="AF85" i="2"/>
  <c r="AD85" i="2"/>
  <c r="AB85" i="2"/>
  <c r="Z85" i="2"/>
  <c r="X85" i="2"/>
  <c r="V85" i="2"/>
  <c r="T85" i="2"/>
  <c r="R85" i="2"/>
  <c r="P85" i="2"/>
  <c r="N85" i="2"/>
  <c r="L85" i="2"/>
  <c r="J85" i="2"/>
  <c r="H85" i="2"/>
  <c r="F85" i="2"/>
  <c r="D85" i="2"/>
  <c r="B85" i="2"/>
  <c r="ER84" i="2"/>
  <c r="EP84" i="2"/>
  <c r="EN84" i="2"/>
  <c r="EL84" i="2"/>
  <c r="EJ84" i="2"/>
  <c r="EH84" i="2"/>
  <c r="EF84" i="2"/>
  <c r="ED84" i="2"/>
  <c r="EB84" i="2"/>
  <c r="DZ84" i="2"/>
  <c r="DX84" i="2"/>
  <c r="DV84" i="2"/>
  <c r="DT84" i="2"/>
  <c r="DR84" i="2"/>
  <c r="DP84" i="2"/>
  <c r="DN84" i="2"/>
  <c r="DL84" i="2"/>
  <c r="DJ84" i="2"/>
  <c r="DH84" i="2"/>
  <c r="DF84" i="2"/>
  <c r="DD84" i="2"/>
  <c r="DB84" i="2"/>
  <c r="CV84" i="2"/>
  <c r="CT84" i="2"/>
  <c r="CR84" i="2"/>
  <c r="CP84" i="2"/>
  <c r="CN84" i="2"/>
  <c r="CL84" i="2"/>
  <c r="CJ84" i="2"/>
  <c r="CH84" i="2"/>
  <c r="CF84" i="2"/>
  <c r="CD84" i="2"/>
  <c r="CB84" i="2"/>
  <c r="BZ84" i="2"/>
  <c r="BX84" i="2"/>
  <c r="BV84" i="2"/>
  <c r="BT84" i="2"/>
  <c r="BR84" i="2"/>
  <c r="BP84" i="2"/>
  <c r="BN84" i="2"/>
  <c r="BL84" i="2"/>
  <c r="BJ84" i="2"/>
  <c r="BH84" i="2"/>
  <c r="BF84" i="2"/>
  <c r="BD84" i="2"/>
  <c r="BB84" i="2"/>
  <c r="AZ84" i="2"/>
  <c r="AX84" i="2"/>
  <c r="AV84" i="2"/>
  <c r="AT84" i="2"/>
  <c r="AR84" i="2"/>
  <c r="AP84" i="2"/>
  <c r="AN84" i="2"/>
  <c r="AL84" i="2"/>
  <c r="AJ84" i="2"/>
  <c r="AH84" i="2"/>
  <c r="AF84" i="2"/>
  <c r="AD84" i="2"/>
  <c r="AB84" i="2"/>
  <c r="Z84" i="2"/>
  <c r="X84" i="2"/>
  <c r="V84" i="2"/>
  <c r="T84" i="2"/>
  <c r="R84" i="2"/>
  <c r="P84" i="2"/>
  <c r="N84" i="2"/>
  <c r="L84" i="2"/>
  <c r="J84" i="2"/>
  <c r="H84" i="2"/>
  <c r="F84" i="2"/>
  <c r="D84" i="2"/>
  <c r="B84" i="2"/>
  <c r="ER83" i="2"/>
  <c r="EP83" i="2"/>
  <c r="EN83" i="2"/>
  <c r="EL83" i="2"/>
  <c r="EJ83" i="2"/>
  <c r="EH83" i="2"/>
  <c r="EF83" i="2"/>
  <c r="ED83" i="2"/>
  <c r="EB83" i="2"/>
  <c r="DZ83" i="2"/>
  <c r="DX83" i="2"/>
  <c r="DV83" i="2"/>
  <c r="DT83" i="2"/>
  <c r="DR83" i="2"/>
  <c r="DP83" i="2"/>
  <c r="DN83" i="2"/>
  <c r="DL83" i="2"/>
  <c r="DJ83" i="2"/>
  <c r="DH83" i="2"/>
  <c r="DF83" i="2"/>
  <c r="DD83" i="2"/>
  <c r="DB83" i="2"/>
  <c r="CV83" i="2"/>
  <c r="CT83" i="2"/>
  <c r="CR83" i="2"/>
  <c r="CP83" i="2"/>
  <c r="CN83" i="2"/>
  <c r="CL83" i="2"/>
  <c r="CJ83" i="2"/>
  <c r="CH83" i="2"/>
  <c r="CF83" i="2"/>
  <c r="CD83" i="2"/>
  <c r="CB83" i="2"/>
  <c r="BZ83" i="2"/>
  <c r="BX83" i="2"/>
  <c r="BV83" i="2"/>
  <c r="BT83" i="2"/>
  <c r="BR83" i="2"/>
  <c r="BP83" i="2"/>
  <c r="BN83" i="2"/>
  <c r="BL83" i="2"/>
  <c r="BJ83" i="2"/>
  <c r="BH83" i="2"/>
  <c r="BF83" i="2"/>
  <c r="BD83" i="2"/>
  <c r="BB83" i="2"/>
  <c r="AZ83" i="2"/>
  <c r="AX83" i="2"/>
  <c r="AV83" i="2"/>
  <c r="AT83" i="2"/>
  <c r="AR83" i="2"/>
  <c r="AP83" i="2"/>
  <c r="AN83" i="2"/>
  <c r="AL83" i="2"/>
  <c r="AJ83" i="2"/>
  <c r="AH83" i="2"/>
  <c r="AF83" i="2"/>
  <c r="AD83" i="2"/>
  <c r="AB83" i="2"/>
  <c r="Z83" i="2"/>
  <c r="X83" i="2"/>
  <c r="V83" i="2"/>
  <c r="T83" i="2"/>
  <c r="R83" i="2"/>
  <c r="P83" i="2"/>
  <c r="N83" i="2"/>
  <c r="L83" i="2"/>
  <c r="J83" i="2"/>
  <c r="H83" i="2"/>
  <c r="F83" i="2"/>
  <c r="D83" i="2"/>
  <c r="B83" i="2"/>
  <c r="ER82" i="2"/>
  <c r="EP82" i="2"/>
  <c r="EN82" i="2"/>
  <c r="EL82" i="2"/>
  <c r="EJ82" i="2"/>
  <c r="EH82" i="2"/>
  <c r="EF82" i="2"/>
  <c r="ED82" i="2"/>
  <c r="EB82" i="2"/>
  <c r="DZ82" i="2"/>
  <c r="DX82" i="2"/>
  <c r="DV82" i="2"/>
  <c r="DT82" i="2"/>
  <c r="DR82" i="2"/>
  <c r="DP82" i="2"/>
  <c r="DN82" i="2"/>
  <c r="DL82" i="2"/>
  <c r="DJ82" i="2"/>
  <c r="DH82" i="2"/>
  <c r="DF82" i="2"/>
  <c r="DD82" i="2"/>
  <c r="DB82" i="2"/>
  <c r="CZ82" i="2"/>
  <c r="CX82" i="2"/>
  <c r="CV82" i="2"/>
  <c r="CT82" i="2"/>
  <c r="CR82" i="2"/>
  <c r="CP82" i="2"/>
  <c r="CN82" i="2"/>
  <c r="CL82" i="2"/>
  <c r="CJ82" i="2"/>
  <c r="CH82" i="2"/>
  <c r="CF82" i="2"/>
  <c r="CD82" i="2"/>
  <c r="CB82" i="2"/>
  <c r="BZ82" i="2"/>
  <c r="BX82" i="2"/>
  <c r="BV82" i="2"/>
  <c r="BT82" i="2"/>
  <c r="BR82" i="2"/>
  <c r="BP82" i="2"/>
  <c r="BN82" i="2"/>
  <c r="BL82" i="2"/>
  <c r="BJ82" i="2"/>
  <c r="BH82" i="2"/>
  <c r="BF82" i="2"/>
  <c r="BD82" i="2"/>
  <c r="BB82" i="2"/>
  <c r="AZ82" i="2"/>
  <c r="AX82" i="2"/>
  <c r="AV82" i="2"/>
  <c r="AT82" i="2"/>
  <c r="AR82" i="2"/>
  <c r="AP82" i="2"/>
  <c r="AN82" i="2"/>
  <c r="AL82" i="2"/>
  <c r="AJ82" i="2"/>
  <c r="AH82" i="2"/>
  <c r="AF82" i="2"/>
  <c r="AD82" i="2"/>
  <c r="AB82" i="2"/>
  <c r="Z82" i="2"/>
  <c r="X82" i="2"/>
  <c r="V82" i="2"/>
  <c r="T82" i="2"/>
  <c r="R82" i="2"/>
  <c r="P82" i="2"/>
  <c r="N82" i="2"/>
  <c r="L82" i="2"/>
  <c r="J82" i="2"/>
  <c r="H82" i="2"/>
  <c r="F82" i="2"/>
  <c r="D82" i="2"/>
  <c r="B82" i="2"/>
  <c r="EN81" i="2"/>
  <c r="EL81" i="2"/>
  <c r="DX81" i="2"/>
  <c r="DV81" i="2"/>
  <c r="DT81" i="2"/>
  <c r="DR81" i="2"/>
  <c r="CV81" i="2"/>
  <c r="CT81" i="2"/>
  <c r="CN81" i="2"/>
  <c r="CL81" i="2"/>
  <c r="CF81" i="2"/>
  <c r="CD81" i="2"/>
  <c r="CB81" i="2"/>
  <c r="BZ81" i="2"/>
  <c r="BX81" i="2"/>
  <c r="BV81" i="2"/>
  <c r="BP81" i="2"/>
  <c r="BN81" i="2"/>
  <c r="BH81" i="2"/>
  <c r="BF81" i="2"/>
  <c r="BD81" i="2"/>
  <c r="BB81" i="2"/>
  <c r="AV81" i="2"/>
  <c r="AT81" i="2"/>
  <c r="AJ81" i="2"/>
  <c r="AH81" i="2"/>
  <c r="AF81" i="2"/>
  <c r="AD81" i="2"/>
  <c r="P81" i="2"/>
  <c r="N81" i="2"/>
  <c r="EN80" i="2"/>
  <c r="EL80" i="2"/>
  <c r="DX80" i="2"/>
  <c r="DV80" i="2"/>
  <c r="DT80" i="2"/>
  <c r="DR80" i="2"/>
  <c r="CV80" i="2"/>
  <c r="CT80" i="2"/>
  <c r="CN80" i="2"/>
  <c r="CL80" i="2"/>
  <c r="CF80" i="2"/>
  <c r="CD80" i="2"/>
  <c r="CB80" i="2"/>
  <c r="BZ80" i="2"/>
  <c r="BX80" i="2"/>
  <c r="BV80" i="2"/>
  <c r="BP80" i="2"/>
  <c r="BN80" i="2"/>
  <c r="BH80" i="2"/>
  <c r="BF80" i="2"/>
  <c r="BD80" i="2"/>
  <c r="BB80" i="2"/>
  <c r="AV80" i="2"/>
  <c r="AT80" i="2"/>
  <c r="AJ80" i="2"/>
  <c r="AH80" i="2"/>
  <c r="AF80" i="2"/>
  <c r="AD80" i="2"/>
  <c r="P80" i="2"/>
  <c r="N80" i="2"/>
  <c r="EN79" i="2"/>
  <c r="EL79" i="2"/>
  <c r="DX79" i="2"/>
  <c r="DV79" i="2"/>
  <c r="DT79" i="2"/>
  <c r="DR79" i="2"/>
  <c r="CV79" i="2"/>
  <c r="CT79" i="2"/>
  <c r="CN79" i="2"/>
  <c r="CL79" i="2"/>
  <c r="CF79" i="2"/>
  <c r="CD79" i="2"/>
  <c r="CB79" i="2"/>
  <c r="BZ79" i="2"/>
  <c r="BX79" i="2"/>
  <c r="BV79" i="2"/>
  <c r="BP79" i="2"/>
  <c r="BN79" i="2"/>
  <c r="BH79" i="2"/>
  <c r="BF79" i="2"/>
  <c r="BD79" i="2"/>
  <c r="BB79" i="2"/>
  <c r="AV79" i="2"/>
  <c r="AT79" i="2"/>
  <c r="AJ79" i="2"/>
  <c r="AH79" i="2"/>
  <c r="AF79" i="2"/>
  <c r="AD79" i="2"/>
  <c r="P79" i="2"/>
  <c r="N79" i="2"/>
  <c r="EN78" i="2"/>
  <c r="EL78" i="2"/>
  <c r="DX78" i="2"/>
  <c r="DV78" i="2"/>
  <c r="DT78" i="2"/>
  <c r="DR78" i="2"/>
  <c r="CV78" i="2"/>
  <c r="CT78" i="2"/>
  <c r="CN78" i="2"/>
  <c r="CL78" i="2"/>
  <c r="CF78" i="2"/>
  <c r="CD78" i="2"/>
  <c r="CB78" i="2"/>
  <c r="BZ78" i="2"/>
  <c r="BX78" i="2"/>
  <c r="BV78" i="2"/>
  <c r="BP78" i="2"/>
  <c r="BN78" i="2"/>
  <c r="BH78" i="2"/>
  <c r="BF78" i="2"/>
  <c r="BD78" i="2"/>
  <c r="BB78" i="2"/>
  <c r="AV78" i="2"/>
  <c r="AT78" i="2"/>
  <c r="AJ78" i="2"/>
  <c r="AH78" i="2"/>
  <c r="AF78" i="2"/>
  <c r="AD78" i="2"/>
  <c r="P78" i="2"/>
  <c r="N78" i="2"/>
  <c r="ER77" i="2"/>
  <c r="EP77" i="2"/>
  <c r="EN77" i="2"/>
  <c r="EL77" i="2"/>
  <c r="EJ77" i="2"/>
  <c r="EH77" i="2"/>
  <c r="EF77" i="2"/>
  <c r="ED77" i="2"/>
  <c r="EB77" i="2"/>
  <c r="DZ77" i="2"/>
  <c r="DX77" i="2"/>
  <c r="DV77" i="2"/>
  <c r="DT77" i="2"/>
  <c r="DR77" i="2"/>
  <c r="DP77" i="2"/>
  <c r="DN77" i="2"/>
  <c r="DL77" i="2"/>
  <c r="DJ77" i="2"/>
  <c r="DH77" i="2"/>
  <c r="DF77" i="2"/>
  <c r="DD77" i="2"/>
  <c r="DB77" i="2"/>
  <c r="CZ77" i="2"/>
  <c r="CX77" i="2"/>
  <c r="CV77" i="2"/>
  <c r="CT77" i="2"/>
  <c r="CR77" i="2"/>
  <c r="CP77" i="2"/>
  <c r="CN77" i="2"/>
  <c r="CL77" i="2"/>
  <c r="CJ77" i="2"/>
  <c r="CH77" i="2"/>
  <c r="CF77" i="2"/>
  <c r="CD77" i="2"/>
  <c r="CB77" i="2"/>
  <c r="BZ77" i="2"/>
  <c r="BX77" i="2"/>
  <c r="BV77" i="2"/>
  <c r="BT77" i="2"/>
  <c r="BR77" i="2"/>
  <c r="BP77" i="2"/>
  <c r="BN77" i="2"/>
  <c r="BL77" i="2"/>
  <c r="BJ77" i="2"/>
  <c r="BH77" i="2"/>
  <c r="BF77" i="2"/>
  <c r="BD77" i="2"/>
  <c r="BB77" i="2"/>
  <c r="AZ77" i="2"/>
  <c r="AX77" i="2"/>
  <c r="AV77" i="2"/>
  <c r="AT77" i="2"/>
  <c r="AR77" i="2"/>
  <c r="AP77" i="2"/>
  <c r="AN77" i="2"/>
  <c r="AL77" i="2"/>
  <c r="AJ77" i="2"/>
  <c r="AH77" i="2"/>
  <c r="AF77" i="2"/>
  <c r="AD77" i="2"/>
  <c r="AB77" i="2"/>
  <c r="Z77" i="2"/>
  <c r="X77" i="2"/>
  <c r="V77" i="2"/>
  <c r="T77" i="2"/>
  <c r="R77" i="2"/>
  <c r="P77" i="2"/>
  <c r="N77" i="2"/>
  <c r="L77" i="2"/>
  <c r="J77" i="2"/>
  <c r="H77" i="2"/>
  <c r="F77" i="2"/>
  <c r="D77" i="2"/>
  <c r="B77" i="2"/>
  <c r="ER76" i="2"/>
  <c r="EP76" i="2"/>
  <c r="EN76" i="2"/>
  <c r="EL76" i="2"/>
  <c r="EJ76" i="2"/>
  <c r="EH76" i="2"/>
  <c r="EF76" i="2"/>
  <c r="ED76" i="2"/>
  <c r="EB76" i="2"/>
  <c r="DZ76" i="2"/>
  <c r="DX76" i="2"/>
  <c r="DV76" i="2"/>
  <c r="DT76" i="2"/>
  <c r="DR76" i="2"/>
  <c r="DP76" i="2"/>
  <c r="DN76" i="2"/>
  <c r="DL76" i="2"/>
  <c r="DJ76" i="2"/>
  <c r="DH76" i="2"/>
  <c r="DF76" i="2"/>
  <c r="DD76" i="2"/>
  <c r="DB76" i="2"/>
  <c r="CZ76" i="2"/>
  <c r="CX76" i="2"/>
  <c r="CV76" i="2"/>
  <c r="CT76" i="2"/>
  <c r="CR76" i="2"/>
  <c r="CP76" i="2"/>
  <c r="CN76" i="2"/>
  <c r="CL76" i="2"/>
  <c r="CJ76" i="2"/>
  <c r="CH76" i="2"/>
  <c r="CF76" i="2"/>
  <c r="CD76" i="2"/>
  <c r="CB76" i="2"/>
  <c r="BZ76" i="2"/>
  <c r="BX76" i="2"/>
  <c r="BV76" i="2"/>
  <c r="BT76" i="2"/>
  <c r="BR76" i="2"/>
  <c r="BP76" i="2"/>
  <c r="BN76" i="2"/>
  <c r="BL76" i="2"/>
  <c r="BJ76" i="2"/>
  <c r="BH76" i="2"/>
  <c r="BF76" i="2"/>
  <c r="BD76" i="2"/>
  <c r="BB76" i="2"/>
  <c r="AZ76" i="2"/>
  <c r="AX76" i="2"/>
  <c r="AV76" i="2"/>
  <c r="AT76" i="2"/>
  <c r="AR76" i="2"/>
  <c r="AP76" i="2"/>
  <c r="AN76" i="2"/>
  <c r="AL76" i="2"/>
  <c r="AJ76" i="2"/>
  <c r="AH76" i="2"/>
  <c r="AF76" i="2"/>
  <c r="AD76" i="2"/>
  <c r="AB76" i="2"/>
  <c r="Z76" i="2"/>
  <c r="X76" i="2"/>
  <c r="V76" i="2"/>
  <c r="T76" i="2"/>
  <c r="R76" i="2"/>
  <c r="P76" i="2"/>
  <c r="N76" i="2"/>
  <c r="L76" i="2"/>
  <c r="J76" i="2"/>
  <c r="H76" i="2"/>
  <c r="F76" i="2"/>
  <c r="D76" i="2"/>
  <c r="B76" i="2"/>
  <c r="ES75" i="2"/>
  <c r="ER75" i="2"/>
  <c r="EQ75" i="2"/>
  <c r="EP75" i="2"/>
  <c r="EO75" i="2"/>
  <c r="EN75" i="2"/>
  <c r="EM75" i="2"/>
  <c r="EL75" i="2"/>
  <c r="EK75" i="2"/>
  <c r="EJ75" i="2"/>
  <c r="EI75" i="2"/>
  <c r="EH75" i="2"/>
  <c r="EG75" i="2"/>
  <c r="EF75" i="2"/>
  <c r="EE75" i="2"/>
  <c r="ED75" i="2"/>
  <c r="EC75" i="2"/>
  <c r="EB75" i="2"/>
  <c r="EA75" i="2"/>
  <c r="DZ75" i="2"/>
  <c r="DY75" i="2"/>
  <c r="DX75" i="2"/>
  <c r="DW75" i="2"/>
  <c r="DV75" i="2"/>
  <c r="DU75" i="2"/>
  <c r="DT75" i="2"/>
  <c r="DS75" i="2"/>
  <c r="DR75" i="2"/>
  <c r="DQ75" i="2"/>
  <c r="DP75" i="2"/>
  <c r="DO75" i="2"/>
  <c r="DN75" i="2"/>
  <c r="DM75" i="2"/>
  <c r="DL75" i="2"/>
  <c r="DK75" i="2"/>
  <c r="DJ75" i="2"/>
  <c r="DI75" i="2"/>
  <c r="DH75" i="2"/>
  <c r="DG75" i="2"/>
  <c r="DF75" i="2"/>
  <c r="DE75" i="2"/>
  <c r="DD75" i="2"/>
  <c r="DC75" i="2"/>
  <c r="DB75" i="2"/>
  <c r="DA75" i="2"/>
  <c r="CZ75" i="2"/>
  <c r="CY75" i="2"/>
  <c r="CX75" i="2"/>
  <c r="CW75" i="2"/>
  <c r="CV75" i="2"/>
  <c r="CU75" i="2"/>
  <c r="CT75" i="2"/>
  <c r="CS75" i="2"/>
  <c r="CR75" i="2"/>
  <c r="CQ75" i="2"/>
  <c r="CP75" i="2"/>
  <c r="CO75" i="2"/>
  <c r="CN75" i="2"/>
  <c r="CM75" i="2"/>
  <c r="CL75" i="2"/>
  <c r="CK75" i="2"/>
  <c r="CJ75" i="2"/>
  <c r="CI75" i="2"/>
  <c r="CH75" i="2"/>
  <c r="CG75" i="2"/>
  <c r="CF75" i="2"/>
  <c r="CE75" i="2"/>
  <c r="CD75" i="2"/>
  <c r="CC75" i="2"/>
  <c r="CB75" i="2"/>
  <c r="CA75"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ER74" i="2"/>
  <c r="EP74" i="2"/>
  <c r="EN74" i="2"/>
  <c r="EL74" i="2"/>
  <c r="EJ74" i="2"/>
  <c r="EH74" i="2"/>
  <c r="EF74" i="2"/>
  <c r="ED74" i="2"/>
  <c r="EB74" i="2"/>
  <c r="DZ74" i="2"/>
  <c r="DX74" i="2"/>
  <c r="DV74" i="2"/>
  <c r="DT74" i="2"/>
  <c r="DR74" i="2"/>
  <c r="DP74" i="2"/>
  <c r="DN74" i="2"/>
  <c r="DL74" i="2"/>
  <c r="DJ74" i="2"/>
  <c r="DH74" i="2"/>
  <c r="DF74" i="2"/>
  <c r="DD74" i="2"/>
  <c r="DB74" i="2"/>
  <c r="CZ74" i="2"/>
  <c r="CX74" i="2"/>
  <c r="CV74" i="2"/>
  <c r="CT74" i="2"/>
  <c r="CR74" i="2"/>
  <c r="CP74" i="2"/>
  <c r="CN74" i="2"/>
  <c r="CL74" i="2"/>
  <c r="CJ74" i="2"/>
  <c r="CH74" i="2"/>
  <c r="CF74" i="2"/>
  <c r="CD74" i="2"/>
  <c r="CB74" i="2"/>
  <c r="BZ74" i="2"/>
  <c r="BX74" i="2"/>
  <c r="BV74" i="2"/>
  <c r="BT74" i="2"/>
  <c r="BR74" i="2"/>
  <c r="BP74" i="2"/>
  <c r="BN74" i="2"/>
  <c r="BL74" i="2"/>
  <c r="BJ74" i="2"/>
  <c r="BH74" i="2"/>
  <c r="BF74" i="2"/>
  <c r="BD74" i="2"/>
  <c r="BB74" i="2"/>
  <c r="AZ74" i="2"/>
  <c r="AX74" i="2"/>
  <c r="AV74" i="2"/>
  <c r="AT74" i="2"/>
  <c r="AR74" i="2"/>
  <c r="AP74" i="2"/>
  <c r="AN74" i="2"/>
  <c r="AL74" i="2"/>
  <c r="AJ74" i="2"/>
  <c r="AH74" i="2"/>
  <c r="AF74" i="2"/>
  <c r="AD74" i="2"/>
  <c r="AB74" i="2"/>
  <c r="Z74" i="2"/>
  <c r="X74" i="2"/>
  <c r="V74" i="2"/>
  <c r="T74" i="2"/>
  <c r="R74" i="2"/>
  <c r="P74" i="2"/>
  <c r="N74" i="2"/>
  <c r="L74" i="2"/>
  <c r="J74" i="2"/>
  <c r="H74" i="2"/>
  <c r="F74" i="2"/>
  <c r="D74" i="2"/>
  <c r="B74" i="2"/>
  <c r="ER73" i="2"/>
  <c r="EP73" i="2"/>
  <c r="EJ73" i="2"/>
  <c r="EH73" i="2"/>
  <c r="DX73" i="2"/>
  <c r="DV73" i="2"/>
  <c r="DT73" i="2"/>
  <c r="DR73" i="2"/>
  <c r="CV73" i="2"/>
  <c r="CT73" i="2"/>
  <c r="CB73" i="2"/>
  <c r="BZ73" i="2"/>
  <c r="BH73" i="2"/>
  <c r="BF73" i="2"/>
  <c r="AV73" i="2"/>
  <c r="AT73" i="2"/>
  <c r="AF73" i="2"/>
  <c r="AD73" i="2"/>
  <c r="ER72" i="2"/>
  <c r="EP72" i="2"/>
  <c r="EN72" i="2"/>
  <c r="EL72" i="2"/>
  <c r="EJ72" i="2"/>
  <c r="EH72" i="2"/>
  <c r="EF72" i="2"/>
  <c r="ED72" i="2"/>
  <c r="EB72" i="2"/>
  <c r="DZ72" i="2"/>
  <c r="DX72" i="2"/>
  <c r="DV72" i="2"/>
  <c r="DT72" i="2"/>
  <c r="DR72" i="2"/>
  <c r="DP72" i="2"/>
  <c r="DN72" i="2"/>
  <c r="DH72" i="2"/>
  <c r="DF72" i="2"/>
  <c r="DD72" i="2"/>
  <c r="DB72" i="2"/>
  <c r="CV72" i="2"/>
  <c r="CT72" i="2"/>
  <c r="CR72" i="2"/>
  <c r="CP72" i="2"/>
  <c r="CN72" i="2"/>
  <c r="CL72" i="2"/>
  <c r="CJ72" i="2"/>
  <c r="CH72" i="2"/>
  <c r="CF72" i="2"/>
  <c r="CD72" i="2"/>
  <c r="CB72" i="2"/>
  <c r="BZ72" i="2"/>
  <c r="BX72" i="2"/>
  <c r="BV72" i="2"/>
  <c r="BT72" i="2"/>
  <c r="BR72" i="2"/>
  <c r="BP72" i="2"/>
  <c r="BN72" i="2"/>
  <c r="BL72" i="2"/>
  <c r="BJ72" i="2"/>
  <c r="BH72" i="2"/>
  <c r="BF72" i="2"/>
  <c r="BD72" i="2"/>
  <c r="BB72" i="2"/>
  <c r="AZ72" i="2"/>
  <c r="AX72" i="2"/>
  <c r="AV72" i="2"/>
  <c r="AT72" i="2"/>
  <c r="AR72" i="2"/>
  <c r="AP72" i="2"/>
  <c r="AN72" i="2"/>
  <c r="AL72" i="2"/>
  <c r="AJ72" i="2"/>
  <c r="AH72" i="2"/>
  <c r="AF72" i="2"/>
  <c r="AD72" i="2"/>
  <c r="AB72" i="2"/>
  <c r="Z72" i="2"/>
  <c r="X72" i="2"/>
  <c r="V72" i="2"/>
  <c r="T72" i="2"/>
  <c r="R72" i="2"/>
  <c r="P72" i="2"/>
  <c r="N72" i="2"/>
  <c r="H72" i="2"/>
  <c r="F72" i="2"/>
  <c r="D72" i="2"/>
  <c r="B72" i="2"/>
  <c r="ER71" i="2"/>
  <c r="EP71" i="2"/>
  <c r="EN71" i="2"/>
  <c r="EL71" i="2"/>
  <c r="EJ71" i="2"/>
  <c r="EH71" i="2"/>
  <c r="EF71" i="2"/>
  <c r="ED71" i="2"/>
  <c r="EB71" i="2"/>
  <c r="DZ71" i="2"/>
  <c r="DX71" i="2"/>
  <c r="DV71" i="2"/>
  <c r="DT71" i="2"/>
  <c r="DR71" i="2"/>
  <c r="DP71" i="2"/>
  <c r="DN71" i="2"/>
  <c r="DL71" i="2"/>
  <c r="DJ71" i="2"/>
  <c r="DH71" i="2"/>
  <c r="DF71" i="2"/>
  <c r="DD71" i="2"/>
  <c r="DB71" i="2"/>
  <c r="CZ71" i="2"/>
  <c r="CX71" i="2"/>
  <c r="CV71" i="2"/>
  <c r="CT71" i="2"/>
  <c r="CR71" i="2"/>
  <c r="CP71" i="2"/>
  <c r="CN71" i="2"/>
  <c r="CL71" i="2"/>
  <c r="CJ71" i="2"/>
  <c r="CH71" i="2"/>
  <c r="CF71" i="2"/>
  <c r="CD71" i="2"/>
  <c r="CB71" i="2"/>
  <c r="BZ71" i="2"/>
  <c r="BX71" i="2"/>
  <c r="BV71" i="2"/>
  <c r="BT71" i="2"/>
  <c r="BR71" i="2"/>
  <c r="BP71" i="2"/>
  <c r="BN71" i="2"/>
  <c r="BL71" i="2"/>
  <c r="BJ71" i="2"/>
  <c r="BH71" i="2"/>
  <c r="BF71" i="2"/>
  <c r="BD71" i="2"/>
  <c r="BB71" i="2"/>
  <c r="AZ71" i="2"/>
  <c r="AX71" i="2"/>
  <c r="AV71" i="2"/>
  <c r="AT71" i="2"/>
  <c r="AR71" i="2"/>
  <c r="AP71" i="2"/>
  <c r="AN71" i="2"/>
  <c r="AL71" i="2"/>
  <c r="AJ71" i="2"/>
  <c r="AH71" i="2"/>
  <c r="AF71" i="2"/>
  <c r="AD71" i="2"/>
  <c r="AB71" i="2"/>
  <c r="Z71" i="2"/>
  <c r="X71" i="2"/>
  <c r="V71" i="2"/>
  <c r="T71" i="2"/>
  <c r="R71" i="2"/>
  <c r="P71" i="2"/>
  <c r="N71" i="2"/>
  <c r="L71" i="2"/>
  <c r="J71" i="2"/>
  <c r="H71" i="2"/>
  <c r="F71" i="2"/>
  <c r="D71" i="2"/>
  <c r="B71" i="2"/>
  <c r="ER70" i="2"/>
  <c r="EP70" i="2"/>
  <c r="EN70" i="2"/>
  <c r="EL70" i="2"/>
  <c r="EJ70" i="2"/>
  <c r="EH70" i="2"/>
  <c r="EF70" i="2"/>
  <c r="ED70" i="2"/>
  <c r="EB70" i="2"/>
  <c r="DZ70" i="2"/>
  <c r="DX70" i="2"/>
  <c r="DV70" i="2"/>
  <c r="DT70" i="2"/>
  <c r="DR70" i="2"/>
  <c r="DP70" i="2"/>
  <c r="DN70" i="2"/>
  <c r="DL70" i="2"/>
  <c r="DJ70" i="2"/>
  <c r="DH70" i="2"/>
  <c r="DF70" i="2"/>
  <c r="DD70" i="2"/>
  <c r="DB70" i="2"/>
  <c r="CZ70" i="2"/>
  <c r="CX70" i="2"/>
  <c r="CV70" i="2"/>
  <c r="CT70" i="2"/>
  <c r="CR70" i="2"/>
  <c r="CP70" i="2"/>
  <c r="CN70" i="2"/>
  <c r="CL70" i="2"/>
  <c r="CJ70" i="2"/>
  <c r="CH70" i="2"/>
  <c r="CF70" i="2"/>
  <c r="CD70" i="2"/>
  <c r="CB70" i="2"/>
  <c r="BZ70" i="2"/>
  <c r="BX70" i="2"/>
  <c r="BV70" i="2"/>
  <c r="BT70" i="2"/>
  <c r="BR70" i="2"/>
  <c r="BP70" i="2"/>
  <c r="BN70" i="2"/>
  <c r="BL70" i="2"/>
  <c r="BJ70" i="2"/>
  <c r="BH70" i="2"/>
  <c r="BF70" i="2"/>
  <c r="BD70" i="2"/>
  <c r="BB70" i="2"/>
  <c r="AZ70" i="2"/>
  <c r="AX70" i="2"/>
  <c r="AV70" i="2"/>
  <c r="AT70" i="2"/>
  <c r="AR70" i="2"/>
  <c r="AP70" i="2"/>
  <c r="AN70" i="2"/>
  <c r="AL70" i="2"/>
  <c r="AJ70" i="2"/>
  <c r="AH70" i="2"/>
  <c r="AF70" i="2"/>
  <c r="AD70" i="2"/>
  <c r="AB70" i="2"/>
  <c r="Z70" i="2"/>
  <c r="X70" i="2"/>
  <c r="V70" i="2"/>
  <c r="T70" i="2"/>
  <c r="R70" i="2"/>
  <c r="P70" i="2"/>
  <c r="N70" i="2"/>
  <c r="L70" i="2"/>
  <c r="J70" i="2"/>
  <c r="H70" i="2"/>
  <c r="F70" i="2"/>
  <c r="D70" i="2"/>
  <c r="B70" i="2"/>
  <c r="ER69" i="2"/>
  <c r="EP69" i="2"/>
  <c r="EN69" i="2"/>
  <c r="EL69" i="2"/>
  <c r="EJ69" i="2"/>
  <c r="EH69" i="2"/>
  <c r="EF69" i="2"/>
  <c r="ED69" i="2"/>
  <c r="EB69" i="2"/>
  <c r="DZ69" i="2"/>
  <c r="DX69" i="2"/>
  <c r="DV69" i="2"/>
  <c r="DT69" i="2"/>
  <c r="DR69" i="2"/>
  <c r="DP69" i="2"/>
  <c r="DN69" i="2"/>
  <c r="DL69" i="2"/>
  <c r="DJ69" i="2"/>
  <c r="DH69" i="2"/>
  <c r="DF69" i="2"/>
  <c r="DD69" i="2"/>
  <c r="DB69" i="2"/>
  <c r="CZ69" i="2"/>
  <c r="CX69" i="2"/>
  <c r="CV69" i="2"/>
  <c r="CT69" i="2"/>
  <c r="CR69" i="2"/>
  <c r="CP69" i="2"/>
  <c r="CN69" i="2"/>
  <c r="CL69" i="2"/>
  <c r="CJ69" i="2"/>
  <c r="CH69" i="2"/>
  <c r="CF69" i="2"/>
  <c r="CD69" i="2"/>
  <c r="CB69" i="2"/>
  <c r="BZ69" i="2"/>
  <c r="BX69" i="2"/>
  <c r="BV69" i="2"/>
  <c r="BT69" i="2"/>
  <c r="BR69" i="2"/>
  <c r="BP69" i="2"/>
  <c r="BN69" i="2"/>
  <c r="BL69" i="2"/>
  <c r="BJ69" i="2"/>
  <c r="BH69" i="2"/>
  <c r="BF69" i="2"/>
  <c r="BD69" i="2"/>
  <c r="BB69" i="2"/>
  <c r="AZ69" i="2"/>
  <c r="AX69" i="2"/>
  <c r="AV69" i="2"/>
  <c r="AT69" i="2"/>
  <c r="AR69" i="2"/>
  <c r="AP69" i="2"/>
  <c r="AN69" i="2"/>
  <c r="AL69" i="2"/>
  <c r="AJ69" i="2"/>
  <c r="AH69" i="2"/>
  <c r="AF69" i="2"/>
  <c r="AD69" i="2"/>
  <c r="AB69" i="2"/>
  <c r="Z69" i="2"/>
  <c r="X69" i="2"/>
  <c r="V69" i="2"/>
  <c r="T69" i="2"/>
  <c r="R69" i="2"/>
  <c r="P69" i="2"/>
  <c r="N69" i="2"/>
  <c r="L69" i="2"/>
  <c r="J69" i="2"/>
  <c r="H69" i="2"/>
  <c r="F69" i="2"/>
  <c r="D69" i="2"/>
  <c r="B69" i="2"/>
  <c r="ER68" i="2"/>
  <c r="EP68" i="2"/>
  <c r="EN68" i="2"/>
  <c r="EL68" i="2"/>
  <c r="EJ68" i="2"/>
  <c r="EH68" i="2"/>
  <c r="EF68" i="2"/>
  <c r="ED68" i="2"/>
  <c r="EB68" i="2"/>
  <c r="DZ68" i="2"/>
  <c r="DX68" i="2"/>
  <c r="DV68" i="2"/>
  <c r="DT68" i="2"/>
  <c r="DR68" i="2"/>
  <c r="DP68" i="2"/>
  <c r="DN68" i="2"/>
  <c r="DL68" i="2"/>
  <c r="DJ68" i="2"/>
  <c r="DH68" i="2"/>
  <c r="DF68" i="2"/>
  <c r="DD68" i="2"/>
  <c r="DB68" i="2"/>
  <c r="CZ68" i="2"/>
  <c r="CX68" i="2"/>
  <c r="CV68" i="2"/>
  <c r="CT68" i="2"/>
  <c r="CR68" i="2"/>
  <c r="CP68" i="2"/>
  <c r="CN68" i="2"/>
  <c r="CL68" i="2"/>
  <c r="CJ68" i="2"/>
  <c r="CH68" i="2"/>
  <c r="CF68" i="2"/>
  <c r="CD68" i="2"/>
  <c r="CB68" i="2"/>
  <c r="BZ68" i="2"/>
  <c r="BX68" i="2"/>
  <c r="BV68" i="2"/>
  <c r="BT68" i="2"/>
  <c r="BR68" i="2"/>
  <c r="BP68" i="2"/>
  <c r="BN68" i="2"/>
  <c r="BL68" i="2"/>
  <c r="BJ68" i="2"/>
  <c r="BH68" i="2"/>
  <c r="BF68" i="2"/>
  <c r="BD68" i="2"/>
  <c r="BB68" i="2"/>
  <c r="AZ68" i="2"/>
  <c r="AX68" i="2"/>
  <c r="AV68" i="2"/>
  <c r="AT68" i="2"/>
  <c r="AR68" i="2"/>
  <c r="AP68" i="2"/>
  <c r="AN68" i="2"/>
  <c r="AL68" i="2"/>
  <c r="AJ68" i="2"/>
  <c r="AH68" i="2"/>
  <c r="AF68" i="2"/>
  <c r="AD68" i="2"/>
  <c r="AB68" i="2"/>
  <c r="Z68" i="2"/>
  <c r="X68" i="2"/>
  <c r="V68" i="2"/>
  <c r="T68" i="2"/>
  <c r="R68" i="2"/>
  <c r="P68" i="2"/>
  <c r="N68" i="2"/>
  <c r="L68" i="2"/>
  <c r="J68" i="2"/>
  <c r="H68" i="2"/>
  <c r="F68" i="2"/>
  <c r="D68" i="2"/>
  <c r="B68" i="2"/>
  <c r="ES67" i="2"/>
  <c r="ER67" i="2"/>
  <c r="EQ67" i="2"/>
  <c r="EP67" i="2"/>
  <c r="EO67" i="2"/>
  <c r="EN67" i="2"/>
  <c r="EM67" i="2"/>
  <c r="EL67" i="2"/>
  <c r="EK67" i="2"/>
  <c r="EJ67" i="2"/>
  <c r="EI67" i="2"/>
  <c r="EH67" i="2"/>
  <c r="EG67" i="2"/>
  <c r="EF67" i="2"/>
  <c r="EE67" i="2"/>
  <c r="ED67" i="2"/>
  <c r="EC67" i="2"/>
  <c r="EB67" i="2"/>
  <c r="EA67" i="2"/>
  <c r="DZ67" i="2"/>
  <c r="DY67" i="2"/>
  <c r="DX67" i="2"/>
  <c r="DW67" i="2"/>
  <c r="DV67" i="2"/>
  <c r="DU67" i="2"/>
  <c r="DT67" i="2"/>
  <c r="DS67" i="2"/>
  <c r="DR67" i="2"/>
  <c r="DQ67" i="2"/>
  <c r="DP67" i="2"/>
  <c r="DO67" i="2"/>
  <c r="DN67" i="2"/>
  <c r="DM67" i="2"/>
  <c r="DL67" i="2"/>
  <c r="DK67" i="2"/>
  <c r="DJ67" i="2"/>
  <c r="DI67" i="2"/>
  <c r="DH67" i="2"/>
  <c r="DG67" i="2"/>
  <c r="DF67" i="2"/>
  <c r="DE67" i="2"/>
  <c r="DD67" i="2"/>
  <c r="DC67" i="2"/>
  <c r="DB67" i="2"/>
  <c r="DA67" i="2"/>
  <c r="CZ67" i="2"/>
  <c r="CY67" i="2"/>
  <c r="CX67" i="2"/>
  <c r="CW67" i="2"/>
  <c r="CV67" i="2"/>
  <c r="CU67" i="2"/>
  <c r="CT67" i="2"/>
  <c r="CS67" i="2"/>
  <c r="CR67" i="2"/>
  <c r="CQ67" i="2"/>
  <c r="CP67" i="2"/>
  <c r="CO67" i="2"/>
  <c r="CN67" i="2"/>
  <c r="CM67" i="2"/>
  <c r="CL67" i="2"/>
  <c r="CK67" i="2"/>
  <c r="CJ67" i="2"/>
  <c r="CI67" i="2"/>
  <c r="CH67" i="2"/>
  <c r="CG67" i="2"/>
  <c r="CF67" i="2"/>
  <c r="CE67" i="2"/>
  <c r="CD67" i="2"/>
  <c r="CC67" i="2"/>
  <c r="CB67" i="2"/>
  <c r="CA67"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ER66" i="2"/>
  <c r="EP66" i="2"/>
  <c r="EJ66" i="2"/>
  <c r="EH66" i="2"/>
  <c r="EF66" i="2"/>
  <c r="ED66" i="2"/>
  <c r="EB66" i="2"/>
  <c r="DZ66" i="2"/>
  <c r="DX66" i="2"/>
  <c r="DV66" i="2"/>
  <c r="DT66" i="2"/>
  <c r="DR66" i="2"/>
  <c r="DH66" i="2"/>
  <c r="DF66" i="2"/>
  <c r="DD66" i="2"/>
  <c r="DB66" i="2"/>
  <c r="CV66" i="2"/>
  <c r="CT66" i="2"/>
  <c r="CR66" i="2"/>
  <c r="CP66" i="2"/>
  <c r="CN66" i="2"/>
  <c r="CL66" i="2"/>
  <c r="CJ66" i="2"/>
  <c r="CH66" i="2"/>
  <c r="CF66" i="2"/>
  <c r="CD66" i="2"/>
  <c r="CB66" i="2"/>
  <c r="BZ66" i="2"/>
  <c r="BX66" i="2"/>
  <c r="BV66" i="2"/>
  <c r="BT66" i="2"/>
  <c r="BR66" i="2"/>
  <c r="BP66" i="2"/>
  <c r="BN66" i="2"/>
  <c r="BL66" i="2"/>
  <c r="BJ66" i="2"/>
  <c r="BH66" i="2"/>
  <c r="BF66" i="2"/>
  <c r="BD66" i="2"/>
  <c r="BB66" i="2"/>
  <c r="AZ66" i="2"/>
  <c r="AX66" i="2"/>
  <c r="AV66" i="2"/>
  <c r="AT66" i="2"/>
  <c r="AR66" i="2"/>
  <c r="AP66" i="2"/>
  <c r="AN66" i="2"/>
  <c r="AL66" i="2"/>
  <c r="AJ66" i="2"/>
  <c r="AH66" i="2"/>
  <c r="AF66" i="2"/>
  <c r="AD66" i="2"/>
  <c r="X66" i="2"/>
  <c r="V66" i="2"/>
  <c r="T66" i="2"/>
  <c r="R66" i="2"/>
  <c r="P66" i="2"/>
  <c r="N66" i="2"/>
  <c r="H66" i="2"/>
  <c r="F66" i="2"/>
  <c r="D66" i="2"/>
  <c r="B66" i="2"/>
  <c r="ER65" i="2"/>
  <c r="EP65" i="2"/>
  <c r="EJ65" i="2"/>
  <c r="EH65" i="2"/>
  <c r="EF65" i="2"/>
  <c r="ED65" i="2"/>
  <c r="EB65" i="2"/>
  <c r="DZ65" i="2"/>
  <c r="DX65" i="2"/>
  <c r="DV65" i="2"/>
  <c r="DT65" i="2"/>
  <c r="DR65" i="2"/>
  <c r="DH65" i="2"/>
  <c r="DF65" i="2"/>
  <c r="DD65" i="2"/>
  <c r="DB65" i="2"/>
  <c r="CV65" i="2"/>
  <c r="CT65" i="2"/>
  <c r="CR65" i="2"/>
  <c r="CP65" i="2"/>
  <c r="CN65" i="2"/>
  <c r="CL65" i="2"/>
  <c r="CJ65" i="2"/>
  <c r="CH65" i="2"/>
  <c r="CF65" i="2"/>
  <c r="CD65" i="2"/>
  <c r="CB65" i="2"/>
  <c r="BZ65" i="2"/>
  <c r="BX65" i="2"/>
  <c r="BV65" i="2"/>
  <c r="BT65" i="2"/>
  <c r="BR65" i="2"/>
  <c r="BP65" i="2"/>
  <c r="BN65" i="2"/>
  <c r="BL65" i="2"/>
  <c r="BJ65" i="2"/>
  <c r="BH65" i="2"/>
  <c r="BF65" i="2"/>
  <c r="BD65" i="2"/>
  <c r="BB65" i="2"/>
  <c r="AZ65" i="2"/>
  <c r="AX65" i="2"/>
  <c r="AV65" i="2"/>
  <c r="AT65" i="2"/>
  <c r="AR65" i="2"/>
  <c r="AP65" i="2"/>
  <c r="AN65" i="2"/>
  <c r="AL65" i="2"/>
  <c r="AJ65" i="2"/>
  <c r="AH65" i="2"/>
  <c r="AF65" i="2"/>
  <c r="AD65" i="2"/>
  <c r="X65" i="2"/>
  <c r="V65" i="2"/>
  <c r="T65" i="2"/>
  <c r="R65" i="2"/>
  <c r="P65" i="2"/>
  <c r="N65" i="2"/>
  <c r="H65" i="2"/>
  <c r="F65" i="2"/>
  <c r="D65" i="2"/>
  <c r="B65" i="2"/>
  <c r="ER64" i="2"/>
  <c r="EP64" i="2"/>
  <c r="EJ64" i="2"/>
  <c r="EH64" i="2"/>
  <c r="EF64" i="2"/>
  <c r="ED64" i="2"/>
  <c r="EB64" i="2"/>
  <c r="DZ64" i="2"/>
  <c r="DX64" i="2"/>
  <c r="DV64" i="2"/>
  <c r="DT64" i="2"/>
  <c r="DR64" i="2"/>
  <c r="DH64" i="2"/>
  <c r="DF64" i="2"/>
  <c r="DD64" i="2"/>
  <c r="DB64" i="2"/>
  <c r="CV64" i="2"/>
  <c r="CT64" i="2"/>
  <c r="CR64" i="2"/>
  <c r="CP64" i="2"/>
  <c r="CN64" i="2"/>
  <c r="CL64" i="2"/>
  <c r="CJ64" i="2"/>
  <c r="CH64" i="2"/>
  <c r="CF64" i="2"/>
  <c r="CD64" i="2"/>
  <c r="CB64" i="2"/>
  <c r="BZ64" i="2"/>
  <c r="BX64" i="2"/>
  <c r="BV64" i="2"/>
  <c r="BT64" i="2"/>
  <c r="BR64" i="2"/>
  <c r="BP64" i="2"/>
  <c r="BN64" i="2"/>
  <c r="BL64" i="2"/>
  <c r="BJ64" i="2"/>
  <c r="BH64" i="2"/>
  <c r="BF64" i="2"/>
  <c r="BD64" i="2"/>
  <c r="BB64" i="2"/>
  <c r="AZ64" i="2"/>
  <c r="AX64" i="2"/>
  <c r="AV64" i="2"/>
  <c r="AT64" i="2"/>
  <c r="AR64" i="2"/>
  <c r="AP64" i="2"/>
  <c r="AN64" i="2"/>
  <c r="AL64" i="2"/>
  <c r="AJ64" i="2"/>
  <c r="AH64" i="2"/>
  <c r="AF64" i="2"/>
  <c r="AD64" i="2"/>
  <c r="X64" i="2"/>
  <c r="V64" i="2"/>
  <c r="T64" i="2"/>
  <c r="R64" i="2"/>
  <c r="P64" i="2"/>
  <c r="N64" i="2"/>
  <c r="H64" i="2"/>
  <c r="F64" i="2"/>
  <c r="D64" i="2"/>
  <c r="B64" i="2"/>
  <c r="ER63" i="2"/>
  <c r="EP63" i="2"/>
  <c r="EJ63" i="2"/>
  <c r="EH63" i="2"/>
  <c r="EF63" i="2"/>
  <c r="ED63" i="2"/>
  <c r="EB63" i="2"/>
  <c r="DZ63" i="2"/>
  <c r="DX63" i="2"/>
  <c r="DV63" i="2"/>
  <c r="DT63" i="2"/>
  <c r="DR63" i="2"/>
  <c r="DH63" i="2"/>
  <c r="DF63" i="2"/>
  <c r="DD63" i="2"/>
  <c r="DB63" i="2"/>
  <c r="CV63" i="2"/>
  <c r="CT63" i="2"/>
  <c r="CR63" i="2"/>
  <c r="CP63" i="2"/>
  <c r="CN63" i="2"/>
  <c r="CL63" i="2"/>
  <c r="CJ63" i="2"/>
  <c r="CH63" i="2"/>
  <c r="CF63" i="2"/>
  <c r="CD63" i="2"/>
  <c r="CB63" i="2"/>
  <c r="BZ63" i="2"/>
  <c r="BX63" i="2"/>
  <c r="BV63" i="2"/>
  <c r="BT63" i="2"/>
  <c r="BR63" i="2"/>
  <c r="BP63" i="2"/>
  <c r="BN63" i="2"/>
  <c r="BL63" i="2"/>
  <c r="BJ63" i="2"/>
  <c r="BH63" i="2"/>
  <c r="BF63" i="2"/>
  <c r="BD63" i="2"/>
  <c r="BB63" i="2"/>
  <c r="AZ63" i="2"/>
  <c r="AX63" i="2"/>
  <c r="AV63" i="2"/>
  <c r="AT63" i="2"/>
  <c r="AR63" i="2"/>
  <c r="AP63" i="2"/>
  <c r="AN63" i="2"/>
  <c r="AL63" i="2"/>
  <c r="AJ63" i="2"/>
  <c r="AH63" i="2"/>
  <c r="AF63" i="2"/>
  <c r="AD63" i="2"/>
  <c r="X63" i="2"/>
  <c r="V63" i="2"/>
  <c r="T63" i="2"/>
  <c r="R63" i="2"/>
  <c r="P63" i="2"/>
  <c r="N63" i="2"/>
  <c r="H63" i="2"/>
  <c r="F63" i="2"/>
  <c r="D63" i="2"/>
  <c r="B63" i="2"/>
  <c r="ER62" i="2"/>
  <c r="EP62" i="2"/>
  <c r="EN62" i="2"/>
  <c r="EL62" i="2"/>
  <c r="EJ62" i="2"/>
  <c r="EH62" i="2"/>
  <c r="EF62" i="2"/>
  <c r="ED62" i="2"/>
  <c r="EB62" i="2"/>
  <c r="DZ62" i="2"/>
  <c r="DX62" i="2"/>
  <c r="DV62" i="2"/>
  <c r="DT62" i="2"/>
  <c r="DR62" i="2"/>
  <c r="DP62" i="2"/>
  <c r="DN62" i="2"/>
  <c r="DL62" i="2"/>
  <c r="DJ62" i="2"/>
  <c r="DH62" i="2"/>
  <c r="DF62" i="2"/>
  <c r="DD62" i="2"/>
  <c r="DB62" i="2"/>
  <c r="CZ62" i="2"/>
  <c r="CX62" i="2"/>
  <c r="CV62" i="2"/>
  <c r="CT62" i="2"/>
  <c r="CR62" i="2"/>
  <c r="CP62" i="2"/>
  <c r="CN62" i="2"/>
  <c r="CL62" i="2"/>
  <c r="CJ62" i="2"/>
  <c r="CH62" i="2"/>
  <c r="CF62" i="2"/>
  <c r="CD62" i="2"/>
  <c r="CB62" i="2"/>
  <c r="BZ62" i="2"/>
  <c r="BX62" i="2"/>
  <c r="BV62" i="2"/>
  <c r="BT62" i="2"/>
  <c r="BR62" i="2"/>
  <c r="BP62" i="2"/>
  <c r="BN62" i="2"/>
  <c r="BL62" i="2"/>
  <c r="BJ62" i="2"/>
  <c r="BH62" i="2"/>
  <c r="BF62" i="2"/>
  <c r="BD62" i="2"/>
  <c r="BB62" i="2"/>
  <c r="AZ62" i="2"/>
  <c r="AX62" i="2"/>
  <c r="AV62" i="2"/>
  <c r="AT62" i="2"/>
  <c r="AR62" i="2"/>
  <c r="AP62" i="2"/>
  <c r="AN62" i="2"/>
  <c r="AL62" i="2"/>
  <c r="AJ62" i="2"/>
  <c r="AH62" i="2"/>
  <c r="AF62" i="2"/>
  <c r="AD62" i="2"/>
  <c r="AB62" i="2"/>
  <c r="Z62" i="2"/>
  <c r="X62" i="2"/>
  <c r="V62" i="2"/>
  <c r="T62" i="2"/>
  <c r="R62" i="2"/>
  <c r="P62" i="2"/>
  <c r="N62" i="2"/>
  <c r="L62" i="2"/>
  <c r="J62" i="2"/>
  <c r="H62" i="2"/>
  <c r="F62" i="2"/>
  <c r="D62" i="2"/>
  <c r="B62" i="2"/>
  <c r="ER61" i="2"/>
  <c r="EP61" i="2"/>
  <c r="EN61" i="2"/>
  <c r="EL61" i="2"/>
  <c r="EJ61" i="2"/>
  <c r="EH61" i="2"/>
  <c r="EF61" i="2"/>
  <c r="ED61" i="2"/>
  <c r="EB61" i="2"/>
  <c r="DZ61" i="2"/>
  <c r="DX61" i="2"/>
  <c r="DV61" i="2"/>
  <c r="DT61" i="2"/>
  <c r="DR61" i="2"/>
  <c r="DP61" i="2"/>
  <c r="DN61" i="2"/>
  <c r="DL61" i="2"/>
  <c r="DJ61" i="2"/>
  <c r="DH61" i="2"/>
  <c r="DF61" i="2"/>
  <c r="DD61" i="2"/>
  <c r="DB61" i="2"/>
  <c r="CZ61" i="2"/>
  <c r="CX61" i="2"/>
  <c r="CV61" i="2"/>
  <c r="CT61" i="2"/>
  <c r="CR61" i="2"/>
  <c r="CP61" i="2"/>
  <c r="CN61" i="2"/>
  <c r="CL61" i="2"/>
  <c r="CJ61" i="2"/>
  <c r="CH61" i="2"/>
  <c r="CF61" i="2"/>
  <c r="CD61" i="2"/>
  <c r="CB61" i="2"/>
  <c r="BZ61" i="2"/>
  <c r="BX61" i="2"/>
  <c r="BV61" i="2"/>
  <c r="BT61" i="2"/>
  <c r="BR61" i="2"/>
  <c r="BP61" i="2"/>
  <c r="BN61" i="2"/>
  <c r="BL61" i="2"/>
  <c r="BJ61" i="2"/>
  <c r="BH61" i="2"/>
  <c r="BF61" i="2"/>
  <c r="BD61" i="2"/>
  <c r="BB61" i="2"/>
  <c r="AZ61" i="2"/>
  <c r="AX61" i="2"/>
  <c r="AV61" i="2"/>
  <c r="AT61" i="2"/>
  <c r="AR61" i="2"/>
  <c r="AP61" i="2"/>
  <c r="AN61" i="2"/>
  <c r="AL61" i="2"/>
  <c r="AJ61" i="2"/>
  <c r="AH61" i="2"/>
  <c r="AF61" i="2"/>
  <c r="AD61" i="2"/>
  <c r="AB61" i="2"/>
  <c r="Z61" i="2"/>
  <c r="X61" i="2"/>
  <c r="V61" i="2"/>
  <c r="T61" i="2"/>
  <c r="R61" i="2"/>
  <c r="P61" i="2"/>
  <c r="N61" i="2"/>
  <c r="L61" i="2"/>
  <c r="J61" i="2"/>
  <c r="H61" i="2"/>
  <c r="F61" i="2"/>
  <c r="D61" i="2"/>
  <c r="B61" i="2"/>
  <c r="ER56" i="2"/>
  <c r="EP56" i="2"/>
  <c r="EN56" i="2"/>
  <c r="EL56" i="2"/>
  <c r="EJ56" i="2"/>
  <c r="EH56" i="2"/>
  <c r="EF56" i="2"/>
  <c r="ED56" i="2"/>
  <c r="EB56" i="2"/>
  <c r="DZ56" i="2"/>
  <c r="DX56" i="2"/>
  <c r="DV56" i="2"/>
  <c r="DT56" i="2"/>
  <c r="DR56" i="2"/>
  <c r="DP56" i="2"/>
  <c r="DN56" i="2"/>
  <c r="DL56" i="2"/>
  <c r="DJ56" i="2"/>
  <c r="DH56" i="2"/>
  <c r="DF56" i="2"/>
  <c r="DD56" i="2"/>
  <c r="DB56" i="2"/>
  <c r="CZ56" i="2"/>
  <c r="CX56" i="2"/>
  <c r="CV56" i="2"/>
  <c r="CT56" i="2"/>
  <c r="CR56" i="2"/>
  <c r="CP56" i="2"/>
  <c r="CN56" i="2"/>
  <c r="CL56" i="2"/>
  <c r="CJ56" i="2"/>
  <c r="CH56" i="2"/>
  <c r="CF56" i="2"/>
  <c r="CD56" i="2"/>
  <c r="CB56" i="2"/>
  <c r="BZ56" i="2"/>
  <c r="BX56" i="2"/>
  <c r="BV56" i="2"/>
  <c r="BT56" i="2"/>
  <c r="BR56" i="2"/>
  <c r="BP56" i="2"/>
  <c r="BN56" i="2"/>
  <c r="BL56" i="2"/>
  <c r="BJ56" i="2"/>
  <c r="BH56" i="2"/>
  <c r="BF56" i="2"/>
  <c r="BD56" i="2"/>
  <c r="BB56" i="2"/>
  <c r="AZ56" i="2"/>
  <c r="AX56" i="2"/>
  <c r="AV56" i="2"/>
  <c r="AT56" i="2"/>
  <c r="AR56" i="2"/>
  <c r="AP56" i="2"/>
  <c r="AN56" i="2"/>
  <c r="AL56" i="2"/>
  <c r="AJ56" i="2"/>
  <c r="AH56" i="2"/>
  <c r="AF56" i="2"/>
  <c r="AD56" i="2"/>
  <c r="AB56" i="2"/>
  <c r="Z56" i="2"/>
  <c r="X56" i="2"/>
  <c r="V56" i="2"/>
  <c r="T56" i="2"/>
  <c r="R56" i="2"/>
  <c r="P56" i="2"/>
  <c r="N56" i="2"/>
  <c r="L56" i="2"/>
  <c r="J56" i="2"/>
  <c r="H56" i="2"/>
  <c r="F56" i="2"/>
  <c r="D56" i="2"/>
  <c r="B56" i="2"/>
  <c r="EJ55" i="2"/>
  <c r="EH55" i="2"/>
  <c r="DX55" i="2"/>
  <c r="DV55" i="2"/>
  <c r="CV55" i="2"/>
  <c r="CT55" i="2"/>
  <c r="CN55" i="2"/>
  <c r="CL55" i="2"/>
  <c r="CB55" i="2"/>
  <c r="BZ55" i="2"/>
  <c r="BX55" i="2"/>
  <c r="BV55" i="2"/>
  <c r="BT55" i="2"/>
  <c r="BR55" i="2"/>
  <c r="BH55" i="2"/>
  <c r="BF55" i="2"/>
  <c r="BD55" i="2"/>
  <c r="BB55" i="2"/>
  <c r="AV55" i="2"/>
  <c r="AT55" i="2"/>
  <c r="AJ55" i="2"/>
  <c r="AH55" i="2"/>
  <c r="AF55" i="2"/>
  <c r="AD55" i="2"/>
  <c r="P55" i="2"/>
  <c r="N55" i="2"/>
  <c r="EJ54" i="2"/>
  <c r="EH54" i="2"/>
  <c r="DX54" i="2"/>
  <c r="DV54" i="2"/>
  <c r="CV54" i="2"/>
  <c r="CT54" i="2"/>
  <c r="CN54" i="2"/>
  <c r="CL54" i="2"/>
  <c r="CB54" i="2"/>
  <c r="BZ54" i="2"/>
  <c r="BX54" i="2"/>
  <c r="BV54" i="2"/>
  <c r="BT54" i="2"/>
  <c r="BR54" i="2"/>
  <c r="BH54" i="2"/>
  <c r="BF54" i="2"/>
  <c r="BD54" i="2"/>
  <c r="BB54" i="2"/>
  <c r="AV54" i="2"/>
  <c r="AT54" i="2"/>
  <c r="AJ54" i="2"/>
  <c r="AH54" i="2"/>
  <c r="AF54" i="2"/>
  <c r="AD54" i="2"/>
  <c r="P54" i="2"/>
  <c r="N54" i="2"/>
  <c r="EJ53" i="2"/>
  <c r="EH53" i="2"/>
  <c r="DX53" i="2"/>
  <c r="DV53" i="2"/>
  <c r="CV53" i="2"/>
  <c r="CT53" i="2"/>
  <c r="CN53" i="2"/>
  <c r="CL53" i="2"/>
  <c r="CB53" i="2"/>
  <c r="BZ53" i="2"/>
  <c r="BX53" i="2"/>
  <c r="BV53" i="2"/>
  <c r="BT53" i="2"/>
  <c r="BR53" i="2"/>
  <c r="BH53" i="2"/>
  <c r="BF53" i="2"/>
  <c r="BD53" i="2"/>
  <c r="BB53" i="2"/>
  <c r="AV53" i="2"/>
  <c r="AT53" i="2"/>
  <c r="AJ53" i="2"/>
  <c r="AH53" i="2"/>
  <c r="AF53" i="2"/>
  <c r="AD53" i="2"/>
  <c r="P53" i="2"/>
  <c r="N53" i="2"/>
  <c r="EJ52" i="2"/>
  <c r="EH52" i="2"/>
  <c r="DX52" i="2"/>
  <c r="DV52" i="2"/>
  <c r="CV52" i="2"/>
  <c r="CT52" i="2"/>
  <c r="CN52" i="2"/>
  <c r="CL52" i="2"/>
  <c r="CB52" i="2"/>
  <c r="BZ52" i="2"/>
  <c r="BX52" i="2"/>
  <c r="BV52" i="2"/>
  <c r="BT52" i="2"/>
  <c r="BR52" i="2"/>
  <c r="BH52" i="2"/>
  <c r="BF52" i="2"/>
  <c r="BD52" i="2"/>
  <c r="BB52" i="2"/>
  <c r="AV52" i="2"/>
  <c r="AT52" i="2"/>
  <c r="AJ52" i="2"/>
  <c r="AH52" i="2"/>
  <c r="AF52" i="2"/>
  <c r="AD52" i="2"/>
  <c r="P52" i="2"/>
  <c r="N52" i="2"/>
  <c r="EJ51" i="2"/>
  <c r="EH51" i="2"/>
  <c r="DX51" i="2"/>
  <c r="DV51" i="2"/>
  <c r="CV51" i="2"/>
  <c r="CT51" i="2"/>
  <c r="CN51" i="2"/>
  <c r="CL51" i="2"/>
  <c r="CB51" i="2"/>
  <c r="BZ51" i="2"/>
  <c r="BX51" i="2"/>
  <c r="BV51" i="2"/>
  <c r="BT51" i="2"/>
  <c r="BR51" i="2"/>
  <c r="BH51" i="2"/>
  <c r="BF51" i="2"/>
  <c r="BD51" i="2"/>
  <c r="BB51" i="2"/>
  <c r="AV51" i="2"/>
  <c r="AT51" i="2"/>
  <c r="AJ51" i="2"/>
  <c r="AH51" i="2"/>
  <c r="AF51" i="2"/>
  <c r="AD51" i="2"/>
  <c r="P51" i="2"/>
  <c r="N51" i="2"/>
  <c r="EJ50" i="2"/>
  <c r="EH50" i="2"/>
  <c r="DX50" i="2"/>
  <c r="DV50" i="2"/>
  <c r="CV50" i="2"/>
  <c r="CT50" i="2"/>
  <c r="CN50" i="2"/>
  <c r="CL50" i="2"/>
  <c r="CB50" i="2"/>
  <c r="BZ50" i="2"/>
  <c r="BX50" i="2"/>
  <c r="BV50" i="2"/>
  <c r="BT50" i="2"/>
  <c r="BR50" i="2"/>
  <c r="BH50" i="2"/>
  <c r="BF50" i="2"/>
  <c r="BD50" i="2"/>
  <c r="BB50" i="2"/>
  <c r="AV50" i="2"/>
  <c r="AT50" i="2"/>
  <c r="AJ50" i="2"/>
  <c r="AH50" i="2"/>
  <c r="AF50" i="2"/>
  <c r="AD50" i="2"/>
  <c r="P50" i="2"/>
  <c r="N50" i="2"/>
  <c r="EJ49" i="2"/>
  <c r="EH49" i="2"/>
  <c r="DX49" i="2"/>
  <c r="DV49" i="2"/>
  <c r="CV49" i="2"/>
  <c r="CT49" i="2"/>
  <c r="CN49" i="2"/>
  <c r="CL49" i="2"/>
  <c r="CB49" i="2"/>
  <c r="BZ49" i="2"/>
  <c r="BX49" i="2"/>
  <c r="BV49" i="2"/>
  <c r="BT49" i="2"/>
  <c r="BR49" i="2"/>
  <c r="BH49" i="2"/>
  <c r="BF49" i="2"/>
  <c r="BD49" i="2"/>
  <c r="BB49" i="2"/>
  <c r="AV49" i="2"/>
  <c r="AT49" i="2"/>
  <c r="AJ49" i="2"/>
  <c r="AH49" i="2"/>
  <c r="AF49" i="2"/>
  <c r="AD49" i="2"/>
  <c r="P49" i="2"/>
  <c r="N49" i="2"/>
  <c r="ER48" i="2"/>
  <c r="EP48" i="2"/>
  <c r="EN48" i="2"/>
  <c r="EL48" i="2"/>
  <c r="EJ48" i="2"/>
  <c r="EH48" i="2"/>
  <c r="EF48" i="2"/>
  <c r="ED48" i="2"/>
  <c r="EB48" i="2"/>
  <c r="DZ48" i="2"/>
  <c r="DX48" i="2"/>
  <c r="DV48" i="2"/>
  <c r="DT48" i="2"/>
  <c r="DR48" i="2"/>
  <c r="DP48" i="2"/>
  <c r="DN48" i="2"/>
  <c r="DL48" i="2"/>
  <c r="DJ48" i="2"/>
  <c r="DH48" i="2"/>
  <c r="DF48" i="2"/>
  <c r="DD48" i="2"/>
  <c r="DB48" i="2"/>
  <c r="CZ48" i="2"/>
  <c r="CX48" i="2"/>
  <c r="CV48" i="2"/>
  <c r="CT48" i="2"/>
  <c r="CR48" i="2"/>
  <c r="CP48" i="2"/>
  <c r="CN48" i="2"/>
  <c r="CL48" i="2"/>
  <c r="CJ48" i="2"/>
  <c r="CH48" i="2"/>
  <c r="CF48" i="2"/>
  <c r="CD48" i="2"/>
  <c r="CB48" i="2"/>
  <c r="BZ48" i="2"/>
  <c r="BX48" i="2"/>
  <c r="BV48" i="2"/>
  <c r="BT48" i="2"/>
  <c r="BR48" i="2"/>
  <c r="BP48" i="2"/>
  <c r="BN48" i="2"/>
  <c r="BL48" i="2"/>
  <c r="BJ48" i="2"/>
  <c r="BH48" i="2"/>
  <c r="BF48" i="2"/>
  <c r="BD48" i="2"/>
  <c r="BB48" i="2"/>
  <c r="AZ48" i="2"/>
  <c r="AX48" i="2"/>
  <c r="AV48" i="2"/>
  <c r="AT48" i="2"/>
  <c r="AR48" i="2"/>
  <c r="AP48" i="2"/>
  <c r="AN48" i="2"/>
  <c r="AL48" i="2"/>
  <c r="AJ48" i="2"/>
  <c r="AH48" i="2"/>
  <c r="AF48" i="2"/>
  <c r="AD48" i="2"/>
  <c r="AB48" i="2"/>
  <c r="Z48" i="2"/>
  <c r="X48" i="2"/>
  <c r="V48" i="2"/>
  <c r="T48" i="2"/>
  <c r="R48" i="2"/>
  <c r="P48" i="2"/>
  <c r="N48" i="2"/>
  <c r="L48" i="2"/>
  <c r="J48" i="2"/>
  <c r="H48" i="2"/>
  <c r="F48" i="2"/>
  <c r="D48" i="2"/>
  <c r="B48" i="2"/>
  <c r="ER43" i="2"/>
  <c r="EP43" i="2"/>
  <c r="EN43" i="2"/>
  <c r="EL43" i="2"/>
  <c r="EJ43" i="2"/>
  <c r="EH43" i="2"/>
  <c r="EF43" i="2"/>
  <c r="ED43" i="2"/>
  <c r="EB43" i="2"/>
  <c r="DZ43" i="2"/>
  <c r="DX43" i="2"/>
  <c r="DV43" i="2"/>
  <c r="DT43" i="2"/>
  <c r="DR43" i="2"/>
  <c r="DP43" i="2"/>
  <c r="DN43" i="2"/>
  <c r="DL43" i="2"/>
  <c r="DJ43" i="2"/>
  <c r="DH43" i="2"/>
  <c r="DF43" i="2"/>
  <c r="DD43" i="2"/>
  <c r="DB43" i="2"/>
  <c r="CZ43" i="2"/>
  <c r="CX43" i="2"/>
  <c r="CV43" i="2"/>
  <c r="CT43" i="2"/>
  <c r="CR43" i="2"/>
  <c r="CP43" i="2"/>
  <c r="CN43" i="2"/>
  <c r="CL43" i="2"/>
  <c r="CJ43" i="2"/>
  <c r="CH43" i="2"/>
  <c r="CF43" i="2"/>
  <c r="CD43" i="2"/>
  <c r="CB43" i="2"/>
  <c r="BZ43" i="2"/>
  <c r="BX43" i="2"/>
  <c r="BV43" i="2"/>
  <c r="BT43" i="2"/>
  <c r="BR43" i="2"/>
  <c r="BP43" i="2"/>
  <c r="BN43" i="2"/>
  <c r="BL43" i="2"/>
  <c r="BJ43" i="2"/>
  <c r="BH43" i="2"/>
  <c r="BF43" i="2"/>
  <c r="BD43" i="2"/>
  <c r="BB43" i="2"/>
  <c r="AZ43" i="2"/>
  <c r="AX43" i="2"/>
  <c r="AV43" i="2"/>
  <c r="AT43" i="2"/>
  <c r="AR43" i="2"/>
  <c r="AP43" i="2"/>
  <c r="AN43" i="2"/>
  <c r="AL43" i="2"/>
  <c r="AJ43" i="2"/>
  <c r="AH43" i="2"/>
  <c r="AF43" i="2"/>
  <c r="AD43" i="2"/>
  <c r="AB43" i="2"/>
  <c r="Z43" i="2"/>
  <c r="X43" i="2"/>
  <c r="V43" i="2"/>
  <c r="T43" i="2"/>
  <c r="R43" i="2"/>
  <c r="P43" i="2"/>
  <c r="N43" i="2"/>
  <c r="L43" i="2"/>
  <c r="J43" i="2"/>
  <c r="H43" i="2"/>
  <c r="F43" i="2"/>
  <c r="D43" i="2"/>
  <c r="B43" i="2"/>
  <c r="ER42" i="2"/>
  <c r="EP42" i="2"/>
  <c r="EN42" i="2"/>
  <c r="EL42" i="2"/>
  <c r="EJ42" i="2"/>
  <c r="EH42" i="2"/>
  <c r="EF42" i="2"/>
  <c r="ED42" i="2"/>
  <c r="EB42" i="2"/>
  <c r="DZ42" i="2"/>
  <c r="DX42" i="2"/>
  <c r="DV42" i="2"/>
  <c r="DT42" i="2"/>
  <c r="DR42" i="2"/>
  <c r="DP42" i="2"/>
  <c r="DN42" i="2"/>
  <c r="DL42" i="2"/>
  <c r="DJ42" i="2"/>
  <c r="DH42" i="2"/>
  <c r="DF42" i="2"/>
  <c r="DD42" i="2"/>
  <c r="DB42" i="2"/>
  <c r="CZ42" i="2"/>
  <c r="CX42" i="2"/>
  <c r="CV42" i="2"/>
  <c r="CT42" i="2"/>
  <c r="CR42" i="2"/>
  <c r="CP42" i="2"/>
  <c r="CN42" i="2"/>
  <c r="CL42" i="2"/>
  <c r="CJ42" i="2"/>
  <c r="CH42" i="2"/>
  <c r="CF42" i="2"/>
  <c r="CD42" i="2"/>
  <c r="CB42" i="2"/>
  <c r="BZ42" i="2"/>
  <c r="BX42" i="2"/>
  <c r="BV42" i="2"/>
  <c r="BT42" i="2"/>
  <c r="BR42" i="2"/>
  <c r="BP42" i="2"/>
  <c r="BN42" i="2"/>
  <c r="BL42" i="2"/>
  <c r="BJ42" i="2"/>
  <c r="BH42" i="2"/>
  <c r="BF42" i="2"/>
  <c r="BD42" i="2"/>
  <c r="BB42" i="2"/>
  <c r="AZ42" i="2"/>
  <c r="AX42" i="2"/>
  <c r="AV42" i="2"/>
  <c r="AT42" i="2"/>
  <c r="AR42" i="2"/>
  <c r="AP42" i="2"/>
  <c r="AN42" i="2"/>
  <c r="AL42" i="2"/>
  <c r="AJ42" i="2"/>
  <c r="AH42" i="2"/>
  <c r="AF42" i="2"/>
  <c r="AD42" i="2"/>
  <c r="AB42" i="2"/>
  <c r="Z42" i="2"/>
  <c r="X42" i="2"/>
  <c r="V42" i="2"/>
  <c r="T42" i="2"/>
  <c r="R42" i="2"/>
  <c r="P42" i="2"/>
  <c r="N42" i="2"/>
  <c r="L42" i="2"/>
  <c r="J42" i="2"/>
  <c r="H42" i="2"/>
  <c r="F42" i="2"/>
  <c r="D42" i="2"/>
  <c r="B42" i="2"/>
  <c r="ER41" i="2"/>
  <c r="EP41" i="2"/>
  <c r="EN41" i="2"/>
  <c r="EL41" i="2"/>
  <c r="EJ41" i="2"/>
  <c r="EH41" i="2"/>
  <c r="EF41" i="2"/>
  <c r="ED41" i="2"/>
  <c r="EB41" i="2"/>
  <c r="DZ41" i="2"/>
  <c r="DX41" i="2"/>
  <c r="DV41" i="2"/>
  <c r="DT41" i="2"/>
  <c r="DR41" i="2"/>
  <c r="DP41" i="2"/>
  <c r="DN41" i="2"/>
  <c r="DL41" i="2"/>
  <c r="DJ41" i="2"/>
  <c r="DH41" i="2"/>
  <c r="DF41" i="2"/>
  <c r="DD41" i="2"/>
  <c r="DB41" i="2"/>
  <c r="CZ41" i="2"/>
  <c r="CX41" i="2"/>
  <c r="CV41" i="2"/>
  <c r="CT41" i="2"/>
  <c r="CR41" i="2"/>
  <c r="CP41" i="2"/>
  <c r="CN41" i="2"/>
  <c r="CL41" i="2"/>
  <c r="CJ41" i="2"/>
  <c r="CH41" i="2"/>
  <c r="CF41" i="2"/>
  <c r="CD41" i="2"/>
  <c r="CB41" i="2"/>
  <c r="BZ41" i="2"/>
  <c r="BX41" i="2"/>
  <c r="BV41" i="2"/>
  <c r="BT41" i="2"/>
  <c r="BR41" i="2"/>
  <c r="BP41" i="2"/>
  <c r="BN41" i="2"/>
  <c r="BL41" i="2"/>
  <c r="BJ41" i="2"/>
  <c r="BH41" i="2"/>
  <c r="BF41" i="2"/>
  <c r="BD41" i="2"/>
  <c r="BB41" i="2"/>
  <c r="AZ41" i="2"/>
  <c r="AX41" i="2"/>
  <c r="AV41" i="2"/>
  <c r="AT41" i="2"/>
  <c r="AR41" i="2"/>
  <c r="AP41" i="2"/>
  <c r="AN41" i="2"/>
  <c r="AL41" i="2"/>
  <c r="AJ41" i="2"/>
  <c r="AH41" i="2"/>
  <c r="AF41" i="2"/>
  <c r="AD41" i="2"/>
  <c r="AB41" i="2"/>
  <c r="Z41" i="2"/>
  <c r="X41" i="2"/>
  <c r="V41" i="2"/>
  <c r="T41" i="2"/>
  <c r="R41" i="2"/>
  <c r="P41" i="2"/>
  <c r="N41" i="2"/>
  <c r="L41" i="2"/>
  <c r="J41" i="2"/>
  <c r="H41" i="2"/>
  <c r="F41" i="2"/>
  <c r="D41" i="2"/>
  <c r="B41" i="2"/>
  <c r="ER40" i="2"/>
  <c r="EP40" i="2"/>
  <c r="EN40" i="2"/>
  <c r="EL40" i="2"/>
  <c r="EJ40" i="2"/>
  <c r="EH40" i="2"/>
  <c r="EF40" i="2"/>
  <c r="ED40" i="2"/>
  <c r="EB40" i="2"/>
  <c r="DZ40" i="2"/>
  <c r="DX40" i="2"/>
  <c r="DV40" i="2"/>
  <c r="DT40" i="2"/>
  <c r="DR40" i="2"/>
  <c r="DP40" i="2"/>
  <c r="DN40" i="2"/>
  <c r="DL40" i="2"/>
  <c r="DJ40" i="2"/>
  <c r="DH40" i="2"/>
  <c r="DF40" i="2"/>
  <c r="DD40" i="2"/>
  <c r="DB40" i="2"/>
  <c r="CZ40" i="2"/>
  <c r="CX40" i="2"/>
  <c r="CV40" i="2"/>
  <c r="CT40" i="2"/>
  <c r="CR40" i="2"/>
  <c r="CP40" i="2"/>
  <c r="CN40" i="2"/>
  <c r="CL40" i="2"/>
  <c r="CJ40" i="2"/>
  <c r="CH40" i="2"/>
  <c r="CF40" i="2"/>
  <c r="CD40" i="2"/>
  <c r="CB40" i="2"/>
  <c r="BZ40" i="2"/>
  <c r="BX40" i="2"/>
  <c r="BV40" i="2"/>
  <c r="BT40" i="2"/>
  <c r="BR40" i="2"/>
  <c r="BP40" i="2"/>
  <c r="BN40" i="2"/>
  <c r="BL40" i="2"/>
  <c r="BJ40" i="2"/>
  <c r="BH40" i="2"/>
  <c r="BF40" i="2"/>
  <c r="BD40" i="2"/>
  <c r="BB40" i="2"/>
  <c r="AZ40" i="2"/>
  <c r="AX40" i="2"/>
  <c r="AV40" i="2"/>
  <c r="AT40" i="2"/>
  <c r="AR40" i="2"/>
  <c r="AP40" i="2"/>
  <c r="AN40" i="2"/>
  <c r="AL40" i="2"/>
  <c r="AJ40" i="2"/>
  <c r="AH40" i="2"/>
  <c r="AF40" i="2"/>
  <c r="AD40" i="2"/>
  <c r="AB40" i="2"/>
  <c r="Z40" i="2"/>
  <c r="X40" i="2"/>
  <c r="V40" i="2"/>
  <c r="T40" i="2"/>
  <c r="R40" i="2"/>
  <c r="P40" i="2"/>
  <c r="N40" i="2"/>
  <c r="L40" i="2"/>
  <c r="J40" i="2"/>
  <c r="H40" i="2"/>
  <c r="F40" i="2"/>
  <c r="D40" i="2"/>
  <c r="B40" i="2"/>
  <c r="ER39" i="2"/>
  <c r="EP39" i="2"/>
  <c r="EN39" i="2"/>
  <c r="EL39" i="2"/>
  <c r="EJ39" i="2"/>
  <c r="EH39" i="2"/>
  <c r="EF39" i="2"/>
  <c r="ED39" i="2"/>
  <c r="EB39" i="2"/>
  <c r="DZ39" i="2"/>
  <c r="DX39" i="2"/>
  <c r="DV39" i="2"/>
  <c r="DT39" i="2"/>
  <c r="DR39" i="2"/>
  <c r="DP39" i="2"/>
  <c r="DN39" i="2"/>
  <c r="DL39" i="2"/>
  <c r="DJ39" i="2"/>
  <c r="DH39" i="2"/>
  <c r="DF39" i="2"/>
  <c r="DD39" i="2"/>
  <c r="DB39" i="2"/>
  <c r="CZ39" i="2"/>
  <c r="CX39" i="2"/>
  <c r="CV39" i="2"/>
  <c r="CT39" i="2"/>
  <c r="CR39" i="2"/>
  <c r="CP39" i="2"/>
  <c r="CN39" i="2"/>
  <c r="CL39" i="2"/>
  <c r="CJ39" i="2"/>
  <c r="CH39" i="2"/>
  <c r="CF39" i="2"/>
  <c r="CD39" i="2"/>
  <c r="CB39" i="2"/>
  <c r="BZ39" i="2"/>
  <c r="BX39" i="2"/>
  <c r="BV39" i="2"/>
  <c r="BT39" i="2"/>
  <c r="BR39" i="2"/>
  <c r="BP39" i="2"/>
  <c r="BN39" i="2"/>
  <c r="BL39" i="2"/>
  <c r="BJ39" i="2"/>
  <c r="BH39" i="2"/>
  <c r="BF39" i="2"/>
  <c r="BD39" i="2"/>
  <c r="BB39" i="2"/>
  <c r="AZ39" i="2"/>
  <c r="AX39" i="2"/>
  <c r="AV39" i="2"/>
  <c r="AT39" i="2"/>
  <c r="AR39" i="2"/>
  <c r="AP39" i="2"/>
  <c r="AN39" i="2"/>
  <c r="AL39" i="2"/>
  <c r="AJ39" i="2"/>
  <c r="AH39" i="2"/>
  <c r="AF39" i="2"/>
  <c r="AD39" i="2"/>
  <c r="AB39" i="2"/>
  <c r="Z39" i="2"/>
  <c r="X39" i="2"/>
  <c r="V39" i="2"/>
  <c r="T39" i="2"/>
  <c r="R39" i="2"/>
  <c r="P39" i="2"/>
  <c r="N39" i="2"/>
  <c r="L39" i="2"/>
  <c r="J39" i="2"/>
  <c r="H39" i="2"/>
  <c r="F39" i="2"/>
  <c r="D39" i="2"/>
  <c r="B39" i="2"/>
  <c r="ER38" i="2"/>
  <c r="EP38" i="2"/>
  <c r="EN38" i="2"/>
  <c r="EL38" i="2"/>
  <c r="EJ38" i="2"/>
  <c r="EH38" i="2"/>
  <c r="EF38" i="2"/>
  <c r="ED38" i="2"/>
  <c r="EB38" i="2"/>
  <c r="DZ38" i="2"/>
  <c r="DX38" i="2"/>
  <c r="DV38" i="2"/>
  <c r="DT38" i="2"/>
  <c r="DR38" i="2"/>
  <c r="DP38" i="2"/>
  <c r="DN38" i="2"/>
  <c r="DL38" i="2"/>
  <c r="DJ38" i="2"/>
  <c r="DH38" i="2"/>
  <c r="DF38" i="2"/>
  <c r="DD38" i="2"/>
  <c r="DB38" i="2"/>
  <c r="CZ38" i="2"/>
  <c r="CX38" i="2"/>
  <c r="CV38" i="2"/>
  <c r="CT38" i="2"/>
  <c r="CR38" i="2"/>
  <c r="CP38" i="2"/>
  <c r="CN38" i="2"/>
  <c r="CL38" i="2"/>
  <c r="CJ38" i="2"/>
  <c r="CH38" i="2"/>
  <c r="CF38" i="2"/>
  <c r="CD38" i="2"/>
  <c r="CB38" i="2"/>
  <c r="BZ38" i="2"/>
  <c r="BX38" i="2"/>
  <c r="BV38" i="2"/>
  <c r="BT38" i="2"/>
  <c r="BR38" i="2"/>
  <c r="BP38" i="2"/>
  <c r="BN38" i="2"/>
  <c r="BL38" i="2"/>
  <c r="BJ38" i="2"/>
  <c r="BH38" i="2"/>
  <c r="BF38" i="2"/>
  <c r="BD38" i="2"/>
  <c r="BB38" i="2"/>
  <c r="AZ38" i="2"/>
  <c r="AX38" i="2"/>
  <c r="AV38" i="2"/>
  <c r="AT38" i="2"/>
  <c r="AR38" i="2"/>
  <c r="AP38" i="2"/>
  <c r="AN38" i="2"/>
  <c r="AL38" i="2"/>
  <c r="AJ38" i="2"/>
  <c r="AH38" i="2"/>
  <c r="AF38" i="2"/>
  <c r="AD38" i="2"/>
  <c r="AB38" i="2"/>
  <c r="Z38" i="2"/>
  <c r="X38" i="2"/>
  <c r="V38" i="2"/>
  <c r="T38" i="2"/>
  <c r="R38" i="2"/>
  <c r="P38" i="2"/>
  <c r="N38" i="2"/>
  <c r="L38" i="2"/>
  <c r="J38" i="2"/>
  <c r="H38" i="2"/>
  <c r="F38" i="2"/>
  <c r="D38" i="2"/>
  <c r="B38" i="2"/>
  <c r="ER37" i="2"/>
  <c r="EP37" i="2"/>
  <c r="EN37" i="2"/>
  <c r="EL37" i="2"/>
  <c r="EJ37" i="2"/>
  <c r="EH37" i="2"/>
  <c r="EF37" i="2"/>
  <c r="ED37" i="2"/>
  <c r="EB37" i="2"/>
  <c r="DZ37" i="2"/>
  <c r="DX37" i="2"/>
  <c r="DV37" i="2"/>
  <c r="DT37" i="2"/>
  <c r="DR37" i="2"/>
  <c r="DP37" i="2"/>
  <c r="DN37" i="2"/>
  <c r="DL37" i="2"/>
  <c r="DJ37" i="2"/>
  <c r="DH37" i="2"/>
  <c r="DF37" i="2"/>
  <c r="DD37" i="2"/>
  <c r="DB37" i="2"/>
  <c r="CZ37" i="2"/>
  <c r="CX37" i="2"/>
  <c r="CV37" i="2"/>
  <c r="CT37" i="2"/>
  <c r="CR37" i="2"/>
  <c r="CP37" i="2"/>
  <c r="CN37" i="2"/>
  <c r="CL37" i="2"/>
  <c r="CJ37" i="2"/>
  <c r="CH37" i="2"/>
  <c r="CF37" i="2"/>
  <c r="CD37" i="2"/>
  <c r="CB37" i="2"/>
  <c r="BZ37" i="2"/>
  <c r="BX37" i="2"/>
  <c r="BV37" i="2"/>
  <c r="BT37" i="2"/>
  <c r="BR37" i="2"/>
  <c r="BP37" i="2"/>
  <c r="BN37" i="2"/>
  <c r="BL37" i="2"/>
  <c r="BJ37" i="2"/>
  <c r="BH37" i="2"/>
  <c r="BF37" i="2"/>
  <c r="BD37" i="2"/>
  <c r="BB37" i="2"/>
  <c r="AZ37" i="2"/>
  <c r="AX37" i="2"/>
  <c r="AV37" i="2"/>
  <c r="AT37" i="2"/>
  <c r="AR37" i="2"/>
  <c r="AP37" i="2"/>
  <c r="AN37" i="2"/>
  <c r="AL37" i="2"/>
  <c r="AJ37" i="2"/>
  <c r="AH37" i="2"/>
  <c r="AF37" i="2"/>
  <c r="AD37" i="2"/>
  <c r="AB37" i="2"/>
  <c r="Z37" i="2"/>
  <c r="X37" i="2"/>
  <c r="V37" i="2"/>
  <c r="T37" i="2"/>
  <c r="R37" i="2"/>
  <c r="P37" i="2"/>
  <c r="N37" i="2"/>
  <c r="L37" i="2"/>
  <c r="J37" i="2"/>
  <c r="H37" i="2"/>
  <c r="F37" i="2"/>
  <c r="D37" i="2"/>
  <c r="B37" i="2"/>
  <c r="ES36" i="2"/>
  <c r="ER36" i="2"/>
  <c r="EQ36" i="2"/>
  <c r="EP36" i="2"/>
  <c r="EO36" i="2"/>
  <c r="EN36" i="2"/>
  <c r="EM36" i="2"/>
  <c r="EL36" i="2"/>
  <c r="EK36" i="2"/>
  <c r="EJ36" i="2"/>
  <c r="EI36" i="2"/>
  <c r="EH36" i="2"/>
  <c r="EG36" i="2"/>
  <c r="EF36" i="2"/>
  <c r="EE36" i="2"/>
  <c r="ED36" i="2"/>
  <c r="EC36" i="2"/>
  <c r="EB36" i="2"/>
  <c r="EA36" i="2"/>
  <c r="DZ36" i="2"/>
  <c r="DY36" i="2"/>
  <c r="DX36" i="2"/>
  <c r="DW36" i="2"/>
  <c r="DV36" i="2"/>
  <c r="DU36" i="2"/>
  <c r="DT36" i="2"/>
  <c r="DS36" i="2"/>
  <c r="DR36" i="2"/>
  <c r="DQ36" i="2"/>
  <c r="DP36" i="2"/>
  <c r="DO36" i="2"/>
  <c r="DN36" i="2"/>
  <c r="DM36" i="2"/>
  <c r="DL36"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EP35" i="2"/>
  <c r="EL35" i="2"/>
  <c r="EH35" i="2"/>
  <c r="ED35" i="2"/>
  <c r="DZ35" i="2"/>
  <c r="DV35" i="2"/>
  <c r="DR35" i="2"/>
  <c r="DN35" i="2"/>
  <c r="DJ35" i="2"/>
  <c r="DF35" i="2"/>
  <c r="DB35" i="2"/>
  <c r="CX35" i="2"/>
  <c r="CT35" i="2"/>
  <c r="CP35" i="2"/>
  <c r="CL35" i="2"/>
  <c r="CH35" i="2"/>
  <c r="CD35" i="2"/>
  <c r="BZ35" i="2"/>
  <c r="BV35" i="2"/>
  <c r="BR35" i="2"/>
  <c r="BN35" i="2"/>
  <c r="BJ35" i="2"/>
  <c r="BF35" i="2"/>
  <c r="BB35" i="2"/>
  <c r="AX35" i="2"/>
  <c r="AT35" i="2"/>
  <c r="AP35" i="2"/>
  <c r="AL35" i="2"/>
  <c r="AH35" i="2"/>
  <c r="AD35" i="2"/>
  <c r="Z35" i="2"/>
  <c r="V35" i="2"/>
  <c r="R35" i="2"/>
  <c r="N35" i="2"/>
  <c r="J35" i="2"/>
  <c r="F35" i="2"/>
  <c r="B35" i="2"/>
  <c r="ER34" i="2"/>
  <c r="EP34" i="2"/>
  <c r="EN34" i="2"/>
  <c r="EL34" i="2"/>
  <c r="EJ34" i="2"/>
  <c r="EH34" i="2"/>
  <c r="EF34" i="2"/>
  <c r="ED34" i="2"/>
  <c r="EB34" i="2"/>
  <c r="DZ34" i="2"/>
  <c r="DX34" i="2"/>
  <c r="DV34" i="2"/>
  <c r="DT34" i="2"/>
  <c r="DR34" i="2"/>
  <c r="DP34" i="2"/>
  <c r="DN34" i="2"/>
  <c r="DL34" i="2"/>
  <c r="DJ34" i="2"/>
  <c r="DH34" i="2"/>
  <c r="DF34" i="2"/>
  <c r="DD34" i="2"/>
  <c r="DB34" i="2"/>
  <c r="CZ34" i="2"/>
  <c r="CX34" i="2"/>
  <c r="CV34" i="2"/>
  <c r="CT34" i="2"/>
  <c r="CR34" i="2"/>
  <c r="CP34" i="2"/>
  <c r="CN34" i="2"/>
  <c r="CL34" i="2"/>
  <c r="CJ34" i="2"/>
  <c r="CH34" i="2"/>
  <c r="CF34" i="2"/>
  <c r="CD34" i="2"/>
  <c r="CB34" i="2"/>
  <c r="BZ34" i="2"/>
  <c r="BX34" i="2"/>
  <c r="BV34" i="2"/>
  <c r="BT34" i="2"/>
  <c r="BR34" i="2"/>
  <c r="BP34" i="2"/>
  <c r="BN34" i="2"/>
  <c r="BL34" i="2"/>
  <c r="BJ34" i="2"/>
  <c r="BH34" i="2"/>
  <c r="BF34" i="2"/>
  <c r="BD34" i="2"/>
  <c r="BB34" i="2"/>
  <c r="AZ34" i="2"/>
  <c r="AX34" i="2"/>
  <c r="AV34" i="2"/>
  <c r="AT34" i="2"/>
  <c r="AR34" i="2"/>
  <c r="AP34" i="2"/>
  <c r="AN34" i="2"/>
  <c r="AL34" i="2"/>
  <c r="AJ34" i="2"/>
  <c r="AH34" i="2"/>
  <c r="AF34" i="2"/>
  <c r="AD34" i="2"/>
  <c r="AB34" i="2"/>
  <c r="Z34" i="2"/>
  <c r="X34" i="2"/>
  <c r="V34" i="2"/>
  <c r="T34" i="2"/>
  <c r="R34" i="2"/>
  <c r="P34" i="2"/>
  <c r="N34" i="2"/>
  <c r="L34" i="2"/>
  <c r="J34" i="2"/>
  <c r="H34" i="2"/>
  <c r="F34" i="2"/>
  <c r="D34" i="2"/>
  <c r="B34" i="2"/>
  <c r="ER33" i="2"/>
  <c r="EP33" i="2"/>
  <c r="EN33" i="2"/>
  <c r="EL33" i="2"/>
  <c r="EJ33" i="2"/>
  <c r="EH33" i="2"/>
  <c r="EF33" i="2"/>
  <c r="ED33" i="2"/>
  <c r="EB33" i="2"/>
  <c r="DZ33" i="2"/>
  <c r="DX33" i="2"/>
  <c r="DV33" i="2"/>
  <c r="DT33" i="2"/>
  <c r="DR33" i="2"/>
  <c r="DP33" i="2"/>
  <c r="DN33" i="2"/>
  <c r="DL33" i="2"/>
  <c r="DJ33" i="2"/>
  <c r="DH33" i="2"/>
  <c r="DF33" i="2"/>
  <c r="DD33" i="2"/>
  <c r="DB33" i="2"/>
  <c r="CZ33" i="2"/>
  <c r="CX33" i="2"/>
  <c r="CV33" i="2"/>
  <c r="CT33" i="2"/>
  <c r="CR33" i="2"/>
  <c r="CP33" i="2"/>
  <c r="CN33" i="2"/>
  <c r="CL33" i="2"/>
  <c r="CJ33" i="2"/>
  <c r="CH33" i="2"/>
  <c r="CF33" i="2"/>
  <c r="CD33" i="2"/>
  <c r="CB33" i="2"/>
  <c r="BZ33" i="2"/>
  <c r="BX33" i="2"/>
  <c r="BV33" i="2"/>
  <c r="BT33" i="2"/>
  <c r="BR33" i="2"/>
  <c r="BP33" i="2"/>
  <c r="BN33" i="2"/>
  <c r="BL33" i="2"/>
  <c r="BJ33" i="2"/>
  <c r="BH33" i="2"/>
  <c r="BF33" i="2"/>
  <c r="BD33" i="2"/>
  <c r="BB33" i="2"/>
  <c r="AZ33" i="2"/>
  <c r="AX33" i="2"/>
  <c r="AV33" i="2"/>
  <c r="AT33" i="2"/>
  <c r="AR33" i="2"/>
  <c r="AP33" i="2"/>
  <c r="AN33" i="2"/>
  <c r="AL33" i="2"/>
  <c r="AJ33" i="2"/>
  <c r="AH33" i="2"/>
  <c r="AF33" i="2"/>
  <c r="AD33" i="2"/>
  <c r="AB33" i="2"/>
  <c r="Z33" i="2"/>
  <c r="X33" i="2"/>
  <c r="V33" i="2"/>
  <c r="T33" i="2"/>
  <c r="R33" i="2"/>
  <c r="P33" i="2"/>
  <c r="N33" i="2"/>
  <c r="L33" i="2"/>
  <c r="J33" i="2"/>
  <c r="H33" i="2"/>
  <c r="F33" i="2"/>
  <c r="D33" i="2"/>
  <c r="B33" i="2"/>
  <c r="ER32" i="2"/>
  <c r="EP32" i="2"/>
  <c r="EN32" i="2"/>
  <c r="EL32" i="2"/>
  <c r="EJ32" i="2"/>
  <c r="EH32" i="2"/>
  <c r="EF32" i="2"/>
  <c r="ED32" i="2"/>
  <c r="EB32" i="2"/>
  <c r="DZ32" i="2"/>
  <c r="DX32" i="2"/>
  <c r="DV32" i="2"/>
  <c r="DT32" i="2"/>
  <c r="DR32" i="2"/>
  <c r="DP32" i="2"/>
  <c r="DN32" i="2"/>
  <c r="DL32" i="2"/>
  <c r="DJ32" i="2"/>
  <c r="DH32" i="2"/>
  <c r="DF32" i="2"/>
  <c r="DD32" i="2"/>
  <c r="DB32" i="2"/>
  <c r="CZ32" i="2"/>
  <c r="CX32" i="2"/>
  <c r="CV32" i="2"/>
  <c r="CT32" i="2"/>
  <c r="CR32" i="2"/>
  <c r="CP32" i="2"/>
  <c r="CN32" i="2"/>
  <c r="CL32" i="2"/>
  <c r="CJ32" i="2"/>
  <c r="CH32" i="2"/>
  <c r="CF32" i="2"/>
  <c r="CD32" i="2"/>
  <c r="CB32" i="2"/>
  <c r="BZ32" i="2"/>
  <c r="BX32" i="2"/>
  <c r="BV32" i="2"/>
  <c r="BT32" i="2"/>
  <c r="BR32" i="2"/>
  <c r="BP32" i="2"/>
  <c r="BN32" i="2"/>
  <c r="BL32" i="2"/>
  <c r="BJ32" i="2"/>
  <c r="BH32" i="2"/>
  <c r="BF32" i="2"/>
  <c r="BD32" i="2"/>
  <c r="BB32" i="2"/>
  <c r="AZ32" i="2"/>
  <c r="AX32" i="2"/>
  <c r="AV32" i="2"/>
  <c r="AT32" i="2"/>
  <c r="AR32" i="2"/>
  <c r="AP32" i="2"/>
  <c r="AN32" i="2"/>
  <c r="AL32" i="2"/>
  <c r="AJ32" i="2"/>
  <c r="AH32" i="2"/>
  <c r="AF32" i="2"/>
  <c r="AD32" i="2"/>
  <c r="AB32" i="2"/>
  <c r="Z32" i="2"/>
  <c r="X32" i="2"/>
  <c r="V32" i="2"/>
  <c r="T32" i="2"/>
  <c r="R32" i="2"/>
  <c r="P32" i="2"/>
  <c r="N32" i="2"/>
  <c r="L32" i="2"/>
  <c r="J32" i="2"/>
  <c r="H32" i="2"/>
  <c r="F32" i="2"/>
  <c r="D32" i="2"/>
  <c r="B32" i="2"/>
  <c r="EP31" i="2"/>
  <c r="EL31" i="2"/>
  <c r="EH31" i="2"/>
  <c r="ED31" i="2"/>
  <c r="DZ31" i="2"/>
  <c r="DV31" i="2"/>
  <c r="DR31" i="2"/>
  <c r="DN31" i="2"/>
  <c r="DJ31" i="2"/>
  <c r="DF31" i="2"/>
  <c r="DB31" i="2"/>
  <c r="CX31" i="2"/>
  <c r="CT31" i="2"/>
  <c r="CP31" i="2"/>
  <c r="CL31" i="2"/>
  <c r="CH31" i="2"/>
  <c r="CD31" i="2"/>
  <c r="BZ31" i="2"/>
  <c r="BV31" i="2"/>
  <c r="BR31" i="2"/>
  <c r="BN31" i="2"/>
  <c r="BJ31" i="2"/>
  <c r="BF31" i="2"/>
  <c r="BB31" i="2"/>
  <c r="AX31" i="2"/>
  <c r="AT31" i="2"/>
  <c r="AP31" i="2"/>
  <c r="AL31" i="2"/>
  <c r="AH31" i="2"/>
  <c r="AD31" i="2"/>
  <c r="Z31" i="2"/>
  <c r="V31" i="2"/>
  <c r="R31" i="2"/>
  <c r="N31" i="2"/>
  <c r="J31" i="2"/>
  <c r="F31" i="2"/>
  <c r="B31" i="2"/>
  <c r="ER30" i="2"/>
  <c r="EP30" i="2"/>
  <c r="EN30" i="2"/>
  <c r="EL30" i="2"/>
  <c r="EJ30" i="2"/>
  <c r="EH30" i="2"/>
  <c r="EF30" i="2"/>
  <c r="ED30" i="2"/>
  <c r="EB30" i="2"/>
  <c r="DZ30" i="2"/>
  <c r="DX30" i="2"/>
  <c r="DV30" i="2"/>
  <c r="DT30" i="2"/>
  <c r="DR30" i="2"/>
  <c r="DP30" i="2"/>
  <c r="DN30" i="2"/>
  <c r="DL30" i="2"/>
  <c r="DJ30" i="2"/>
  <c r="DH30" i="2"/>
  <c r="DF30" i="2"/>
  <c r="DD30" i="2"/>
  <c r="DB30" i="2"/>
  <c r="CZ30" i="2"/>
  <c r="CX30" i="2"/>
  <c r="CV30" i="2"/>
  <c r="CT30" i="2"/>
  <c r="CR30" i="2"/>
  <c r="CP30" i="2"/>
  <c r="CN30" i="2"/>
  <c r="CL30" i="2"/>
  <c r="CJ30" i="2"/>
  <c r="CH30" i="2"/>
  <c r="CF30" i="2"/>
  <c r="CD30" i="2"/>
  <c r="CB30" i="2"/>
  <c r="BZ30" i="2"/>
  <c r="BX30" i="2"/>
  <c r="BV30" i="2"/>
  <c r="BT30" i="2"/>
  <c r="BR30" i="2"/>
  <c r="BP30" i="2"/>
  <c r="BN30" i="2"/>
  <c r="BL30" i="2"/>
  <c r="BJ30" i="2"/>
  <c r="BH30" i="2"/>
  <c r="BF30" i="2"/>
  <c r="BD30" i="2"/>
  <c r="BB30" i="2"/>
  <c r="AZ30" i="2"/>
  <c r="AX30" i="2"/>
  <c r="AV30" i="2"/>
  <c r="AT30" i="2"/>
  <c r="AR30" i="2"/>
  <c r="AP30" i="2"/>
  <c r="AN30" i="2"/>
  <c r="AL30" i="2"/>
  <c r="AJ30" i="2"/>
  <c r="AH30" i="2"/>
  <c r="AF30" i="2"/>
  <c r="AD30" i="2"/>
  <c r="AB30" i="2"/>
  <c r="Z30" i="2"/>
  <c r="X30" i="2"/>
  <c r="V30" i="2"/>
  <c r="T30" i="2"/>
  <c r="R30" i="2"/>
  <c r="P30" i="2"/>
  <c r="N30" i="2"/>
  <c r="L30" i="2"/>
  <c r="J30" i="2"/>
  <c r="H30" i="2"/>
  <c r="F30" i="2"/>
  <c r="D30" i="2"/>
  <c r="B30" i="2"/>
  <c r="ER29" i="2"/>
  <c r="EP29" i="2"/>
  <c r="EN29" i="2"/>
  <c r="EL29" i="2"/>
  <c r="EJ29" i="2"/>
  <c r="EH29" i="2"/>
  <c r="EF29" i="2"/>
  <c r="ED29" i="2"/>
  <c r="EB29" i="2"/>
  <c r="DZ29" i="2"/>
  <c r="DX29" i="2"/>
  <c r="DV29" i="2"/>
  <c r="DT29" i="2"/>
  <c r="DR29" i="2"/>
  <c r="DP29" i="2"/>
  <c r="DN29" i="2"/>
  <c r="DL29" i="2"/>
  <c r="DJ29" i="2"/>
  <c r="DH29" i="2"/>
  <c r="DF29" i="2"/>
  <c r="DD29" i="2"/>
  <c r="DB29" i="2"/>
  <c r="CZ29" i="2"/>
  <c r="CX29" i="2"/>
  <c r="CV29" i="2"/>
  <c r="CT29" i="2"/>
  <c r="CR29" i="2"/>
  <c r="CP29" i="2"/>
  <c r="CN29" i="2"/>
  <c r="CL29" i="2"/>
  <c r="CJ29" i="2"/>
  <c r="CH29" i="2"/>
  <c r="CF29" i="2"/>
  <c r="CD29" i="2"/>
  <c r="CB29" i="2"/>
  <c r="BZ29" i="2"/>
  <c r="BX29" i="2"/>
  <c r="BV29" i="2"/>
  <c r="BT29" i="2"/>
  <c r="BR29" i="2"/>
  <c r="BP29" i="2"/>
  <c r="BN29" i="2"/>
  <c r="BL29" i="2"/>
  <c r="BJ29" i="2"/>
  <c r="BH29" i="2"/>
  <c r="BF29" i="2"/>
  <c r="BD29" i="2"/>
  <c r="BB29" i="2"/>
  <c r="AZ29" i="2"/>
  <c r="AX29" i="2"/>
  <c r="AV29" i="2"/>
  <c r="AT29" i="2"/>
  <c r="AR29" i="2"/>
  <c r="AP29" i="2"/>
  <c r="AN29" i="2"/>
  <c r="AL29" i="2"/>
  <c r="AJ29" i="2"/>
  <c r="AH29" i="2"/>
  <c r="AF29" i="2"/>
  <c r="AD29" i="2"/>
  <c r="AB29" i="2"/>
  <c r="Z29" i="2"/>
  <c r="X29" i="2"/>
  <c r="V29" i="2"/>
  <c r="T29" i="2"/>
  <c r="R29" i="2"/>
  <c r="P29" i="2"/>
  <c r="N29" i="2"/>
  <c r="L29" i="2"/>
  <c r="J29" i="2"/>
  <c r="H29" i="2"/>
  <c r="F29" i="2"/>
  <c r="D29" i="2"/>
  <c r="B29" i="2"/>
  <c r="ER28" i="2"/>
  <c r="EP28" i="2"/>
  <c r="EN28" i="2"/>
  <c r="EL28" i="2"/>
  <c r="EJ28" i="2"/>
  <c r="EH28" i="2"/>
  <c r="EF28" i="2"/>
  <c r="ED28" i="2"/>
  <c r="EB28" i="2"/>
  <c r="DZ28" i="2"/>
  <c r="DX28" i="2"/>
  <c r="DV28" i="2"/>
  <c r="DT28" i="2"/>
  <c r="DR28" i="2"/>
  <c r="DP28" i="2"/>
  <c r="DN28" i="2"/>
  <c r="DL28" i="2"/>
  <c r="DJ28" i="2"/>
  <c r="DH28" i="2"/>
  <c r="DF28" i="2"/>
  <c r="DD28" i="2"/>
  <c r="DB28" i="2"/>
  <c r="CZ28" i="2"/>
  <c r="CX28" i="2"/>
  <c r="CV28" i="2"/>
  <c r="CT28" i="2"/>
  <c r="CR28" i="2"/>
  <c r="CP28" i="2"/>
  <c r="CN28" i="2"/>
  <c r="CL28" i="2"/>
  <c r="CJ28" i="2"/>
  <c r="CH28" i="2"/>
  <c r="CF28" i="2"/>
  <c r="CD28" i="2"/>
  <c r="CB28" i="2"/>
  <c r="BZ28" i="2"/>
  <c r="BX28" i="2"/>
  <c r="BV28" i="2"/>
  <c r="BT28" i="2"/>
  <c r="BR28" i="2"/>
  <c r="BP28" i="2"/>
  <c r="BN28" i="2"/>
  <c r="BL28" i="2"/>
  <c r="BJ28" i="2"/>
  <c r="BH28" i="2"/>
  <c r="BF28" i="2"/>
  <c r="BD28" i="2"/>
  <c r="BB28" i="2"/>
  <c r="AZ28" i="2"/>
  <c r="AX28" i="2"/>
  <c r="AV28" i="2"/>
  <c r="AT28" i="2"/>
  <c r="AR28" i="2"/>
  <c r="AP28" i="2"/>
  <c r="AN28" i="2"/>
  <c r="AL28" i="2"/>
  <c r="AJ28" i="2"/>
  <c r="AH28" i="2"/>
  <c r="AF28" i="2"/>
  <c r="AD28" i="2"/>
  <c r="AB28" i="2"/>
  <c r="Z28" i="2"/>
  <c r="X28" i="2"/>
  <c r="V28" i="2"/>
  <c r="T28" i="2"/>
  <c r="R28" i="2"/>
  <c r="P28" i="2"/>
  <c r="N28" i="2"/>
  <c r="L28" i="2"/>
  <c r="J28" i="2"/>
  <c r="H28" i="2"/>
  <c r="F28" i="2"/>
  <c r="D28" i="2"/>
  <c r="B28" i="2"/>
  <c r="ER27" i="2"/>
  <c r="EP27" i="2"/>
  <c r="EN27" i="2"/>
  <c r="EL27" i="2"/>
  <c r="EJ27" i="2"/>
  <c r="EH27" i="2"/>
  <c r="EF27" i="2"/>
  <c r="ED27" i="2"/>
  <c r="EB27" i="2"/>
  <c r="DZ27" i="2"/>
  <c r="DX27" i="2"/>
  <c r="DV27" i="2"/>
  <c r="DT27" i="2"/>
  <c r="DR27" i="2"/>
  <c r="DP27" i="2"/>
  <c r="DN27" i="2"/>
  <c r="DL27" i="2"/>
  <c r="DJ27" i="2"/>
  <c r="DH27" i="2"/>
  <c r="DF27" i="2"/>
  <c r="DD27" i="2"/>
  <c r="DB27" i="2"/>
  <c r="CZ27" i="2"/>
  <c r="CX27" i="2"/>
  <c r="CV27" i="2"/>
  <c r="CT27" i="2"/>
  <c r="CR27" i="2"/>
  <c r="CP27" i="2"/>
  <c r="CN27" i="2"/>
  <c r="CL27" i="2"/>
  <c r="CJ27" i="2"/>
  <c r="CH27" i="2"/>
  <c r="CF27" i="2"/>
  <c r="CD27" i="2"/>
  <c r="CB27" i="2"/>
  <c r="BZ27" i="2"/>
  <c r="BX27" i="2"/>
  <c r="BV27" i="2"/>
  <c r="BT27" i="2"/>
  <c r="BR27" i="2"/>
  <c r="BP27" i="2"/>
  <c r="BN27" i="2"/>
  <c r="BL27" i="2"/>
  <c r="BJ27" i="2"/>
  <c r="BH27" i="2"/>
  <c r="BF27" i="2"/>
  <c r="BD27" i="2"/>
  <c r="BB27" i="2"/>
  <c r="AZ27" i="2"/>
  <c r="AX27" i="2"/>
  <c r="AV27" i="2"/>
  <c r="AT27" i="2"/>
  <c r="AR27" i="2"/>
  <c r="AP27" i="2"/>
  <c r="AN27" i="2"/>
  <c r="AL27" i="2"/>
  <c r="AJ27" i="2"/>
  <c r="AH27" i="2"/>
  <c r="AF27" i="2"/>
  <c r="AD27" i="2"/>
  <c r="AB27" i="2"/>
  <c r="Z27" i="2"/>
  <c r="X27" i="2"/>
  <c r="V27" i="2"/>
  <c r="T27" i="2"/>
  <c r="R27" i="2"/>
  <c r="P27" i="2"/>
  <c r="N27" i="2"/>
  <c r="L27" i="2"/>
  <c r="J27" i="2"/>
  <c r="H27" i="2"/>
  <c r="F27" i="2"/>
  <c r="D27" i="2"/>
  <c r="B27" i="2"/>
  <c r="ER26" i="2"/>
  <c r="EP26" i="2"/>
  <c r="EN26" i="2"/>
  <c r="EL26" i="2"/>
  <c r="EJ26" i="2"/>
  <c r="EH26" i="2"/>
  <c r="EF26" i="2"/>
  <c r="ED26" i="2"/>
  <c r="EB26" i="2"/>
  <c r="DZ26" i="2"/>
  <c r="DX26" i="2"/>
  <c r="DV26" i="2"/>
  <c r="DT26" i="2"/>
  <c r="DR26" i="2"/>
  <c r="DP26" i="2"/>
  <c r="DN26" i="2"/>
  <c r="DL26" i="2"/>
  <c r="DJ26" i="2"/>
  <c r="DH26" i="2"/>
  <c r="DF26" i="2"/>
  <c r="DD26" i="2"/>
  <c r="DB26" i="2"/>
  <c r="CZ26" i="2"/>
  <c r="CX26" i="2"/>
  <c r="CV26" i="2"/>
  <c r="CT26" i="2"/>
  <c r="CR26" i="2"/>
  <c r="CP26" i="2"/>
  <c r="CN26" i="2"/>
  <c r="CL26" i="2"/>
  <c r="CJ26" i="2"/>
  <c r="CH26" i="2"/>
  <c r="CF26" i="2"/>
  <c r="CD26" i="2"/>
  <c r="CB26" i="2"/>
  <c r="BZ26" i="2"/>
  <c r="BX26" i="2"/>
  <c r="BV26" i="2"/>
  <c r="BT26" i="2"/>
  <c r="BR26" i="2"/>
  <c r="BP26" i="2"/>
  <c r="BN26" i="2"/>
  <c r="BL26" i="2"/>
  <c r="BJ26" i="2"/>
  <c r="BH26" i="2"/>
  <c r="BF26" i="2"/>
  <c r="BD26" i="2"/>
  <c r="BB26" i="2"/>
  <c r="AZ26" i="2"/>
  <c r="AX26" i="2"/>
  <c r="AV26" i="2"/>
  <c r="AT26" i="2"/>
  <c r="AR26" i="2"/>
  <c r="AP26" i="2"/>
  <c r="AN26" i="2"/>
  <c r="AL26" i="2"/>
  <c r="AJ26" i="2"/>
  <c r="AH26" i="2"/>
  <c r="AF26" i="2"/>
  <c r="AD26" i="2"/>
  <c r="AB26" i="2"/>
  <c r="Z26" i="2"/>
  <c r="X26" i="2"/>
  <c r="V26" i="2"/>
  <c r="T26" i="2"/>
  <c r="R26" i="2"/>
  <c r="P26" i="2"/>
  <c r="N26" i="2"/>
  <c r="L26" i="2"/>
  <c r="J26" i="2"/>
  <c r="H26" i="2"/>
  <c r="F26" i="2"/>
  <c r="D26" i="2"/>
  <c r="B26" i="2"/>
  <c r="ER25" i="2"/>
  <c r="EP25" i="2"/>
  <c r="EN25" i="2"/>
  <c r="EL25" i="2"/>
  <c r="EJ25" i="2"/>
  <c r="EH25" i="2"/>
  <c r="EF25" i="2"/>
  <c r="ED25" i="2"/>
  <c r="EB25" i="2"/>
  <c r="DZ25" i="2"/>
  <c r="DX25" i="2"/>
  <c r="DV25" i="2"/>
  <c r="DT25" i="2"/>
  <c r="DR25" i="2"/>
  <c r="DP25" i="2"/>
  <c r="DN25" i="2"/>
  <c r="DL25" i="2"/>
  <c r="DJ25" i="2"/>
  <c r="DH25" i="2"/>
  <c r="DF25" i="2"/>
  <c r="DD25" i="2"/>
  <c r="DB25" i="2"/>
  <c r="CZ25" i="2"/>
  <c r="CX25" i="2"/>
  <c r="CV25" i="2"/>
  <c r="CT25" i="2"/>
  <c r="CR25" i="2"/>
  <c r="CP25" i="2"/>
  <c r="CN25" i="2"/>
  <c r="CL25" i="2"/>
  <c r="CJ25" i="2"/>
  <c r="CH25" i="2"/>
  <c r="CF25" i="2"/>
  <c r="CD25" i="2"/>
  <c r="CB25" i="2"/>
  <c r="BZ25" i="2"/>
  <c r="BX25" i="2"/>
  <c r="BV25" i="2"/>
  <c r="BT25" i="2"/>
  <c r="BR25" i="2"/>
  <c r="BP25" i="2"/>
  <c r="BN25" i="2"/>
  <c r="BL25" i="2"/>
  <c r="BJ25" i="2"/>
  <c r="BH25" i="2"/>
  <c r="BF25" i="2"/>
  <c r="BD25" i="2"/>
  <c r="BB25" i="2"/>
  <c r="AZ25" i="2"/>
  <c r="AX25" i="2"/>
  <c r="AV25" i="2"/>
  <c r="AT25" i="2"/>
  <c r="AR25" i="2"/>
  <c r="AP25" i="2"/>
  <c r="AN25" i="2"/>
  <c r="AL25" i="2"/>
  <c r="AJ25" i="2"/>
  <c r="AH25" i="2"/>
  <c r="AF25" i="2"/>
  <c r="AD25" i="2"/>
  <c r="AB25" i="2"/>
  <c r="Z25" i="2"/>
  <c r="X25" i="2"/>
  <c r="V25" i="2"/>
  <c r="T25" i="2"/>
  <c r="R25" i="2"/>
  <c r="P25" i="2"/>
  <c r="N25" i="2"/>
  <c r="L25" i="2"/>
  <c r="J25" i="2"/>
  <c r="H25" i="2"/>
  <c r="F25" i="2"/>
  <c r="D25" i="2"/>
  <c r="B25" i="2"/>
  <c r="ER24" i="2"/>
  <c r="EP24" i="2"/>
  <c r="EN24" i="2"/>
  <c r="EL24" i="2"/>
  <c r="EJ24" i="2"/>
  <c r="EH24" i="2"/>
  <c r="EF24" i="2"/>
  <c r="ED24" i="2"/>
  <c r="EB24" i="2"/>
  <c r="DZ24" i="2"/>
  <c r="DX24" i="2"/>
  <c r="DV24" i="2"/>
  <c r="DT24" i="2"/>
  <c r="DR24" i="2"/>
  <c r="DP24" i="2"/>
  <c r="DN24" i="2"/>
  <c r="DL24" i="2"/>
  <c r="DJ24" i="2"/>
  <c r="DH24" i="2"/>
  <c r="DF24" i="2"/>
  <c r="DD24" i="2"/>
  <c r="DB24" i="2"/>
  <c r="CZ24" i="2"/>
  <c r="CX24" i="2"/>
  <c r="CV24" i="2"/>
  <c r="CT24" i="2"/>
  <c r="CR24" i="2"/>
  <c r="CP24" i="2"/>
  <c r="CN24" i="2"/>
  <c r="CL24" i="2"/>
  <c r="CJ24" i="2"/>
  <c r="CH24" i="2"/>
  <c r="CF24" i="2"/>
  <c r="CD24" i="2"/>
  <c r="CB24" i="2"/>
  <c r="BZ24" i="2"/>
  <c r="BX24" i="2"/>
  <c r="BV24" i="2"/>
  <c r="BT24" i="2"/>
  <c r="BR24" i="2"/>
  <c r="BP24" i="2"/>
  <c r="BN24" i="2"/>
  <c r="BL24" i="2"/>
  <c r="BJ24" i="2"/>
  <c r="BH24" i="2"/>
  <c r="BF24" i="2"/>
  <c r="BD24" i="2"/>
  <c r="BB24" i="2"/>
  <c r="AZ24" i="2"/>
  <c r="AX24" i="2"/>
  <c r="AV24" i="2"/>
  <c r="AT24" i="2"/>
  <c r="AR24" i="2"/>
  <c r="AP24" i="2"/>
  <c r="AN24" i="2"/>
  <c r="AL24" i="2"/>
  <c r="AJ24" i="2"/>
  <c r="AH24" i="2"/>
  <c r="AF24" i="2"/>
  <c r="AD24" i="2"/>
  <c r="AB24" i="2"/>
  <c r="Z24" i="2"/>
  <c r="X24" i="2"/>
  <c r="V24" i="2"/>
  <c r="T24" i="2"/>
  <c r="R24" i="2"/>
  <c r="P24" i="2"/>
  <c r="N24" i="2"/>
  <c r="L24" i="2"/>
  <c r="J24" i="2"/>
  <c r="H24" i="2"/>
  <c r="F24" i="2"/>
  <c r="D24" i="2"/>
  <c r="B24" i="2"/>
  <c r="ER23" i="2"/>
  <c r="EP23" i="2"/>
  <c r="EN23" i="2"/>
  <c r="EL23" i="2"/>
  <c r="EJ23" i="2"/>
  <c r="EH23" i="2"/>
  <c r="EF23" i="2"/>
  <c r="ED23" i="2"/>
  <c r="EB23" i="2"/>
  <c r="DZ23" i="2"/>
  <c r="DX23" i="2"/>
  <c r="DV23" i="2"/>
  <c r="DT23" i="2"/>
  <c r="DR23" i="2"/>
  <c r="DP23" i="2"/>
  <c r="DN23" i="2"/>
  <c r="DL23" i="2"/>
  <c r="DJ23" i="2"/>
  <c r="DH23" i="2"/>
  <c r="DF23" i="2"/>
  <c r="DD23" i="2"/>
  <c r="DB23" i="2"/>
  <c r="CZ23" i="2"/>
  <c r="CX23" i="2"/>
  <c r="CV23" i="2"/>
  <c r="CT23" i="2"/>
  <c r="CR23" i="2"/>
  <c r="CP23" i="2"/>
  <c r="CN23" i="2"/>
  <c r="CL23" i="2"/>
  <c r="CJ23" i="2"/>
  <c r="CH23" i="2"/>
  <c r="CF23" i="2"/>
  <c r="CD23" i="2"/>
  <c r="CB23" i="2"/>
  <c r="BZ23" i="2"/>
  <c r="BX23" i="2"/>
  <c r="BV23" i="2"/>
  <c r="BT23" i="2"/>
  <c r="BR23" i="2"/>
  <c r="BP23" i="2"/>
  <c r="BN23" i="2"/>
  <c r="BL23" i="2"/>
  <c r="BJ23" i="2"/>
  <c r="BH23" i="2"/>
  <c r="BF23" i="2"/>
  <c r="BD23" i="2"/>
  <c r="BB23" i="2"/>
  <c r="AZ23" i="2"/>
  <c r="AX23" i="2"/>
  <c r="AV23" i="2"/>
  <c r="AT23" i="2"/>
  <c r="AR23" i="2"/>
  <c r="AP23" i="2"/>
  <c r="AN23" i="2"/>
  <c r="AL23" i="2"/>
  <c r="AJ23" i="2"/>
  <c r="AH23" i="2"/>
  <c r="AF23" i="2"/>
  <c r="AD23" i="2"/>
  <c r="AB23" i="2"/>
  <c r="Z23" i="2"/>
  <c r="X23" i="2"/>
  <c r="V23" i="2"/>
  <c r="T23" i="2"/>
  <c r="R23" i="2"/>
  <c r="P23" i="2"/>
  <c r="N23" i="2"/>
  <c r="L23" i="2"/>
  <c r="J23" i="2"/>
  <c r="H23" i="2"/>
  <c r="F23" i="2"/>
  <c r="D23" i="2"/>
  <c r="B23" i="2"/>
  <c r="ER22" i="2"/>
  <c r="EP22" i="2"/>
  <c r="EN22" i="2"/>
  <c r="EL22" i="2"/>
  <c r="EJ22" i="2"/>
  <c r="EH22" i="2"/>
  <c r="EF22" i="2"/>
  <c r="ED22" i="2"/>
  <c r="EB22" i="2"/>
  <c r="DZ22" i="2"/>
  <c r="DX22" i="2"/>
  <c r="DV22" i="2"/>
  <c r="DT22" i="2"/>
  <c r="DR22" i="2"/>
  <c r="DP22" i="2"/>
  <c r="DN22" i="2"/>
  <c r="DL22" i="2"/>
  <c r="DJ22" i="2"/>
  <c r="DH22" i="2"/>
  <c r="DF22" i="2"/>
  <c r="DD22" i="2"/>
  <c r="DB22" i="2"/>
  <c r="CZ22" i="2"/>
  <c r="CX22" i="2"/>
  <c r="CV22" i="2"/>
  <c r="CT22" i="2"/>
  <c r="CR22" i="2"/>
  <c r="CP22" i="2"/>
  <c r="CN22" i="2"/>
  <c r="CL22" i="2"/>
  <c r="CJ22" i="2"/>
  <c r="CH22" i="2"/>
  <c r="CF22" i="2"/>
  <c r="CD22" i="2"/>
  <c r="CB22" i="2"/>
  <c r="BZ22" i="2"/>
  <c r="BX22" i="2"/>
  <c r="BV22" i="2"/>
  <c r="BT22" i="2"/>
  <c r="BR22" i="2"/>
  <c r="BP22" i="2"/>
  <c r="BN22" i="2"/>
  <c r="BL22" i="2"/>
  <c r="BJ22" i="2"/>
  <c r="BH22" i="2"/>
  <c r="BF22" i="2"/>
  <c r="BD22" i="2"/>
  <c r="BB22" i="2"/>
  <c r="AZ22" i="2"/>
  <c r="AX22" i="2"/>
  <c r="AV22" i="2"/>
  <c r="AT22" i="2"/>
  <c r="AR22" i="2"/>
  <c r="AP22" i="2"/>
  <c r="AN22" i="2"/>
  <c r="AL22" i="2"/>
  <c r="AJ22" i="2"/>
  <c r="AH22" i="2"/>
  <c r="AF22" i="2"/>
  <c r="AD22" i="2"/>
  <c r="AB22" i="2"/>
  <c r="Z22" i="2"/>
  <c r="X22" i="2"/>
  <c r="V22" i="2"/>
  <c r="T22" i="2"/>
  <c r="R22" i="2"/>
  <c r="P22" i="2"/>
  <c r="N22" i="2"/>
  <c r="L22" i="2"/>
  <c r="J22" i="2"/>
  <c r="H22" i="2"/>
  <c r="F22" i="2"/>
  <c r="D22" i="2"/>
  <c r="B22" i="2"/>
  <c r="EP21" i="2"/>
  <c r="EL21" i="2"/>
  <c r="EH21" i="2"/>
  <c r="ED21" i="2"/>
  <c r="DZ21" i="2"/>
  <c r="DV21" i="2"/>
  <c r="DR21" i="2"/>
  <c r="DN21" i="2"/>
  <c r="DJ21" i="2"/>
  <c r="DF21" i="2"/>
  <c r="DB21" i="2"/>
  <c r="CX21" i="2"/>
  <c r="CT21" i="2"/>
  <c r="CP21" i="2"/>
  <c r="CL21" i="2"/>
  <c r="CH21" i="2"/>
  <c r="CD21" i="2"/>
  <c r="BZ21" i="2"/>
  <c r="BV21" i="2"/>
  <c r="BR21" i="2"/>
  <c r="BN21" i="2"/>
  <c r="BJ21" i="2"/>
  <c r="BF21" i="2"/>
  <c r="BB21" i="2"/>
  <c r="AX21" i="2"/>
  <c r="AT21" i="2"/>
  <c r="AP21" i="2"/>
  <c r="AL21" i="2"/>
  <c r="AH21" i="2"/>
  <c r="AD21" i="2"/>
  <c r="Z21" i="2"/>
  <c r="V21" i="2"/>
  <c r="R21" i="2"/>
  <c r="N21" i="2"/>
  <c r="J21" i="2"/>
  <c r="F21" i="2"/>
  <c r="B21" i="2"/>
  <c r="ER20" i="2"/>
  <c r="EP20" i="2"/>
  <c r="EN20" i="2"/>
  <c r="EL20" i="2"/>
  <c r="EJ20" i="2"/>
  <c r="EH20" i="2"/>
  <c r="EF20" i="2"/>
  <c r="ED20" i="2"/>
  <c r="EB20" i="2"/>
  <c r="DZ20" i="2"/>
  <c r="DX20" i="2"/>
  <c r="DV20" i="2"/>
  <c r="DT20" i="2"/>
  <c r="DR20" i="2"/>
  <c r="DP20" i="2"/>
  <c r="DN20" i="2"/>
  <c r="DL20" i="2"/>
  <c r="DJ20" i="2"/>
  <c r="DH20" i="2"/>
  <c r="DF20" i="2"/>
  <c r="DD20" i="2"/>
  <c r="DB20" i="2"/>
  <c r="CZ20" i="2"/>
  <c r="CX20" i="2"/>
  <c r="CV20" i="2"/>
  <c r="CT20" i="2"/>
  <c r="CR20" i="2"/>
  <c r="CP20" i="2"/>
  <c r="CN20" i="2"/>
  <c r="CL20" i="2"/>
  <c r="CJ20" i="2"/>
  <c r="CH20" i="2"/>
  <c r="CF20" i="2"/>
  <c r="CD20" i="2"/>
  <c r="CB20" i="2"/>
  <c r="BZ20" i="2"/>
  <c r="BX20" i="2"/>
  <c r="BV20" i="2"/>
  <c r="BT20" i="2"/>
  <c r="BR20" i="2"/>
  <c r="BP20" i="2"/>
  <c r="BN20" i="2"/>
  <c r="BL20" i="2"/>
  <c r="BJ20" i="2"/>
  <c r="BH20" i="2"/>
  <c r="BF20" i="2"/>
  <c r="BD20" i="2"/>
  <c r="BB20" i="2"/>
  <c r="AZ20" i="2"/>
  <c r="AX20" i="2"/>
  <c r="AV20" i="2"/>
  <c r="AT20" i="2"/>
  <c r="AR20" i="2"/>
  <c r="AP20" i="2"/>
  <c r="AN20" i="2"/>
  <c r="AL20" i="2"/>
  <c r="AJ20" i="2"/>
  <c r="AH20" i="2"/>
  <c r="AF20" i="2"/>
  <c r="AD20" i="2"/>
  <c r="AB20" i="2"/>
  <c r="Z20" i="2"/>
  <c r="X20" i="2"/>
  <c r="V20" i="2"/>
  <c r="T20" i="2"/>
  <c r="R20" i="2"/>
  <c r="P20" i="2"/>
  <c r="N20" i="2"/>
  <c r="L20" i="2"/>
  <c r="J20" i="2"/>
  <c r="H20" i="2"/>
  <c r="F20" i="2"/>
  <c r="D20" i="2"/>
  <c r="B20" i="2"/>
  <c r="ER19" i="2"/>
  <c r="EP19" i="2"/>
  <c r="EN19" i="2"/>
  <c r="EL19" i="2"/>
  <c r="EJ19" i="2"/>
  <c r="EH19" i="2"/>
  <c r="EF19" i="2"/>
  <c r="ED19" i="2"/>
  <c r="EB19" i="2"/>
  <c r="DZ19" i="2"/>
  <c r="DX19" i="2"/>
  <c r="DV19" i="2"/>
  <c r="DT19" i="2"/>
  <c r="DR19" i="2"/>
  <c r="DP19" i="2"/>
  <c r="DN19" i="2"/>
  <c r="DL19" i="2"/>
  <c r="DJ19" i="2"/>
  <c r="DH19" i="2"/>
  <c r="DF19" i="2"/>
  <c r="DD19" i="2"/>
  <c r="DB19" i="2"/>
  <c r="CZ19" i="2"/>
  <c r="CX19" i="2"/>
  <c r="CV19" i="2"/>
  <c r="CT19" i="2"/>
  <c r="CR19" i="2"/>
  <c r="CP19" i="2"/>
  <c r="CN19" i="2"/>
  <c r="CL19" i="2"/>
  <c r="CJ19" i="2"/>
  <c r="CH19" i="2"/>
  <c r="CF19" i="2"/>
  <c r="CD19" i="2"/>
  <c r="CB19" i="2"/>
  <c r="BZ19" i="2"/>
  <c r="BX19" i="2"/>
  <c r="BV19" i="2"/>
  <c r="BT19" i="2"/>
  <c r="BR19" i="2"/>
  <c r="BP19" i="2"/>
  <c r="BN19" i="2"/>
  <c r="BL19" i="2"/>
  <c r="BJ19" i="2"/>
  <c r="BH19" i="2"/>
  <c r="BF19" i="2"/>
  <c r="BD19" i="2"/>
  <c r="BB19" i="2"/>
  <c r="AZ19" i="2"/>
  <c r="AX19" i="2"/>
  <c r="AV19" i="2"/>
  <c r="AT19" i="2"/>
  <c r="AR19" i="2"/>
  <c r="AP19" i="2"/>
  <c r="AN19" i="2"/>
  <c r="AL19" i="2"/>
  <c r="AJ19" i="2"/>
  <c r="AH19" i="2"/>
  <c r="AF19" i="2"/>
  <c r="AD19" i="2"/>
  <c r="AB19" i="2"/>
  <c r="Z19" i="2"/>
  <c r="X19" i="2"/>
  <c r="V19" i="2"/>
  <c r="T19" i="2"/>
  <c r="R19" i="2"/>
  <c r="P19" i="2"/>
  <c r="N19" i="2"/>
  <c r="L19" i="2"/>
  <c r="J19" i="2"/>
  <c r="H19" i="2"/>
  <c r="F19" i="2"/>
  <c r="D19" i="2"/>
  <c r="B19" i="2"/>
  <c r="ER18" i="2"/>
  <c r="EP18" i="2"/>
  <c r="EN18" i="2"/>
  <c r="EL18" i="2"/>
  <c r="EJ18" i="2"/>
  <c r="EH18" i="2"/>
  <c r="EF18" i="2"/>
  <c r="ED18" i="2"/>
  <c r="EB18" i="2"/>
  <c r="DZ18" i="2"/>
  <c r="DX18" i="2"/>
  <c r="DV18" i="2"/>
  <c r="DT18" i="2"/>
  <c r="DR18" i="2"/>
  <c r="DP18" i="2"/>
  <c r="DN18" i="2"/>
  <c r="DL18" i="2"/>
  <c r="DJ18" i="2"/>
  <c r="DH18" i="2"/>
  <c r="DF18" i="2"/>
  <c r="DD18" i="2"/>
  <c r="DB18" i="2"/>
  <c r="CZ18" i="2"/>
  <c r="CX18" i="2"/>
  <c r="CV18" i="2"/>
  <c r="CT18" i="2"/>
  <c r="CR18" i="2"/>
  <c r="CP18" i="2"/>
  <c r="CN18" i="2"/>
  <c r="CL18" i="2"/>
  <c r="CJ18" i="2"/>
  <c r="CH18" i="2"/>
  <c r="CF18" i="2"/>
  <c r="CD18" i="2"/>
  <c r="CB18" i="2"/>
  <c r="BZ18" i="2"/>
  <c r="BX18" i="2"/>
  <c r="BV18" i="2"/>
  <c r="BT18" i="2"/>
  <c r="BR18" i="2"/>
  <c r="BP18" i="2"/>
  <c r="BN18" i="2"/>
  <c r="BL18" i="2"/>
  <c r="BJ18" i="2"/>
  <c r="BH18" i="2"/>
  <c r="BF18" i="2"/>
  <c r="BD18" i="2"/>
  <c r="BB18" i="2"/>
  <c r="AZ18" i="2"/>
  <c r="AX18" i="2"/>
  <c r="AV18" i="2"/>
  <c r="AT18" i="2"/>
  <c r="AR18" i="2"/>
  <c r="AP18" i="2"/>
  <c r="AN18" i="2"/>
  <c r="AL18" i="2"/>
  <c r="AJ18" i="2"/>
  <c r="AH18" i="2"/>
  <c r="AF18" i="2"/>
  <c r="AD18" i="2"/>
  <c r="AB18" i="2"/>
  <c r="Z18" i="2"/>
  <c r="X18" i="2"/>
  <c r="V18" i="2"/>
  <c r="T18" i="2"/>
  <c r="R18" i="2"/>
  <c r="P18" i="2"/>
  <c r="N18" i="2"/>
  <c r="L18" i="2"/>
  <c r="J18" i="2"/>
  <c r="H18" i="2"/>
  <c r="F18" i="2"/>
  <c r="D18" i="2"/>
  <c r="B18" i="2"/>
  <c r="ER17" i="2"/>
  <c r="EP17" i="2"/>
  <c r="EN17" i="2"/>
  <c r="EL17" i="2"/>
  <c r="EJ17" i="2"/>
  <c r="EH17" i="2"/>
  <c r="EF17" i="2"/>
  <c r="ED17" i="2"/>
  <c r="EB17" i="2"/>
  <c r="DZ17" i="2"/>
  <c r="DX17" i="2"/>
  <c r="DV17" i="2"/>
  <c r="DT17" i="2"/>
  <c r="DR17" i="2"/>
  <c r="DP17" i="2"/>
  <c r="DN17" i="2"/>
  <c r="DL17" i="2"/>
  <c r="DJ17" i="2"/>
  <c r="DH17" i="2"/>
  <c r="DF17" i="2"/>
  <c r="DD17" i="2"/>
  <c r="DB17" i="2"/>
  <c r="CZ17" i="2"/>
  <c r="CX17" i="2"/>
  <c r="CV17" i="2"/>
  <c r="CT17" i="2"/>
  <c r="CR17" i="2"/>
  <c r="CP17" i="2"/>
  <c r="CN17" i="2"/>
  <c r="CL17" i="2"/>
  <c r="CJ17" i="2"/>
  <c r="CH17" i="2"/>
  <c r="CF17" i="2"/>
  <c r="CD17" i="2"/>
  <c r="CB17" i="2"/>
  <c r="BZ17" i="2"/>
  <c r="BX17" i="2"/>
  <c r="BV17" i="2"/>
  <c r="BT17" i="2"/>
  <c r="BR17" i="2"/>
  <c r="BP17" i="2"/>
  <c r="BN17" i="2"/>
  <c r="BL17" i="2"/>
  <c r="BJ17" i="2"/>
  <c r="BH17" i="2"/>
  <c r="BF17" i="2"/>
  <c r="BD17" i="2"/>
  <c r="BB17" i="2"/>
  <c r="AZ17" i="2"/>
  <c r="AX17" i="2"/>
  <c r="AV17" i="2"/>
  <c r="AT17" i="2"/>
  <c r="AR17" i="2"/>
  <c r="AP17" i="2"/>
  <c r="AN17" i="2"/>
  <c r="AL17" i="2"/>
  <c r="AJ17" i="2"/>
  <c r="AH17" i="2"/>
  <c r="AF17" i="2"/>
  <c r="AD17" i="2"/>
  <c r="AB17" i="2"/>
  <c r="Z17" i="2"/>
  <c r="X17" i="2"/>
  <c r="V17" i="2"/>
  <c r="T17" i="2"/>
  <c r="R17" i="2"/>
  <c r="P17" i="2"/>
  <c r="N17" i="2"/>
  <c r="L17" i="2"/>
  <c r="J17" i="2"/>
  <c r="H17" i="2"/>
  <c r="F17" i="2"/>
  <c r="D17" i="2"/>
  <c r="B17" i="2"/>
  <c r="ER16" i="2"/>
  <c r="EP16" i="2"/>
  <c r="EN16" i="2"/>
  <c r="EL16" i="2"/>
  <c r="EJ16" i="2"/>
  <c r="EH16" i="2"/>
  <c r="EF16" i="2"/>
  <c r="ED16" i="2"/>
  <c r="EB16" i="2"/>
  <c r="DZ16" i="2"/>
  <c r="DX16" i="2"/>
  <c r="DV16" i="2"/>
  <c r="DT16" i="2"/>
  <c r="DR16" i="2"/>
  <c r="DP16" i="2"/>
  <c r="DN16" i="2"/>
  <c r="DL16" i="2"/>
  <c r="DJ16" i="2"/>
  <c r="DH16" i="2"/>
  <c r="DF16" i="2"/>
  <c r="DD16" i="2"/>
  <c r="DB16" i="2"/>
  <c r="CZ16" i="2"/>
  <c r="CX16" i="2"/>
  <c r="CV16" i="2"/>
  <c r="CT16" i="2"/>
  <c r="CR16" i="2"/>
  <c r="CP16" i="2"/>
  <c r="CN16" i="2"/>
  <c r="CL16" i="2"/>
  <c r="CJ16" i="2"/>
  <c r="CH16" i="2"/>
  <c r="CF16" i="2"/>
  <c r="CD16" i="2"/>
  <c r="CB16" i="2"/>
  <c r="BZ16" i="2"/>
  <c r="BX16" i="2"/>
  <c r="BV16" i="2"/>
  <c r="BT16" i="2"/>
  <c r="BR16" i="2"/>
  <c r="BP16" i="2"/>
  <c r="BN16" i="2"/>
  <c r="BL16" i="2"/>
  <c r="BJ16" i="2"/>
  <c r="BH16" i="2"/>
  <c r="BF16" i="2"/>
  <c r="BD16" i="2"/>
  <c r="BB16" i="2"/>
  <c r="AZ16" i="2"/>
  <c r="AX16" i="2"/>
  <c r="AV16" i="2"/>
  <c r="AT16" i="2"/>
  <c r="AR16" i="2"/>
  <c r="AP16" i="2"/>
  <c r="AN16" i="2"/>
  <c r="AL16" i="2"/>
  <c r="AJ16" i="2"/>
  <c r="AH16" i="2"/>
  <c r="AF16" i="2"/>
  <c r="AD16" i="2"/>
  <c r="AB16" i="2"/>
  <c r="Z16" i="2"/>
  <c r="X16" i="2"/>
  <c r="V16" i="2"/>
  <c r="T16" i="2"/>
  <c r="R16" i="2"/>
  <c r="P16" i="2"/>
  <c r="N16" i="2"/>
  <c r="L16" i="2"/>
  <c r="J16" i="2"/>
  <c r="H16" i="2"/>
  <c r="F16" i="2"/>
  <c r="D16" i="2"/>
  <c r="B16" i="2"/>
  <c r="ER15" i="2"/>
  <c r="EP15" i="2"/>
  <c r="EN15" i="2"/>
  <c r="EL15" i="2"/>
  <c r="EJ15" i="2"/>
  <c r="EH15" i="2"/>
  <c r="EF15" i="2"/>
  <c r="ED15" i="2"/>
  <c r="EB15" i="2"/>
  <c r="DZ15" i="2"/>
  <c r="DX15" i="2"/>
  <c r="DV15" i="2"/>
  <c r="DT15" i="2"/>
  <c r="DR15" i="2"/>
  <c r="DP15" i="2"/>
  <c r="DN15" i="2"/>
  <c r="DL15" i="2"/>
  <c r="DJ15" i="2"/>
  <c r="DH15" i="2"/>
  <c r="DF15" i="2"/>
  <c r="DD15" i="2"/>
  <c r="DB15" i="2"/>
  <c r="CZ15" i="2"/>
  <c r="CX15" i="2"/>
  <c r="CV15" i="2"/>
  <c r="CT15" i="2"/>
  <c r="CR15" i="2"/>
  <c r="CP15" i="2"/>
  <c r="CN15" i="2"/>
  <c r="CL15" i="2"/>
  <c r="CJ15" i="2"/>
  <c r="CH15" i="2"/>
  <c r="CF15" i="2"/>
  <c r="CD15" i="2"/>
  <c r="CB15" i="2"/>
  <c r="BZ15" i="2"/>
  <c r="BX15" i="2"/>
  <c r="BV15" i="2"/>
  <c r="BT15" i="2"/>
  <c r="BR15" i="2"/>
  <c r="BP15" i="2"/>
  <c r="BN15" i="2"/>
  <c r="BL15" i="2"/>
  <c r="BJ15" i="2"/>
  <c r="BH15" i="2"/>
  <c r="BF15" i="2"/>
  <c r="BD15" i="2"/>
  <c r="BB15" i="2"/>
  <c r="AZ15" i="2"/>
  <c r="AX15" i="2"/>
  <c r="AV15" i="2"/>
  <c r="AT15" i="2"/>
  <c r="AR15" i="2"/>
  <c r="AP15" i="2"/>
  <c r="AN15" i="2"/>
  <c r="AL15" i="2"/>
  <c r="AJ15" i="2"/>
  <c r="AH15" i="2"/>
  <c r="AF15" i="2"/>
  <c r="AD15" i="2"/>
  <c r="AB15" i="2"/>
  <c r="Z15" i="2"/>
  <c r="X15" i="2"/>
  <c r="V15" i="2"/>
  <c r="T15" i="2"/>
  <c r="R15" i="2"/>
  <c r="P15" i="2"/>
  <c r="N15" i="2"/>
  <c r="L15" i="2"/>
  <c r="J15" i="2"/>
  <c r="H15" i="2"/>
  <c r="F15" i="2"/>
  <c r="D15" i="2"/>
  <c r="B15" i="2"/>
  <c r="ER14" i="2"/>
  <c r="EP14" i="2"/>
  <c r="EN14" i="2"/>
  <c r="EL14" i="2"/>
  <c r="EJ14" i="2"/>
  <c r="EH14" i="2"/>
  <c r="EF14" i="2"/>
  <c r="ED14" i="2"/>
  <c r="EB14" i="2"/>
  <c r="DZ14" i="2"/>
  <c r="DX14" i="2"/>
  <c r="DV14" i="2"/>
  <c r="DT14" i="2"/>
  <c r="DR14" i="2"/>
  <c r="DP14" i="2"/>
  <c r="DN14" i="2"/>
  <c r="DL14" i="2"/>
  <c r="DJ14" i="2"/>
  <c r="DH14" i="2"/>
  <c r="DF14" i="2"/>
  <c r="DD14" i="2"/>
  <c r="DB14" i="2"/>
  <c r="CZ14" i="2"/>
  <c r="CX14" i="2"/>
  <c r="CV14" i="2"/>
  <c r="CT14" i="2"/>
  <c r="CR14" i="2"/>
  <c r="CP14" i="2"/>
  <c r="CN14" i="2"/>
  <c r="CL14" i="2"/>
  <c r="CJ14" i="2"/>
  <c r="CH14" i="2"/>
  <c r="CF14" i="2"/>
  <c r="CD14" i="2"/>
  <c r="CB14" i="2"/>
  <c r="BZ14" i="2"/>
  <c r="BX14" i="2"/>
  <c r="BV14" i="2"/>
  <c r="BT14" i="2"/>
  <c r="BR14" i="2"/>
  <c r="BP14" i="2"/>
  <c r="BN14" i="2"/>
  <c r="BL14" i="2"/>
  <c r="BJ14" i="2"/>
  <c r="BH14" i="2"/>
  <c r="BF14" i="2"/>
  <c r="BD14" i="2"/>
  <c r="BB14" i="2"/>
  <c r="AZ14" i="2"/>
  <c r="AX14" i="2"/>
  <c r="AV14" i="2"/>
  <c r="AT14" i="2"/>
  <c r="AR14" i="2"/>
  <c r="AP14" i="2"/>
  <c r="AN14" i="2"/>
  <c r="AL14" i="2"/>
  <c r="AJ14" i="2"/>
  <c r="AH14" i="2"/>
  <c r="AF14" i="2"/>
  <c r="AD14" i="2"/>
  <c r="AB14" i="2"/>
  <c r="Z14" i="2"/>
  <c r="X14" i="2"/>
  <c r="V14" i="2"/>
  <c r="T14" i="2"/>
  <c r="R14" i="2"/>
  <c r="P14" i="2"/>
  <c r="N14" i="2"/>
  <c r="L14" i="2"/>
  <c r="J14" i="2"/>
  <c r="H14" i="2"/>
  <c r="F14" i="2"/>
  <c r="D14" i="2"/>
  <c r="B14" i="2"/>
  <c r="ER13" i="2"/>
  <c r="EP13" i="2"/>
  <c r="EN13" i="2"/>
  <c r="EL13" i="2"/>
  <c r="EJ13" i="2"/>
  <c r="EH13" i="2"/>
  <c r="EF13" i="2"/>
  <c r="ED13" i="2"/>
  <c r="EB13" i="2"/>
  <c r="DZ13" i="2"/>
  <c r="DX13" i="2"/>
  <c r="DV13" i="2"/>
  <c r="DT13" i="2"/>
  <c r="DR13" i="2"/>
  <c r="DP13" i="2"/>
  <c r="DN13" i="2"/>
  <c r="DL13" i="2"/>
  <c r="DJ13" i="2"/>
  <c r="DH13" i="2"/>
  <c r="DF13" i="2"/>
  <c r="DD13" i="2"/>
  <c r="DB13" i="2"/>
  <c r="CZ13" i="2"/>
  <c r="CX13" i="2"/>
  <c r="CV13" i="2"/>
  <c r="CT13" i="2"/>
  <c r="CR13" i="2"/>
  <c r="CP13" i="2"/>
  <c r="CN13" i="2"/>
  <c r="CL13" i="2"/>
  <c r="CJ13" i="2"/>
  <c r="CH13" i="2"/>
  <c r="CF13" i="2"/>
  <c r="CD13" i="2"/>
  <c r="CB13" i="2"/>
  <c r="BZ13" i="2"/>
  <c r="BX13" i="2"/>
  <c r="BV13" i="2"/>
  <c r="BT13" i="2"/>
  <c r="BR13" i="2"/>
  <c r="BP13" i="2"/>
  <c r="BN13" i="2"/>
  <c r="BL13" i="2"/>
  <c r="BJ13" i="2"/>
  <c r="BH13" i="2"/>
  <c r="BF13" i="2"/>
  <c r="BD13" i="2"/>
  <c r="BB13" i="2"/>
  <c r="AZ13" i="2"/>
  <c r="AX13" i="2"/>
  <c r="AV13" i="2"/>
  <c r="AT13" i="2"/>
  <c r="AR13" i="2"/>
  <c r="AP13" i="2"/>
  <c r="AN13" i="2"/>
  <c r="AL13" i="2"/>
  <c r="AJ13" i="2"/>
  <c r="AH13" i="2"/>
  <c r="AF13" i="2"/>
  <c r="AD13" i="2"/>
  <c r="AB13" i="2"/>
  <c r="Z13" i="2"/>
  <c r="X13" i="2"/>
  <c r="V13" i="2"/>
  <c r="T13" i="2"/>
  <c r="R13" i="2"/>
  <c r="P13" i="2"/>
  <c r="N13" i="2"/>
  <c r="L13" i="2"/>
  <c r="J13" i="2"/>
  <c r="H13" i="2"/>
  <c r="F13" i="2"/>
  <c r="D13" i="2"/>
  <c r="B13" i="2"/>
  <c r="ER12" i="2"/>
  <c r="EP12" i="2"/>
  <c r="EN12" i="2"/>
  <c r="EL12" i="2"/>
  <c r="EJ12" i="2"/>
  <c r="EH12" i="2"/>
  <c r="EF12" i="2"/>
  <c r="ED12" i="2"/>
  <c r="EB12" i="2"/>
  <c r="DZ12" i="2"/>
  <c r="DX12" i="2"/>
  <c r="DV12" i="2"/>
  <c r="DT12" i="2"/>
  <c r="DR12" i="2"/>
  <c r="DP12" i="2"/>
  <c r="DN12" i="2"/>
  <c r="DL12" i="2"/>
  <c r="DJ12" i="2"/>
  <c r="DH12" i="2"/>
  <c r="DF12" i="2"/>
  <c r="DD12" i="2"/>
  <c r="DB12" i="2"/>
  <c r="CZ12" i="2"/>
  <c r="CX12" i="2"/>
  <c r="CV12" i="2"/>
  <c r="CT12" i="2"/>
  <c r="CR12" i="2"/>
  <c r="CP12" i="2"/>
  <c r="CN12" i="2"/>
  <c r="CL12" i="2"/>
  <c r="CJ12" i="2"/>
  <c r="CH12" i="2"/>
  <c r="CF12" i="2"/>
  <c r="CD12" i="2"/>
  <c r="CB12" i="2"/>
  <c r="BZ12" i="2"/>
  <c r="BX12" i="2"/>
  <c r="BV12" i="2"/>
  <c r="BT12" i="2"/>
  <c r="BR12" i="2"/>
  <c r="BP12" i="2"/>
  <c r="BN12" i="2"/>
  <c r="BL12" i="2"/>
  <c r="BJ12" i="2"/>
  <c r="BH12" i="2"/>
  <c r="BF12" i="2"/>
  <c r="BD12" i="2"/>
  <c r="BB12" i="2"/>
  <c r="AZ12" i="2"/>
  <c r="AX12" i="2"/>
  <c r="AV12" i="2"/>
  <c r="AT12" i="2"/>
  <c r="AR12" i="2"/>
  <c r="AP12" i="2"/>
  <c r="AN12" i="2"/>
  <c r="AL12" i="2"/>
  <c r="AJ12" i="2"/>
  <c r="AH12" i="2"/>
  <c r="AF12" i="2"/>
  <c r="AD12" i="2"/>
  <c r="AB12" i="2"/>
  <c r="Z12" i="2"/>
  <c r="X12" i="2"/>
  <c r="V12" i="2"/>
  <c r="T12" i="2"/>
  <c r="R12" i="2"/>
  <c r="P12" i="2"/>
  <c r="N12" i="2"/>
  <c r="L12" i="2"/>
  <c r="J12" i="2"/>
  <c r="H12" i="2"/>
  <c r="F12" i="2"/>
  <c r="D12" i="2"/>
  <c r="B12" i="2"/>
  <c r="ER11" i="2"/>
  <c r="EP11" i="2"/>
  <c r="EN11" i="2"/>
  <c r="EL11" i="2"/>
  <c r="EJ11" i="2"/>
  <c r="EH11" i="2"/>
  <c r="EF11" i="2"/>
  <c r="ED11" i="2"/>
  <c r="EB11" i="2"/>
  <c r="DZ11" i="2"/>
  <c r="DX11" i="2"/>
  <c r="DV11" i="2"/>
  <c r="DT11" i="2"/>
  <c r="DR11" i="2"/>
  <c r="DP11" i="2"/>
  <c r="DN11" i="2"/>
  <c r="DL11" i="2"/>
  <c r="DJ11" i="2"/>
  <c r="DH11" i="2"/>
  <c r="DF11" i="2"/>
  <c r="DD11" i="2"/>
  <c r="DB11" i="2"/>
  <c r="CZ11" i="2"/>
  <c r="CX11" i="2"/>
  <c r="CV11" i="2"/>
  <c r="CT11" i="2"/>
  <c r="CR11" i="2"/>
  <c r="CP11" i="2"/>
  <c r="CN11" i="2"/>
  <c r="CL11" i="2"/>
  <c r="CJ11" i="2"/>
  <c r="CH11" i="2"/>
  <c r="CF11" i="2"/>
  <c r="CD11" i="2"/>
  <c r="CB11" i="2"/>
  <c r="BZ11" i="2"/>
  <c r="BX11" i="2"/>
  <c r="BV11" i="2"/>
  <c r="BT11" i="2"/>
  <c r="BR11" i="2"/>
  <c r="BP11" i="2"/>
  <c r="BN11" i="2"/>
  <c r="BL11" i="2"/>
  <c r="BJ11" i="2"/>
  <c r="BH11" i="2"/>
  <c r="BF11" i="2"/>
  <c r="BD11" i="2"/>
  <c r="BB11" i="2"/>
  <c r="AZ11" i="2"/>
  <c r="AX11" i="2"/>
  <c r="AV11" i="2"/>
  <c r="AT11" i="2"/>
  <c r="AR11" i="2"/>
  <c r="AP11" i="2"/>
  <c r="AN11" i="2"/>
  <c r="AL11" i="2"/>
  <c r="AJ11" i="2"/>
  <c r="AH11" i="2"/>
  <c r="AF11" i="2"/>
  <c r="AD11" i="2"/>
  <c r="AB11" i="2"/>
  <c r="Z11" i="2"/>
  <c r="X11" i="2"/>
  <c r="V11" i="2"/>
  <c r="T11" i="2"/>
  <c r="R11" i="2"/>
  <c r="P11" i="2"/>
  <c r="N11" i="2"/>
  <c r="L11" i="2"/>
  <c r="J11" i="2"/>
  <c r="H11" i="2"/>
  <c r="F11" i="2"/>
  <c r="D11" i="2"/>
  <c r="B11" i="2"/>
  <c r="ER10" i="2"/>
  <c r="EP10" i="2"/>
  <c r="EN10" i="2"/>
  <c r="EL10" i="2"/>
  <c r="EJ10" i="2"/>
  <c r="EH10" i="2"/>
  <c r="EF10" i="2"/>
  <c r="ED10" i="2"/>
  <c r="EB10" i="2"/>
  <c r="DZ10" i="2"/>
  <c r="DX10" i="2"/>
  <c r="DV10" i="2"/>
  <c r="DT10" i="2"/>
  <c r="DR10" i="2"/>
  <c r="DP10" i="2"/>
  <c r="DN10" i="2"/>
  <c r="DL10" i="2"/>
  <c r="DJ10" i="2"/>
  <c r="DH10" i="2"/>
  <c r="DF10" i="2"/>
  <c r="DD10" i="2"/>
  <c r="DB10" i="2"/>
  <c r="CZ10" i="2"/>
  <c r="CX10" i="2"/>
  <c r="CV10" i="2"/>
  <c r="CT10" i="2"/>
  <c r="CR10" i="2"/>
  <c r="CP10" i="2"/>
  <c r="CN10" i="2"/>
  <c r="CL10" i="2"/>
  <c r="CJ10" i="2"/>
  <c r="CH10" i="2"/>
  <c r="CF10" i="2"/>
  <c r="CD10" i="2"/>
  <c r="CB10" i="2"/>
  <c r="BZ10" i="2"/>
  <c r="BX10" i="2"/>
  <c r="BV10" i="2"/>
  <c r="BT10" i="2"/>
  <c r="BR10" i="2"/>
  <c r="BP10" i="2"/>
  <c r="BN10" i="2"/>
  <c r="BL10" i="2"/>
  <c r="BJ10" i="2"/>
  <c r="BH10" i="2"/>
  <c r="BF10" i="2"/>
  <c r="BD10" i="2"/>
  <c r="BB10" i="2"/>
  <c r="AZ10" i="2"/>
  <c r="AX10" i="2"/>
  <c r="AV10" i="2"/>
  <c r="AT10" i="2"/>
  <c r="AR10" i="2"/>
  <c r="AP10" i="2"/>
  <c r="AN10" i="2"/>
  <c r="AL10" i="2"/>
  <c r="AJ10" i="2"/>
  <c r="AH10" i="2"/>
  <c r="AF10" i="2"/>
  <c r="AD10" i="2"/>
  <c r="AB10" i="2"/>
  <c r="Z10" i="2"/>
  <c r="X10" i="2"/>
  <c r="V10" i="2"/>
  <c r="T10" i="2"/>
  <c r="R10" i="2"/>
  <c r="P10" i="2"/>
  <c r="N10" i="2"/>
  <c r="L10" i="2"/>
  <c r="J10" i="2"/>
  <c r="H10" i="2"/>
  <c r="F10" i="2"/>
  <c r="D10" i="2"/>
  <c r="B10" i="2"/>
  <c r="ER9" i="2"/>
  <c r="EP9" i="2"/>
  <c r="EN9" i="2"/>
  <c r="EL9" i="2"/>
  <c r="EJ9" i="2"/>
  <c r="EH9" i="2"/>
  <c r="EF9" i="2"/>
  <c r="ED9" i="2"/>
  <c r="EB9" i="2"/>
  <c r="DZ9" i="2"/>
  <c r="DX9" i="2"/>
  <c r="DV9" i="2"/>
  <c r="DT9" i="2"/>
  <c r="DR9" i="2"/>
  <c r="DP9" i="2"/>
  <c r="DN9" i="2"/>
  <c r="DL9" i="2"/>
  <c r="DJ9" i="2"/>
  <c r="DH9" i="2"/>
  <c r="DF9" i="2"/>
  <c r="DD9" i="2"/>
  <c r="DB9" i="2"/>
  <c r="CZ9" i="2"/>
  <c r="CX9" i="2"/>
  <c r="CV9" i="2"/>
  <c r="CT9" i="2"/>
  <c r="CR9" i="2"/>
  <c r="CP9" i="2"/>
  <c r="CN9" i="2"/>
  <c r="CL9" i="2"/>
  <c r="CJ9" i="2"/>
  <c r="CH9" i="2"/>
  <c r="CF9" i="2"/>
  <c r="CD9" i="2"/>
  <c r="CB9" i="2"/>
  <c r="BZ9" i="2"/>
  <c r="BX9" i="2"/>
  <c r="BV9" i="2"/>
  <c r="BT9" i="2"/>
  <c r="BR9" i="2"/>
  <c r="BP9" i="2"/>
  <c r="BN9" i="2"/>
  <c r="BL9" i="2"/>
  <c r="BJ9" i="2"/>
  <c r="BH9" i="2"/>
  <c r="BF9" i="2"/>
  <c r="BD9" i="2"/>
  <c r="BB9" i="2"/>
  <c r="AZ9" i="2"/>
  <c r="AX9" i="2"/>
  <c r="AV9" i="2"/>
  <c r="AT9" i="2"/>
  <c r="AR9" i="2"/>
  <c r="AP9" i="2"/>
  <c r="AN9" i="2"/>
  <c r="AL9" i="2"/>
  <c r="AJ9" i="2"/>
  <c r="AH9" i="2"/>
  <c r="AF9" i="2"/>
  <c r="AD9" i="2"/>
  <c r="AB9" i="2"/>
  <c r="Z9" i="2"/>
  <c r="X9" i="2"/>
  <c r="V9" i="2"/>
  <c r="T9" i="2"/>
  <c r="R9" i="2"/>
  <c r="P9" i="2"/>
  <c r="N9" i="2"/>
  <c r="L9" i="2"/>
  <c r="J9" i="2"/>
  <c r="H9" i="2"/>
  <c r="F9" i="2"/>
  <c r="D9" i="2"/>
  <c r="B9" i="2"/>
  <c r="ER8" i="2"/>
  <c r="EP8" i="2"/>
  <c r="EN8" i="2"/>
  <c r="EL8" i="2"/>
  <c r="EJ8" i="2"/>
  <c r="EH8" i="2"/>
  <c r="EF8" i="2"/>
  <c r="ED8" i="2"/>
  <c r="EB8" i="2"/>
  <c r="DZ8" i="2"/>
  <c r="DX8" i="2"/>
  <c r="DV8" i="2"/>
  <c r="DT8" i="2"/>
  <c r="DR8" i="2"/>
  <c r="DP8" i="2"/>
  <c r="DN8" i="2"/>
  <c r="DL8" i="2"/>
  <c r="DJ8" i="2"/>
  <c r="DH8" i="2"/>
  <c r="DF8" i="2"/>
  <c r="DD8" i="2"/>
  <c r="DB8" i="2"/>
  <c r="CZ8" i="2"/>
  <c r="CX8" i="2"/>
  <c r="CV8" i="2"/>
  <c r="CT8" i="2"/>
  <c r="CR8" i="2"/>
  <c r="CP8" i="2"/>
  <c r="CN8" i="2"/>
  <c r="CL8" i="2"/>
  <c r="CJ8" i="2"/>
  <c r="CH8" i="2"/>
  <c r="CF8" i="2"/>
  <c r="CD8" i="2"/>
  <c r="CB8" i="2"/>
  <c r="BZ8" i="2"/>
  <c r="BX8" i="2"/>
  <c r="BV8" i="2"/>
  <c r="BT8" i="2"/>
  <c r="BR8" i="2"/>
  <c r="BP8" i="2"/>
  <c r="BN8" i="2"/>
  <c r="BL8" i="2"/>
  <c r="BJ8" i="2"/>
  <c r="BH8" i="2"/>
  <c r="BF8" i="2"/>
  <c r="BD8" i="2"/>
  <c r="BB8" i="2"/>
  <c r="AZ8" i="2"/>
  <c r="AX8" i="2"/>
  <c r="AV8" i="2"/>
  <c r="AT8" i="2"/>
  <c r="AR8" i="2"/>
  <c r="AP8" i="2"/>
  <c r="AN8" i="2"/>
  <c r="AL8" i="2"/>
  <c r="AJ8" i="2"/>
  <c r="AH8" i="2"/>
  <c r="AF8" i="2"/>
  <c r="AD8" i="2"/>
  <c r="AB8" i="2"/>
  <c r="Z8" i="2"/>
  <c r="X8" i="2"/>
  <c r="V8" i="2"/>
  <c r="T8" i="2"/>
  <c r="R8" i="2"/>
  <c r="P8" i="2"/>
  <c r="N8" i="2"/>
  <c r="L8" i="2"/>
  <c r="J8" i="2"/>
  <c r="H8" i="2"/>
  <c r="F8" i="2"/>
  <c r="D8" i="2"/>
  <c r="B8" i="2"/>
  <c r="EP7" i="2"/>
  <c r="EL7" i="2"/>
  <c r="EH7" i="2"/>
  <c r="ED7" i="2"/>
  <c r="DZ7" i="2"/>
  <c r="DV7" i="2"/>
  <c r="DR7" i="2"/>
  <c r="DN7" i="2"/>
  <c r="DJ7" i="2"/>
  <c r="DF7" i="2"/>
  <c r="DB7" i="2"/>
  <c r="CX7" i="2"/>
  <c r="CT7" i="2"/>
  <c r="CP7" i="2"/>
  <c r="CL7" i="2"/>
  <c r="CH7" i="2"/>
  <c r="CD7" i="2"/>
  <c r="BZ7" i="2"/>
  <c r="BV7" i="2"/>
  <c r="BR7" i="2"/>
  <c r="BN7" i="2"/>
  <c r="BJ7" i="2"/>
  <c r="BF7" i="2"/>
  <c r="BB7" i="2"/>
  <c r="AX7" i="2"/>
  <c r="AT7" i="2"/>
  <c r="AP7" i="2"/>
  <c r="AL7" i="2"/>
  <c r="AH7" i="2"/>
  <c r="AD7" i="2"/>
  <c r="Z7" i="2"/>
  <c r="V7" i="2"/>
  <c r="R7" i="2"/>
  <c r="N7" i="2"/>
  <c r="J7" i="2"/>
  <c r="F7" i="2"/>
  <c r="B7" i="2"/>
  <c r="ER6" i="2"/>
  <c r="EP6" i="2"/>
  <c r="EN6" i="2"/>
  <c r="EL6" i="2"/>
  <c r="EJ6" i="2"/>
  <c r="EH6" i="2"/>
  <c r="EF6" i="2"/>
  <c r="ED6" i="2"/>
  <c r="EB6" i="2"/>
  <c r="DZ6" i="2"/>
  <c r="DX6" i="2"/>
  <c r="DV6" i="2"/>
  <c r="DT6" i="2"/>
  <c r="DR6" i="2"/>
  <c r="DP6" i="2"/>
  <c r="DN6" i="2"/>
  <c r="DL6" i="2"/>
  <c r="DJ6" i="2"/>
  <c r="DH6" i="2"/>
  <c r="DF6" i="2"/>
  <c r="DD6" i="2"/>
  <c r="DB6" i="2"/>
  <c r="CZ6" i="2"/>
  <c r="CX6" i="2"/>
  <c r="CV6" i="2"/>
  <c r="CT6" i="2"/>
  <c r="CR6" i="2"/>
  <c r="CP6" i="2"/>
  <c r="CN6" i="2"/>
  <c r="CL6" i="2"/>
  <c r="CJ6" i="2"/>
  <c r="CH6" i="2"/>
  <c r="CF6" i="2"/>
  <c r="CD6" i="2"/>
  <c r="CB6" i="2"/>
  <c r="BZ6" i="2"/>
  <c r="BX6" i="2"/>
  <c r="BV6" i="2"/>
  <c r="BT6" i="2"/>
  <c r="BR6" i="2"/>
  <c r="BP6" i="2"/>
  <c r="BN6" i="2"/>
  <c r="BL6" i="2"/>
  <c r="BJ6" i="2"/>
  <c r="BH6" i="2"/>
  <c r="BF6" i="2"/>
  <c r="BD6" i="2"/>
  <c r="BB6" i="2"/>
  <c r="AZ6" i="2"/>
  <c r="AX6" i="2"/>
  <c r="AV6" i="2"/>
  <c r="AT6" i="2"/>
  <c r="AR6" i="2"/>
  <c r="AP6" i="2"/>
  <c r="AN6" i="2"/>
  <c r="AL6" i="2"/>
  <c r="AJ6" i="2"/>
  <c r="AH6" i="2"/>
  <c r="AF6" i="2"/>
  <c r="AD6" i="2"/>
  <c r="AB6" i="2"/>
  <c r="Z6" i="2"/>
  <c r="X6" i="2"/>
  <c r="V6" i="2"/>
  <c r="T6" i="2"/>
  <c r="R6" i="2"/>
  <c r="P6" i="2"/>
  <c r="N6" i="2"/>
  <c r="L6" i="2"/>
  <c r="J6" i="2"/>
  <c r="H6" i="2"/>
  <c r="F6" i="2"/>
  <c r="D6" i="2"/>
  <c r="B6" i="2"/>
  <c r="ER5" i="2"/>
  <c r="EP5" i="2"/>
  <c r="EN5" i="2"/>
  <c r="EL5" i="2"/>
  <c r="EJ5" i="2"/>
  <c r="EH5" i="2"/>
  <c r="EF5" i="2"/>
  <c r="ED5" i="2"/>
  <c r="EB5" i="2"/>
  <c r="DZ5" i="2"/>
  <c r="DX5" i="2"/>
  <c r="DV5" i="2"/>
  <c r="DT5" i="2"/>
  <c r="DR5" i="2"/>
  <c r="DP5" i="2"/>
  <c r="DN5" i="2"/>
  <c r="DL5" i="2"/>
  <c r="DJ5" i="2"/>
  <c r="DH5" i="2"/>
  <c r="DF5" i="2"/>
  <c r="DD5" i="2"/>
  <c r="DB5" i="2"/>
  <c r="CZ5" i="2"/>
  <c r="CX5" i="2"/>
  <c r="CV5" i="2"/>
  <c r="CT5" i="2"/>
  <c r="CR5" i="2"/>
  <c r="CP5" i="2"/>
  <c r="CN5" i="2"/>
  <c r="CL5" i="2"/>
  <c r="CJ5" i="2"/>
  <c r="CH5" i="2"/>
  <c r="CF5" i="2"/>
  <c r="CD5" i="2"/>
  <c r="CB5" i="2"/>
  <c r="BZ5" i="2"/>
  <c r="BX5" i="2"/>
  <c r="BV5" i="2"/>
  <c r="BT5" i="2"/>
  <c r="BR5" i="2"/>
  <c r="BP5" i="2"/>
  <c r="BN5" i="2"/>
  <c r="BL5" i="2"/>
  <c r="BJ5" i="2"/>
  <c r="BH5" i="2"/>
  <c r="BF5" i="2"/>
  <c r="BD5" i="2"/>
  <c r="BB5" i="2"/>
  <c r="AZ5" i="2"/>
  <c r="AX5" i="2"/>
  <c r="AV5" i="2"/>
  <c r="AT5" i="2"/>
  <c r="AR5" i="2"/>
  <c r="AP5" i="2"/>
  <c r="AN5" i="2"/>
  <c r="AL5" i="2"/>
  <c r="AJ5" i="2"/>
  <c r="AH5" i="2"/>
  <c r="AF5" i="2"/>
  <c r="AD5" i="2"/>
  <c r="AB5" i="2"/>
  <c r="Z5" i="2"/>
  <c r="X5" i="2"/>
  <c r="V5" i="2"/>
  <c r="T5" i="2"/>
  <c r="R5" i="2"/>
  <c r="P5" i="2"/>
  <c r="N5" i="2"/>
  <c r="L5" i="2"/>
  <c r="J5" i="2"/>
  <c r="H5" i="2"/>
  <c r="F5" i="2"/>
  <c r="D5" i="2"/>
  <c r="B5" i="2"/>
  <c r="ER4" i="2"/>
  <c r="EP4" i="2"/>
  <c r="EN4" i="2"/>
  <c r="EL4" i="2"/>
  <c r="EJ4" i="2"/>
  <c r="EH4" i="2"/>
  <c r="EF4" i="2"/>
  <c r="ED4" i="2"/>
  <c r="EB4" i="2"/>
  <c r="DZ4" i="2"/>
  <c r="DX4" i="2"/>
  <c r="DV4" i="2"/>
  <c r="DT4" i="2"/>
  <c r="DR4" i="2"/>
  <c r="DP4" i="2"/>
  <c r="DN4" i="2"/>
  <c r="DL4" i="2"/>
  <c r="DJ4" i="2"/>
  <c r="DH4" i="2"/>
  <c r="DF4" i="2"/>
  <c r="DD4" i="2"/>
  <c r="DB4" i="2"/>
  <c r="CZ4" i="2"/>
  <c r="CX4" i="2"/>
  <c r="CV4" i="2"/>
  <c r="CT4" i="2"/>
  <c r="CR4" i="2"/>
  <c r="CP4" i="2"/>
  <c r="CN4" i="2"/>
  <c r="CL4" i="2"/>
  <c r="CJ4" i="2"/>
  <c r="CH4" i="2"/>
  <c r="CF4" i="2"/>
  <c r="CD4" i="2"/>
  <c r="CB4" i="2"/>
  <c r="BZ4" i="2"/>
  <c r="BX4" i="2"/>
  <c r="BV4" i="2"/>
  <c r="BT4" i="2"/>
  <c r="BR4" i="2"/>
  <c r="BP4" i="2"/>
  <c r="BN4" i="2"/>
  <c r="BL4" i="2"/>
  <c r="BJ4" i="2"/>
  <c r="BH4" i="2"/>
  <c r="BF4" i="2"/>
  <c r="BD4" i="2"/>
  <c r="BB4" i="2"/>
  <c r="AZ4" i="2"/>
  <c r="AX4" i="2"/>
  <c r="AV4" i="2"/>
  <c r="AT4" i="2"/>
  <c r="AR4" i="2"/>
  <c r="AP4" i="2"/>
  <c r="AN4" i="2"/>
  <c r="AL4" i="2"/>
  <c r="AJ4" i="2"/>
  <c r="AH4" i="2"/>
  <c r="AF4" i="2"/>
  <c r="AD4" i="2"/>
  <c r="AB4" i="2"/>
  <c r="Z4" i="2"/>
  <c r="X4" i="2"/>
  <c r="V4" i="2"/>
  <c r="T4" i="2"/>
  <c r="R4" i="2"/>
  <c r="P4" i="2"/>
  <c r="N4" i="2"/>
  <c r="L4" i="2"/>
  <c r="J4" i="2"/>
  <c r="H4" i="2"/>
  <c r="F4" i="2"/>
  <c r="D4" i="2"/>
  <c r="B4" i="2"/>
  <c r="A41" i="1"/>
</calcChain>
</file>

<file path=xl/sharedStrings.xml><?xml version="1.0" encoding="utf-8"?>
<sst xmlns="http://schemas.openxmlformats.org/spreadsheetml/2006/main" count="8338" uniqueCount="1488">
  <si>
    <t>ACS DEMOGRAPHIC AND HOUSING ESTIMATES</t>
  </si>
  <si>
    <t>Note: The table shown may have been modified by user selections. Some information may be missing.</t>
  </si>
  <si>
    <t>DATA NOTES</t>
  </si>
  <si>
    <t/>
  </si>
  <si>
    <t>TABLE ID:</t>
  </si>
  <si>
    <t>DP05</t>
  </si>
  <si>
    <t>SURVEY/PROGRAM:</t>
  </si>
  <si>
    <t>American Community Survey</t>
  </si>
  <si>
    <t>VINTAGE:</t>
  </si>
  <si>
    <t>2021</t>
  </si>
  <si>
    <t>DATASET:</t>
  </si>
  <si>
    <t>ACSDP1Y2021</t>
  </si>
  <si>
    <t>PRODUCT:</t>
  </si>
  <si>
    <t>ACS 1-Year Estimates Data Profiles</t>
  </si>
  <si>
    <t>UNIVERSE:</t>
  </si>
  <si>
    <t>None</t>
  </si>
  <si>
    <t>FTP URL:</t>
  </si>
  <si>
    <t>API URL:</t>
  </si>
  <si>
    <t>https://api.census.gov/data/2021/acs/acs1/profile</t>
  </si>
  <si>
    <t>USER SELECTIONS</t>
  </si>
  <si>
    <t>GEOS</t>
  </si>
  <si>
    <t>All Counties within Ohio</t>
  </si>
  <si>
    <t>EXCLUDED COLUMNS</t>
  </si>
  <si>
    <t>APPLIED FILTERS</t>
  </si>
  <si>
    <t>APPLIED SORTS</t>
  </si>
  <si>
    <t>PIVOT &amp; GROUPING</t>
  </si>
  <si>
    <t>WEB ADDRESS</t>
  </si>
  <si>
    <t>https://data.census.gov/cedsci/table?g=0400000US39%240500000&amp;tid=ACSDP1Y2021.DP05</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</si>
  <si>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</si>
  <si>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</si>
  <si>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</si>
  <si>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</si>
  <si>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</si>
  <si>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For more information on understanding Hispanic origin and race data, please see the America Counts: Stories Behind the Numbers article entitled, 2020 Census Illuminates Racial and Ethnic Composition of the Country, issued August 2021.</t>
  </si>
  <si>
    <t>The Hispanic origin and race codes were updated in 2020. For more information on the Hispanic origin and race code changes, please visit the American Community Survey Technical Documentation website.</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</si>
  <si>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</si>
  <si>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</si>
  <si>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</si>
  <si>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</si>
  <si>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Allen County, Ohio</t>
  </si>
  <si>
    <t>Ashtabula County, Ohio</t>
  </si>
  <si>
    <t>Belmont County, Ohio</t>
  </si>
  <si>
    <t>Butler County, Ohio</t>
  </si>
  <si>
    <t>Clark County, Ohio</t>
  </si>
  <si>
    <t>Clermont County, Ohio</t>
  </si>
  <si>
    <t>Columbiana County, Ohio</t>
  </si>
  <si>
    <t>Cuyahoga County, Ohio</t>
  </si>
  <si>
    <t>Delaware County, Ohio</t>
  </si>
  <si>
    <t>Erie County, Ohio</t>
  </si>
  <si>
    <t>Fairfield County, Ohio</t>
  </si>
  <si>
    <t>Franklin County, Ohio</t>
  </si>
  <si>
    <t>Geauga County, Ohio</t>
  </si>
  <si>
    <t>Greene County, Ohio</t>
  </si>
  <si>
    <t>Hamilton County, Ohio</t>
  </si>
  <si>
    <t>Hancock County, Ohio</t>
  </si>
  <si>
    <t>Lake County, Ohio</t>
  </si>
  <si>
    <t>Licking County, Ohio</t>
  </si>
  <si>
    <t>Lorain County, Ohio</t>
  </si>
  <si>
    <t>Lucas County, Ohio</t>
  </si>
  <si>
    <t>Mahoning County, Ohio</t>
  </si>
  <si>
    <t>Marion County, Ohio</t>
  </si>
  <si>
    <t>Medina County, Ohio</t>
  </si>
  <si>
    <t>Miami County, Ohio</t>
  </si>
  <si>
    <t>Montgomery County, Ohio</t>
  </si>
  <si>
    <t>Muskingum County, Ohio</t>
  </si>
  <si>
    <t>Portage County, Ohio</t>
  </si>
  <si>
    <t>Richland County, Ohio</t>
  </si>
  <si>
    <t>Ross County, Ohio</t>
  </si>
  <si>
    <t>Scioto County, Ohio</t>
  </si>
  <si>
    <t>Stark County, Ohio</t>
  </si>
  <si>
    <t>Summit County, Ohio</t>
  </si>
  <si>
    <t>Trumbull County, Ohio</t>
  </si>
  <si>
    <t>Tuscarawas County, Ohio</t>
  </si>
  <si>
    <t>Warren County, Ohio</t>
  </si>
  <si>
    <t>Wayne County, Ohio</t>
  </si>
  <si>
    <t>Wood County, Ohio</t>
  </si>
  <si>
    <t>Label</t>
  </si>
  <si>
    <t>Estimate</t>
  </si>
  <si>
    <t>Margin of Error</t>
  </si>
  <si>
    <t>Percent</t>
  </si>
  <si>
    <t>Percent Margin of Error</t>
  </si>
  <si>
    <t>SEX AND AGE</t>
  </si>
  <si>
    <t>Total population</t>
  </si>
  <si>
    <t>*****</t>
  </si>
  <si>
    <t>(X)</t>
  </si>
  <si>
    <t>Male</t>
  </si>
  <si>
    <t>±849</t>
  </si>
  <si>
    <t>±0.8</t>
  </si>
  <si>
    <t>±813</t>
  </si>
  <si>
    <t>±409</t>
  </si>
  <si>
    <t>±0.6</t>
  </si>
  <si>
    <t>±979</t>
  </si>
  <si>
    <t>±0.3</t>
  </si>
  <si>
    <t>±616</t>
  </si>
  <si>
    <t>±0.5</t>
  </si>
  <si>
    <t>±751</t>
  </si>
  <si>
    <t>±0.4</t>
  </si>
  <si>
    <t>±553</t>
  </si>
  <si>
    <t>±504</t>
  </si>
  <si>
    <t>±0.1</t>
  </si>
  <si>
    <t>±717</t>
  </si>
  <si>
    <t>±1,129</t>
  </si>
  <si>
    <t>±1.5</t>
  </si>
  <si>
    <t>±694</t>
  </si>
  <si>
    <t>±94</t>
  </si>
  <si>
    <t>±323</t>
  </si>
  <si>
    <t>±568</t>
  </si>
  <si>
    <t>±523</t>
  </si>
  <si>
    <t>±635</t>
  </si>
  <si>
    <t>±0.9</t>
  </si>
  <si>
    <t>±478</t>
  </si>
  <si>
    <t>±0.2</t>
  </si>
  <si>
    <t>±855</t>
  </si>
  <si>
    <t>±1,064</t>
  </si>
  <si>
    <t>±534</t>
  </si>
  <si>
    <t>±618</t>
  </si>
  <si>
    <t>±683</t>
  </si>
  <si>
    <t>±697</t>
  </si>
  <si>
    <t>±522</t>
  </si>
  <si>
    <t>±624</t>
  </si>
  <si>
    <t>±0.7</t>
  </si>
  <si>
    <t>±869</t>
  </si>
  <si>
    <t>±678</t>
  </si>
  <si>
    <t>±505</t>
  </si>
  <si>
    <t>±653</t>
  </si>
  <si>
    <t>±536</t>
  </si>
  <si>
    <t>±647</t>
  </si>
  <si>
    <t>±886</t>
  </si>
  <si>
    <t>±1,075</t>
  </si>
  <si>
    <t>±1.2</t>
  </si>
  <si>
    <t>±1,185</t>
  </si>
  <si>
    <t>±1,164</t>
  </si>
  <si>
    <t>±1.0</t>
  </si>
  <si>
    <t>±446</t>
  </si>
  <si>
    <t>Female</t>
  </si>
  <si>
    <t>Sex ratio (males per 100 females)</t>
  </si>
  <si>
    <t>±3.4</t>
  </si>
  <si>
    <t>±2.6</t>
  </si>
  <si>
    <t>±1.7</t>
  </si>
  <si>
    <t>±1.4</t>
  </si>
  <si>
    <t>±2.3</t>
  </si>
  <si>
    <t>±1.3</t>
  </si>
  <si>
    <t>±5.8</t>
  </si>
  <si>
    <t>±3.3</t>
  </si>
  <si>
    <t>±1.9</t>
  </si>
  <si>
    <t>±1.1</t>
  </si>
  <si>
    <t>±4.4</t>
  </si>
  <si>
    <t>±2.8</t>
  </si>
  <si>
    <t>±2.1</t>
  </si>
  <si>
    <t>±2.2</t>
  </si>
  <si>
    <t>±2.9</t>
  </si>
  <si>
    <t>±3.5</t>
  </si>
  <si>
    <t>±4.6</t>
  </si>
  <si>
    <t>±2.0</t>
  </si>
  <si>
    <t>±4.0</t>
  </si>
  <si>
    <t>Under 5 years</t>
  </si>
  <si>
    <t>±363</t>
  </si>
  <si>
    <t>±451</t>
  </si>
  <si>
    <t>±436</t>
  </si>
  <si>
    <t>±584</t>
  </si>
  <si>
    <t>±54</t>
  </si>
  <si>
    <t>±735</t>
  </si>
  <si>
    <t>±252</t>
  </si>
  <si>
    <t>±93</t>
  </si>
  <si>
    <t>±658</t>
  </si>
  <si>
    <t>±438</t>
  </si>
  <si>
    <t>±219</t>
  </si>
  <si>
    <t>±262</t>
  </si>
  <si>
    <t>±224</t>
  </si>
  <si>
    <t>±342</t>
  </si>
  <si>
    <t>±806</t>
  </si>
  <si>
    <t>±916</t>
  </si>
  <si>
    <t>±368</t>
  </si>
  <si>
    <t>±295</t>
  </si>
  <si>
    <t>±125</t>
  </si>
  <si>
    <t>±239</t>
  </si>
  <si>
    <t>±456</t>
  </si>
  <si>
    <t>±645</t>
  </si>
  <si>
    <t>±55</t>
  </si>
  <si>
    <t>±511</t>
  </si>
  <si>
    <t>±367</t>
  </si>
  <si>
    <t>±677</t>
  </si>
  <si>
    <t>±306</t>
  </si>
  <si>
    <t>±275</t>
  </si>
  <si>
    <t>±234</t>
  </si>
  <si>
    <t>±4</t>
  </si>
  <si>
    <t>±216</t>
  </si>
  <si>
    <t>±221</t>
  </si>
  <si>
    <t>±382</t>
  </si>
  <si>
    <t>±361</t>
  </si>
  <si>
    <t>5 to 9 years</t>
  </si>
  <si>
    <t>±907</t>
  </si>
  <si>
    <t>±1,078</t>
  </si>
  <si>
    <t>±614</t>
  </si>
  <si>
    <t>±2,077</t>
  </si>
  <si>
    <t>±1,067</t>
  </si>
  <si>
    <t>±1,389</t>
  </si>
  <si>
    <t>±1,101</t>
  </si>
  <si>
    <t>±3,235</t>
  </si>
  <si>
    <t>±1,633</t>
  </si>
  <si>
    <t>±805</t>
  </si>
  <si>
    <t>±1,333</t>
  </si>
  <si>
    <t>±4,258</t>
  </si>
  <si>
    <t>±902</t>
  </si>
  <si>
    <t>±1,051</t>
  </si>
  <si>
    <t>±2,955</t>
  </si>
  <si>
    <t>±770</t>
  </si>
  <si>
    <t>±1,714</t>
  </si>
  <si>
    <t>±1,561</t>
  </si>
  <si>
    <t>±2,035</t>
  </si>
  <si>
    <t>±2,478</t>
  </si>
  <si>
    <t>±1,416</t>
  </si>
  <si>
    <t>±933</t>
  </si>
  <si>
    <t>±1,397</t>
  </si>
  <si>
    <t>±1,194</t>
  </si>
  <si>
    <t>±2,049</t>
  </si>
  <si>
    <t>±892</t>
  </si>
  <si>
    <t>±1,642</t>
  </si>
  <si>
    <t>±1,212</t>
  </si>
  <si>
    <t>±1,079</t>
  </si>
  <si>
    <t>±1,956</t>
  </si>
  <si>
    <t>±2,043</t>
  </si>
  <si>
    <t>±1,753</t>
  </si>
  <si>
    <t>±1,246</t>
  </si>
  <si>
    <t>±2,063</t>
  </si>
  <si>
    <t>±950</t>
  </si>
  <si>
    <t>±1,077</t>
  </si>
  <si>
    <t>10 to 14 years</t>
  </si>
  <si>
    <t>±866</t>
  </si>
  <si>
    <t>±1,238</t>
  </si>
  <si>
    <t>±707</t>
  </si>
  <si>
    <t>±1,968</t>
  </si>
  <si>
    <t>±1,588</t>
  </si>
  <si>
    <t>±1,057</t>
  </si>
  <si>
    <t>±3,231</t>
  </si>
  <si>
    <t>±1,628</t>
  </si>
  <si>
    <t>±646</t>
  </si>
  <si>
    <t>±1,272</t>
  </si>
  <si>
    <t>±4,249</t>
  </si>
  <si>
    <t>±887</t>
  </si>
  <si>
    <t>±2,957</t>
  </si>
  <si>
    <t>±867</t>
  </si>
  <si>
    <t>±1,525</t>
  </si>
  <si>
    <t>±1,497</t>
  </si>
  <si>
    <t>±2,003</t>
  </si>
  <si>
    <t>±2,485</t>
  </si>
  <si>
    <t>±1,413</t>
  </si>
  <si>
    <t>±875</t>
  </si>
  <si>
    <t>±1,396</t>
  </si>
  <si>
    <t>±1,120</t>
  </si>
  <si>
    <t>±2,053</t>
  </si>
  <si>
    <t>±857</t>
  </si>
  <si>
    <t>±1,523</t>
  </si>
  <si>
    <t>±912</t>
  </si>
  <si>
    <t>±1,092</t>
  </si>
  <si>
    <t>±681</t>
  </si>
  <si>
    <t>±2,037</t>
  </si>
  <si>
    <t>±2,015</t>
  </si>
  <si>
    <t>±1,758</t>
  </si>
  <si>
    <t>±1,202</t>
  </si>
  <si>
    <t>±2,120</t>
  </si>
  <si>
    <t>±897</t>
  </si>
  <si>
    <t>±947</t>
  </si>
  <si>
    <t>15 to 19 years</t>
  </si>
  <si>
    <t>±527</t>
  </si>
  <si>
    <t>±452</t>
  </si>
  <si>
    <t>±435</t>
  </si>
  <si>
    <t>±1,273</t>
  </si>
  <si>
    <t>±388</t>
  </si>
  <si>
    <t>±493</t>
  </si>
  <si>
    <t>±765</t>
  </si>
  <si>
    <t>±876</t>
  </si>
  <si>
    <t>±788</t>
  </si>
  <si>
    <t>±841</t>
  </si>
  <si>
    <t>±763</t>
  </si>
  <si>
    <t>±535</t>
  </si>
  <si>
    <t>±1,281</t>
  </si>
  <si>
    <t>±1,107</t>
  </si>
  <si>
    <t>±802</t>
  </si>
  <si>
    <t>±583</t>
  </si>
  <si>
    <t>±592</t>
  </si>
  <si>
    <t>±599</t>
  </si>
  <si>
    <t>±1,197</t>
  </si>
  <si>
    <t>±920</t>
  </si>
  <si>
    <t>±1,209</t>
  </si>
  <si>
    <t>±1,169</t>
  </si>
  <si>
    <t>±503</t>
  </si>
  <si>
    <t>±670</t>
  </si>
  <si>
    <t>±685</t>
  </si>
  <si>
    <t>±589</t>
  </si>
  <si>
    <t>±768</t>
  </si>
  <si>
    <t>±836</t>
  </si>
  <si>
    <t>±721</t>
  </si>
  <si>
    <t>±2,248</t>
  </si>
  <si>
    <t>±729</t>
  </si>
  <si>
    <t>20 to 24 years</t>
  </si>
  <si>
    <t>±843</t>
  </si>
  <si>
    <t>±515</t>
  </si>
  <si>
    <t>±1,198</t>
  </si>
  <si>
    <t>±824</t>
  </si>
  <si>
    <t>±1,020</t>
  </si>
  <si>
    <t>±572</t>
  </si>
  <si>
    <t>±517</t>
  </si>
  <si>
    <t>±989</t>
  </si>
  <si>
    <t>±1,026</t>
  </si>
  <si>
    <t>±944</t>
  </si>
  <si>
    <t>±476</t>
  </si>
  <si>
    <t>±803</t>
  </si>
  <si>
    <t>±333</t>
  </si>
  <si>
    <t>±1,244</t>
  </si>
  <si>
    <t>±1,024</t>
  </si>
  <si>
    <t>±1,274</t>
  </si>
  <si>
    <t>±1,114</t>
  </si>
  <si>
    <t>±743</t>
  </si>
  <si>
    <t>±481</t>
  </si>
  <si>
    <t>±462</t>
  </si>
  <si>
    <t>±471</t>
  </si>
  <si>
    <t>±856</t>
  </si>
  <si>
    <t>±993</t>
  </si>
  <si>
    <t>±1,574</t>
  </si>
  <si>
    <t>±879</t>
  </si>
  <si>
    <t>±405</t>
  </si>
  <si>
    <t>±740</t>
  </si>
  <si>
    <t>±661</t>
  </si>
  <si>
    <t>±541</t>
  </si>
  <si>
    <t>±1,055</t>
  </si>
  <si>
    <t>±182</t>
  </si>
  <si>
    <t>±925</t>
  </si>
  <si>
    <t>±1,828</t>
  </si>
  <si>
    <t>±1.6</t>
  </si>
  <si>
    <t>±784</t>
  </si>
  <si>
    <t>25 to 34 years</t>
  </si>
  <si>
    <t>±413</t>
  </si>
  <si>
    <t>±1,745</t>
  </si>
  <si>
    <t>±429</t>
  </si>
  <si>
    <t>±205</t>
  </si>
  <si>
    <t>±977</t>
  </si>
  <si>
    <t>±817</t>
  </si>
  <si>
    <t>±1,070</t>
  </si>
  <si>
    <t>±394</t>
  </si>
  <si>
    <t>±209</t>
  </si>
  <si>
    <t>±664</t>
  </si>
  <si>
    <t>±779</t>
  </si>
  <si>
    <t>±1,137</t>
  </si>
  <si>
    <t>±1,666</t>
  </si>
  <si>
    <t>±837</t>
  </si>
  <si>
    <t>±1,005</t>
  </si>
  <si>
    <t>±547</t>
  </si>
  <si>
    <t>±610</t>
  </si>
  <si>
    <t>±514</t>
  </si>
  <si>
    <t>±786</t>
  </si>
  <si>
    <t>±846</t>
  </si>
  <si>
    <t>±864</t>
  </si>
  <si>
    <t>±546</t>
  </si>
  <si>
    <t>±441</t>
  </si>
  <si>
    <t>±827</t>
  </si>
  <si>
    <t>±831</t>
  </si>
  <si>
    <t>±40</t>
  </si>
  <si>
    <t>±1,230</t>
  </si>
  <si>
    <t>±948</t>
  </si>
  <si>
    <t>35 to 44 years</t>
  </si>
  <si>
    <t>±631</t>
  </si>
  <si>
    <t>±839</t>
  </si>
  <si>
    <t>±417</t>
  </si>
  <si>
    <t>±1,469</t>
  </si>
  <si>
    <t>±712</t>
  </si>
  <si>
    <t>±821</t>
  </si>
  <si>
    <t>±401</t>
  </si>
  <si>
    <t>±217</t>
  </si>
  <si>
    <t>±810</t>
  </si>
  <si>
    <t>±859</t>
  </si>
  <si>
    <t>±1,287</t>
  </si>
  <si>
    <t>±256</t>
  </si>
  <si>
    <t>±243</t>
  </si>
  <si>
    <t>±804</t>
  </si>
  <si>
    <t>±794</t>
  </si>
  <si>
    <t>±386</t>
  </si>
  <si>
    <t>±1,139</t>
  </si>
  <si>
    <t>±1,030</t>
  </si>
  <si>
    <t>±820</t>
  </si>
  <si>
    <t>±314</t>
  </si>
  <si>
    <t>±904</t>
  </si>
  <si>
    <t>±951</t>
  </si>
  <si>
    <t>±369</t>
  </si>
  <si>
    <t>±1,066</t>
  </si>
  <si>
    <t>±453</t>
  </si>
  <si>
    <t>±797</t>
  </si>
  <si>
    <t>±918</t>
  </si>
  <si>
    <t>±526</t>
  </si>
  <si>
    <t>±486</t>
  </si>
  <si>
    <t>45 to 54 years</t>
  </si>
  <si>
    <t>±548</t>
  </si>
  <si>
    <t>±284</t>
  </si>
  <si>
    <t>±290</t>
  </si>
  <si>
    <t>±675</t>
  </si>
  <si>
    <t>±393</t>
  </si>
  <si>
    <t>±812</t>
  </si>
  <si>
    <t>±432</t>
  </si>
  <si>
    <t>±732</t>
  </si>
  <si>
    <t>±274</t>
  </si>
  <si>
    <t>±282</t>
  </si>
  <si>
    <t>±628</t>
  </si>
  <si>
    <t>±713</t>
  </si>
  <si>
    <t>±383</t>
  </si>
  <si>
    <t>±1,131</t>
  </si>
  <si>
    <t>±1,061</t>
  </si>
  <si>
    <t>±959</t>
  </si>
  <si>
    <t>±690</t>
  </si>
  <si>
    <t>±490</t>
  </si>
  <si>
    <t>±623</t>
  </si>
  <si>
    <t>±268</t>
  </si>
  <si>
    <t>±374</t>
  </si>
  <si>
    <t>±341</t>
  </si>
  <si>
    <t>±507</t>
  </si>
  <si>
    <t>±652</t>
  </si>
  <si>
    <t>±894</t>
  </si>
  <si>
    <t>±510</t>
  </si>
  <si>
    <t>±502</t>
  </si>
  <si>
    <t>±654</t>
  </si>
  <si>
    <t>55 to 59 years</t>
  </si>
  <si>
    <t>±911</t>
  </si>
  <si>
    <t>±868</t>
  </si>
  <si>
    <t>±2,133</t>
  </si>
  <si>
    <t>±1,395</t>
  </si>
  <si>
    <t>±1,178</t>
  </si>
  <si>
    <t>±4,225</t>
  </si>
  <si>
    <t>±1,549</t>
  </si>
  <si>
    <t>±1,025</t>
  </si>
  <si>
    <t>±3,544</t>
  </si>
  <si>
    <t>±1,233</t>
  </si>
  <si>
    <t>±2,788</t>
  </si>
  <si>
    <t>±833</t>
  </si>
  <si>
    <t>±1,410</t>
  </si>
  <si>
    <t>±1,460</t>
  </si>
  <si>
    <t>±1,795</t>
  </si>
  <si>
    <t>±1,788</t>
  </si>
  <si>
    <t>±1,929</t>
  </si>
  <si>
    <t>±1,358</t>
  </si>
  <si>
    <t>±1,082</t>
  </si>
  <si>
    <t>±2,026</t>
  </si>
  <si>
    <t>±1,098</t>
  </si>
  <si>
    <t>±1,338</t>
  </si>
  <si>
    <t>±1,310</t>
  </si>
  <si>
    <t>±1,998</t>
  </si>
  <si>
    <t>±2,011</t>
  </si>
  <si>
    <t>±1,409</t>
  </si>
  <si>
    <t>±2,206</t>
  </si>
  <si>
    <t>±1,046</t>
  </si>
  <si>
    <t>60 to 64 years</t>
  </si>
  <si>
    <t>±1,111</t>
  </si>
  <si>
    <t>±932</t>
  </si>
  <si>
    <t>±2,139</t>
  </si>
  <si>
    <t>±982</t>
  </si>
  <si>
    <t>±1,383</t>
  </si>
  <si>
    <t>±1,188</t>
  </si>
  <si>
    <t>±4,255</t>
  </si>
  <si>
    <t>±1,521</t>
  </si>
  <si>
    <t>±1,017</t>
  </si>
  <si>
    <t>±1,283</t>
  </si>
  <si>
    <t>±3,535</t>
  </si>
  <si>
    <t>±1,153</t>
  </si>
  <si>
    <t>±2,766</t>
  </si>
  <si>
    <t>±1,457</t>
  </si>
  <si>
    <t>±1,444</t>
  </si>
  <si>
    <t>±1,917</t>
  </si>
  <si>
    <t>±1,857</t>
  </si>
  <si>
    <t>±1,919</t>
  </si>
  <si>
    <t>±669</t>
  </si>
  <si>
    <t>±1,322</t>
  </si>
  <si>
    <t>±965</t>
  </si>
  <si>
    <t>±2,167</t>
  </si>
  <si>
    <t>±1,083</t>
  </si>
  <si>
    <t>±1,506</t>
  </si>
  <si>
    <t>±1,266</t>
  </si>
  <si>
    <t>±860</t>
  </si>
  <si>
    <t>±900</t>
  </si>
  <si>
    <t>±1,928</t>
  </si>
  <si>
    <t>±2,046</t>
  </si>
  <si>
    <t>±838</t>
  </si>
  <si>
    <t>±2,225</t>
  </si>
  <si>
    <t>±848</t>
  </si>
  <si>
    <t>65 to 74 years</t>
  </si>
  <si>
    <t>±551</t>
  </si>
  <si>
    <t>±400</t>
  </si>
  <si>
    <t>±112</t>
  </si>
  <si>
    <t>±672</t>
  </si>
  <si>
    <t>±164</t>
  </si>
  <si>
    <t>±320</t>
  </si>
  <si>
    <t>±222</t>
  </si>
  <si>
    <t>±140</t>
  </si>
  <si>
    <t>±593</t>
  </si>
  <si>
    <t>±398</t>
  </si>
  <si>
    <t>±789</t>
  </si>
  <si>
    <t>±137</t>
  </si>
  <si>
    <t>±691</t>
  </si>
  <si>
    <t>±431</t>
  </si>
  <si>
    <t>±318</t>
  </si>
  <si>
    <t>±425</t>
  </si>
  <si>
    <t>±336</t>
  </si>
  <si>
    <t>±679</t>
  </si>
  <si>
    <t>±136</t>
  </si>
  <si>
    <t>±411</t>
  </si>
  <si>
    <t>±302</t>
  </si>
  <si>
    <t>±276</t>
  </si>
  <si>
    <t>±151</t>
  </si>
  <si>
    <t>±473</t>
  </si>
  <si>
    <t>±566</t>
  </si>
  <si>
    <t>±207</t>
  </si>
  <si>
    <t>±292</t>
  </si>
  <si>
    <t>±326</t>
  </si>
  <si>
    <t>±300</t>
  </si>
  <si>
    <t>75 to 84 years</t>
  </si>
  <si>
    <t>±1,028</t>
  </si>
  <si>
    <t>±629</t>
  </si>
  <si>
    <t>±816</t>
  </si>
  <si>
    <t>±1,975</t>
  </si>
  <si>
    <t>±758</t>
  </si>
  <si>
    <t>±709</t>
  </si>
  <si>
    <t>±571</t>
  </si>
  <si>
    <t>±2,255</t>
  </si>
  <si>
    <t>±1,678</t>
  </si>
  <si>
    <t>±596</t>
  </si>
  <si>
    <t>±1,158</t>
  </si>
  <si>
    <t>±1,284</t>
  </si>
  <si>
    <t>±1,180</t>
  </si>
  <si>
    <t>±988</t>
  </si>
  <si>
    <t>±545</t>
  </si>
  <si>
    <t>±711</t>
  </si>
  <si>
    <t>±1,201</t>
  </si>
  <si>
    <t>±619</t>
  </si>
  <si>
    <t>±1,008</t>
  </si>
  <si>
    <t>±878</t>
  </si>
  <si>
    <t>±636</t>
  </si>
  <si>
    <t>±597</t>
  </si>
  <si>
    <t>±1,168</t>
  </si>
  <si>
    <t>±528</t>
  </si>
  <si>
    <t>±872</t>
  </si>
  <si>
    <t>±579</t>
  </si>
  <si>
    <t>±671</t>
  </si>
  <si>
    <t>85 years and over</t>
  </si>
  <si>
    <t>±531</t>
  </si>
  <si>
    <t>±549</t>
  </si>
  <si>
    <t>±1,001</t>
  </si>
  <si>
    <t>±608</t>
  </si>
  <si>
    <t>±793</t>
  </si>
  <si>
    <t>±1,995</t>
  </si>
  <si>
    <t>±689</t>
  </si>
  <si>
    <t>±600</t>
  </si>
  <si>
    <t>±581</t>
  </si>
  <si>
    <t>±2,103</t>
  </si>
  <si>
    <t>±1,709</t>
  </si>
  <si>
    <t>±587</t>
  </si>
  <si>
    <t>±1,127</t>
  </si>
  <si>
    <t>±715</t>
  </si>
  <si>
    <t>±1,245</t>
  </si>
  <si>
    <t>±1,191</t>
  </si>
  <si>
    <t>±953</t>
  </si>
  <si>
    <t>±742</t>
  </si>
  <si>
    <t>±1,210</t>
  </si>
  <si>
    <t>±606</t>
  </si>
  <si>
    <t>±612</t>
  </si>
  <si>
    <t>±578</t>
  </si>
  <si>
    <t>±1,186</t>
  </si>
  <si>
    <t>±1,177</t>
  </si>
  <si>
    <t>±632</t>
  </si>
  <si>
    <t>Median age (years)</t>
  </si>
  <si>
    <t>Under 18 years</t>
  </si>
  <si>
    <t>±174</t>
  </si>
  <si>
    <t>±115</t>
  </si>
  <si>
    <t>±158</t>
  </si>
  <si>
    <t>±155</t>
  </si>
  <si>
    <t>±45</t>
  </si>
  <si>
    <t>±120</t>
  </si>
  <si>
    <t>±143</t>
  </si>
  <si>
    <t>±237</t>
  </si>
  <si>
    <t>±312</t>
  </si>
  <si>
    <t>±946</t>
  </si>
  <si>
    <t>±189</t>
  </si>
  <si>
    <t>±81</t>
  </si>
  <si>
    <t>±99</t>
  </si>
  <si>
    <t>±255</t>
  </si>
  <si>
    <t>±46</t>
  </si>
  <si>
    <t>±353</t>
  </si>
  <si>
    <t>±43</t>
  </si>
  <si>
    <t>±513</t>
  </si>
  <si>
    <t>16 years and over</t>
  </si>
  <si>
    <t>±468</t>
  </si>
  <si>
    <t>±1,004</t>
  </si>
  <si>
    <t>±617</t>
  </si>
  <si>
    <t>±1,817</t>
  </si>
  <si>
    <t>±734</t>
  </si>
  <si>
    <t>±687</t>
  </si>
  <si>
    <t>±1,677</t>
  </si>
  <si>
    <t>±550</t>
  </si>
  <si>
    <t>±594</t>
  </si>
  <si>
    <t>±1,613</t>
  </si>
  <si>
    <t>±460</t>
  </si>
  <si>
    <t>±1,014</t>
  </si>
  <si>
    <t>±1,422</t>
  </si>
  <si>
    <t>±871</t>
  </si>
  <si>
    <t>±634</t>
  </si>
  <si>
    <t>±1,347</t>
  </si>
  <si>
    <t>±465</t>
  </si>
  <si>
    <t>±799</t>
  </si>
  <si>
    <t>±696</t>
  </si>
  <si>
    <t>±922</t>
  </si>
  <si>
    <t>±1,263</t>
  </si>
  <si>
    <t>±704</t>
  </si>
  <si>
    <t>±1,027</t>
  </si>
  <si>
    <t>±611</t>
  </si>
  <si>
    <t>18 years and over</t>
  </si>
  <si>
    <t>21 years and over</t>
  </si>
  <si>
    <t>±834</t>
  </si>
  <si>
    <t>±564</t>
  </si>
  <si>
    <t>±491</t>
  </si>
  <si>
    <t>±2,240</t>
  </si>
  <si>
    <t>±823</t>
  </si>
  <si>
    <t>±2,629</t>
  </si>
  <si>
    <t>±1,059</t>
  </si>
  <si>
    <t>±863</t>
  </si>
  <si>
    <t>±2,380</t>
  </si>
  <si>
    <t>±741</t>
  </si>
  <si>
    <t>±1,040</t>
  </si>
  <si>
    <t>±1,854</t>
  </si>
  <si>
    <t>±554</t>
  </si>
  <si>
    <t>±956</t>
  </si>
  <si>
    <t>±1,387</t>
  </si>
  <si>
    <t>±1,462</t>
  </si>
  <si>
    <t>±1,626</t>
  </si>
  <si>
    <t>±958</t>
  </si>
  <si>
    <t>±2,397</t>
  </si>
  <si>
    <t>±969</t>
  </si>
  <si>
    <t>±1,587</t>
  </si>
  <si>
    <t>±1,121</t>
  </si>
  <si>
    <t>±883</t>
  </si>
  <si>
    <t>±1,184</t>
  </si>
  <si>
    <t>±1,510</t>
  </si>
  <si>
    <t>±938</t>
  </si>
  <si>
    <t>±1,196</t>
  </si>
  <si>
    <t>±2,305</t>
  </si>
  <si>
    <t>62 years and over</t>
  </si>
  <si>
    <t>±1,259</t>
  </si>
  <si>
    <t>±693</t>
  </si>
  <si>
    <t>±1,924</t>
  </si>
  <si>
    <t>±884</t>
  </si>
  <si>
    <t>±1,503</t>
  </si>
  <si>
    <t>±3,286</t>
  </si>
  <si>
    <t>±1,431</t>
  </si>
  <si>
    <t>±1,060</t>
  </si>
  <si>
    <t>±1,362</t>
  </si>
  <si>
    <t>±3,270</t>
  </si>
  <si>
    <t>±926</t>
  </si>
  <si>
    <t>±1,261</t>
  </si>
  <si>
    <t>±2,674</t>
  </si>
  <si>
    <t>±1,385</t>
  </si>
  <si>
    <t>±1,439</t>
  </si>
  <si>
    <t>±1,632</t>
  </si>
  <si>
    <t>±1,948</t>
  </si>
  <si>
    <t>±1,564</t>
  </si>
  <si>
    <t>±1,478</t>
  </si>
  <si>
    <t>±1,181</t>
  </si>
  <si>
    <t>±1,977</t>
  </si>
  <si>
    <t>±888</t>
  </si>
  <si>
    <t>±1,569</t>
  </si>
  <si>
    <t>±909</t>
  </si>
  <si>
    <t>±767</t>
  </si>
  <si>
    <t>±2,104</t>
  </si>
  <si>
    <t>±1,371</t>
  </si>
  <si>
    <t>±870</t>
  </si>
  <si>
    <t>±1,727</t>
  </si>
  <si>
    <t>±882</t>
  </si>
  <si>
    <t>65 years and over</t>
  </si>
  <si>
    <t>±455</t>
  </si>
  <si>
    <t>±489</t>
  </si>
  <si>
    <t>±103</t>
  </si>
  <si>
    <t>±725</t>
  </si>
  <si>
    <t>±223</t>
  </si>
  <si>
    <t>±298</t>
  </si>
  <si>
    <t>±118</t>
  </si>
  <si>
    <t>±605</t>
  </si>
  <si>
    <t>±563</t>
  </si>
  <si>
    <t>±131</t>
  </si>
  <si>
    <t>±199</t>
  </si>
  <si>
    <t>±684</t>
  </si>
  <si>
    <t>±444</t>
  </si>
  <si>
    <t>±458</t>
  </si>
  <si>
    <t>±529</t>
  </si>
  <si>
    <t>±355</t>
  </si>
  <si>
    <t>±327</t>
  </si>
  <si>
    <t>±325</t>
  </si>
  <si>
    <t>±495</t>
  </si>
  <si>
    <t>±488</t>
  </si>
  <si>
    <t>±695</t>
  </si>
  <si>
    <t>±156</t>
  </si>
  <si>
    <t>±873</t>
  </si>
  <si>
    <t>±287</t>
  </si>
  <si>
    <t>±334</t>
  </si>
  <si>
    <t>±303</t>
  </si>
  <si>
    <t>±348</t>
  </si>
  <si>
    <t>±206</t>
  </si>
  <si>
    <t>±484</t>
  </si>
  <si>
    <t>±329</t>
  </si>
  <si>
    <t>±771</t>
  </si>
  <si>
    <t>±154</t>
  </si>
  <si>
    <t>±354</t>
  </si>
  <si>
    <t>±603</t>
  </si>
  <si>
    <t>±202</t>
  </si>
  <si>
    <t>±250</t>
  </si>
  <si>
    <t>±424</t>
  </si>
  <si>
    <t>±582</t>
  </si>
  <si>
    <t>±291</t>
  </si>
  <si>
    <t>±680</t>
  </si>
  <si>
    <t>±339</t>
  </si>
  <si>
    <t>±360</t>
  </si>
  <si>
    <t>±419</t>
  </si>
  <si>
    <t>±442</t>
  </si>
  <si>
    <t>±847</t>
  </si>
  <si>
    <t>±588</t>
  </si>
  <si>
    <t>±264</t>
  </si>
  <si>
    <t>±48</t>
  </si>
  <si>
    <t>±524</t>
  </si>
  <si>
    <t>±467</t>
  </si>
  <si>
    <t>±975</t>
  </si>
  <si>
    <t>±204</t>
  </si>
  <si>
    <t>±755</t>
  </si>
  <si>
    <t>±319</t>
  </si>
  <si>
    <t>±520</t>
  </si>
  <si>
    <t>±251</t>
  </si>
  <si>
    <t>±392</t>
  </si>
  <si>
    <t>±350</t>
  </si>
  <si>
    <t>±607</t>
  </si>
  <si>
    <t>±280</t>
  </si>
  <si>
    <t>±299</t>
  </si>
  <si>
    <t>±407</t>
  </si>
  <si>
    <t>±496</t>
  </si>
  <si>
    <t>±335</t>
  </si>
  <si>
    <t>±1,118</t>
  </si>
  <si>
    <t>±506</t>
  </si>
  <si>
    <t>±656</t>
  </si>
  <si>
    <t>±26</t>
  </si>
  <si>
    <t>±560</t>
  </si>
  <si>
    <t>±808</t>
  </si>
  <si>
    <t>±976</t>
  </si>
  <si>
    <t>±1,126</t>
  </si>
  <si>
    <t>±2.7</t>
  </si>
  <si>
    <t>±4.1</t>
  </si>
  <si>
    <t>±3.2</t>
  </si>
  <si>
    <t>±3.8</t>
  </si>
  <si>
    <t>±5.0</t>
  </si>
  <si>
    <t>±230</t>
  </si>
  <si>
    <t>±389</t>
  </si>
  <si>
    <t>±148</t>
  </si>
  <si>
    <t>±508</t>
  </si>
  <si>
    <t>±173</t>
  </si>
  <si>
    <t>±404</t>
  </si>
  <si>
    <t>±376</t>
  </si>
  <si>
    <t>±330</t>
  </si>
  <si>
    <t>±483</t>
  </si>
  <si>
    <t>±555</t>
  </si>
  <si>
    <t>±198</t>
  </si>
  <si>
    <t>±311</t>
  </si>
  <si>
    <t>±344</t>
  </si>
  <si>
    <t>±297</t>
  </si>
  <si>
    <t>±114</t>
  </si>
  <si>
    <t>±107</t>
  </si>
  <si>
    <t>±266</t>
  </si>
  <si>
    <t>±185</t>
  </si>
  <si>
    <t>±166</t>
  </si>
  <si>
    <t>±212</t>
  </si>
  <si>
    <t>±124</t>
  </si>
  <si>
    <t>±190</t>
  </si>
  <si>
    <t>±270</t>
  </si>
  <si>
    <t>±273</t>
  </si>
  <si>
    <t>±309</t>
  </si>
  <si>
    <t>±201</t>
  </si>
  <si>
    <t>±397</t>
  </si>
  <si>
    <t>±322</t>
  </si>
  <si>
    <t>±245</t>
  </si>
  <si>
    <t>±145</t>
  </si>
  <si>
    <t>±378</t>
  </si>
  <si>
    <t>±324</t>
  </si>
  <si>
    <t>±426</t>
  </si>
  <si>
    <t>±373</t>
  </si>
  <si>
    <t>±146</t>
  </si>
  <si>
    <t>±186</t>
  </si>
  <si>
    <t>±56</t>
  </si>
  <si>
    <t>±315</t>
  </si>
  <si>
    <t>±5.1</t>
  </si>
  <si>
    <t>±4.8</t>
  </si>
  <si>
    <t>±3.0</t>
  </si>
  <si>
    <t>±2.4</t>
  </si>
  <si>
    <t>±3.7</t>
  </si>
  <si>
    <t>±3.9</t>
  </si>
  <si>
    <t>±6.2</t>
  </si>
  <si>
    <t>±7.0</t>
  </si>
  <si>
    <t>±4.2</t>
  </si>
  <si>
    <t>±2.5</t>
  </si>
  <si>
    <t>±3.1</t>
  </si>
  <si>
    <t>RACE</t>
  </si>
  <si>
    <t>One race</t>
  </si>
  <si>
    <t>±1,608</t>
  </si>
  <si>
    <t>±2,058</t>
  </si>
  <si>
    <t>±701</t>
  </si>
  <si>
    <t>±5,025</t>
  </si>
  <si>
    <t>±1,740</t>
  </si>
  <si>
    <t>±1,853</t>
  </si>
  <si>
    <t>±6,658</t>
  </si>
  <si>
    <t>±1,719</t>
  </si>
  <si>
    <t>±2,115</t>
  </si>
  <si>
    <t>±2,529</t>
  </si>
  <si>
    <t>±8,885</t>
  </si>
  <si>
    <t>±1,378</t>
  </si>
  <si>
    <t>±1,750</t>
  </si>
  <si>
    <t>±6,406</t>
  </si>
  <si>
    <t>±1,183</t>
  </si>
  <si>
    <t>±2,258</t>
  </si>
  <si>
    <t>±1,898</t>
  </si>
  <si>
    <t>±3,892</t>
  </si>
  <si>
    <t>±4,844</t>
  </si>
  <si>
    <t>±2,334</t>
  </si>
  <si>
    <t>±851</t>
  </si>
  <si>
    <t>±1,696</t>
  </si>
  <si>
    <t>±4,419</t>
  </si>
  <si>
    <t>±718</t>
  </si>
  <si>
    <t>±1,735</t>
  </si>
  <si>
    <t>±1,663</t>
  </si>
  <si>
    <t>±896</t>
  </si>
  <si>
    <t>±3,555</t>
  </si>
  <si>
    <t>±4,918</t>
  </si>
  <si>
    <t>±3,044</t>
  </si>
  <si>
    <t>±1,250</t>
  </si>
  <si>
    <t>±3,011</t>
  </si>
  <si>
    <t>±1,102</t>
  </si>
  <si>
    <t>±1,292</t>
  </si>
  <si>
    <t>Two or more races</t>
  </si>
  <si>
    <t>White</t>
  </si>
  <si>
    <t>±1,637</t>
  </si>
  <si>
    <t>±3,420</t>
  </si>
  <si>
    <t>±750</t>
  </si>
  <si>
    <t>±1,842</t>
  </si>
  <si>
    <t>±898</t>
  </si>
  <si>
    <t>±2,717</t>
  </si>
  <si>
    <t>±2,528</t>
  </si>
  <si>
    <t>±1,298</t>
  </si>
  <si>
    <t>±4,143</t>
  </si>
  <si>
    <t>±1,296</t>
  </si>
  <si>
    <t>±2,075</t>
  </si>
  <si>
    <t>±2,435</t>
  </si>
  <si>
    <t>±716</t>
  </si>
  <si>
    <t>±1,433</t>
  </si>
  <si>
    <t>±2,705</t>
  </si>
  <si>
    <t>±1,908</t>
  </si>
  <si>
    <t>±1,165</t>
  </si>
  <si>
    <t>±1,392</t>
  </si>
  <si>
    <t>±987</t>
  </si>
  <si>
    <t>±2,795</t>
  </si>
  <si>
    <t>±1,364</t>
  </si>
  <si>
    <t>±1,640</t>
  </si>
  <si>
    <t>±2,090</t>
  </si>
  <si>
    <t>±2,934</t>
  </si>
  <si>
    <t>±2,172</t>
  </si>
  <si>
    <t>±931</t>
  </si>
  <si>
    <t>Black or African American</t>
  </si>
  <si>
    <t>±1,706</t>
  </si>
  <si>
    <t>±826</t>
  </si>
  <si>
    <t>±3,018</t>
  </si>
  <si>
    <t>±1,315</t>
  </si>
  <si>
    <t>±4,664</t>
  </si>
  <si>
    <t>±782</t>
  </si>
  <si>
    <t>±1,063</t>
  </si>
  <si>
    <t>±1,803</t>
  </si>
  <si>
    <t>±6,378</t>
  </si>
  <si>
    <t>±317</t>
  </si>
  <si>
    <t>±1,265</t>
  </si>
  <si>
    <t>±4,830</t>
  </si>
  <si>
    <t>±445</t>
  </si>
  <si>
    <t>±1,712</t>
  </si>
  <si>
    <t>±1,324</t>
  </si>
  <si>
    <t>±2,363</t>
  </si>
  <si>
    <t>±4,603</t>
  </si>
  <si>
    <t>±1,476</t>
  </si>
  <si>
    <t>±747</t>
  </si>
  <si>
    <t>±613</t>
  </si>
  <si>
    <t>±2,694</t>
  </si>
  <si>
    <t>±575</t>
  </si>
  <si>
    <t>±970</t>
  </si>
  <si>
    <t>±1,470</t>
  </si>
  <si>
    <t>±2,628</t>
  </si>
  <si>
    <t>±4,215</t>
  </si>
  <si>
    <t>±1,901</t>
  </si>
  <si>
    <t>±387</t>
  </si>
  <si>
    <t>±1,764</t>
  </si>
  <si>
    <t>±626</t>
  </si>
  <si>
    <t>American Indian and Alaska Native</t>
  </si>
  <si>
    <t>±19</t>
  </si>
  <si>
    <t>±37</t>
  </si>
  <si>
    <t>±910</t>
  </si>
  <si>
    <t>±211</t>
  </si>
  <si>
    <t>±2,067</t>
  </si>
  <si>
    <t>±84</t>
  </si>
  <si>
    <t>±123</t>
  </si>
  <si>
    <t>±218</t>
  </si>
  <si>
    <t>±1,458</t>
  </si>
  <si>
    <t>±192</t>
  </si>
  <si>
    <t>±595</t>
  </si>
  <si>
    <t>±500</t>
  </si>
  <si>
    <t>±561</t>
  </si>
  <si>
    <t>±135</t>
  </si>
  <si>
    <t>±396</t>
  </si>
  <si>
    <t>±485</t>
  </si>
  <si>
    <t>±196</t>
  </si>
  <si>
    <t>±167</t>
  </si>
  <si>
    <t>±265</t>
  </si>
  <si>
    <t>±663</t>
  </si>
  <si>
    <t>±65</t>
  </si>
  <si>
    <t>±86</t>
  </si>
  <si>
    <t>±347</t>
  </si>
  <si>
    <t>Cherokee tribal grouping</t>
  </si>
  <si>
    <t>N</t>
  </si>
  <si>
    <t>Chippewa tribal grouping</t>
  </si>
  <si>
    <t>Navajo tribal grouping</t>
  </si>
  <si>
    <t>Sioux tribal grouping</t>
  </si>
  <si>
    <t>Asian</t>
  </si>
  <si>
    <t>±236</t>
  </si>
  <si>
    <t>±179</t>
  </si>
  <si>
    <t>±992</t>
  </si>
  <si>
    <t>±241</t>
  </si>
  <si>
    <t>±2,131</t>
  </si>
  <si>
    <t>±1,375</t>
  </si>
  <si>
    <t>±159</t>
  </si>
  <si>
    <t>±908</t>
  </si>
  <si>
    <t>±3,279</t>
  </si>
  <si>
    <t>±530</t>
  </si>
  <si>
    <t>±1,686</t>
  </si>
  <si>
    <t>±440</t>
  </si>
  <si>
    <t>±930</t>
  </si>
  <si>
    <t>±825</t>
  </si>
  <si>
    <t>±1,903</t>
  </si>
  <si>
    <t>±448</t>
  </si>
  <si>
    <t>±562</t>
  </si>
  <si>
    <t>±316</t>
  </si>
  <si>
    <t>±1,483</t>
  </si>
  <si>
    <t>±421</t>
  </si>
  <si>
    <t>±59</t>
  </si>
  <si>
    <t>±261</t>
  </si>
  <si>
    <t>Asian Indian</t>
  </si>
  <si>
    <t>±1,477</t>
  </si>
  <si>
    <t>±2,900</t>
  </si>
  <si>
    <t>±2,076</t>
  </si>
  <si>
    <t>±4,541</t>
  </si>
  <si>
    <t>±1,003</t>
  </si>
  <si>
    <t>±1,464</t>
  </si>
  <si>
    <t>±1,372</t>
  </si>
  <si>
    <t>±1,089</t>
  </si>
  <si>
    <t>±967</t>
  </si>
  <si>
    <t>±795</t>
  </si>
  <si>
    <t>±2,057</t>
  </si>
  <si>
    <t>±2,070</t>
  </si>
  <si>
    <t>Chinese</t>
  </si>
  <si>
    <t>±2,755</t>
  </si>
  <si>
    <t>±1,369</t>
  </si>
  <si>
    <t>±3,134</t>
  </si>
  <si>
    <t>±346</t>
  </si>
  <si>
    <t>±1,455</t>
  </si>
  <si>
    <t>±1,036</t>
  </si>
  <si>
    <t>±822</t>
  </si>
  <si>
    <t>Filipino</t>
  </si>
  <si>
    <t>±1,216</t>
  </si>
  <si>
    <t>±1,260</t>
  </si>
  <si>
    <t>±2,580</t>
  </si>
  <si>
    <t>±165</t>
  </si>
  <si>
    <t>±337</t>
  </si>
  <si>
    <t>±752</t>
  </si>
  <si>
    <t>Japanese</t>
  </si>
  <si>
    <t>±130</t>
  </si>
  <si>
    <t>±1,013</t>
  </si>
  <si>
    <t>±63</t>
  </si>
  <si>
    <t>±761</t>
  </si>
  <si>
    <t>±139</t>
  </si>
  <si>
    <t>±106</t>
  </si>
  <si>
    <t>±160</t>
  </si>
  <si>
    <t>±213</t>
  </si>
  <si>
    <t>Korean</t>
  </si>
  <si>
    <t>±1,277</t>
  </si>
  <si>
    <t>±518</t>
  </si>
  <si>
    <t>±1,058</t>
  </si>
  <si>
    <t>±601</t>
  </si>
  <si>
    <t>±175</t>
  </si>
  <si>
    <t>±642</t>
  </si>
  <si>
    <t>Vietnamese</t>
  </si>
  <si>
    <t>±818</t>
  </si>
  <si>
    <t>±880</t>
  </si>
  <si>
    <t>±1,565</t>
  </si>
  <si>
    <t>±1,399</t>
  </si>
  <si>
    <t>±308</t>
  </si>
  <si>
    <t>±552</t>
  </si>
  <si>
    <t>±1,427</t>
  </si>
  <si>
    <t>±90</t>
  </si>
  <si>
    <t>Other Asian</t>
  </si>
  <si>
    <t>±2,879</t>
  </si>
  <si>
    <t>±2,827</t>
  </si>
  <si>
    <t>±1,144</t>
  </si>
  <si>
    <t>±5,017</t>
  </si>
  <si>
    <t>±1,045</t>
  </si>
  <si>
    <t>±2,230</t>
  </si>
  <si>
    <t>±1,360</t>
  </si>
  <si>
    <t>±852</t>
  </si>
  <si>
    <t>±235</t>
  </si>
  <si>
    <t>±3,517</t>
  </si>
  <si>
    <t>±1,951</t>
  </si>
  <si>
    <t>Native Hawaiian and Other Pacific Islander</t>
  </si>
  <si>
    <t>±36</t>
  </si>
  <si>
    <t>±57</t>
  </si>
  <si>
    <t>±79</t>
  </si>
  <si>
    <t>±1,432</t>
  </si>
  <si>
    <t>±1,152</t>
  </si>
  <si>
    <t>±129</t>
  </si>
  <si>
    <t>±637</t>
  </si>
  <si>
    <t>±1,498</t>
  </si>
  <si>
    <t>±38</t>
  </si>
  <si>
    <t>±105</t>
  </si>
  <si>
    <t>±102</t>
  </si>
  <si>
    <t>±83</t>
  </si>
  <si>
    <t>±226</t>
  </si>
  <si>
    <t>Native Hawaiian</t>
  </si>
  <si>
    <t>Chamorro</t>
  </si>
  <si>
    <t>Samoan</t>
  </si>
  <si>
    <t>Other Pacific Islander</t>
  </si>
  <si>
    <t>Some other race</t>
  </si>
  <si>
    <t>±328</t>
  </si>
  <si>
    <t>±2,723</t>
  </si>
  <si>
    <t>±1,015</t>
  </si>
  <si>
    <t>±1,134</t>
  </si>
  <si>
    <t>±4,377</t>
  </si>
  <si>
    <t>±1,019</t>
  </si>
  <si>
    <t>±1,117</t>
  </si>
  <si>
    <t>±791</t>
  </si>
  <si>
    <t>±5,759</t>
  </si>
  <si>
    <t>±774</t>
  </si>
  <si>
    <t>±1,887</t>
  </si>
  <si>
    <t>±3,676</t>
  </si>
  <si>
    <t>±986</t>
  </si>
  <si>
    <t>±2,909</t>
  </si>
  <si>
    <t>±2,710</t>
  </si>
  <si>
    <t>±1,804</t>
  </si>
  <si>
    <t>±454</t>
  </si>
  <si>
    <t>±477</t>
  </si>
  <si>
    <t>±903</t>
  </si>
  <si>
    <t>±1,135</t>
  </si>
  <si>
    <t>±33</t>
  </si>
  <si>
    <t>±1,757</t>
  </si>
  <si>
    <t>±3,015</t>
  </si>
  <si>
    <t>±686</t>
  </si>
  <si>
    <t>±1,012</t>
  </si>
  <si>
    <t>White and Black or African American</t>
  </si>
  <si>
    <t>±968</t>
  </si>
  <si>
    <t>±1,325</t>
  </si>
  <si>
    <t>±3,718</t>
  </si>
  <si>
    <t>±749</t>
  </si>
  <si>
    <t>±1,353</t>
  </si>
  <si>
    <t>±5,043</t>
  </si>
  <si>
    <t>±1,109</t>
  </si>
  <si>
    <t>±301</t>
  </si>
  <si>
    <t>±1,288</t>
  </si>
  <si>
    <t>±1,217</t>
  </si>
  <si>
    <t>±2,009</t>
  </si>
  <si>
    <t>±1,307</t>
  </si>
  <si>
    <t>±501</t>
  </si>
  <si>
    <t>±2,867</t>
  </si>
  <si>
    <t>±1,841</t>
  </si>
  <si>
    <t>±1,264</t>
  </si>
  <si>
    <t>±769</t>
  </si>
  <si>
    <t>White and American Indian and Alaska Native</t>
  </si>
  <si>
    <t>±809</t>
  </si>
  <si>
    <t>±1,997</t>
  </si>
  <si>
    <t>±1,516</t>
  </si>
  <si>
    <t>±357</t>
  </si>
  <si>
    <t>±415</t>
  </si>
  <si>
    <t>±3,710</t>
  </si>
  <si>
    <t>±141</t>
  </si>
  <si>
    <t>±414</t>
  </si>
  <si>
    <t>±111</t>
  </si>
  <si>
    <t>±69</t>
  </si>
  <si>
    <t>±1,581</t>
  </si>
  <si>
    <t>±3,170</t>
  </si>
  <si>
    <t>±1,320</t>
  </si>
  <si>
    <t>White and Asian</t>
  </si>
  <si>
    <t>±225</t>
  </si>
  <si>
    <t>±289</t>
  </si>
  <si>
    <t>±673</t>
  </si>
  <si>
    <t>±1,806</t>
  </si>
  <si>
    <t>±1,415</t>
  </si>
  <si>
    <t>±1,542</t>
  </si>
  <si>
    <t>±533</t>
  </si>
  <si>
    <t>±380</t>
  </si>
  <si>
    <t>±519</t>
  </si>
  <si>
    <t>±801</t>
  </si>
  <si>
    <t>±1,069</t>
  </si>
  <si>
    <t>±370</t>
  </si>
  <si>
    <t>±1,448</t>
  </si>
  <si>
    <t>±973</t>
  </si>
  <si>
    <t>Black or African American and American Indian and Alaska Native</t>
  </si>
  <si>
    <t>±1,240</t>
  </si>
  <si>
    <t>±184</t>
  </si>
  <si>
    <t>±64</t>
  </si>
  <si>
    <t>±1,231</t>
  </si>
  <si>
    <t>±288</t>
  </si>
  <si>
    <t>±343</t>
  </si>
  <si>
    <t>±935</t>
  </si>
  <si>
    <t>±2,020</t>
  </si>
  <si>
    <t>±22</t>
  </si>
  <si>
    <t>±430</t>
  </si>
  <si>
    <t>±1,411</t>
  </si>
  <si>
    <t>±271</t>
  </si>
  <si>
    <t>±203</t>
  </si>
  <si>
    <t>±643</t>
  </si>
  <si>
    <t>±1,043</t>
  </si>
  <si>
    <t>±110</t>
  </si>
  <si>
    <t>±66</t>
  </si>
  <si>
    <t>Race alone or in combination with one or more other races</t>
  </si>
  <si>
    <t>±1,603</t>
  </si>
  <si>
    <t>±1,393</t>
  </si>
  <si>
    <t>±3,750</t>
  </si>
  <si>
    <t>±1,488</t>
  </si>
  <si>
    <t>±1,461</t>
  </si>
  <si>
    <t>±1,365</t>
  </si>
  <si>
    <t>±6,390</t>
  </si>
  <si>
    <t>±1,900</t>
  </si>
  <si>
    <t>±8,499</t>
  </si>
  <si>
    <t>±2,244</t>
  </si>
  <si>
    <t>±5,346</t>
  </si>
  <si>
    <t>±1,914</t>
  </si>
  <si>
    <t>±1,614</t>
  </si>
  <si>
    <t>±3,561</t>
  </si>
  <si>
    <t>±5,173</t>
  </si>
  <si>
    <t>±2,357</t>
  </si>
  <si>
    <t>±984</t>
  </si>
  <si>
    <t>±3,814</t>
  </si>
  <si>
    <t>±1,682</t>
  </si>
  <si>
    <t>±2,337</t>
  </si>
  <si>
    <t>±2,964</t>
  </si>
  <si>
    <t>±4,649</t>
  </si>
  <si>
    <t>±1,955</t>
  </si>
  <si>
    <t>±3,669</t>
  </si>
  <si>
    <t>±800</t>
  </si>
  <si>
    <t>±1,502</t>
  </si>
  <si>
    <t>±3,495</t>
  </si>
  <si>
    <t>±3,484</t>
  </si>
  <si>
    <t>±365</t>
  </si>
  <si>
    <t>±1,621</t>
  </si>
  <si>
    <t>±2,183</t>
  </si>
  <si>
    <t>±885</t>
  </si>
  <si>
    <t>±2,652</t>
  </si>
  <si>
    <t>±1,529</t>
  </si>
  <si>
    <t>±1,271</t>
  </si>
  <si>
    <t>±4,128</t>
  </si>
  <si>
    <t>±1,091</t>
  </si>
  <si>
    <t>±569</t>
  </si>
  <si>
    <t>±321</t>
  </si>
  <si>
    <t>±939</t>
  </si>
  <si>
    <t>±1,722</t>
  </si>
  <si>
    <t>±1,090</t>
  </si>
  <si>
    <t>±542</t>
  </si>
  <si>
    <t>±3,227</t>
  </si>
  <si>
    <t>±492</t>
  </si>
  <si>
    <t>±272</t>
  </si>
  <si>
    <t>±49</t>
  </si>
  <si>
    <t>±2,098</t>
  </si>
  <si>
    <t>±1,381</t>
  </si>
  <si>
    <t>±3,203</t>
  </si>
  <si>
    <t>±423</t>
  </si>
  <si>
    <t>±1,594</t>
  </si>
  <si>
    <t>±585</t>
  </si>
  <si>
    <t>±604</t>
  </si>
  <si>
    <t>±2,724</t>
  </si>
  <si>
    <t>±358</t>
  </si>
  <si>
    <t>±1,316</t>
  </si>
  <si>
    <t>±2,061</t>
  </si>
  <si>
    <t>±3,938</t>
  </si>
  <si>
    <t>±760</t>
  </si>
  <si>
    <t>±648</t>
  </si>
  <si>
    <t>±917</t>
  </si>
  <si>
    <t>±1,142</t>
  </si>
  <si>
    <t>±1,459</t>
  </si>
  <si>
    <t>±1,053</t>
  </si>
  <si>
    <t>±227</t>
  </si>
  <si>
    <t>±1,617</t>
  </si>
  <si>
    <t>±4,028</t>
  </si>
  <si>
    <t>±1,871</t>
  </si>
  <si>
    <t>±1,809</t>
  </si>
  <si>
    <t>±2,756</t>
  </si>
  <si>
    <t>±307</t>
  </si>
  <si>
    <t>±248</t>
  </si>
  <si>
    <t>±796</t>
  </si>
  <si>
    <t>±420</t>
  </si>
  <si>
    <t>±171</t>
  </si>
  <si>
    <t>±1,429</t>
  </si>
  <si>
    <t>±150</t>
  </si>
  <si>
    <t>±1,798</t>
  </si>
  <si>
    <t>±1,718</t>
  </si>
  <si>
    <t>±127</t>
  </si>
  <si>
    <t>±1,665</t>
  </si>
  <si>
    <t>±3,603</t>
  </si>
  <si>
    <t>±1,133</t>
  </si>
  <si>
    <t>±4,479</t>
  </si>
  <si>
    <t>±1,294</t>
  </si>
  <si>
    <t>±2,510</t>
  </si>
  <si>
    <t>±1,405</t>
  </si>
  <si>
    <t>±5,254</t>
  </si>
  <si>
    <t>±1,278</t>
  </si>
  <si>
    <t>±3,423</t>
  </si>
  <si>
    <t>±737</t>
  </si>
  <si>
    <t>±2,060</t>
  </si>
  <si>
    <t>±2,976</t>
  </si>
  <si>
    <t>±2,589</t>
  </si>
  <si>
    <t>±1,407</t>
  </si>
  <si>
    <t>±521</t>
  </si>
  <si>
    <t>±1,484</t>
  </si>
  <si>
    <t>±3,153</t>
  </si>
  <si>
    <t>±1,352</t>
  </si>
  <si>
    <t>±1,847</t>
  </si>
  <si>
    <t>±998</t>
  </si>
  <si>
    <t>±858</t>
  </si>
  <si>
    <t>±2,346</t>
  </si>
  <si>
    <t>±3,076</t>
  </si>
  <si>
    <t>±2,445</t>
  </si>
  <si>
    <t>±1,095</t>
  </si>
  <si>
    <t>±3,087</t>
  </si>
  <si>
    <t>±1,047</t>
  </si>
  <si>
    <t>HISPANIC OR LATINO AND RACE</t>
  </si>
  <si>
    <t>Hispanic or Latino (of any race)</t>
  </si>
  <si>
    <t>±997</t>
  </si>
  <si>
    <t>Mexican</t>
  </si>
  <si>
    <t>±2,670</t>
  </si>
  <si>
    <t>±3,265</t>
  </si>
  <si>
    <t>±4,614</t>
  </si>
  <si>
    <t>±726</t>
  </si>
  <si>
    <t>±2,540</t>
  </si>
  <si>
    <t>±1,681</t>
  </si>
  <si>
    <t>±1,825</t>
  </si>
  <si>
    <t>±2,873</t>
  </si>
  <si>
    <t>±1,850</t>
  </si>
  <si>
    <t>±783</t>
  </si>
  <si>
    <t>±1,934</t>
  </si>
  <si>
    <t>Puerto Rican</t>
  </si>
  <si>
    <t>±4,764</t>
  </si>
  <si>
    <t>±865</t>
  </si>
  <si>
    <t>±3,236</t>
  </si>
  <si>
    <t>±2,200</t>
  </si>
  <si>
    <t>±1,723</t>
  </si>
  <si>
    <t>±2,259</t>
  </si>
  <si>
    <t>±1,690</t>
  </si>
  <si>
    <t>±1,546</t>
  </si>
  <si>
    <t>±666</t>
  </si>
  <si>
    <t>±1,366</t>
  </si>
  <si>
    <t>±1,285</t>
  </si>
  <si>
    <t>±1,514</t>
  </si>
  <si>
    <t>Cuban</t>
  </si>
  <si>
    <t>±815</t>
  </si>
  <si>
    <t>±310</t>
  </si>
  <si>
    <t>±366</t>
  </si>
  <si>
    <t>±183</t>
  </si>
  <si>
    <t>Other Hispanic or Latino</t>
  </si>
  <si>
    <t>±2,727</t>
  </si>
  <si>
    <t>±3,584</t>
  </si>
  <si>
    <t>±766</t>
  </si>
  <si>
    <t>±4,234</t>
  </si>
  <si>
    <t>±3,062</t>
  </si>
  <si>
    <t>±1,346</t>
  </si>
  <si>
    <t>±1,103</t>
  </si>
  <si>
    <t>±2,234</t>
  </si>
  <si>
    <t>±1,544</t>
  </si>
  <si>
    <t>±2,042</t>
  </si>
  <si>
    <t>±1,213</t>
  </si>
  <si>
    <t>±1,653</t>
  </si>
  <si>
    <t>Not Hispanic or Latino</t>
  </si>
  <si>
    <t>White alone</t>
  </si>
  <si>
    <t>±450</t>
  </si>
  <si>
    <t>±381</t>
  </si>
  <si>
    <t>±279</t>
  </si>
  <si>
    <t>±943</t>
  </si>
  <si>
    <t>±1,947</t>
  </si>
  <si>
    <t>±952</t>
  </si>
  <si>
    <t>±2,270</t>
  </si>
  <si>
    <t>±1,306</t>
  </si>
  <si>
    <t>±1,243</t>
  </si>
  <si>
    <t>±1,220</t>
  </si>
  <si>
    <t>±1,106</t>
  </si>
  <si>
    <t>±1,923</t>
  </si>
  <si>
    <t>±1,140</t>
  </si>
  <si>
    <t>±787</t>
  </si>
  <si>
    <t>±1,348</t>
  </si>
  <si>
    <t>±963</t>
  </si>
  <si>
    <t>±2,301</t>
  </si>
  <si>
    <t>±1,248</t>
  </si>
  <si>
    <t>±1,604</t>
  </si>
  <si>
    <t>±416</t>
  </si>
  <si>
    <t>±1,778</t>
  </si>
  <si>
    <t>±2,559</t>
  </si>
  <si>
    <t>±2,158</t>
  </si>
  <si>
    <t>±2,607</t>
  </si>
  <si>
    <t>Black or African American alone</t>
  </si>
  <si>
    <t>±1,661</t>
  </si>
  <si>
    <t>±2,891</t>
  </si>
  <si>
    <t>±1,303</t>
  </si>
  <si>
    <t>±4,250</t>
  </si>
  <si>
    <t>±1,784</t>
  </si>
  <si>
    <t>±6,130</t>
  </si>
  <si>
    <t>±1,130</t>
  </si>
  <si>
    <t>±4,754</t>
  </si>
  <si>
    <t>±1,683</t>
  </si>
  <si>
    <t>±2,226</t>
  </si>
  <si>
    <t>±4,431</t>
  </si>
  <si>
    <t>±1,335</t>
  </si>
  <si>
    <t>±745</t>
  </si>
  <si>
    <t>±2,703</t>
  </si>
  <si>
    <t>±1,349</t>
  </si>
  <si>
    <t>±439</t>
  </si>
  <si>
    <t>±2,634</t>
  </si>
  <si>
    <t>±4,115</t>
  </si>
  <si>
    <t>±1,889</t>
  </si>
  <si>
    <t>±1,785</t>
  </si>
  <si>
    <t>American Indian and Alaska Native alone</t>
  </si>
  <si>
    <t>±461</t>
  </si>
  <si>
    <t>±176</t>
  </si>
  <si>
    <t>±215</t>
  </si>
  <si>
    <t>±97</t>
  </si>
  <si>
    <t>±210</t>
  </si>
  <si>
    <t>±655</t>
  </si>
  <si>
    <t>±281</t>
  </si>
  <si>
    <t>Asian alone</t>
  </si>
  <si>
    <t>±2,069</t>
  </si>
  <si>
    <t>±3,251</t>
  </si>
  <si>
    <t>±525</t>
  </si>
  <si>
    <t>±1,669</t>
  </si>
  <si>
    <t>±408</t>
  </si>
  <si>
    <t>±1,707</t>
  </si>
  <si>
    <t>Native Hawaiian and Other Pacific Islander alone</t>
  </si>
  <si>
    <t>±95</t>
  </si>
  <si>
    <t>±1,081</t>
  </si>
  <si>
    <t>Some other race alone</t>
  </si>
  <si>
    <t>±418</t>
  </si>
  <si>
    <t>±674</t>
  </si>
  <si>
    <t>±850</t>
  </si>
  <si>
    <t>±232</t>
  </si>
  <si>
    <t>±2,713</t>
  </si>
  <si>
    <t>±1,859</t>
  </si>
  <si>
    <t>±2,059</t>
  </si>
  <si>
    <t>±736</t>
  </si>
  <si>
    <t>±936</t>
  </si>
  <si>
    <t>±1,563</t>
  </si>
  <si>
    <t>±2,232</t>
  </si>
  <si>
    <t>±267</t>
  </si>
  <si>
    <t>±1,586</t>
  </si>
  <si>
    <t>±4,278</t>
  </si>
  <si>
    <t>±1,424</t>
  </si>
  <si>
    <t>±1,779</t>
  </si>
  <si>
    <t>±4,978</t>
  </si>
  <si>
    <t>±1,528</t>
  </si>
  <si>
    <t>±1,762</t>
  </si>
  <si>
    <t>±2,433</t>
  </si>
  <si>
    <t>±7,340</t>
  </si>
  <si>
    <t>±1,553</t>
  </si>
  <si>
    <t>±4,538</t>
  </si>
  <si>
    <t>±807</t>
  </si>
  <si>
    <t>±1,875</t>
  </si>
  <si>
    <t>±1,725</t>
  </si>
  <si>
    <t>±2,982</t>
  </si>
  <si>
    <t>±4,191</t>
  </si>
  <si>
    <t>±1,279</t>
  </si>
  <si>
    <t>±1,576</t>
  </si>
  <si>
    <t>±923</t>
  </si>
  <si>
    <t>±3,753</t>
  </si>
  <si>
    <t>±1,508</t>
  </si>
  <si>
    <t>±1,512</t>
  </si>
  <si>
    <t>±3,396</t>
  </si>
  <si>
    <t>±4,597</t>
  </si>
  <si>
    <t>±3,019</t>
  </si>
  <si>
    <t>±2,675</t>
  </si>
  <si>
    <t>±1,050</t>
  </si>
  <si>
    <t>Two races including Some other race</t>
  </si>
  <si>
    <t>±1,145</t>
  </si>
  <si>
    <t>±345</t>
  </si>
  <si>
    <t>±2,968</t>
  </si>
  <si>
    <t>±1,443</t>
  </si>
  <si>
    <t>±688</t>
  </si>
  <si>
    <t>±2,013</t>
  </si>
  <si>
    <t>±1,224</t>
  </si>
  <si>
    <t>±2,480</t>
  </si>
  <si>
    <t>±777</t>
  </si>
  <si>
    <t>±1,583</t>
  </si>
  <si>
    <t>±1,155</t>
  </si>
  <si>
    <t>±727</t>
  </si>
  <si>
    <t>±1,830</t>
  </si>
  <si>
    <t>±1,100</t>
  </si>
  <si>
    <t>±1,361</t>
  </si>
  <si>
    <t>±2,281</t>
  </si>
  <si>
    <t>±498</t>
  </si>
  <si>
    <t>±1,805</t>
  </si>
  <si>
    <t>±2,298</t>
  </si>
  <si>
    <t>±177</t>
  </si>
  <si>
    <t>±1,343</t>
  </si>
  <si>
    <t>Two races excluding Some other race, and Three or more races</t>
  </si>
  <si>
    <t>±1,568</t>
  </si>
  <si>
    <t>±2,599</t>
  </si>
  <si>
    <t>±1,337</t>
  </si>
  <si>
    <t>±1,032</t>
  </si>
  <si>
    <t>±4,427</t>
  </si>
  <si>
    <t>±1,481</t>
  </si>
  <si>
    <t>±6,486</t>
  </si>
  <si>
    <t>±1,419</t>
  </si>
  <si>
    <t>±4,166</t>
  </si>
  <si>
    <t>±1,479</t>
  </si>
  <si>
    <t>±2,329</t>
  </si>
  <si>
    <t>±4,108</t>
  </si>
  <si>
    <t>±1,336</t>
  </si>
  <si>
    <t>±621</t>
  </si>
  <si>
    <t>±2,844</t>
  </si>
  <si>
    <t>±1,226</t>
  </si>
  <si>
    <t>±2,704</t>
  </si>
  <si>
    <t>±4,470</t>
  </si>
  <si>
    <t>±1,843</t>
  </si>
  <si>
    <t>±384</t>
  </si>
  <si>
    <t>Total housing units</t>
  </si>
  <si>
    <t>±443</t>
  </si>
  <si>
    <t>±246</t>
  </si>
  <si>
    <t>±228</t>
  </si>
  <si>
    <t>±403</t>
  </si>
  <si>
    <t>±1,270</t>
  </si>
  <si>
    <t>±1,179</t>
  </si>
  <si>
    <t>±731</t>
  </si>
  <si>
    <t>±1,551</t>
  </si>
  <si>
    <t>±356</t>
  </si>
  <si>
    <t>±620</t>
  </si>
  <si>
    <t>±722</t>
  </si>
  <si>
    <t>CITIZEN, VOTING AGE POPULATION</t>
  </si>
  <si>
    <t>Citizen, 18 and over population</t>
  </si>
  <si>
    <t>±2,418</t>
  </si>
  <si>
    <t>±1,088</t>
  </si>
  <si>
    <t>±437</t>
  </si>
  <si>
    <t>±3,746</t>
  </si>
  <si>
    <t>±5,879</t>
  </si>
  <si>
    <t>±3,266</t>
  </si>
  <si>
    <t>±2,029</t>
  </si>
  <si>
    <t>±133</t>
  </si>
  <si>
    <t>±811</t>
  </si>
  <si>
    <t>±2,182</t>
  </si>
  <si>
    <t>±972</t>
  </si>
  <si>
    <t>±466</t>
  </si>
  <si>
    <t>±1,113</t>
  </si>
  <si>
    <t>±2,212</t>
  </si>
  <si>
    <t>±1,913</t>
  </si>
  <si>
    <t>±730</t>
  </si>
  <si>
    <t>±544</t>
  </si>
  <si>
    <t>±937</t>
  </si>
  <si>
    <t>±172</t>
  </si>
  <si>
    <t>±1,356</t>
  </si>
  <si>
    <t>±2,450</t>
  </si>
  <si>
    <t>±377</t>
  </si>
  <si>
    <t>±999</t>
  </si>
  <si>
    <t>±3,793</t>
  </si>
  <si>
    <t>±1,222</t>
  </si>
  <si>
    <t>±889</t>
  </si>
  <si>
    <t>±1,175</t>
  </si>
  <si>
    <t>±352</t>
  </si>
  <si>
    <t>±719</t>
  </si>
  <si>
    <t>±625</t>
  </si>
  <si>
    <t>±1,741</t>
  </si>
  <si>
    <t>±1,560</t>
  </si>
  <si>
    <t>±574</t>
  </si>
  <si>
    <t>±1,520</t>
  </si>
  <si>
    <t>±565</t>
  </si>
  <si>
    <t>±609</t>
  </si>
  <si>
    <t>±168</t>
  </si>
  <si>
    <t>±1,531</t>
  </si>
  <si>
    <t>±901</t>
  </si>
  <si>
    <t>±469</t>
  </si>
  <si>
    <t>±1,996</t>
  </si>
  <si>
    <t>±1,009</t>
  </si>
  <si>
    <t>±3,677</t>
  </si>
  <si>
    <t>±304</t>
  </si>
  <si>
    <t>±474</t>
  </si>
  <si>
    <t>±1,000</t>
  </si>
  <si>
    <t>±638</t>
  </si>
  <si>
    <t>±1,099</t>
  </si>
  <si>
    <t>±775</t>
  </si>
  <si>
    <t>±1,182</t>
  </si>
  <si>
    <t>±402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</si>
</sst>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xf numFmtId="0" fontId="2"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1"/>
  <sheetViews>
    <sheetView topLeftCell="A34" workbookViewId="0">
      <selection activeCell="A41" sqref="A41"/>
    </sheetView>
  </sheetViews>
  <sheetFormatPr defaultRowHeight="14.4" x14ac:dyDescent="0.3"/>
  <cols>
    <col min="1" max="1" width="25" style="1" customWidth="1"/>
    <col min="2" max="2" width="80" style="1" customWidth="1"/>
    <col min="3" max="3" width="20" customWidth="1"/>
  </cols>
  <sheetData>
    <row r="1" spans="1:3" ht="48" customHeight="1" x14ac:dyDescent="0.3">
      <c r="A1" s="10" t="s">
        <v>0</v>
      </c>
      <c r="B1" s="10"/>
      <c r="C1" s="2"/>
    </row>
    <row r="2" spans="1:3" x14ac:dyDescent="0.3">
      <c r="A2" s="11"/>
      <c r="B2" s="11"/>
      <c r="C2" s="11"/>
    </row>
    <row r="3" spans="1:3" x14ac:dyDescent="0.3">
      <c r="A3" s="12" t="s">
        <v>1</v>
      </c>
      <c r="B3" s="12"/>
      <c r="C3" s="12"/>
    </row>
    <row r="4" spans="1:3" x14ac:dyDescent="0.3">
      <c r="A4" s="11"/>
      <c r="B4" s="11"/>
      <c r="C4" s="11"/>
    </row>
    <row r="5" spans="1:3" ht="12.75" customHeight="1" x14ac:dyDescent="0.3">
      <c r="A5" s="3" t="s">
        <v>2</v>
      </c>
      <c r="B5" s="11" t="s">
        <v>3</v>
      </c>
      <c r="C5" s="11"/>
    </row>
    <row r="6" spans="1:3" ht="12.75" customHeight="1" x14ac:dyDescent="0.3">
      <c r="A6" s="1" t="s">
        <v>4</v>
      </c>
      <c r="B6" s="11" t="s">
        <v>5</v>
      </c>
      <c r="C6" s="11"/>
    </row>
    <row r="7" spans="1:3" ht="12.75" customHeight="1" x14ac:dyDescent="0.3">
      <c r="A7" s="1" t="s">
        <v>6</v>
      </c>
      <c r="B7" s="11" t="s">
        <v>7</v>
      </c>
      <c r="C7" s="11"/>
    </row>
    <row r="8" spans="1:3" ht="12.75" customHeight="1" x14ac:dyDescent="0.3">
      <c r="A8" s="1" t="s">
        <v>8</v>
      </c>
      <c r="B8" s="11" t="s">
        <v>9</v>
      </c>
      <c r="C8" s="11"/>
    </row>
    <row r="9" spans="1:3" ht="12.75" customHeight="1" x14ac:dyDescent="0.3">
      <c r="A9" s="1" t="s">
        <v>10</v>
      </c>
      <c r="B9" s="11" t="s">
        <v>11</v>
      </c>
      <c r="C9" s="11"/>
    </row>
    <row r="10" spans="1:3" ht="12.75" customHeight="1" x14ac:dyDescent="0.3">
      <c r="A10" s="1" t="s">
        <v>12</v>
      </c>
      <c r="B10" s="11" t="s">
        <v>13</v>
      </c>
      <c r="C10" s="11"/>
    </row>
    <row r="11" spans="1:3" ht="12.75" customHeight="1" x14ac:dyDescent="0.3">
      <c r="A11" s="1" t="s">
        <v>14</v>
      </c>
      <c r="B11" s="11" t="s">
        <v>15</v>
      </c>
      <c r="C11" s="11"/>
    </row>
    <row r="12" spans="1:3" ht="12.75" customHeight="1" x14ac:dyDescent="0.3">
      <c r="A12" s="1" t="s">
        <v>16</v>
      </c>
      <c r="B12" s="11" t="s">
        <v>15</v>
      </c>
      <c r="C12" s="11"/>
    </row>
    <row r="13" spans="1:3" ht="12.75" customHeight="1" x14ac:dyDescent="0.3">
      <c r="A13" s="1" t="s">
        <v>17</v>
      </c>
      <c r="B13" s="11" t="s">
        <v>18</v>
      </c>
      <c r="C13" s="11"/>
    </row>
    <row r="14" spans="1:3" x14ac:dyDescent="0.3">
      <c r="A14" s="11"/>
      <c r="B14" s="11"/>
      <c r="C14" s="11"/>
    </row>
    <row r="15" spans="1:3" ht="12.75" customHeight="1" x14ac:dyDescent="0.3">
      <c r="A15" s="3" t="s">
        <v>19</v>
      </c>
      <c r="B15" s="11" t="s">
        <v>3</v>
      </c>
      <c r="C15" s="11"/>
    </row>
    <row r="16" spans="1:3" ht="12.75" customHeight="1" x14ac:dyDescent="0.3">
      <c r="A16" s="1" t="s">
        <v>20</v>
      </c>
      <c r="B16" s="11" t="s">
        <v>21</v>
      </c>
      <c r="C16" s="11"/>
    </row>
    <row r="17" spans="1:3" x14ac:dyDescent="0.3">
      <c r="A17" s="11"/>
      <c r="B17" s="11"/>
      <c r="C17" s="11"/>
    </row>
    <row r="18" spans="1:3" ht="12.75" customHeight="1" x14ac:dyDescent="0.3">
      <c r="A18" s="3" t="s">
        <v>22</v>
      </c>
      <c r="B18" s="11" t="s">
        <v>15</v>
      </c>
      <c r="C18" s="11"/>
    </row>
    <row r="19" spans="1:3" x14ac:dyDescent="0.3">
      <c r="A19" s="11"/>
      <c r="B19" s="11"/>
      <c r="C19" s="11"/>
    </row>
    <row r="20" spans="1:3" ht="12.75" customHeight="1" x14ac:dyDescent="0.3">
      <c r="A20" s="3" t="s">
        <v>23</v>
      </c>
      <c r="B20" s="11" t="s">
        <v>15</v>
      </c>
      <c r="C20" s="11"/>
    </row>
    <row r="21" spans="1:3" x14ac:dyDescent="0.3">
      <c r="A21" s="11"/>
      <c r="B21" s="11"/>
      <c r="C21" s="11"/>
    </row>
    <row r="22" spans="1:3" ht="12.75" customHeight="1" x14ac:dyDescent="0.3">
      <c r="A22" s="3" t="s">
        <v>24</v>
      </c>
      <c r="B22" s="11" t="s">
        <v>15</v>
      </c>
      <c r="C22" s="11"/>
    </row>
    <row r="23" spans="1:3" x14ac:dyDescent="0.3">
      <c r="A23" s="11"/>
      <c r="B23" s="11"/>
      <c r="C23" s="11"/>
    </row>
    <row r="24" spans="1:3" ht="12.75" customHeight="1" x14ac:dyDescent="0.3">
      <c r="A24" s="3" t="s">
        <v>25</v>
      </c>
      <c r="B24" s="11" t="s">
        <v>15</v>
      </c>
      <c r="C24" s="11"/>
    </row>
    <row r="25" spans="1:3" x14ac:dyDescent="0.3">
      <c r="A25" s="11"/>
      <c r="B25" s="11"/>
      <c r="C25" s="11"/>
    </row>
    <row r="26" spans="1:3" ht="25.65" customHeight="1" x14ac:dyDescent="0.3">
      <c r="A26" s="3" t="s">
        <v>26</v>
      </c>
      <c r="B26" s="11" t="s">
        <v>27</v>
      </c>
      <c r="C26" s="11"/>
    </row>
    <row r="27" spans="1:3" x14ac:dyDescent="0.3">
      <c r="A27" s="11"/>
      <c r="B27" s="11"/>
      <c r="C27" s="11"/>
    </row>
    <row r="28" spans="1:3" ht="51.15" customHeight="1" x14ac:dyDescent="0.3">
      <c r="A28" s="3" t="s">
        <v>28</v>
      </c>
      <c r="B28" s="11" t="s">
        <v>29</v>
      </c>
      <c r="C28" s="11"/>
    </row>
    <row r="29" spans="1:3" ht="89.55" customHeight="1" x14ac:dyDescent="0.3">
      <c r="A29" s="1" t="s">
        <v>3</v>
      </c>
      <c r="B29" s="11" t="s">
        <v>30</v>
      </c>
      <c r="C29" s="11"/>
    </row>
    <row r="30" spans="1:3" ht="25.65" customHeight="1" x14ac:dyDescent="0.3">
      <c r="A30" s="1" t="s">
        <v>3</v>
      </c>
      <c r="B30" s="11" t="s">
        <v>31</v>
      </c>
      <c r="C30" s="11"/>
    </row>
    <row r="31" spans="1:3" ht="89.55" customHeight="1" x14ac:dyDescent="0.3">
      <c r="A31" s="1" t="s">
        <v>3</v>
      </c>
      <c r="B31" s="11" t="s">
        <v>32</v>
      </c>
      <c r="C31" s="11"/>
    </row>
    <row r="32" spans="1:3" ht="38.4" customHeight="1" x14ac:dyDescent="0.3">
      <c r="A32" s="1" t="s">
        <v>3</v>
      </c>
      <c r="B32" s="11" t="s">
        <v>33</v>
      </c>
      <c r="C32" s="11"/>
    </row>
    <row r="33" spans="1:3" ht="38.4" customHeight="1" x14ac:dyDescent="0.3">
      <c r="A33" s="1" t="s">
        <v>3</v>
      </c>
      <c r="B33" s="11" t="s">
        <v>34</v>
      </c>
      <c r="C33" s="11"/>
    </row>
    <row r="34" spans="1:3" ht="51.15" customHeight="1" x14ac:dyDescent="0.3">
      <c r="A34" s="1" t="s">
        <v>3</v>
      </c>
      <c r="B34" s="11" t="s">
        <v>35</v>
      </c>
      <c r="C34" s="11"/>
    </row>
    <row r="35" spans="1:3" ht="38.4" customHeight="1" x14ac:dyDescent="0.3">
      <c r="A35" s="1" t="s">
        <v>3</v>
      </c>
      <c r="B35" s="11" t="s">
        <v>36</v>
      </c>
      <c r="C35" s="11"/>
    </row>
    <row r="36" spans="1:3" ht="153.6" customHeight="1" x14ac:dyDescent="0.3">
      <c r="A36" s="1" t="s">
        <v>3</v>
      </c>
      <c r="B36" s="11" t="s">
        <v>37</v>
      </c>
      <c r="C36" s="11"/>
    </row>
    <row r="37" spans="1:3" x14ac:dyDescent="0.3">
      <c r="A37" s="11"/>
      <c r="B37" s="11"/>
      <c r="C37" s="11"/>
    </row>
    <row r="38" spans="1:3" ht="12.75" customHeight="1" x14ac:dyDescent="0.3">
      <c r="A38" s="3" t="s">
        <v>38</v>
      </c>
      <c r="B38" s="11" t="s">
        <v>15</v>
      </c>
      <c r="C38" s="11"/>
    </row>
    <row r="39" spans="1:3" x14ac:dyDescent="0.3">
      <c r="A39" s="11"/>
      <c r="B39" s="11"/>
      <c r="C39" s="11"/>
    </row>
    <row r="41" spans="1:3" x14ac:dyDescent="0.3">
      <c r="A41" s="1">
        <f>1</f>
        <v>1</v>
      </c>
    </row>
  </sheetData>
  <mergeCells count="39">
    <mergeCell ref="B36:C36"/>
    <mergeCell ref="A37:C37"/>
    <mergeCell ref="B38:C38"/>
    <mergeCell ref="A39:C39"/>
    <mergeCell ref="B31:C31"/>
    <mergeCell ref="B32:C32"/>
    <mergeCell ref="B33:C33"/>
    <mergeCell ref="B34:C34"/>
    <mergeCell ref="B35:C35"/>
    <mergeCell ref="B26:C26"/>
    <mergeCell ref="A27:C27"/>
    <mergeCell ref="B28:C28"/>
    <mergeCell ref="B29:C29"/>
    <mergeCell ref="B30:C30"/>
    <mergeCell ref="A21:C21"/>
    <mergeCell ref="B22:C22"/>
    <mergeCell ref="A23:C23"/>
    <mergeCell ref="B24:C24"/>
    <mergeCell ref="A25:C25"/>
    <mergeCell ref="B16:C16"/>
    <mergeCell ref="A17:C17"/>
    <mergeCell ref="B18:C18"/>
    <mergeCell ref="A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ACSDP1Y2021.DP05</oddHeader>
    <oddFooter>&amp;L&amp;Bdata.census.gov&amp;B | Measuring America's People, Places, and Economy &amp;R&amp;P</oddFooter>
    <evenHeader>&amp;LTable: ACSDP1Y2021.DP05</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S96"/>
  <sheetViews>
    <sheetView tabSelected="1" workbookViewId="0">
      <pane xSplit="1" ySplit="2" topLeftCell="EL47" activePane="bottomRight" state="frozen"/>
      <selection pane="topRight"/>
      <selection pane="bottomLeft"/>
      <selection pane="bottomRight" activeCell="B4" sqref="B4:ES96"/>
    </sheetView>
  </sheetViews>
  <sheetFormatPr defaultRowHeight="14.4" x14ac:dyDescent="0.3"/>
  <cols>
    <col min="1" max="1" width="30" style="4" customWidth="1"/>
    <col min="2" max="149" width="20" style="4" customWidth="1"/>
  </cols>
  <sheetData>
    <row r="1" spans="1:149" ht="30" customHeight="1" x14ac:dyDescent="0.3">
      <c r="A1" s="5" t="s">
        <v>3</v>
      </c>
      <c r="B1" s="13" t="s">
        <v>39</v>
      </c>
      <c r="C1" s="13"/>
      <c r="D1" s="13"/>
      <c r="E1" s="13"/>
      <c r="F1" s="13" t="s">
        <v>40</v>
      </c>
      <c r="G1" s="13"/>
      <c r="H1" s="13"/>
      <c r="I1" s="13"/>
      <c r="J1" s="13" t="s">
        <v>41</v>
      </c>
      <c r="K1" s="13"/>
      <c r="L1" s="13"/>
      <c r="M1" s="13"/>
      <c r="N1" s="13" t="s">
        <v>42</v>
      </c>
      <c r="O1" s="13"/>
      <c r="P1" s="13"/>
      <c r="Q1" s="13"/>
      <c r="R1" s="13" t="s">
        <v>43</v>
      </c>
      <c r="S1" s="13"/>
      <c r="T1" s="13"/>
      <c r="U1" s="13"/>
      <c r="V1" s="13" t="s">
        <v>44</v>
      </c>
      <c r="W1" s="13"/>
      <c r="X1" s="13"/>
      <c r="Y1" s="13"/>
      <c r="Z1" s="13" t="s">
        <v>45</v>
      </c>
      <c r="AA1" s="13"/>
      <c r="AB1" s="13"/>
      <c r="AC1" s="13"/>
      <c r="AD1" s="13" t="s">
        <v>46</v>
      </c>
      <c r="AE1" s="13"/>
      <c r="AF1" s="13"/>
      <c r="AG1" s="13"/>
      <c r="AH1" s="13" t="s">
        <v>47</v>
      </c>
      <c r="AI1" s="13"/>
      <c r="AJ1" s="13"/>
      <c r="AK1" s="13"/>
      <c r="AL1" s="13" t="s">
        <v>48</v>
      </c>
      <c r="AM1" s="13"/>
      <c r="AN1" s="13"/>
      <c r="AO1" s="13"/>
      <c r="AP1" s="13" t="s">
        <v>49</v>
      </c>
      <c r="AQ1" s="13"/>
      <c r="AR1" s="13"/>
      <c r="AS1" s="13"/>
      <c r="AT1" s="13" t="s">
        <v>50</v>
      </c>
      <c r="AU1" s="13"/>
      <c r="AV1" s="13"/>
      <c r="AW1" s="13"/>
      <c r="AX1" s="13" t="s">
        <v>51</v>
      </c>
      <c r="AY1" s="13"/>
      <c r="AZ1" s="13"/>
      <c r="BA1" s="13"/>
      <c r="BB1" s="13" t="s">
        <v>52</v>
      </c>
      <c r="BC1" s="13"/>
      <c r="BD1" s="13"/>
      <c r="BE1" s="13"/>
      <c r="BF1" s="13" t="s">
        <v>53</v>
      </c>
      <c r="BG1" s="13"/>
      <c r="BH1" s="13"/>
      <c r="BI1" s="13"/>
      <c r="BJ1" s="13" t="s">
        <v>54</v>
      </c>
      <c r="BK1" s="13"/>
      <c r="BL1" s="13"/>
      <c r="BM1" s="13"/>
      <c r="BN1" s="13" t="s">
        <v>55</v>
      </c>
      <c r="BO1" s="13"/>
      <c r="BP1" s="13"/>
      <c r="BQ1" s="13"/>
      <c r="BR1" s="13" t="s">
        <v>56</v>
      </c>
      <c r="BS1" s="13"/>
      <c r="BT1" s="13"/>
      <c r="BU1" s="13"/>
      <c r="BV1" s="13" t="s">
        <v>57</v>
      </c>
      <c r="BW1" s="13"/>
      <c r="BX1" s="13"/>
      <c r="BY1" s="13"/>
      <c r="BZ1" s="13" t="s">
        <v>58</v>
      </c>
      <c r="CA1" s="13"/>
      <c r="CB1" s="13"/>
      <c r="CC1" s="13"/>
      <c r="CD1" s="13" t="s">
        <v>59</v>
      </c>
      <c r="CE1" s="13"/>
      <c r="CF1" s="13"/>
      <c r="CG1" s="13"/>
      <c r="CH1" s="13" t="s">
        <v>60</v>
      </c>
      <c r="CI1" s="13"/>
      <c r="CJ1" s="13"/>
      <c r="CK1" s="13"/>
      <c r="CL1" s="13" t="s">
        <v>61</v>
      </c>
      <c r="CM1" s="13"/>
      <c r="CN1" s="13"/>
      <c r="CO1" s="13"/>
      <c r="CP1" s="13" t="s">
        <v>62</v>
      </c>
      <c r="CQ1" s="13"/>
      <c r="CR1" s="13"/>
      <c r="CS1" s="13"/>
      <c r="CT1" s="13" t="s">
        <v>63</v>
      </c>
      <c r="CU1" s="13"/>
      <c r="CV1" s="13"/>
      <c r="CW1" s="13"/>
      <c r="CX1" s="13" t="s">
        <v>64</v>
      </c>
      <c r="CY1" s="13"/>
      <c r="CZ1" s="13"/>
      <c r="DA1" s="13"/>
      <c r="DB1" s="13" t="s">
        <v>65</v>
      </c>
      <c r="DC1" s="13"/>
      <c r="DD1" s="13"/>
      <c r="DE1" s="13"/>
      <c r="DF1" s="13" t="s">
        <v>66</v>
      </c>
      <c r="DG1" s="13"/>
      <c r="DH1" s="13"/>
      <c r="DI1" s="13"/>
      <c r="DJ1" s="13" t="s">
        <v>67</v>
      </c>
      <c r="DK1" s="13"/>
      <c r="DL1" s="13"/>
      <c r="DM1" s="13"/>
      <c r="DN1" s="13" t="s">
        <v>68</v>
      </c>
      <c r="DO1" s="13"/>
      <c r="DP1" s="13"/>
      <c r="DQ1" s="13"/>
      <c r="DR1" s="13" t="s">
        <v>69</v>
      </c>
      <c r="DS1" s="13"/>
      <c r="DT1" s="13"/>
      <c r="DU1" s="13"/>
      <c r="DV1" s="13" t="s">
        <v>70</v>
      </c>
      <c r="DW1" s="13"/>
      <c r="DX1" s="13"/>
      <c r="DY1" s="13"/>
      <c r="DZ1" s="13" t="s">
        <v>71</v>
      </c>
      <c r="EA1" s="13"/>
      <c r="EB1" s="13"/>
      <c r="EC1" s="13"/>
      <c r="ED1" s="13" t="s">
        <v>72</v>
      </c>
      <c r="EE1" s="13"/>
      <c r="EF1" s="13"/>
      <c r="EG1" s="13"/>
      <c r="EH1" s="13" t="s">
        <v>73</v>
      </c>
      <c r="EI1" s="13"/>
      <c r="EJ1" s="13"/>
      <c r="EK1" s="13"/>
      <c r="EL1" s="13" t="s">
        <v>74</v>
      </c>
      <c r="EM1" s="13"/>
      <c r="EN1" s="13"/>
      <c r="EO1" s="13"/>
      <c r="EP1" s="13" t="s">
        <v>75</v>
      </c>
      <c r="EQ1" s="13"/>
      <c r="ER1" s="13"/>
      <c r="ES1" s="13"/>
    </row>
    <row r="2" spans="1:149" ht="30" customHeight="1" x14ac:dyDescent="0.3">
      <c r="A2" s="5" t="s">
        <v>76</v>
      </c>
      <c r="B2" s="5" t="s">
        <v>77</v>
      </c>
      <c r="C2" s="5" t="s">
        <v>78</v>
      </c>
      <c r="D2" s="5" t="s">
        <v>79</v>
      </c>
      <c r="E2" s="5" t="s">
        <v>80</v>
      </c>
      <c r="F2" s="5" t="s">
        <v>77</v>
      </c>
      <c r="G2" s="5" t="s">
        <v>78</v>
      </c>
      <c r="H2" s="5" t="s">
        <v>79</v>
      </c>
      <c r="I2" s="5" t="s">
        <v>80</v>
      </c>
      <c r="J2" s="5" t="s">
        <v>77</v>
      </c>
      <c r="K2" s="5" t="s">
        <v>78</v>
      </c>
      <c r="L2" s="5" t="s">
        <v>79</v>
      </c>
      <c r="M2" s="5" t="s">
        <v>80</v>
      </c>
      <c r="N2" s="5" t="s">
        <v>77</v>
      </c>
      <c r="O2" s="5" t="s">
        <v>78</v>
      </c>
      <c r="P2" s="5" t="s">
        <v>79</v>
      </c>
      <c r="Q2" s="5" t="s">
        <v>80</v>
      </c>
      <c r="R2" s="5" t="s">
        <v>77</v>
      </c>
      <c r="S2" s="5" t="s">
        <v>78</v>
      </c>
      <c r="T2" s="5" t="s">
        <v>79</v>
      </c>
      <c r="U2" s="5" t="s">
        <v>80</v>
      </c>
      <c r="V2" s="5" t="s">
        <v>77</v>
      </c>
      <c r="W2" s="5" t="s">
        <v>78</v>
      </c>
      <c r="X2" s="5" t="s">
        <v>79</v>
      </c>
      <c r="Y2" s="5" t="s">
        <v>80</v>
      </c>
      <c r="Z2" s="5" t="s">
        <v>77</v>
      </c>
      <c r="AA2" s="5" t="s">
        <v>78</v>
      </c>
      <c r="AB2" s="5" t="s">
        <v>79</v>
      </c>
      <c r="AC2" s="5" t="s">
        <v>80</v>
      </c>
      <c r="AD2" s="5" t="s">
        <v>77</v>
      </c>
      <c r="AE2" s="5" t="s">
        <v>78</v>
      </c>
      <c r="AF2" s="5" t="s">
        <v>79</v>
      </c>
      <c r="AG2" s="5" t="s">
        <v>80</v>
      </c>
      <c r="AH2" s="5" t="s">
        <v>77</v>
      </c>
      <c r="AI2" s="5" t="s">
        <v>78</v>
      </c>
      <c r="AJ2" s="5" t="s">
        <v>79</v>
      </c>
      <c r="AK2" s="5" t="s">
        <v>80</v>
      </c>
      <c r="AL2" s="5" t="s">
        <v>77</v>
      </c>
      <c r="AM2" s="5" t="s">
        <v>78</v>
      </c>
      <c r="AN2" s="5" t="s">
        <v>79</v>
      </c>
      <c r="AO2" s="5" t="s">
        <v>80</v>
      </c>
      <c r="AP2" s="5" t="s">
        <v>77</v>
      </c>
      <c r="AQ2" s="5" t="s">
        <v>78</v>
      </c>
      <c r="AR2" s="5" t="s">
        <v>79</v>
      </c>
      <c r="AS2" s="5" t="s">
        <v>80</v>
      </c>
      <c r="AT2" s="5" t="s">
        <v>77</v>
      </c>
      <c r="AU2" s="5" t="s">
        <v>78</v>
      </c>
      <c r="AV2" s="5" t="s">
        <v>79</v>
      </c>
      <c r="AW2" s="5" t="s">
        <v>80</v>
      </c>
      <c r="AX2" s="5" t="s">
        <v>77</v>
      </c>
      <c r="AY2" s="5" t="s">
        <v>78</v>
      </c>
      <c r="AZ2" s="5" t="s">
        <v>79</v>
      </c>
      <c r="BA2" s="5" t="s">
        <v>80</v>
      </c>
      <c r="BB2" s="5" t="s">
        <v>77</v>
      </c>
      <c r="BC2" s="5" t="s">
        <v>78</v>
      </c>
      <c r="BD2" s="5" t="s">
        <v>79</v>
      </c>
      <c r="BE2" s="5" t="s">
        <v>80</v>
      </c>
      <c r="BF2" s="5" t="s">
        <v>77</v>
      </c>
      <c r="BG2" s="5" t="s">
        <v>78</v>
      </c>
      <c r="BH2" s="5" t="s">
        <v>79</v>
      </c>
      <c r="BI2" s="5" t="s">
        <v>80</v>
      </c>
      <c r="BJ2" s="5" t="s">
        <v>77</v>
      </c>
      <c r="BK2" s="5" t="s">
        <v>78</v>
      </c>
      <c r="BL2" s="5" t="s">
        <v>79</v>
      </c>
      <c r="BM2" s="5" t="s">
        <v>80</v>
      </c>
      <c r="BN2" s="5" t="s">
        <v>77</v>
      </c>
      <c r="BO2" s="5" t="s">
        <v>78</v>
      </c>
      <c r="BP2" s="5" t="s">
        <v>79</v>
      </c>
      <c r="BQ2" s="5" t="s">
        <v>80</v>
      </c>
      <c r="BR2" s="5" t="s">
        <v>77</v>
      </c>
      <c r="BS2" s="5" t="s">
        <v>78</v>
      </c>
      <c r="BT2" s="5" t="s">
        <v>79</v>
      </c>
      <c r="BU2" s="5" t="s">
        <v>80</v>
      </c>
      <c r="BV2" s="5" t="s">
        <v>77</v>
      </c>
      <c r="BW2" s="5" t="s">
        <v>78</v>
      </c>
      <c r="BX2" s="5" t="s">
        <v>79</v>
      </c>
      <c r="BY2" s="5" t="s">
        <v>80</v>
      </c>
      <c r="BZ2" s="5" t="s">
        <v>77</v>
      </c>
      <c r="CA2" s="5" t="s">
        <v>78</v>
      </c>
      <c r="CB2" s="5" t="s">
        <v>79</v>
      </c>
      <c r="CC2" s="5" t="s">
        <v>80</v>
      </c>
      <c r="CD2" s="5" t="s">
        <v>77</v>
      </c>
      <c r="CE2" s="5" t="s">
        <v>78</v>
      </c>
      <c r="CF2" s="5" t="s">
        <v>79</v>
      </c>
      <c r="CG2" s="5" t="s">
        <v>80</v>
      </c>
      <c r="CH2" s="5" t="s">
        <v>77</v>
      </c>
      <c r="CI2" s="5" t="s">
        <v>78</v>
      </c>
      <c r="CJ2" s="5" t="s">
        <v>79</v>
      </c>
      <c r="CK2" s="5" t="s">
        <v>80</v>
      </c>
      <c r="CL2" s="5" t="s">
        <v>77</v>
      </c>
      <c r="CM2" s="5" t="s">
        <v>78</v>
      </c>
      <c r="CN2" s="5" t="s">
        <v>79</v>
      </c>
      <c r="CO2" s="5" t="s">
        <v>80</v>
      </c>
      <c r="CP2" s="5" t="s">
        <v>77</v>
      </c>
      <c r="CQ2" s="5" t="s">
        <v>78</v>
      </c>
      <c r="CR2" s="5" t="s">
        <v>79</v>
      </c>
      <c r="CS2" s="5" t="s">
        <v>80</v>
      </c>
      <c r="CT2" s="5" t="s">
        <v>77</v>
      </c>
      <c r="CU2" s="5" t="s">
        <v>78</v>
      </c>
      <c r="CV2" s="5" t="s">
        <v>79</v>
      </c>
      <c r="CW2" s="5" t="s">
        <v>80</v>
      </c>
      <c r="CX2" s="5" t="s">
        <v>77</v>
      </c>
      <c r="CY2" s="5" t="s">
        <v>78</v>
      </c>
      <c r="CZ2" s="5" t="s">
        <v>79</v>
      </c>
      <c r="DA2" s="5" t="s">
        <v>80</v>
      </c>
      <c r="DB2" s="5" t="s">
        <v>77</v>
      </c>
      <c r="DC2" s="5" t="s">
        <v>78</v>
      </c>
      <c r="DD2" s="5" t="s">
        <v>79</v>
      </c>
      <c r="DE2" s="5" t="s">
        <v>80</v>
      </c>
      <c r="DF2" s="5" t="s">
        <v>77</v>
      </c>
      <c r="DG2" s="5" t="s">
        <v>78</v>
      </c>
      <c r="DH2" s="5" t="s">
        <v>79</v>
      </c>
      <c r="DI2" s="5" t="s">
        <v>80</v>
      </c>
      <c r="DJ2" s="5" t="s">
        <v>77</v>
      </c>
      <c r="DK2" s="5" t="s">
        <v>78</v>
      </c>
      <c r="DL2" s="5" t="s">
        <v>79</v>
      </c>
      <c r="DM2" s="5" t="s">
        <v>80</v>
      </c>
      <c r="DN2" s="5" t="s">
        <v>77</v>
      </c>
      <c r="DO2" s="5" t="s">
        <v>78</v>
      </c>
      <c r="DP2" s="5" t="s">
        <v>79</v>
      </c>
      <c r="DQ2" s="5" t="s">
        <v>80</v>
      </c>
      <c r="DR2" s="5" t="s">
        <v>77</v>
      </c>
      <c r="DS2" s="5" t="s">
        <v>78</v>
      </c>
      <c r="DT2" s="5" t="s">
        <v>79</v>
      </c>
      <c r="DU2" s="5" t="s">
        <v>80</v>
      </c>
      <c r="DV2" s="5" t="s">
        <v>77</v>
      </c>
      <c r="DW2" s="5" t="s">
        <v>78</v>
      </c>
      <c r="DX2" s="5" t="s">
        <v>79</v>
      </c>
      <c r="DY2" s="5" t="s">
        <v>80</v>
      </c>
      <c r="DZ2" s="5" t="s">
        <v>77</v>
      </c>
      <c r="EA2" s="5" t="s">
        <v>78</v>
      </c>
      <c r="EB2" s="5" t="s">
        <v>79</v>
      </c>
      <c r="EC2" s="5" t="s">
        <v>80</v>
      </c>
      <c r="ED2" s="5" t="s">
        <v>77</v>
      </c>
      <c r="EE2" s="5" t="s">
        <v>78</v>
      </c>
      <c r="EF2" s="5" t="s">
        <v>79</v>
      </c>
      <c r="EG2" s="5" t="s">
        <v>80</v>
      </c>
      <c r="EH2" s="5" t="s">
        <v>77</v>
      </c>
      <c r="EI2" s="5" t="s">
        <v>78</v>
      </c>
      <c r="EJ2" s="5" t="s">
        <v>79</v>
      </c>
      <c r="EK2" s="5" t="s">
        <v>80</v>
      </c>
      <c r="EL2" s="5" t="s">
        <v>77</v>
      </c>
      <c r="EM2" s="5" t="s">
        <v>78</v>
      </c>
      <c r="EN2" s="5" t="s">
        <v>79</v>
      </c>
      <c r="EO2" s="5" t="s">
        <v>80</v>
      </c>
      <c r="EP2" s="5" t="s">
        <v>77</v>
      </c>
      <c r="EQ2" s="5" t="s">
        <v>78</v>
      </c>
      <c r="ER2" s="5" t="s">
        <v>79</v>
      </c>
      <c r="ES2" s="5" t="s">
        <v>80</v>
      </c>
    </row>
    <row r="3" spans="1:149" x14ac:dyDescent="0.3">
      <c r="A3" s="4" t="s">
        <v>81</v>
      </c>
    </row>
    <row r="4" spans="1:149" x14ac:dyDescent="0.3">
      <c r="A4" s="6" t="s">
        <v>82</v>
      </c>
      <c r="B4" s="1">
        <f>101670*(1)</f>
        <v>101670</v>
      </c>
      <c r="C4" s="1" t="s">
        <v>83</v>
      </c>
      <c r="D4" s="1">
        <f>101670*(1)</f>
        <v>101670</v>
      </c>
      <c r="E4" s="1" t="s">
        <v>84</v>
      </c>
      <c r="F4" s="1">
        <f>97337*(1)</f>
        <v>97337</v>
      </c>
      <c r="G4" s="1" t="s">
        <v>83</v>
      </c>
      <c r="H4" s="1">
        <f>97337*(1)</f>
        <v>97337</v>
      </c>
      <c r="I4" s="1" t="s">
        <v>84</v>
      </c>
      <c r="J4" s="1">
        <f>65849*(1)</f>
        <v>65849</v>
      </c>
      <c r="K4" s="1" t="s">
        <v>83</v>
      </c>
      <c r="L4" s="1">
        <f>65849*(1)</f>
        <v>65849</v>
      </c>
      <c r="M4" s="1" t="s">
        <v>84</v>
      </c>
      <c r="N4" s="1">
        <f>390234*(1)</f>
        <v>390234</v>
      </c>
      <c r="O4" s="1" t="s">
        <v>83</v>
      </c>
      <c r="P4" s="1">
        <f>390234*(1)</f>
        <v>390234</v>
      </c>
      <c r="Q4" s="1" t="s">
        <v>84</v>
      </c>
      <c r="R4" s="1">
        <f>135633*(1)</f>
        <v>135633</v>
      </c>
      <c r="S4" s="1" t="s">
        <v>83</v>
      </c>
      <c r="T4" s="1">
        <f>135633*(1)</f>
        <v>135633</v>
      </c>
      <c r="U4" s="1" t="s">
        <v>84</v>
      </c>
      <c r="V4" s="1">
        <f>209642*(1)</f>
        <v>209642</v>
      </c>
      <c r="W4" s="1" t="s">
        <v>83</v>
      </c>
      <c r="X4" s="1">
        <f>209642*(1)</f>
        <v>209642</v>
      </c>
      <c r="Y4" s="1" t="s">
        <v>84</v>
      </c>
      <c r="Z4" s="1">
        <f>101310*(1)</f>
        <v>101310</v>
      </c>
      <c r="AA4" s="1" t="s">
        <v>83</v>
      </c>
      <c r="AB4" s="1">
        <f>101310*(1)</f>
        <v>101310</v>
      </c>
      <c r="AC4" s="1" t="s">
        <v>84</v>
      </c>
      <c r="AD4" s="1">
        <f>1249387*(1)</f>
        <v>1249387</v>
      </c>
      <c r="AE4" s="1" t="s">
        <v>83</v>
      </c>
      <c r="AF4" s="1">
        <f>1249387*(1)</f>
        <v>1249387</v>
      </c>
      <c r="AG4" s="1" t="s">
        <v>84</v>
      </c>
      <c r="AH4" s="1">
        <f>220740*(1)</f>
        <v>220740</v>
      </c>
      <c r="AI4" s="1" t="s">
        <v>83</v>
      </c>
      <c r="AJ4" s="1">
        <f>220740*(1)</f>
        <v>220740</v>
      </c>
      <c r="AK4" s="1" t="s">
        <v>84</v>
      </c>
      <c r="AL4" s="1">
        <f>74852*(1)</f>
        <v>74852</v>
      </c>
      <c r="AM4" s="1" t="s">
        <v>83</v>
      </c>
      <c r="AN4" s="1">
        <f>74852*(1)</f>
        <v>74852</v>
      </c>
      <c r="AO4" s="1" t="s">
        <v>84</v>
      </c>
      <c r="AP4" s="1">
        <f>161064*(1)</f>
        <v>161064</v>
      </c>
      <c r="AQ4" s="1" t="s">
        <v>83</v>
      </c>
      <c r="AR4" s="1">
        <f>161064*(1)</f>
        <v>161064</v>
      </c>
      <c r="AS4" s="1" t="s">
        <v>84</v>
      </c>
      <c r="AT4" s="1">
        <f>1321414*(1)</f>
        <v>1321414</v>
      </c>
      <c r="AU4" s="1" t="s">
        <v>83</v>
      </c>
      <c r="AV4" s="1">
        <f>1321414*(1)</f>
        <v>1321414</v>
      </c>
      <c r="AW4" s="1" t="s">
        <v>84</v>
      </c>
      <c r="AX4" s="1">
        <f>95565*(1)</f>
        <v>95565</v>
      </c>
      <c r="AY4" s="1" t="s">
        <v>83</v>
      </c>
      <c r="AZ4" s="1">
        <f>95565*(1)</f>
        <v>95565</v>
      </c>
      <c r="BA4" s="1" t="s">
        <v>84</v>
      </c>
      <c r="BB4" s="1">
        <f>168412*(1)</f>
        <v>168412</v>
      </c>
      <c r="BC4" s="1" t="s">
        <v>83</v>
      </c>
      <c r="BD4" s="1">
        <f>168412*(1)</f>
        <v>168412</v>
      </c>
      <c r="BE4" s="1" t="s">
        <v>84</v>
      </c>
      <c r="BF4" s="1">
        <f>826139*(1)</f>
        <v>826139</v>
      </c>
      <c r="BG4" s="1" t="s">
        <v>83</v>
      </c>
      <c r="BH4" s="1">
        <f>826139*(1)</f>
        <v>826139</v>
      </c>
      <c r="BI4" s="1" t="s">
        <v>84</v>
      </c>
      <c r="BJ4" s="1">
        <f>74656*(1)</f>
        <v>74656</v>
      </c>
      <c r="BK4" s="1" t="s">
        <v>83</v>
      </c>
      <c r="BL4" s="1">
        <f>74656*(1)</f>
        <v>74656</v>
      </c>
      <c r="BM4" s="1" t="s">
        <v>84</v>
      </c>
      <c r="BN4" s="1">
        <f>232023*(1)</f>
        <v>232023</v>
      </c>
      <c r="BO4" s="1" t="s">
        <v>83</v>
      </c>
      <c r="BP4" s="1">
        <f>232023*(1)</f>
        <v>232023</v>
      </c>
      <c r="BQ4" s="1" t="s">
        <v>84</v>
      </c>
      <c r="BR4" s="1">
        <f>180401*(1)</f>
        <v>180401</v>
      </c>
      <c r="BS4" s="1" t="s">
        <v>83</v>
      </c>
      <c r="BT4" s="1">
        <f>180401*(1)</f>
        <v>180401</v>
      </c>
      <c r="BU4" s="1" t="s">
        <v>84</v>
      </c>
      <c r="BV4" s="1">
        <f>315595*(1)</f>
        <v>315595</v>
      </c>
      <c r="BW4" s="1" t="s">
        <v>83</v>
      </c>
      <c r="BX4" s="1">
        <f>315595*(1)</f>
        <v>315595</v>
      </c>
      <c r="BY4" s="1" t="s">
        <v>84</v>
      </c>
      <c r="BZ4" s="1">
        <f>429191*(1)</f>
        <v>429191</v>
      </c>
      <c r="CA4" s="1" t="s">
        <v>83</v>
      </c>
      <c r="CB4" s="1">
        <f>429191*(1)</f>
        <v>429191</v>
      </c>
      <c r="CC4" s="1" t="s">
        <v>84</v>
      </c>
      <c r="CD4" s="1">
        <f>226762*(1)</f>
        <v>226762</v>
      </c>
      <c r="CE4" s="1" t="s">
        <v>83</v>
      </c>
      <c r="CF4" s="1">
        <f>226762*(1)</f>
        <v>226762</v>
      </c>
      <c r="CG4" s="1" t="s">
        <v>84</v>
      </c>
      <c r="CH4" s="1">
        <f>65291*(1)</f>
        <v>65291</v>
      </c>
      <c r="CI4" s="1" t="s">
        <v>83</v>
      </c>
      <c r="CJ4" s="1">
        <f>65291*(1)</f>
        <v>65291</v>
      </c>
      <c r="CK4" s="1" t="s">
        <v>84</v>
      </c>
      <c r="CL4" s="1">
        <f>183092*(1)</f>
        <v>183092</v>
      </c>
      <c r="CM4" s="1" t="s">
        <v>83</v>
      </c>
      <c r="CN4" s="1">
        <f>183092*(1)</f>
        <v>183092</v>
      </c>
      <c r="CO4" s="1" t="s">
        <v>84</v>
      </c>
      <c r="CP4" s="1">
        <f>109264*(1)</f>
        <v>109264</v>
      </c>
      <c r="CQ4" s="1" t="s">
        <v>83</v>
      </c>
      <c r="CR4" s="1">
        <f>109264*(1)</f>
        <v>109264</v>
      </c>
      <c r="CS4" s="1" t="s">
        <v>84</v>
      </c>
      <c r="CT4" s="1">
        <f>535840*(1)</f>
        <v>535840</v>
      </c>
      <c r="CU4" s="1" t="s">
        <v>83</v>
      </c>
      <c r="CV4" s="1">
        <f>535840*(1)</f>
        <v>535840</v>
      </c>
      <c r="CW4" s="1" t="s">
        <v>84</v>
      </c>
      <c r="CX4" s="1">
        <f>86408*(1)</f>
        <v>86408</v>
      </c>
      <c r="CY4" s="1" t="s">
        <v>83</v>
      </c>
      <c r="CZ4" s="1">
        <f>86408*(1)</f>
        <v>86408</v>
      </c>
      <c r="DA4" s="1" t="s">
        <v>84</v>
      </c>
      <c r="DB4" s="1">
        <f>162382*(1)</f>
        <v>162382</v>
      </c>
      <c r="DC4" s="1" t="s">
        <v>83</v>
      </c>
      <c r="DD4" s="1">
        <f>162382*(1)</f>
        <v>162382</v>
      </c>
      <c r="DE4" s="1" t="s">
        <v>84</v>
      </c>
      <c r="DF4" s="1">
        <f>125195*(1)</f>
        <v>125195</v>
      </c>
      <c r="DG4" s="1" t="s">
        <v>83</v>
      </c>
      <c r="DH4" s="1">
        <f>125195*(1)</f>
        <v>125195</v>
      </c>
      <c r="DI4" s="1" t="s">
        <v>84</v>
      </c>
      <c r="DJ4" s="1">
        <f>76891*(1)</f>
        <v>76891</v>
      </c>
      <c r="DK4" s="1" t="s">
        <v>83</v>
      </c>
      <c r="DL4" s="1">
        <f>76891*(1)</f>
        <v>76891</v>
      </c>
      <c r="DM4" s="1" t="s">
        <v>84</v>
      </c>
      <c r="DN4" s="1">
        <f>73346*(1)</f>
        <v>73346</v>
      </c>
      <c r="DO4" s="1" t="s">
        <v>83</v>
      </c>
      <c r="DP4" s="1">
        <f>73346*(1)</f>
        <v>73346</v>
      </c>
      <c r="DQ4" s="1" t="s">
        <v>84</v>
      </c>
      <c r="DR4" s="1">
        <f>373834*(1)</f>
        <v>373834</v>
      </c>
      <c r="DS4" s="1" t="s">
        <v>83</v>
      </c>
      <c r="DT4" s="1">
        <f>373834*(1)</f>
        <v>373834</v>
      </c>
      <c r="DU4" s="1" t="s">
        <v>84</v>
      </c>
      <c r="DV4" s="1">
        <f>537633*(1)</f>
        <v>537633</v>
      </c>
      <c r="DW4" s="1" t="s">
        <v>83</v>
      </c>
      <c r="DX4" s="1">
        <f>537633*(1)</f>
        <v>537633</v>
      </c>
      <c r="DY4" s="1" t="s">
        <v>84</v>
      </c>
      <c r="DZ4" s="1">
        <f>201335*(1)</f>
        <v>201335</v>
      </c>
      <c r="EA4" s="1" t="s">
        <v>83</v>
      </c>
      <c r="EB4" s="1">
        <f>201335*(1)</f>
        <v>201335</v>
      </c>
      <c r="EC4" s="1" t="s">
        <v>84</v>
      </c>
      <c r="ED4" s="1">
        <f>92500*(1)</f>
        <v>92500</v>
      </c>
      <c r="EE4" s="1" t="s">
        <v>83</v>
      </c>
      <c r="EF4" s="1">
        <f>92500*(1)</f>
        <v>92500</v>
      </c>
      <c r="EG4" s="1" t="s">
        <v>84</v>
      </c>
      <c r="EH4" s="1">
        <f>246553*(1)</f>
        <v>246553</v>
      </c>
      <c r="EI4" s="1" t="s">
        <v>83</v>
      </c>
      <c r="EJ4" s="1">
        <f>246553*(1)</f>
        <v>246553</v>
      </c>
      <c r="EK4" s="1" t="s">
        <v>84</v>
      </c>
      <c r="EL4" s="1">
        <f>116710*(1)</f>
        <v>116710</v>
      </c>
      <c r="EM4" s="1" t="s">
        <v>83</v>
      </c>
      <c r="EN4" s="1">
        <f>116710*(1)</f>
        <v>116710</v>
      </c>
      <c r="EO4" s="1" t="s">
        <v>84</v>
      </c>
      <c r="EP4" s="1">
        <f>132472*(1)</f>
        <v>132472</v>
      </c>
      <c r="EQ4" s="1" t="s">
        <v>83</v>
      </c>
      <c r="ER4" s="1">
        <f>132472*(1)</f>
        <v>132472</v>
      </c>
      <c r="ES4" s="1" t="s">
        <v>84</v>
      </c>
    </row>
    <row r="5" spans="1:149" x14ac:dyDescent="0.3">
      <c r="A5" s="7" t="s">
        <v>85</v>
      </c>
      <c r="B5" s="1">
        <f>51495*(1)</f>
        <v>51495</v>
      </c>
      <c r="C5" s="1" t="s">
        <v>86</v>
      </c>
      <c r="D5" s="1">
        <f>0.506*(1)</f>
        <v>0.50600000000000001</v>
      </c>
      <c r="E5" s="1" t="s">
        <v>87</v>
      </c>
      <c r="F5" s="1">
        <f>49336*(1)</f>
        <v>49336</v>
      </c>
      <c r="G5" s="1" t="s">
        <v>88</v>
      </c>
      <c r="H5" s="1">
        <f>0.507*(1)</f>
        <v>0.50700000000000001</v>
      </c>
      <c r="I5" s="1" t="s">
        <v>87</v>
      </c>
      <c r="J5" s="1">
        <f>33875*(1)</f>
        <v>33875</v>
      </c>
      <c r="K5" s="1" t="s">
        <v>89</v>
      </c>
      <c r="L5" s="1">
        <f>0.514*(1)</f>
        <v>0.51400000000000001</v>
      </c>
      <c r="M5" s="1" t="s">
        <v>90</v>
      </c>
      <c r="N5" s="1">
        <f>192579*(1)</f>
        <v>192579</v>
      </c>
      <c r="O5" s="1" t="s">
        <v>91</v>
      </c>
      <c r="P5" s="1">
        <f>0.493*(1)</f>
        <v>0.49299999999999999</v>
      </c>
      <c r="Q5" s="1" t="s">
        <v>92</v>
      </c>
      <c r="R5" s="1">
        <f>66028*(1)</f>
        <v>66028</v>
      </c>
      <c r="S5" s="1" t="s">
        <v>93</v>
      </c>
      <c r="T5" s="1">
        <f>0.487*(1)</f>
        <v>0.48699999999999999</v>
      </c>
      <c r="U5" s="1" t="s">
        <v>94</v>
      </c>
      <c r="V5" s="1">
        <f>103858*(1)</f>
        <v>103858</v>
      </c>
      <c r="W5" s="1" t="s">
        <v>95</v>
      </c>
      <c r="X5" s="1">
        <f>0.495*(1)</f>
        <v>0.495</v>
      </c>
      <c r="Y5" s="1" t="s">
        <v>96</v>
      </c>
      <c r="Z5" s="1">
        <f>51404*(1)</f>
        <v>51404</v>
      </c>
      <c r="AA5" s="1" t="s">
        <v>97</v>
      </c>
      <c r="AB5" s="1">
        <f>0.507*(1)</f>
        <v>0.50700000000000001</v>
      </c>
      <c r="AC5" s="1" t="s">
        <v>94</v>
      </c>
      <c r="AD5" s="1">
        <f>599832*(1)</f>
        <v>599832</v>
      </c>
      <c r="AE5" s="1" t="s">
        <v>98</v>
      </c>
      <c r="AF5" s="1">
        <f>0.48*(1)</f>
        <v>0.48</v>
      </c>
      <c r="AG5" s="1" t="s">
        <v>99</v>
      </c>
      <c r="AH5" s="1">
        <f>110350*(1)</f>
        <v>110350</v>
      </c>
      <c r="AI5" s="1" t="s">
        <v>100</v>
      </c>
      <c r="AJ5" s="1">
        <f>0.5*(1)</f>
        <v>0.5</v>
      </c>
      <c r="AK5" s="1" t="s">
        <v>92</v>
      </c>
      <c r="AL5" s="1">
        <f>36984*(1)</f>
        <v>36984</v>
      </c>
      <c r="AM5" s="1" t="s">
        <v>101</v>
      </c>
      <c r="AN5" s="1">
        <f>0.494*(1)</f>
        <v>0.49399999999999999</v>
      </c>
      <c r="AO5" s="1" t="s">
        <v>102</v>
      </c>
      <c r="AP5" s="1">
        <f>80526*(1)</f>
        <v>80526</v>
      </c>
      <c r="AQ5" s="1" t="s">
        <v>103</v>
      </c>
      <c r="AR5" s="1">
        <f>0.5*(1)</f>
        <v>0.5</v>
      </c>
      <c r="AS5" s="1" t="s">
        <v>96</v>
      </c>
      <c r="AT5" s="1">
        <f>648542*(1)</f>
        <v>648542</v>
      </c>
      <c r="AU5" s="1" t="s">
        <v>104</v>
      </c>
      <c r="AV5" s="1">
        <f>0.491*(1)</f>
        <v>0.49099999999999999</v>
      </c>
      <c r="AW5" s="1" t="s">
        <v>99</v>
      </c>
      <c r="AX5" s="1">
        <f>47864*(1)</f>
        <v>47864</v>
      </c>
      <c r="AY5" s="1" t="s">
        <v>105</v>
      </c>
      <c r="AZ5" s="1">
        <f>0.501*(1)</f>
        <v>0.501</v>
      </c>
      <c r="BA5" s="1" t="s">
        <v>92</v>
      </c>
      <c r="BB5" s="1">
        <f>84420*(1)</f>
        <v>84420</v>
      </c>
      <c r="BC5" s="1" t="s">
        <v>106</v>
      </c>
      <c r="BD5" s="1">
        <f>0.501*(1)</f>
        <v>0.501</v>
      </c>
      <c r="BE5" s="1" t="s">
        <v>92</v>
      </c>
      <c r="BF5" s="1">
        <f>401659*(1)</f>
        <v>401659</v>
      </c>
      <c r="BG5" s="1" t="s">
        <v>107</v>
      </c>
      <c r="BH5" s="1">
        <f>0.486*(1)</f>
        <v>0.48599999999999999</v>
      </c>
      <c r="BI5" s="1" t="s">
        <v>99</v>
      </c>
      <c r="BJ5" s="1">
        <f>36959*(1)</f>
        <v>36959</v>
      </c>
      <c r="BK5" s="1" t="s">
        <v>108</v>
      </c>
      <c r="BL5" s="1">
        <f>0.495*(1)</f>
        <v>0.495</v>
      </c>
      <c r="BM5" s="1" t="s">
        <v>109</v>
      </c>
      <c r="BN5" s="1">
        <f>114469*(1)</f>
        <v>114469</v>
      </c>
      <c r="BO5" s="1" t="s">
        <v>110</v>
      </c>
      <c r="BP5" s="1">
        <f>0.493*(1)</f>
        <v>0.49299999999999999</v>
      </c>
      <c r="BQ5" s="1" t="s">
        <v>111</v>
      </c>
      <c r="BR5" s="1">
        <f>89624*(1)</f>
        <v>89624</v>
      </c>
      <c r="BS5" s="1" t="s">
        <v>112</v>
      </c>
      <c r="BT5" s="1">
        <f>0.497*(1)</f>
        <v>0.497</v>
      </c>
      <c r="BU5" s="1" t="s">
        <v>94</v>
      </c>
      <c r="BV5" s="1">
        <f>157039*(1)</f>
        <v>157039</v>
      </c>
      <c r="BW5" s="1" t="s">
        <v>113</v>
      </c>
      <c r="BX5" s="1">
        <f>0.498*(1)</f>
        <v>0.498</v>
      </c>
      <c r="BY5" s="1" t="s">
        <v>92</v>
      </c>
      <c r="BZ5" s="1">
        <f>208183*(1)</f>
        <v>208183</v>
      </c>
      <c r="CA5" s="1" t="s">
        <v>114</v>
      </c>
      <c r="CB5" s="1">
        <f>0.485*(1)</f>
        <v>0.48499999999999999</v>
      </c>
      <c r="CC5" s="1" t="s">
        <v>99</v>
      </c>
      <c r="CD5" s="1">
        <f>111946*(1)</f>
        <v>111946</v>
      </c>
      <c r="CE5" s="1" t="s">
        <v>108</v>
      </c>
      <c r="CF5" s="1">
        <f>0.494*(1)</f>
        <v>0.49399999999999999</v>
      </c>
      <c r="CG5" s="1" t="s">
        <v>92</v>
      </c>
      <c r="CH5" s="1">
        <f>34957*(1)</f>
        <v>34957</v>
      </c>
      <c r="CI5" s="1" t="s">
        <v>115</v>
      </c>
      <c r="CJ5" s="1">
        <f>0.535*(1)</f>
        <v>0.53500000000000003</v>
      </c>
      <c r="CK5" s="1" t="s">
        <v>109</v>
      </c>
      <c r="CL5" s="1">
        <f>91089*(1)</f>
        <v>91089</v>
      </c>
      <c r="CM5" s="1" t="s">
        <v>116</v>
      </c>
      <c r="CN5" s="1">
        <f>0.498*(1)</f>
        <v>0.498</v>
      </c>
      <c r="CO5" s="1" t="s">
        <v>96</v>
      </c>
      <c r="CP5" s="1">
        <f>54630*(1)</f>
        <v>54630</v>
      </c>
      <c r="CQ5" s="1" t="s">
        <v>117</v>
      </c>
      <c r="CR5" s="1">
        <f>0.5*(1)</f>
        <v>0.5</v>
      </c>
      <c r="CS5" s="1" t="s">
        <v>90</v>
      </c>
      <c r="CT5" s="1">
        <f>258597*(1)</f>
        <v>258597</v>
      </c>
      <c r="CU5" s="1" t="s">
        <v>118</v>
      </c>
      <c r="CV5" s="1">
        <f>0.483*(1)</f>
        <v>0.48299999999999998</v>
      </c>
      <c r="CW5" s="1" t="s">
        <v>99</v>
      </c>
      <c r="CX5" s="1">
        <f>42278*(1)</f>
        <v>42278</v>
      </c>
      <c r="CY5" s="1" t="s">
        <v>119</v>
      </c>
      <c r="CZ5" s="1">
        <f>0.489*(1)</f>
        <v>0.48899999999999999</v>
      </c>
      <c r="DA5" s="1" t="s">
        <v>120</v>
      </c>
      <c r="DB5" s="1">
        <f>79877*(1)</f>
        <v>79877</v>
      </c>
      <c r="DC5" s="1" t="s">
        <v>121</v>
      </c>
      <c r="DD5" s="1">
        <f>0.492*(1)</f>
        <v>0.49199999999999999</v>
      </c>
      <c r="DE5" s="1" t="s">
        <v>94</v>
      </c>
      <c r="DF5" s="1">
        <f>63575*(1)</f>
        <v>63575</v>
      </c>
      <c r="DG5" s="1" t="s">
        <v>122</v>
      </c>
      <c r="DH5" s="1">
        <f>0.508*(1)</f>
        <v>0.50800000000000001</v>
      </c>
      <c r="DI5" s="1" t="s">
        <v>94</v>
      </c>
      <c r="DJ5" s="1">
        <f>40550*(1)</f>
        <v>40550</v>
      </c>
      <c r="DK5" s="1" t="s">
        <v>123</v>
      </c>
      <c r="DL5" s="1">
        <f>0.527*(1)</f>
        <v>0.52700000000000002</v>
      </c>
      <c r="DM5" s="1" t="s">
        <v>120</v>
      </c>
      <c r="DN5" s="1">
        <f>36196*(1)</f>
        <v>36196</v>
      </c>
      <c r="DO5" s="1" t="s">
        <v>124</v>
      </c>
      <c r="DP5" s="1">
        <f>0.493*(1)</f>
        <v>0.49299999999999999</v>
      </c>
      <c r="DQ5" s="1" t="s">
        <v>109</v>
      </c>
      <c r="DR5" s="1">
        <f>182831*(1)</f>
        <v>182831</v>
      </c>
      <c r="DS5" s="1" t="s">
        <v>125</v>
      </c>
      <c r="DT5" s="1">
        <f>0.489*(1)</f>
        <v>0.48899999999999999</v>
      </c>
      <c r="DU5" s="1" t="s">
        <v>99</v>
      </c>
      <c r="DV5" s="1">
        <f>261610*(1)</f>
        <v>261610</v>
      </c>
      <c r="DW5" s="1" t="s">
        <v>126</v>
      </c>
      <c r="DX5" s="1">
        <f>0.487*(1)</f>
        <v>0.48699999999999999</v>
      </c>
      <c r="DY5" s="1" t="s">
        <v>99</v>
      </c>
      <c r="DZ5" s="1">
        <f>98930*(1)</f>
        <v>98930</v>
      </c>
      <c r="EA5" s="1" t="s">
        <v>127</v>
      </c>
      <c r="EB5" s="1">
        <f>0.491*(1)</f>
        <v>0.49099999999999999</v>
      </c>
      <c r="EC5" s="1" t="s">
        <v>96</v>
      </c>
      <c r="ED5" s="1">
        <f>46188*(1)</f>
        <v>46188</v>
      </c>
      <c r="EE5" s="1" t="s">
        <v>128</v>
      </c>
      <c r="EF5" s="1">
        <f>0.499*(1)</f>
        <v>0.499</v>
      </c>
      <c r="EG5" s="1" t="s">
        <v>129</v>
      </c>
      <c r="EH5" s="1">
        <f>124341*(1)</f>
        <v>124341</v>
      </c>
      <c r="EI5" s="1" t="s">
        <v>130</v>
      </c>
      <c r="EJ5" s="1">
        <f>0.504*(1)</f>
        <v>0.504</v>
      </c>
      <c r="EK5" s="1" t="s">
        <v>94</v>
      </c>
      <c r="EL5" s="1">
        <f>58250*(1)</f>
        <v>58250</v>
      </c>
      <c r="EM5" s="1" t="s">
        <v>131</v>
      </c>
      <c r="EN5" s="1">
        <f>0.499*(1)</f>
        <v>0.499</v>
      </c>
      <c r="EO5" s="1" t="s">
        <v>132</v>
      </c>
      <c r="EP5" s="1">
        <f>65569*(1)</f>
        <v>65569</v>
      </c>
      <c r="EQ5" s="1" t="s">
        <v>133</v>
      </c>
      <c r="ER5" s="1">
        <f>0.495*(1)</f>
        <v>0.495</v>
      </c>
      <c r="ES5" s="1" t="s">
        <v>92</v>
      </c>
    </row>
    <row r="6" spans="1:149" x14ac:dyDescent="0.3">
      <c r="A6" s="7" t="s">
        <v>134</v>
      </c>
      <c r="B6" s="1">
        <f>50175*(1)</f>
        <v>50175</v>
      </c>
      <c r="C6" s="1" t="s">
        <v>86</v>
      </c>
      <c r="D6" s="1">
        <f>0.494*(1)</f>
        <v>0.49399999999999999</v>
      </c>
      <c r="E6" s="1" t="s">
        <v>87</v>
      </c>
      <c r="F6" s="1">
        <f>48001*(1)</f>
        <v>48001</v>
      </c>
      <c r="G6" s="1" t="s">
        <v>88</v>
      </c>
      <c r="H6" s="1">
        <f>0.493*(1)</f>
        <v>0.49299999999999999</v>
      </c>
      <c r="I6" s="1" t="s">
        <v>87</v>
      </c>
      <c r="J6" s="1">
        <f>31974*(1)</f>
        <v>31974</v>
      </c>
      <c r="K6" s="1" t="s">
        <v>89</v>
      </c>
      <c r="L6" s="1">
        <f>0.486*(1)</f>
        <v>0.48599999999999999</v>
      </c>
      <c r="M6" s="1" t="s">
        <v>90</v>
      </c>
      <c r="N6" s="1">
        <f>197655*(1)</f>
        <v>197655</v>
      </c>
      <c r="O6" s="1" t="s">
        <v>91</v>
      </c>
      <c r="P6" s="1">
        <f>0.507*(1)</f>
        <v>0.50700000000000001</v>
      </c>
      <c r="Q6" s="1" t="s">
        <v>92</v>
      </c>
      <c r="R6" s="1">
        <f>69605*(1)</f>
        <v>69605</v>
      </c>
      <c r="S6" s="1" t="s">
        <v>93</v>
      </c>
      <c r="T6" s="1">
        <f>0.513*(1)</f>
        <v>0.51300000000000001</v>
      </c>
      <c r="U6" s="1" t="s">
        <v>94</v>
      </c>
      <c r="V6" s="1">
        <f>105784*(1)</f>
        <v>105784</v>
      </c>
      <c r="W6" s="1" t="s">
        <v>95</v>
      </c>
      <c r="X6" s="1">
        <f>0.505*(1)</f>
        <v>0.505</v>
      </c>
      <c r="Y6" s="1" t="s">
        <v>96</v>
      </c>
      <c r="Z6" s="1">
        <f>49906*(1)</f>
        <v>49906</v>
      </c>
      <c r="AA6" s="1" t="s">
        <v>97</v>
      </c>
      <c r="AB6" s="1">
        <f>0.493*(1)</f>
        <v>0.49299999999999999</v>
      </c>
      <c r="AC6" s="1" t="s">
        <v>94</v>
      </c>
      <c r="AD6" s="1">
        <f>649555*(1)</f>
        <v>649555</v>
      </c>
      <c r="AE6" s="1" t="s">
        <v>98</v>
      </c>
      <c r="AF6" s="1">
        <f>0.52*(1)</f>
        <v>0.52</v>
      </c>
      <c r="AG6" s="1" t="s">
        <v>99</v>
      </c>
      <c r="AH6" s="1">
        <f>110390*(1)</f>
        <v>110390</v>
      </c>
      <c r="AI6" s="1" t="s">
        <v>100</v>
      </c>
      <c r="AJ6" s="1">
        <f>0.5*(1)</f>
        <v>0.5</v>
      </c>
      <c r="AK6" s="1" t="s">
        <v>92</v>
      </c>
      <c r="AL6" s="1">
        <f>37868*(1)</f>
        <v>37868</v>
      </c>
      <c r="AM6" s="1" t="s">
        <v>101</v>
      </c>
      <c r="AN6" s="1">
        <f>0.506*(1)</f>
        <v>0.50600000000000001</v>
      </c>
      <c r="AO6" s="1" t="s">
        <v>102</v>
      </c>
      <c r="AP6" s="1">
        <f>80538*(1)</f>
        <v>80538</v>
      </c>
      <c r="AQ6" s="1" t="s">
        <v>103</v>
      </c>
      <c r="AR6" s="1">
        <f>0.5*(1)</f>
        <v>0.5</v>
      </c>
      <c r="AS6" s="1" t="s">
        <v>96</v>
      </c>
      <c r="AT6" s="1">
        <f>672872*(1)</f>
        <v>672872</v>
      </c>
      <c r="AU6" s="1" t="s">
        <v>104</v>
      </c>
      <c r="AV6" s="1">
        <f>0.509*(1)</f>
        <v>0.50900000000000001</v>
      </c>
      <c r="AW6" s="1" t="s">
        <v>99</v>
      </c>
      <c r="AX6" s="1">
        <f>47701*(1)</f>
        <v>47701</v>
      </c>
      <c r="AY6" s="1" t="s">
        <v>105</v>
      </c>
      <c r="AZ6" s="1">
        <f>0.499*(1)</f>
        <v>0.499</v>
      </c>
      <c r="BA6" s="1" t="s">
        <v>92</v>
      </c>
      <c r="BB6" s="1">
        <f>83992*(1)</f>
        <v>83992</v>
      </c>
      <c r="BC6" s="1" t="s">
        <v>106</v>
      </c>
      <c r="BD6" s="1">
        <f>0.499*(1)</f>
        <v>0.499</v>
      </c>
      <c r="BE6" s="1" t="s">
        <v>92</v>
      </c>
      <c r="BF6" s="1">
        <f>424480*(1)</f>
        <v>424480</v>
      </c>
      <c r="BG6" s="1" t="s">
        <v>107</v>
      </c>
      <c r="BH6" s="1">
        <f>0.514*(1)</f>
        <v>0.51400000000000001</v>
      </c>
      <c r="BI6" s="1" t="s">
        <v>99</v>
      </c>
      <c r="BJ6" s="1">
        <f>37697*(1)</f>
        <v>37697</v>
      </c>
      <c r="BK6" s="1" t="s">
        <v>108</v>
      </c>
      <c r="BL6" s="1">
        <f>0.505*(1)</f>
        <v>0.505</v>
      </c>
      <c r="BM6" s="1" t="s">
        <v>109</v>
      </c>
      <c r="BN6" s="1">
        <f>117554*(1)</f>
        <v>117554</v>
      </c>
      <c r="BO6" s="1" t="s">
        <v>110</v>
      </c>
      <c r="BP6" s="1">
        <f>0.507*(1)</f>
        <v>0.50700000000000001</v>
      </c>
      <c r="BQ6" s="1" t="s">
        <v>111</v>
      </c>
      <c r="BR6" s="1">
        <f>90777*(1)</f>
        <v>90777</v>
      </c>
      <c r="BS6" s="1" t="s">
        <v>112</v>
      </c>
      <c r="BT6" s="1">
        <f>0.503*(1)</f>
        <v>0.503</v>
      </c>
      <c r="BU6" s="1" t="s">
        <v>94</v>
      </c>
      <c r="BV6" s="1">
        <f>158556*(1)</f>
        <v>158556</v>
      </c>
      <c r="BW6" s="1" t="s">
        <v>113</v>
      </c>
      <c r="BX6" s="1">
        <f>0.502*(1)</f>
        <v>0.502</v>
      </c>
      <c r="BY6" s="1" t="s">
        <v>92</v>
      </c>
      <c r="BZ6" s="1">
        <f>221008*(1)</f>
        <v>221008</v>
      </c>
      <c r="CA6" s="1" t="s">
        <v>114</v>
      </c>
      <c r="CB6" s="1">
        <f>0.515*(1)</f>
        <v>0.51500000000000001</v>
      </c>
      <c r="CC6" s="1" t="s">
        <v>99</v>
      </c>
      <c r="CD6" s="1">
        <f>114816*(1)</f>
        <v>114816</v>
      </c>
      <c r="CE6" s="1" t="s">
        <v>108</v>
      </c>
      <c r="CF6" s="1">
        <f>0.506*(1)</f>
        <v>0.50600000000000001</v>
      </c>
      <c r="CG6" s="1" t="s">
        <v>92</v>
      </c>
      <c r="CH6" s="1">
        <f>30334*(1)</f>
        <v>30334</v>
      </c>
      <c r="CI6" s="1" t="s">
        <v>115</v>
      </c>
      <c r="CJ6" s="1">
        <f>0.465*(1)</f>
        <v>0.46500000000000002</v>
      </c>
      <c r="CK6" s="1" t="s">
        <v>109</v>
      </c>
      <c r="CL6" s="1">
        <f>92003*(1)</f>
        <v>92003</v>
      </c>
      <c r="CM6" s="1" t="s">
        <v>116</v>
      </c>
      <c r="CN6" s="1">
        <f>0.502*(1)</f>
        <v>0.502</v>
      </c>
      <c r="CO6" s="1" t="s">
        <v>96</v>
      </c>
      <c r="CP6" s="1">
        <f>54634*(1)</f>
        <v>54634</v>
      </c>
      <c r="CQ6" s="1" t="s">
        <v>117</v>
      </c>
      <c r="CR6" s="1">
        <f>0.5*(1)</f>
        <v>0.5</v>
      </c>
      <c r="CS6" s="1" t="s">
        <v>90</v>
      </c>
      <c r="CT6" s="1">
        <f>277243*(1)</f>
        <v>277243</v>
      </c>
      <c r="CU6" s="1" t="s">
        <v>118</v>
      </c>
      <c r="CV6" s="1">
        <f>0.517*(1)</f>
        <v>0.51700000000000002</v>
      </c>
      <c r="CW6" s="1" t="s">
        <v>99</v>
      </c>
      <c r="CX6" s="1">
        <f>44130*(1)</f>
        <v>44130</v>
      </c>
      <c r="CY6" s="1" t="s">
        <v>119</v>
      </c>
      <c r="CZ6" s="1">
        <f>0.511*(1)</f>
        <v>0.51100000000000001</v>
      </c>
      <c r="DA6" s="1" t="s">
        <v>120</v>
      </c>
      <c r="DB6" s="1">
        <f>82505*(1)</f>
        <v>82505</v>
      </c>
      <c r="DC6" s="1" t="s">
        <v>121</v>
      </c>
      <c r="DD6" s="1">
        <f>0.508*(1)</f>
        <v>0.50800000000000001</v>
      </c>
      <c r="DE6" s="1" t="s">
        <v>94</v>
      </c>
      <c r="DF6" s="1">
        <f>61620*(1)</f>
        <v>61620</v>
      </c>
      <c r="DG6" s="1" t="s">
        <v>122</v>
      </c>
      <c r="DH6" s="1">
        <f>0.492*(1)</f>
        <v>0.49199999999999999</v>
      </c>
      <c r="DI6" s="1" t="s">
        <v>94</v>
      </c>
      <c r="DJ6" s="1">
        <f>36341*(1)</f>
        <v>36341</v>
      </c>
      <c r="DK6" s="1" t="s">
        <v>123</v>
      </c>
      <c r="DL6" s="1">
        <f>0.473*(1)</f>
        <v>0.47299999999999998</v>
      </c>
      <c r="DM6" s="1" t="s">
        <v>120</v>
      </c>
      <c r="DN6" s="1">
        <f>37150*(1)</f>
        <v>37150</v>
      </c>
      <c r="DO6" s="1" t="s">
        <v>124</v>
      </c>
      <c r="DP6" s="1">
        <f>0.507*(1)</f>
        <v>0.50700000000000001</v>
      </c>
      <c r="DQ6" s="1" t="s">
        <v>109</v>
      </c>
      <c r="DR6" s="1">
        <f>191003*(1)</f>
        <v>191003</v>
      </c>
      <c r="DS6" s="1" t="s">
        <v>125</v>
      </c>
      <c r="DT6" s="1">
        <f>0.511*(1)</f>
        <v>0.51100000000000001</v>
      </c>
      <c r="DU6" s="1" t="s">
        <v>99</v>
      </c>
      <c r="DV6" s="1">
        <f>276023*(1)</f>
        <v>276023</v>
      </c>
      <c r="DW6" s="1" t="s">
        <v>126</v>
      </c>
      <c r="DX6" s="1">
        <f>0.513*(1)</f>
        <v>0.51300000000000001</v>
      </c>
      <c r="DY6" s="1" t="s">
        <v>99</v>
      </c>
      <c r="DZ6" s="1">
        <f>102405*(1)</f>
        <v>102405</v>
      </c>
      <c r="EA6" s="1" t="s">
        <v>127</v>
      </c>
      <c r="EB6" s="1">
        <f>0.509*(1)</f>
        <v>0.50900000000000001</v>
      </c>
      <c r="EC6" s="1" t="s">
        <v>96</v>
      </c>
      <c r="ED6" s="1">
        <f>46312*(1)</f>
        <v>46312</v>
      </c>
      <c r="EE6" s="1" t="s">
        <v>128</v>
      </c>
      <c r="EF6" s="1">
        <f>0.501*(1)</f>
        <v>0.501</v>
      </c>
      <c r="EG6" s="1" t="s">
        <v>129</v>
      </c>
      <c r="EH6" s="1">
        <f>122212*(1)</f>
        <v>122212</v>
      </c>
      <c r="EI6" s="1" t="s">
        <v>130</v>
      </c>
      <c r="EJ6" s="1">
        <f>0.496*(1)</f>
        <v>0.496</v>
      </c>
      <c r="EK6" s="1" t="s">
        <v>94</v>
      </c>
      <c r="EL6" s="1">
        <f>58460*(1)</f>
        <v>58460</v>
      </c>
      <c r="EM6" s="1" t="s">
        <v>131</v>
      </c>
      <c r="EN6" s="1">
        <f>0.501*(1)</f>
        <v>0.501</v>
      </c>
      <c r="EO6" s="1" t="s">
        <v>132</v>
      </c>
      <c r="EP6" s="1">
        <f>66903*(1)</f>
        <v>66903</v>
      </c>
      <c r="EQ6" s="1" t="s">
        <v>133</v>
      </c>
      <c r="ER6" s="1">
        <f>0.505*(1)</f>
        <v>0.505</v>
      </c>
      <c r="ES6" s="1" t="s">
        <v>92</v>
      </c>
    </row>
    <row r="7" spans="1:149" ht="28.8" x14ac:dyDescent="0.3">
      <c r="A7" s="7" t="s">
        <v>135</v>
      </c>
      <c r="B7" s="1">
        <f>102.6*(1)</f>
        <v>102.6</v>
      </c>
      <c r="C7" s="1" t="s">
        <v>136</v>
      </c>
      <c r="D7" s="1" t="s">
        <v>84</v>
      </c>
      <c r="E7" s="1" t="s">
        <v>84</v>
      </c>
      <c r="F7" s="1">
        <f>102.8*(1)</f>
        <v>102.8</v>
      </c>
      <c r="G7" s="1" t="s">
        <v>136</v>
      </c>
      <c r="H7" s="1" t="s">
        <v>84</v>
      </c>
      <c r="I7" s="1" t="s">
        <v>84</v>
      </c>
      <c r="J7" s="1">
        <f>105.9*(1)</f>
        <v>105.9</v>
      </c>
      <c r="K7" s="1" t="s">
        <v>137</v>
      </c>
      <c r="L7" s="1" t="s">
        <v>84</v>
      </c>
      <c r="M7" s="1" t="s">
        <v>84</v>
      </c>
      <c r="N7" s="1">
        <f>97.4*(1)</f>
        <v>97.4</v>
      </c>
      <c r="O7" s="1" t="s">
        <v>132</v>
      </c>
      <c r="P7" s="1" t="s">
        <v>84</v>
      </c>
      <c r="Q7" s="1" t="s">
        <v>84</v>
      </c>
      <c r="R7" s="1">
        <f>94.9*(1)</f>
        <v>94.9</v>
      </c>
      <c r="S7" s="1" t="s">
        <v>138</v>
      </c>
      <c r="T7" s="1" t="s">
        <v>84</v>
      </c>
      <c r="U7" s="1" t="s">
        <v>84</v>
      </c>
      <c r="V7" s="1">
        <f>98.2*(1)</f>
        <v>98.2</v>
      </c>
      <c r="W7" s="1" t="s">
        <v>139</v>
      </c>
      <c r="X7" s="1" t="s">
        <v>84</v>
      </c>
      <c r="Y7" s="1" t="s">
        <v>84</v>
      </c>
      <c r="Z7" s="1">
        <f>103*(1)</f>
        <v>103</v>
      </c>
      <c r="AA7" s="1" t="s">
        <v>140</v>
      </c>
      <c r="AB7" s="1" t="s">
        <v>84</v>
      </c>
      <c r="AC7" s="1" t="s">
        <v>84</v>
      </c>
      <c r="AD7" s="1">
        <f>92.3*(1)</f>
        <v>92.3</v>
      </c>
      <c r="AE7" s="1" t="s">
        <v>99</v>
      </c>
      <c r="AF7" s="1" t="s">
        <v>84</v>
      </c>
      <c r="AG7" s="1" t="s">
        <v>84</v>
      </c>
      <c r="AH7" s="1">
        <f>100*(1)</f>
        <v>100</v>
      </c>
      <c r="AI7" s="1" t="s">
        <v>141</v>
      </c>
      <c r="AJ7" s="1" t="s">
        <v>84</v>
      </c>
      <c r="AK7" s="1" t="s">
        <v>84</v>
      </c>
      <c r="AL7" s="1">
        <f>97.7*(1)</f>
        <v>97.7</v>
      </c>
      <c r="AM7" s="1" t="s">
        <v>142</v>
      </c>
      <c r="AN7" s="1" t="s">
        <v>84</v>
      </c>
      <c r="AO7" s="1" t="s">
        <v>84</v>
      </c>
      <c r="AP7" s="1">
        <f>100*(1)</f>
        <v>100</v>
      </c>
      <c r="AQ7" s="1" t="s">
        <v>138</v>
      </c>
      <c r="AR7" s="1" t="s">
        <v>84</v>
      </c>
      <c r="AS7" s="1" t="s">
        <v>84</v>
      </c>
      <c r="AT7" s="1">
        <f>96.4*(1)</f>
        <v>96.4</v>
      </c>
      <c r="AU7" s="1" t="s">
        <v>99</v>
      </c>
      <c r="AV7" s="1" t="s">
        <v>84</v>
      </c>
      <c r="AW7" s="1" t="s">
        <v>84</v>
      </c>
      <c r="AX7" s="1">
        <f>100.3*(1)</f>
        <v>100.3</v>
      </c>
      <c r="AY7" s="1" t="s">
        <v>139</v>
      </c>
      <c r="AZ7" s="1" t="s">
        <v>84</v>
      </c>
      <c r="BA7" s="1" t="s">
        <v>84</v>
      </c>
      <c r="BB7" s="1">
        <f>100.5*(1)</f>
        <v>100.5</v>
      </c>
      <c r="BC7" s="1" t="s">
        <v>139</v>
      </c>
      <c r="BD7" s="1" t="s">
        <v>84</v>
      </c>
      <c r="BE7" s="1" t="s">
        <v>84</v>
      </c>
      <c r="BF7" s="1">
        <f>94.6*(1)</f>
        <v>94.6</v>
      </c>
      <c r="BG7" s="1" t="s">
        <v>111</v>
      </c>
      <c r="BH7" s="1" t="s">
        <v>84</v>
      </c>
      <c r="BI7" s="1" t="s">
        <v>84</v>
      </c>
      <c r="BJ7" s="1">
        <f>98*(1)</f>
        <v>98</v>
      </c>
      <c r="BK7" s="1" t="s">
        <v>143</v>
      </c>
      <c r="BL7" s="1" t="s">
        <v>84</v>
      </c>
      <c r="BM7" s="1" t="s">
        <v>84</v>
      </c>
      <c r="BN7" s="1">
        <f>97.4*(1)</f>
        <v>97.4</v>
      </c>
      <c r="BO7" s="1" t="s">
        <v>87</v>
      </c>
      <c r="BP7" s="1" t="s">
        <v>84</v>
      </c>
      <c r="BQ7" s="1" t="s">
        <v>84</v>
      </c>
      <c r="BR7" s="1">
        <f>98.7*(1)</f>
        <v>98.7</v>
      </c>
      <c r="BS7" s="1" t="s">
        <v>144</v>
      </c>
      <c r="BT7" s="1" t="s">
        <v>84</v>
      </c>
      <c r="BU7" s="1" t="s">
        <v>84</v>
      </c>
      <c r="BV7" s="1">
        <f>99*(1)</f>
        <v>99</v>
      </c>
      <c r="BW7" s="1" t="s">
        <v>141</v>
      </c>
      <c r="BX7" s="1" t="s">
        <v>84</v>
      </c>
      <c r="BY7" s="1" t="s">
        <v>84</v>
      </c>
      <c r="BZ7" s="1">
        <f>94.2*(1)</f>
        <v>94.2</v>
      </c>
      <c r="CA7" s="1" t="s">
        <v>94</v>
      </c>
      <c r="CB7" s="1" t="s">
        <v>84</v>
      </c>
      <c r="CC7" s="1" t="s">
        <v>84</v>
      </c>
      <c r="CD7" s="1">
        <f>97.5*(1)</f>
        <v>97.5</v>
      </c>
      <c r="CE7" s="1" t="s">
        <v>145</v>
      </c>
      <c r="CF7" s="1" t="s">
        <v>84</v>
      </c>
      <c r="CG7" s="1" t="s">
        <v>84</v>
      </c>
      <c r="CH7" s="1">
        <f>115.2*(1)</f>
        <v>115.2</v>
      </c>
      <c r="CI7" s="1" t="s">
        <v>146</v>
      </c>
      <c r="CJ7" s="1" t="s">
        <v>84</v>
      </c>
      <c r="CK7" s="1" t="s">
        <v>84</v>
      </c>
      <c r="CL7" s="1">
        <f>99*(1)</f>
        <v>99</v>
      </c>
      <c r="CM7" s="1" t="s">
        <v>102</v>
      </c>
      <c r="CN7" s="1" t="s">
        <v>84</v>
      </c>
      <c r="CO7" s="1" t="s">
        <v>84</v>
      </c>
      <c r="CP7" s="1">
        <f>100*(1)</f>
        <v>100</v>
      </c>
      <c r="CQ7" s="1" t="s">
        <v>137</v>
      </c>
      <c r="CR7" s="1" t="s">
        <v>84</v>
      </c>
      <c r="CS7" s="1" t="s">
        <v>84</v>
      </c>
      <c r="CT7" s="1">
        <f>93.3*(1)</f>
        <v>93.3</v>
      </c>
      <c r="CU7" s="1" t="s">
        <v>96</v>
      </c>
      <c r="CV7" s="1" t="s">
        <v>84</v>
      </c>
      <c r="CW7" s="1" t="s">
        <v>84</v>
      </c>
      <c r="CX7" s="1">
        <f>95.8*(1)</f>
        <v>95.8</v>
      </c>
      <c r="CY7" s="1" t="s">
        <v>147</v>
      </c>
      <c r="CZ7" s="1" t="s">
        <v>84</v>
      </c>
      <c r="DA7" s="1" t="s">
        <v>84</v>
      </c>
      <c r="DB7" s="1">
        <f>96.8*(1)</f>
        <v>96.8</v>
      </c>
      <c r="DC7" s="1" t="s">
        <v>148</v>
      </c>
      <c r="DD7" s="1" t="s">
        <v>84</v>
      </c>
      <c r="DE7" s="1" t="s">
        <v>84</v>
      </c>
      <c r="DF7" s="1">
        <f>103.2*(1)</f>
        <v>103.2</v>
      </c>
      <c r="DG7" s="1" t="s">
        <v>149</v>
      </c>
      <c r="DH7" s="1" t="s">
        <v>84</v>
      </c>
      <c r="DI7" s="1" t="s">
        <v>84</v>
      </c>
      <c r="DJ7" s="1">
        <f>111.6*(1)</f>
        <v>111.6</v>
      </c>
      <c r="DK7" s="1" t="s">
        <v>150</v>
      </c>
      <c r="DL7" s="1" t="s">
        <v>84</v>
      </c>
      <c r="DM7" s="1" t="s">
        <v>84</v>
      </c>
      <c r="DN7" s="1">
        <f>97.4*(1)</f>
        <v>97.4</v>
      </c>
      <c r="DO7" s="1" t="s">
        <v>151</v>
      </c>
      <c r="DP7" s="1" t="s">
        <v>84</v>
      </c>
      <c r="DQ7" s="1" t="s">
        <v>84</v>
      </c>
      <c r="DR7" s="1">
        <f>95.7*(1)</f>
        <v>95.7</v>
      </c>
      <c r="DS7" s="1" t="s">
        <v>94</v>
      </c>
      <c r="DT7" s="1" t="s">
        <v>84</v>
      </c>
      <c r="DU7" s="1" t="s">
        <v>84</v>
      </c>
      <c r="DV7" s="1">
        <f>94.8*(1)</f>
        <v>94.8</v>
      </c>
      <c r="DW7" s="1" t="s">
        <v>94</v>
      </c>
      <c r="DX7" s="1" t="s">
        <v>84</v>
      </c>
      <c r="DY7" s="1" t="s">
        <v>84</v>
      </c>
      <c r="DZ7" s="1">
        <f>96.6*(1)</f>
        <v>96.6</v>
      </c>
      <c r="EA7" s="1" t="s">
        <v>138</v>
      </c>
      <c r="EB7" s="1" t="s">
        <v>84</v>
      </c>
      <c r="EC7" s="1" t="s">
        <v>84</v>
      </c>
      <c r="ED7" s="1">
        <f>99.7*(1)</f>
        <v>99.7</v>
      </c>
      <c r="EE7" s="1" t="s">
        <v>152</v>
      </c>
      <c r="EF7" s="1" t="s">
        <v>84</v>
      </c>
      <c r="EG7" s="1" t="s">
        <v>84</v>
      </c>
      <c r="EH7" s="1">
        <f>101.7*(1)</f>
        <v>101.7</v>
      </c>
      <c r="EI7" s="1" t="s">
        <v>153</v>
      </c>
      <c r="EJ7" s="1" t="s">
        <v>84</v>
      </c>
      <c r="EK7" s="1" t="s">
        <v>84</v>
      </c>
      <c r="EL7" s="1">
        <f>99.6*(1)</f>
        <v>99.6</v>
      </c>
      <c r="EM7" s="1" t="s">
        <v>154</v>
      </c>
      <c r="EN7" s="1" t="s">
        <v>84</v>
      </c>
      <c r="EO7" s="1" t="s">
        <v>84</v>
      </c>
      <c r="EP7" s="1">
        <f>98*(1)</f>
        <v>98</v>
      </c>
      <c r="EQ7" s="1" t="s">
        <v>141</v>
      </c>
      <c r="ER7" s="1" t="s">
        <v>84</v>
      </c>
      <c r="ES7" s="1" t="s">
        <v>84</v>
      </c>
    </row>
    <row r="8" spans="1:149" x14ac:dyDescent="0.3">
      <c r="A8" s="7" t="s">
        <v>155</v>
      </c>
      <c r="B8" s="1">
        <f>6043*(1)</f>
        <v>6043</v>
      </c>
      <c r="C8" s="1" t="s">
        <v>156</v>
      </c>
      <c r="D8" s="1">
        <f>0.059*(1)</f>
        <v>5.8999999999999997E-2</v>
      </c>
      <c r="E8" s="1" t="s">
        <v>96</v>
      </c>
      <c r="F8" s="1">
        <f>5479*(1)</f>
        <v>5479</v>
      </c>
      <c r="G8" s="1" t="s">
        <v>157</v>
      </c>
      <c r="H8" s="1">
        <f>0.056*(1)</f>
        <v>5.6000000000000001E-2</v>
      </c>
      <c r="I8" s="1" t="s">
        <v>94</v>
      </c>
      <c r="J8" s="1">
        <f>3151*(1)</f>
        <v>3151</v>
      </c>
      <c r="K8" s="1" t="s">
        <v>158</v>
      </c>
      <c r="L8" s="1">
        <f>0.048*(1)</f>
        <v>4.8000000000000001E-2</v>
      </c>
      <c r="M8" s="1" t="s">
        <v>120</v>
      </c>
      <c r="N8" s="1">
        <f>22030*(1)</f>
        <v>22030</v>
      </c>
      <c r="O8" s="1" t="s">
        <v>159</v>
      </c>
      <c r="P8" s="1">
        <f>0.056*(1)</f>
        <v>5.6000000000000001E-2</v>
      </c>
      <c r="Q8" s="1" t="s">
        <v>99</v>
      </c>
      <c r="R8" s="1">
        <f>7758*(1)</f>
        <v>7758</v>
      </c>
      <c r="S8" s="1" t="s">
        <v>160</v>
      </c>
      <c r="T8" s="1">
        <f>0.057*(1)</f>
        <v>5.7000000000000002E-2</v>
      </c>
      <c r="U8" s="1" t="s">
        <v>99</v>
      </c>
      <c r="V8" s="1">
        <f>12203*(1)</f>
        <v>12203</v>
      </c>
      <c r="W8" s="1" t="s">
        <v>161</v>
      </c>
      <c r="X8" s="1">
        <f>0.058*(1)</f>
        <v>5.8000000000000003E-2</v>
      </c>
      <c r="Y8" s="1" t="s">
        <v>96</v>
      </c>
      <c r="Z8" s="1">
        <f>4732*(1)</f>
        <v>4732</v>
      </c>
      <c r="AA8" s="1" t="s">
        <v>162</v>
      </c>
      <c r="AB8" s="1">
        <f>0.047*(1)</f>
        <v>4.7E-2</v>
      </c>
      <c r="AC8" s="1" t="s">
        <v>111</v>
      </c>
      <c r="AD8" s="1">
        <f>68022*(1)</f>
        <v>68022</v>
      </c>
      <c r="AE8" s="1" t="s">
        <v>163</v>
      </c>
      <c r="AF8" s="1">
        <f>0.054*(1)</f>
        <v>5.3999999999999999E-2</v>
      </c>
      <c r="AG8" s="1" t="s">
        <v>99</v>
      </c>
      <c r="AH8" s="1">
        <f>12540*(1)</f>
        <v>12540</v>
      </c>
      <c r="AI8" s="1" t="s">
        <v>159</v>
      </c>
      <c r="AJ8" s="1">
        <f>0.057*(1)</f>
        <v>5.7000000000000002E-2</v>
      </c>
      <c r="AK8" s="1" t="s">
        <v>92</v>
      </c>
      <c r="AL8" s="1">
        <f>3933*(1)</f>
        <v>3933</v>
      </c>
      <c r="AM8" s="1" t="s">
        <v>164</v>
      </c>
      <c r="AN8" s="1">
        <f>0.053*(1)</f>
        <v>5.2999999999999999E-2</v>
      </c>
      <c r="AO8" s="1" t="s">
        <v>109</v>
      </c>
      <c r="AP8" s="1">
        <f>9388*(1)</f>
        <v>9388</v>
      </c>
      <c r="AQ8" s="1" t="s">
        <v>165</v>
      </c>
      <c r="AR8" s="1">
        <f>0.058*(1)</f>
        <v>5.8000000000000003E-2</v>
      </c>
      <c r="AS8" s="1" t="s">
        <v>92</v>
      </c>
      <c r="AT8" s="1">
        <f>87571*(1)</f>
        <v>87571</v>
      </c>
      <c r="AU8" s="1" t="s">
        <v>83</v>
      </c>
      <c r="AV8" s="1">
        <f>0.066*(1)</f>
        <v>6.6000000000000003E-2</v>
      </c>
      <c r="AW8" s="1" t="s">
        <v>83</v>
      </c>
      <c r="AX8" s="1">
        <f>4956*(1)</f>
        <v>4956</v>
      </c>
      <c r="AY8" s="1" t="s">
        <v>166</v>
      </c>
      <c r="AZ8" s="1">
        <f>0.052*(1)</f>
        <v>5.1999999999999998E-2</v>
      </c>
      <c r="BA8" s="1" t="s">
        <v>111</v>
      </c>
      <c r="BB8" s="1">
        <f>8426*(1)</f>
        <v>8426</v>
      </c>
      <c r="BC8" s="1" t="s">
        <v>167</v>
      </c>
      <c r="BD8" s="1">
        <f>0.05*(1)</f>
        <v>0.05</v>
      </c>
      <c r="BE8" s="1" t="s">
        <v>111</v>
      </c>
      <c r="BF8" s="1">
        <f>51874*(1)</f>
        <v>51874</v>
      </c>
      <c r="BG8" s="1" t="s">
        <v>168</v>
      </c>
      <c r="BH8" s="1">
        <f>0.063*(1)</f>
        <v>6.3E-2</v>
      </c>
      <c r="BI8" s="1" t="s">
        <v>99</v>
      </c>
      <c r="BJ8" s="1">
        <f>4335*(1)</f>
        <v>4335</v>
      </c>
      <c r="BK8" s="1" t="s">
        <v>169</v>
      </c>
      <c r="BL8" s="1">
        <f>0.058*(1)</f>
        <v>5.8000000000000003E-2</v>
      </c>
      <c r="BM8" s="1" t="s">
        <v>94</v>
      </c>
      <c r="BN8" s="1">
        <f>10824*(1)</f>
        <v>10824</v>
      </c>
      <c r="BO8" s="1" t="s">
        <v>170</v>
      </c>
      <c r="BP8" s="1">
        <f>0.047*(1)</f>
        <v>4.7E-2</v>
      </c>
      <c r="BQ8" s="1" t="s">
        <v>92</v>
      </c>
      <c r="BR8" s="1">
        <f>10430*(1)</f>
        <v>10430</v>
      </c>
      <c r="BS8" s="1" t="s">
        <v>171</v>
      </c>
      <c r="BT8" s="1">
        <f>0.058*(1)</f>
        <v>5.8000000000000003E-2</v>
      </c>
      <c r="BU8" s="1" t="s">
        <v>94</v>
      </c>
      <c r="BV8" s="1">
        <f>17229*(1)</f>
        <v>17229</v>
      </c>
      <c r="BW8" s="1" t="s">
        <v>172</v>
      </c>
      <c r="BX8" s="1">
        <f>0.055*(1)</f>
        <v>5.5E-2</v>
      </c>
      <c r="BY8" s="1" t="s">
        <v>99</v>
      </c>
      <c r="BZ8" s="1">
        <f>26346*(1)</f>
        <v>26346</v>
      </c>
      <c r="CA8" s="1" t="s">
        <v>173</v>
      </c>
      <c r="CB8" s="1">
        <f>0.061*(1)</f>
        <v>6.0999999999999999E-2</v>
      </c>
      <c r="CC8" s="1" t="s">
        <v>99</v>
      </c>
      <c r="CD8" s="1">
        <f>11998*(1)</f>
        <v>11998</v>
      </c>
      <c r="CE8" s="1" t="s">
        <v>174</v>
      </c>
      <c r="CF8" s="1">
        <f>0.053*(1)</f>
        <v>5.2999999999999999E-2</v>
      </c>
      <c r="CG8" s="1" t="s">
        <v>99</v>
      </c>
      <c r="CH8" s="1">
        <f>3515*(1)</f>
        <v>3515</v>
      </c>
      <c r="CI8" s="1" t="s">
        <v>175</v>
      </c>
      <c r="CJ8" s="1">
        <f>0.054*(1)</f>
        <v>5.3999999999999999E-2</v>
      </c>
      <c r="CK8" s="1" t="s">
        <v>96</v>
      </c>
      <c r="CL8" s="1">
        <f>9695*(1)</f>
        <v>9695</v>
      </c>
      <c r="CM8" s="1" t="s">
        <v>176</v>
      </c>
      <c r="CN8" s="1">
        <f>0.053*(1)</f>
        <v>5.2999999999999999E-2</v>
      </c>
      <c r="CO8" s="1" t="s">
        <v>111</v>
      </c>
      <c r="CP8" s="1">
        <f>6060*(1)</f>
        <v>6060</v>
      </c>
      <c r="CQ8" s="1" t="s">
        <v>177</v>
      </c>
      <c r="CR8" s="1">
        <f>0.055*(1)</f>
        <v>5.5E-2</v>
      </c>
      <c r="CS8" s="1" t="s">
        <v>90</v>
      </c>
      <c r="CT8" s="1">
        <f>31714*(1)</f>
        <v>31714</v>
      </c>
      <c r="CU8" s="1" t="s">
        <v>178</v>
      </c>
      <c r="CV8" s="1">
        <f>0.059*(1)</f>
        <v>5.8999999999999997E-2</v>
      </c>
      <c r="CW8" s="1" t="s">
        <v>99</v>
      </c>
      <c r="CX8" s="1">
        <f>4979*(1)</f>
        <v>4979</v>
      </c>
      <c r="CY8" s="1" t="s">
        <v>179</v>
      </c>
      <c r="CZ8" s="1">
        <f>0.058*(1)</f>
        <v>5.8000000000000003E-2</v>
      </c>
      <c r="DA8" s="1" t="s">
        <v>90</v>
      </c>
      <c r="DB8" s="1">
        <f>6543*(1)</f>
        <v>6543</v>
      </c>
      <c r="DC8" s="1" t="s">
        <v>180</v>
      </c>
      <c r="DD8" s="1">
        <f>0.04*(1)</f>
        <v>0.04</v>
      </c>
      <c r="DE8" s="1" t="s">
        <v>111</v>
      </c>
      <c r="DF8" s="1">
        <f>6947*(1)</f>
        <v>6947</v>
      </c>
      <c r="DG8" s="1" t="s">
        <v>181</v>
      </c>
      <c r="DH8" s="1">
        <f>0.055*(1)</f>
        <v>5.5E-2</v>
      </c>
      <c r="DI8" s="1" t="s">
        <v>94</v>
      </c>
      <c r="DJ8" s="1">
        <f>4759*(1)</f>
        <v>4759</v>
      </c>
      <c r="DK8" s="1" t="s">
        <v>182</v>
      </c>
      <c r="DL8" s="1">
        <f>0.062*(1)</f>
        <v>6.2E-2</v>
      </c>
      <c r="DM8" s="1" t="s">
        <v>96</v>
      </c>
      <c r="DN8" s="1">
        <f>4037*(1)</f>
        <v>4037</v>
      </c>
      <c r="DO8" s="1" t="s">
        <v>183</v>
      </c>
      <c r="DP8" s="1">
        <f>0.055*(1)</f>
        <v>5.5E-2</v>
      </c>
      <c r="DQ8" s="1" t="s">
        <v>96</v>
      </c>
      <c r="DR8" s="1">
        <f>20384*(1)</f>
        <v>20384</v>
      </c>
      <c r="DS8" s="1" t="s">
        <v>184</v>
      </c>
      <c r="DT8" s="1">
        <f>0.055*(1)</f>
        <v>5.5E-2</v>
      </c>
      <c r="DU8" s="1" t="s">
        <v>99</v>
      </c>
      <c r="DV8" s="1">
        <f>28929*(1)</f>
        <v>28929</v>
      </c>
      <c r="DW8" s="1" t="s">
        <v>185</v>
      </c>
      <c r="DX8" s="1">
        <f>0.054*(1)</f>
        <v>5.3999999999999999E-2</v>
      </c>
      <c r="DY8" s="1" t="s">
        <v>99</v>
      </c>
      <c r="DZ8" s="1">
        <f>10304*(1)</f>
        <v>10304</v>
      </c>
      <c r="EA8" s="1" t="s">
        <v>186</v>
      </c>
      <c r="EB8" s="1">
        <f>0.051*(1)</f>
        <v>5.0999999999999997E-2</v>
      </c>
      <c r="EC8" s="1" t="s">
        <v>99</v>
      </c>
      <c r="ED8" s="1">
        <f>4931*(1)</f>
        <v>4931</v>
      </c>
      <c r="EE8" s="1" t="s">
        <v>187</v>
      </c>
      <c r="EF8" s="1">
        <f>0.053*(1)</f>
        <v>5.2999999999999999E-2</v>
      </c>
      <c r="EG8" s="1" t="s">
        <v>111</v>
      </c>
      <c r="EH8" s="1">
        <f>12595*(1)</f>
        <v>12595</v>
      </c>
      <c r="EI8" s="1" t="s">
        <v>188</v>
      </c>
      <c r="EJ8" s="1">
        <f>0.051*(1)</f>
        <v>5.0999999999999997E-2</v>
      </c>
      <c r="EK8" s="1" t="s">
        <v>111</v>
      </c>
      <c r="EL8" s="1">
        <f>7175*(1)</f>
        <v>7175</v>
      </c>
      <c r="EM8" s="1" t="s">
        <v>173</v>
      </c>
      <c r="EN8" s="1">
        <f>0.061*(1)</f>
        <v>6.0999999999999999E-2</v>
      </c>
      <c r="EO8" s="1" t="s">
        <v>92</v>
      </c>
      <c r="EP8" s="1">
        <f>6599*(1)</f>
        <v>6599</v>
      </c>
      <c r="EQ8" s="1" t="s">
        <v>189</v>
      </c>
      <c r="ER8" s="1">
        <f>0.05*(1)</f>
        <v>0.05</v>
      </c>
      <c r="ES8" s="1" t="s">
        <v>92</v>
      </c>
    </row>
    <row r="9" spans="1:149" x14ac:dyDescent="0.3">
      <c r="A9" s="7" t="s">
        <v>190</v>
      </c>
      <c r="B9" s="1">
        <f>6346*(1)</f>
        <v>6346</v>
      </c>
      <c r="C9" s="1" t="s">
        <v>191</v>
      </c>
      <c r="D9" s="1">
        <f>0.062*(1)</f>
        <v>6.2E-2</v>
      </c>
      <c r="E9" s="1" t="s">
        <v>109</v>
      </c>
      <c r="F9" s="1">
        <f>4824*(1)</f>
        <v>4824</v>
      </c>
      <c r="G9" s="1" t="s">
        <v>192</v>
      </c>
      <c r="H9" s="1">
        <f>0.05*(1)</f>
        <v>0.05</v>
      </c>
      <c r="I9" s="1" t="s">
        <v>145</v>
      </c>
      <c r="J9" s="1">
        <f>3175*(1)</f>
        <v>3175</v>
      </c>
      <c r="K9" s="1" t="s">
        <v>193</v>
      </c>
      <c r="L9" s="1">
        <f>0.048*(1)</f>
        <v>4.8000000000000001E-2</v>
      </c>
      <c r="M9" s="1" t="s">
        <v>109</v>
      </c>
      <c r="N9" s="1">
        <f>25932*(1)</f>
        <v>25932</v>
      </c>
      <c r="O9" s="1" t="s">
        <v>194</v>
      </c>
      <c r="P9" s="1">
        <f>0.066*(1)</f>
        <v>6.6000000000000003E-2</v>
      </c>
      <c r="Q9" s="1" t="s">
        <v>94</v>
      </c>
      <c r="R9" s="1">
        <f>8817*(1)</f>
        <v>8817</v>
      </c>
      <c r="S9" s="1" t="s">
        <v>195</v>
      </c>
      <c r="T9" s="1">
        <f>0.065*(1)</f>
        <v>6.5000000000000002E-2</v>
      </c>
      <c r="U9" s="1" t="s">
        <v>87</v>
      </c>
      <c r="V9" s="1">
        <f>12961*(1)</f>
        <v>12961</v>
      </c>
      <c r="W9" s="1" t="s">
        <v>196</v>
      </c>
      <c r="X9" s="1">
        <f>0.062*(1)</f>
        <v>6.2E-2</v>
      </c>
      <c r="Y9" s="1" t="s">
        <v>120</v>
      </c>
      <c r="Z9" s="1">
        <f>5258*(1)</f>
        <v>5258</v>
      </c>
      <c r="AA9" s="1" t="s">
        <v>197</v>
      </c>
      <c r="AB9" s="1">
        <f>0.052*(1)</f>
        <v>5.1999999999999998E-2</v>
      </c>
      <c r="AC9" s="1" t="s">
        <v>145</v>
      </c>
      <c r="AD9" s="1">
        <f>71701*(1)</f>
        <v>71701</v>
      </c>
      <c r="AE9" s="1" t="s">
        <v>198</v>
      </c>
      <c r="AF9" s="1">
        <f>0.057*(1)</f>
        <v>5.7000000000000002E-2</v>
      </c>
      <c r="AG9" s="1" t="s">
        <v>92</v>
      </c>
      <c r="AH9" s="1">
        <f>15152*(1)</f>
        <v>15152</v>
      </c>
      <c r="AI9" s="1" t="s">
        <v>199</v>
      </c>
      <c r="AJ9" s="1">
        <f>0.069*(1)</f>
        <v>6.9000000000000006E-2</v>
      </c>
      <c r="AK9" s="1" t="s">
        <v>120</v>
      </c>
      <c r="AL9" s="1">
        <f>4055*(1)</f>
        <v>4055</v>
      </c>
      <c r="AM9" s="1" t="s">
        <v>200</v>
      </c>
      <c r="AN9" s="1">
        <f>0.054*(1)</f>
        <v>5.3999999999999999E-2</v>
      </c>
      <c r="AO9" s="1" t="s">
        <v>145</v>
      </c>
      <c r="AP9" s="1">
        <f>10008*(1)</f>
        <v>10008</v>
      </c>
      <c r="AQ9" s="1" t="s">
        <v>201</v>
      </c>
      <c r="AR9" s="1">
        <f>0.062*(1)</f>
        <v>6.2E-2</v>
      </c>
      <c r="AS9" s="1" t="s">
        <v>87</v>
      </c>
      <c r="AT9" s="1">
        <f>82990*(1)</f>
        <v>82990</v>
      </c>
      <c r="AU9" s="1" t="s">
        <v>202</v>
      </c>
      <c r="AV9" s="1">
        <f>0.063*(1)</f>
        <v>6.3E-2</v>
      </c>
      <c r="AW9" s="1" t="s">
        <v>92</v>
      </c>
      <c r="AX9" s="1">
        <f>5833*(1)</f>
        <v>5833</v>
      </c>
      <c r="AY9" s="1" t="s">
        <v>203</v>
      </c>
      <c r="AZ9" s="1">
        <f>0.061*(1)</f>
        <v>6.0999999999999999E-2</v>
      </c>
      <c r="BA9" s="1" t="s">
        <v>109</v>
      </c>
      <c r="BB9" s="1">
        <f>9257*(1)</f>
        <v>9257</v>
      </c>
      <c r="BC9" s="1" t="s">
        <v>204</v>
      </c>
      <c r="BD9" s="1">
        <f>0.055*(1)</f>
        <v>5.5E-2</v>
      </c>
      <c r="BE9" s="1" t="s">
        <v>90</v>
      </c>
      <c r="BF9" s="1">
        <f>48116*(1)</f>
        <v>48116</v>
      </c>
      <c r="BG9" s="1" t="s">
        <v>205</v>
      </c>
      <c r="BH9" s="1">
        <f>0.058*(1)</f>
        <v>5.8000000000000003E-2</v>
      </c>
      <c r="BI9" s="1" t="s">
        <v>96</v>
      </c>
      <c r="BJ9" s="1">
        <f>4950*(1)</f>
        <v>4950</v>
      </c>
      <c r="BK9" s="1" t="s">
        <v>206</v>
      </c>
      <c r="BL9" s="1">
        <f>0.066*(1)</f>
        <v>6.6000000000000003E-2</v>
      </c>
      <c r="BM9" s="1" t="s">
        <v>132</v>
      </c>
      <c r="BN9" s="1">
        <f>12333*(1)</f>
        <v>12333</v>
      </c>
      <c r="BO9" s="1" t="s">
        <v>207</v>
      </c>
      <c r="BP9" s="1">
        <f>0.053*(1)</f>
        <v>5.2999999999999999E-2</v>
      </c>
      <c r="BQ9" s="1" t="s">
        <v>120</v>
      </c>
      <c r="BR9" s="1">
        <f>10964*(1)</f>
        <v>10964</v>
      </c>
      <c r="BS9" s="1" t="s">
        <v>208</v>
      </c>
      <c r="BT9" s="1">
        <f>0.061*(1)</f>
        <v>6.0999999999999999E-2</v>
      </c>
      <c r="BU9" s="1" t="s">
        <v>109</v>
      </c>
      <c r="BV9" s="1">
        <f>17029*(1)</f>
        <v>17029</v>
      </c>
      <c r="BW9" s="1" t="s">
        <v>209</v>
      </c>
      <c r="BX9" s="1">
        <f>0.054*(1)</f>
        <v>5.3999999999999999E-2</v>
      </c>
      <c r="BY9" s="1" t="s">
        <v>90</v>
      </c>
      <c r="BZ9" s="1">
        <f>27354*(1)</f>
        <v>27354</v>
      </c>
      <c r="CA9" s="1" t="s">
        <v>210</v>
      </c>
      <c r="CB9" s="1">
        <f>0.064*(1)</f>
        <v>6.4000000000000001E-2</v>
      </c>
      <c r="CC9" s="1" t="s">
        <v>90</v>
      </c>
      <c r="CD9" s="1">
        <f>12542*(1)</f>
        <v>12542</v>
      </c>
      <c r="CE9" s="1" t="s">
        <v>211</v>
      </c>
      <c r="CF9" s="1">
        <f>0.055*(1)</f>
        <v>5.5E-2</v>
      </c>
      <c r="CG9" s="1" t="s">
        <v>90</v>
      </c>
      <c r="CH9" s="1">
        <f>4098*(1)</f>
        <v>4098</v>
      </c>
      <c r="CI9" s="1" t="s">
        <v>212</v>
      </c>
      <c r="CJ9" s="1">
        <f>0.063*(1)</f>
        <v>6.3E-2</v>
      </c>
      <c r="CK9" s="1" t="s">
        <v>139</v>
      </c>
      <c r="CL9" s="1">
        <f>11563*(1)</f>
        <v>11563</v>
      </c>
      <c r="CM9" s="1" t="s">
        <v>213</v>
      </c>
      <c r="CN9" s="1">
        <f>0.063*(1)</f>
        <v>6.3E-2</v>
      </c>
      <c r="CO9" s="1" t="s">
        <v>87</v>
      </c>
      <c r="CP9" s="1">
        <f>7195*(1)</f>
        <v>7195</v>
      </c>
      <c r="CQ9" s="1" t="s">
        <v>214</v>
      </c>
      <c r="CR9" s="1">
        <f>0.066*(1)</f>
        <v>6.6000000000000003E-2</v>
      </c>
      <c r="CS9" s="1" t="s">
        <v>145</v>
      </c>
      <c r="CT9" s="1">
        <f>32668*(1)</f>
        <v>32668</v>
      </c>
      <c r="CU9" s="1" t="s">
        <v>215</v>
      </c>
      <c r="CV9" s="1">
        <f>0.061*(1)</f>
        <v>6.0999999999999999E-2</v>
      </c>
      <c r="CW9" s="1" t="s">
        <v>96</v>
      </c>
      <c r="CX9" s="1">
        <f>6267*(1)</f>
        <v>6267</v>
      </c>
      <c r="CY9" s="1" t="s">
        <v>216</v>
      </c>
      <c r="CZ9" s="1">
        <f>0.073*(1)</f>
        <v>7.2999999999999995E-2</v>
      </c>
      <c r="DA9" s="1" t="s">
        <v>132</v>
      </c>
      <c r="DB9" s="1">
        <f>8058*(1)</f>
        <v>8058</v>
      </c>
      <c r="DC9" s="1" t="s">
        <v>217</v>
      </c>
      <c r="DD9" s="1">
        <f>0.05*(1)</f>
        <v>0.05</v>
      </c>
      <c r="DE9" s="1" t="s">
        <v>132</v>
      </c>
      <c r="DF9" s="1">
        <f>8129*(1)</f>
        <v>8129</v>
      </c>
      <c r="DG9" s="1" t="s">
        <v>218</v>
      </c>
      <c r="DH9" s="1">
        <f>0.065*(1)</f>
        <v>6.5000000000000002E-2</v>
      </c>
      <c r="DI9" s="1" t="s">
        <v>132</v>
      </c>
      <c r="DJ9" s="1">
        <f>3964*(1)</f>
        <v>3964</v>
      </c>
      <c r="DK9" s="1" t="s">
        <v>219</v>
      </c>
      <c r="DL9" s="1">
        <f>0.052*(1)</f>
        <v>5.1999999999999998E-2</v>
      </c>
      <c r="DM9" s="1" t="s">
        <v>139</v>
      </c>
      <c r="DN9" s="1">
        <f>4955*(1)</f>
        <v>4955</v>
      </c>
      <c r="DO9" s="1" t="s">
        <v>124</v>
      </c>
      <c r="DP9" s="1">
        <f>0.068*(1)</f>
        <v>6.8000000000000005E-2</v>
      </c>
      <c r="DQ9" s="1" t="s">
        <v>109</v>
      </c>
      <c r="DR9" s="1">
        <f>22615*(1)</f>
        <v>22615</v>
      </c>
      <c r="DS9" s="1" t="s">
        <v>220</v>
      </c>
      <c r="DT9" s="1">
        <f>0.06*(1)</f>
        <v>0.06</v>
      </c>
      <c r="DU9" s="1" t="s">
        <v>94</v>
      </c>
      <c r="DV9" s="1">
        <f>30370*(1)</f>
        <v>30370</v>
      </c>
      <c r="DW9" s="1" t="s">
        <v>221</v>
      </c>
      <c r="DX9" s="1">
        <f>0.056*(1)</f>
        <v>5.6000000000000001E-2</v>
      </c>
      <c r="DY9" s="1" t="s">
        <v>96</v>
      </c>
      <c r="DZ9" s="1">
        <f>11765*(1)</f>
        <v>11765</v>
      </c>
      <c r="EA9" s="1" t="s">
        <v>222</v>
      </c>
      <c r="EB9" s="1">
        <f>0.058*(1)</f>
        <v>5.8000000000000003E-2</v>
      </c>
      <c r="EC9" s="1" t="s">
        <v>109</v>
      </c>
      <c r="ED9" s="1">
        <f>5946*(1)</f>
        <v>5946</v>
      </c>
      <c r="EE9" s="1" t="s">
        <v>223</v>
      </c>
      <c r="EF9" s="1">
        <f>0.064*(1)</f>
        <v>6.4000000000000001E-2</v>
      </c>
      <c r="EG9" s="1" t="s">
        <v>141</v>
      </c>
      <c r="EH9" s="1">
        <f>19174*(1)</f>
        <v>19174</v>
      </c>
      <c r="EI9" s="1" t="s">
        <v>224</v>
      </c>
      <c r="EJ9" s="1">
        <f>0.078*(1)</f>
        <v>7.8E-2</v>
      </c>
      <c r="EK9" s="1" t="s">
        <v>87</v>
      </c>
      <c r="EL9" s="1">
        <f>7375*(1)</f>
        <v>7375</v>
      </c>
      <c r="EM9" s="1" t="s">
        <v>225</v>
      </c>
      <c r="EN9" s="1">
        <f>0.063*(1)</f>
        <v>6.3E-2</v>
      </c>
      <c r="EO9" s="1" t="s">
        <v>87</v>
      </c>
      <c r="EP9" s="1">
        <f>8155*(1)</f>
        <v>8155</v>
      </c>
      <c r="EQ9" s="1" t="s">
        <v>226</v>
      </c>
      <c r="ER9" s="1">
        <f>0.062*(1)</f>
        <v>6.2E-2</v>
      </c>
      <c r="ES9" s="1" t="s">
        <v>87</v>
      </c>
    </row>
    <row r="10" spans="1:149" x14ac:dyDescent="0.3">
      <c r="A10" s="7" t="s">
        <v>227</v>
      </c>
      <c r="B10" s="1">
        <f>6739*(1)</f>
        <v>6739</v>
      </c>
      <c r="C10" s="1" t="s">
        <v>228</v>
      </c>
      <c r="D10" s="1">
        <f>0.066*(1)</f>
        <v>6.6000000000000003E-2</v>
      </c>
      <c r="E10" s="1" t="s">
        <v>109</v>
      </c>
      <c r="F10" s="1">
        <f>7265*(1)</f>
        <v>7265</v>
      </c>
      <c r="G10" s="1" t="s">
        <v>229</v>
      </c>
      <c r="H10" s="1">
        <f>0.075*(1)</f>
        <v>7.4999999999999997E-2</v>
      </c>
      <c r="I10" s="1" t="s">
        <v>141</v>
      </c>
      <c r="J10" s="1">
        <f>3914*(1)</f>
        <v>3914</v>
      </c>
      <c r="K10" s="1" t="s">
        <v>230</v>
      </c>
      <c r="L10" s="1">
        <f>0.059*(1)</f>
        <v>5.8999999999999997E-2</v>
      </c>
      <c r="M10" s="1" t="s">
        <v>145</v>
      </c>
      <c r="N10" s="1">
        <f>27004*(1)</f>
        <v>27004</v>
      </c>
      <c r="O10" s="1" t="s">
        <v>231</v>
      </c>
      <c r="P10" s="1">
        <f>0.069*(1)</f>
        <v>6.9000000000000006E-2</v>
      </c>
      <c r="Q10" s="1" t="s">
        <v>94</v>
      </c>
      <c r="R10" s="1">
        <f>8278*(1)</f>
        <v>8278</v>
      </c>
      <c r="S10" s="1" t="s">
        <v>226</v>
      </c>
      <c r="T10" s="1">
        <f>0.061*(1)</f>
        <v>6.0999999999999999E-2</v>
      </c>
      <c r="U10" s="1" t="s">
        <v>87</v>
      </c>
      <c r="V10" s="1">
        <f>13088*(1)</f>
        <v>13088</v>
      </c>
      <c r="W10" s="1" t="s">
        <v>232</v>
      </c>
      <c r="X10" s="1">
        <f>0.062*(1)</f>
        <v>6.2E-2</v>
      </c>
      <c r="Y10" s="1" t="s">
        <v>87</v>
      </c>
      <c r="Z10" s="1">
        <f>6484*(1)</f>
        <v>6484</v>
      </c>
      <c r="AA10" s="1" t="s">
        <v>233</v>
      </c>
      <c r="AB10" s="1">
        <f>0.064*(1)</f>
        <v>6.4000000000000001E-2</v>
      </c>
      <c r="AC10" s="1" t="s">
        <v>132</v>
      </c>
      <c r="AD10" s="1">
        <f>71910*(1)</f>
        <v>71910</v>
      </c>
      <c r="AE10" s="1" t="s">
        <v>234</v>
      </c>
      <c r="AF10" s="1">
        <f>0.058*(1)</f>
        <v>5.8000000000000003E-2</v>
      </c>
      <c r="AG10" s="1" t="s">
        <v>92</v>
      </c>
      <c r="AH10" s="1">
        <f>17794*(1)</f>
        <v>17794</v>
      </c>
      <c r="AI10" s="1" t="s">
        <v>235</v>
      </c>
      <c r="AJ10" s="1">
        <f>0.081*(1)</f>
        <v>8.1000000000000003E-2</v>
      </c>
      <c r="AK10" s="1" t="s">
        <v>120</v>
      </c>
      <c r="AL10" s="1">
        <f>4736*(1)</f>
        <v>4736</v>
      </c>
      <c r="AM10" s="1" t="s">
        <v>236</v>
      </c>
      <c r="AN10" s="1">
        <f>0.063*(1)</f>
        <v>6.3E-2</v>
      </c>
      <c r="AO10" s="1" t="s">
        <v>109</v>
      </c>
      <c r="AP10" s="1">
        <f>12295*(1)</f>
        <v>12295</v>
      </c>
      <c r="AQ10" s="1" t="s">
        <v>237</v>
      </c>
      <c r="AR10" s="1">
        <f>0.076*(1)</f>
        <v>7.5999999999999998E-2</v>
      </c>
      <c r="AS10" s="1" t="s">
        <v>87</v>
      </c>
      <c r="AT10" s="1">
        <f>88516*(1)</f>
        <v>88516</v>
      </c>
      <c r="AU10" s="1" t="s">
        <v>238</v>
      </c>
      <c r="AV10" s="1">
        <f>0.067*(1)</f>
        <v>6.7000000000000004E-2</v>
      </c>
      <c r="AW10" s="1" t="s">
        <v>92</v>
      </c>
      <c r="AX10" s="1">
        <f>6364*(1)</f>
        <v>6364</v>
      </c>
      <c r="AY10" s="1" t="s">
        <v>239</v>
      </c>
      <c r="AZ10" s="1">
        <f>0.067*(1)</f>
        <v>6.7000000000000004E-2</v>
      </c>
      <c r="BA10" s="1" t="s">
        <v>109</v>
      </c>
      <c r="BB10" s="1">
        <f>11154*(1)</f>
        <v>11154</v>
      </c>
      <c r="BC10" s="1" t="s">
        <v>113</v>
      </c>
      <c r="BD10" s="1">
        <f>0.066*(1)</f>
        <v>6.6000000000000003E-2</v>
      </c>
      <c r="BE10" s="1" t="s">
        <v>90</v>
      </c>
      <c r="BF10" s="1">
        <f>58182*(1)</f>
        <v>58182</v>
      </c>
      <c r="BG10" s="1" t="s">
        <v>240</v>
      </c>
      <c r="BH10" s="1">
        <f>0.07*(1)</f>
        <v>7.0000000000000007E-2</v>
      </c>
      <c r="BI10" s="1" t="s">
        <v>96</v>
      </c>
      <c r="BJ10" s="1">
        <f>3921*(1)</f>
        <v>3921</v>
      </c>
      <c r="BK10" s="1" t="s">
        <v>241</v>
      </c>
      <c r="BL10" s="1">
        <f>0.053*(1)</f>
        <v>5.2999999999999999E-2</v>
      </c>
      <c r="BM10" s="1" t="s">
        <v>129</v>
      </c>
      <c r="BN10" s="1">
        <f>13720*(1)</f>
        <v>13720</v>
      </c>
      <c r="BO10" s="1" t="s">
        <v>242</v>
      </c>
      <c r="BP10" s="1">
        <f>0.059*(1)</f>
        <v>5.8999999999999997E-2</v>
      </c>
      <c r="BQ10" s="1" t="s">
        <v>120</v>
      </c>
      <c r="BR10" s="1">
        <f>11714*(1)</f>
        <v>11714</v>
      </c>
      <c r="BS10" s="1" t="s">
        <v>243</v>
      </c>
      <c r="BT10" s="1">
        <f>0.065*(1)</f>
        <v>6.5000000000000002E-2</v>
      </c>
      <c r="BU10" s="1" t="s">
        <v>87</v>
      </c>
      <c r="BV10" s="1">
        <f>22373*(1)</f>
        <v>22373</v>
      </c>
      <c r="BW10" s="1" t="s">
        <v>244</v>
      </c>
      <c r="BX10" s="1">
        <f>0.071*(1)</f>
        <v>7.0999999999999994E-2</v>
      </c>
      <c r="BY10" s="1" t="s">
        <v>90</v>
      </c>
      <c r="BZ10" s="1">
        <f>28350*(1)</f>
        <v>28350</v>
      </c>
      <c r="CA10" s="1" t="s">
        <v>245</v>
      </c>
      <c r="CB10" s="1">
        <f>0.066*(1)</f>
        <v>6.6000000000000003E-2</v>
      </c>
      <c r="CC10" s="1" t="s">
        <v>90</v>
      </c>
      <c r="CD10" s="1">
        <f>13212*(1)</f>
        <v>13212</v>
      </c>
      <c r="CE10" s="1" t="s">
        <v>246</v>
      </c>
      <c r="CF10" s="1">
        <f>0.058*(1)</f>
        <v>5.8000000000000003E-2</v>
      </c>
      <c r="CG10" s="1" t="s">
        <v>90</v>
      </c>
      <c r="CH10" s="1">
        <f>4064*(1)</f>
        <v>4064</v>
      </c>
      <c r="CI10" s="1" t="s">
        <v>247</v>
      </c>
      <c r="CJ10" s="1">
        <f>0.062*(1)</f>
        <v>6.2E-2</v>
      </c>
      <c r="CK10" s="1" t="s">
        <v>141</v>
      </c>
      <c r="CL10" s="1">
        <f>10791*(1)</f>
        <v>10791</v>
      </c>
      <c r="CM10" s="1" t="s">
        <v>248</v>
      </c>
      <c r="CN10" s="1">
        <f>0.059*(1)</f>
        <v>5.8999999999999997E-2</v>
      </c>
      <c r="CO10" s="1" t="s">
        <v>87</v>
      </c>
      <c r="CP10" s="1">
        <f>7714*(1)</f>
        <v>7714</v>
      </c>
      <c r="CQ10" s="1" t="s">
        <v>249</v>
      </c>
      <c r="CR10" s="1">
        <f>0.071*(1)</f>
        <v>7.0999999999999994E-2</v>
      </c>
      <c r="CS10" s="1" t="s">
        <v>132</v>
      </c>
      <c r="CT10" s="1">
        <f>33567*(1)</f>
        <v>33567</v>
      </c>
      <c r="CU10" s="1" t="s">
        <v>250</v>
      </c>
      <c r="CV10" s="1">
        <f>0.063*(1)</f>
        <v>6.3E-2</v>
      </c>
      <c r="CW10" s="1" t="s">
        <v>96</v>
      </c>
      <c r="CX10" s="1">
        <f>4961*(1)</f>
        <v>4961</v>
      </c>
      <c r="CY10" s="1" t="s">
        <v>251</v>
      </c>
      <c r="CZ10" s="1">
        <f>0.057*(1)</f>
        <v>5.7000000000000002E-2</v>
      </c>
      <c r="DA10" s="1" t="s">
        <v>132</v>
      </c>
      <c r="DB10" s="1">
        <f>9867*(1)</f>
        <v>9867</v>
      </c>
      <c r="DC10" s="1" t="s">
        <v>252</v>
      </c>
      <c r="DD10" s="1">
        <f>0.061*(1)</f>
        <v>6.0999999999999999E-2</v>
      </c>
      <c r="DE10" s="1" t="s">
        <v>109</v>
      </c>
      <c r="DF10" s="1">
        <f>7331*(1)</f>
        <v>7331</v>
      </c>
      <c r="DG10" s="1" t="s">
        <v>253</v>
      </c>
      <c r="DH10" s="1">
        <f>0.059*(1)</f>
        <v>5.8999999999999997E-2</v>
      </c>
      <c r="DI10" s="1" t="s">
        <v>120</v>
      </c>
      <c r="DJ10" s="1">
        <f>4603*(1)</f>
        <v>4603</v>
      </c>
      <c r="DK10" s="1" t="s">
        <v>254</v>
      </c>
      <c r="DL10" s="1">
        <f>0.06*(1)</f>
        <v>0.06</v>
      </c>
      <c r="DM10" s="1" t="s">
        <v>139</v>
      </c>
      <c r="DN10" s="1">
        <f>4112*(1)</f>
        <v>4112</v>
      </c>
      <c r="DO10" s="1" t="s">
        <v>255</v>
      </c>
      <c r="DP10" s="1">
        <f>0.056*(1)</f>
        <v>5.6000000000000001E-2</v>
      </c>
      <c r="DQ10" s="1" t="s">
        <v>109</v>
      </c>
      <c r="DR10" s="1">
        <f>22828*(1)</f>
        <v>22828</v>
      </c>
      <c r="DS10" s="1" t="s">
        <v>256</v>
      </c>
      <c r="DT10" s="1">
        <f>0.061*(1)</f>
        <v>6.0999999999999999E-2</v>
      </c>
      <c r="DU10" s="1" t="s">
        <v>94</v>
      </c>
      <c r="DV10" s="1">
        <f>32597*(1)</f>
        <v>32597</v>
      </c>
      <c r="DW10" s="1" t="s">
        <v>257</v>
      </c>
      <c r="DX10" s="1">
        <f>0.061*(1)</f>
        <v>6.0999999999999999E-2</v>
      </c>
      <c r="DY10" s="1" t="s">
        <v>96</v>
      </c>
      <c r="DZ10" s="1">
        <f>11681*(1)</f>
        <v>11681</v>
      </c>
      <c r="EA10" s="1" t="s">
        <v>258</v>
      </c>
      <c r="EB10" s="1">
        <f>0.058*(1)</f>
        <v>5.8000000000000003E-2</v>
      </c>
      <c r="EC10" s="1" t="s">
        <v>109</v>
      </c>
      <c r="ED10" s="1">
        <f>5683*(1)</f>
        <v>5683</v>
      </c>
      <c r="EE10" s="1" t="s">
        <v>259</v>
      </c>
      <c r="EF10" s="1">
        <f>0.061*(1)</f>
        <v>6.0999999999999999E-2</v>
      </c>
      <c r="EG10" s="1" t="s">
        <v>141</v>
      </c>
      <c r="EH10" s="1">
        <f>16077*(1)</f>
        <v>16077</v>
      </c>
      <c r="EI10" s="1" t="s">
        <v>260</v>
      </c>
      <c r="EJ10" s="1">
        <f>0.065*(1)</f>
        <v>6.5000000000000002E-2</v>
      </c>
      <c r="EK10" s="1" t="s">
        <v>109</v>
      </c>
      <c r="EL10" s="1">
        <f>8056*(1)</f>
        <v>8056</v>
      </c>
      <c r="EM10" s="1" t="s">
        <v>261</v>
      </c>
      <c r="EN10" s="1">
        <f>0.069*(1)</f>
        <v>6.9000000000000006E-2</v>
      </c>
      <c r="EO10" s="1" t="s">
        <v>87</v>
      </c>
      <c r="EP10" s="1">
        <f>7275*(1)</f>
        <v>7275</v>
      </c>
      <c r="EQ10" s="1" t="s">
        <v>262</v>
      </c>
      <c r="ER10" s="1">
        <f>0.055*(1)</f>
        <v>5.5E-2</v>
      </c>
      <c r="ES10" s="1" t="s">
        <v>120</v>
      </c>
    </row>
    <row r="11" spans="1:149" x14ac:dyDescent="0.3">
      <c r="A11" s="7" t="s">
        <v>263</v>
      </c>
      <c r="B11" s="1">
        <f>7200*(1)</f>
        <v>7200</v>
      </c>
      <c r="C11" s="1" t="s">
        <v>264</v>
      </c>
      <c r="D11" s="1">
        <f>0.071*(1)</f>
        <v>7.0999999999999994E-2</v>
      </c>
      <c r="E11" s="1" t="s">
        <v>94</v>
      </c>
      <c r="F11" s="1">
        <f>5872*(1)</f>
        <v>5872</v>
      </c>
      <c r="G11" s="1" t="s">
        <v>265</v>
      </c>
      <c r="H11" s="1">
        <f>0.06*(1)</f>
        <v>0.06</v>
      </c>
      <c r="I11" s="1" t="s">
        <v>94</v>
      </c>
      <c r="J11" s="1">
        <f>3597*(1)</f>
        <v>3597</v>
      </c>
      <c r="K11" s="1" t="s">
        <v>266</v>
      </c>
      <c r="L11" s="1">
        <f>0.055*(1)</f>
        <v>5.5E-2</v>
      </c>
      <c r="M11" s="1" t="s">
        <v>120</v>
      </c>
      <c r="N11" s="1">
        <f>31225*(1)</f>
        <v>31225</v>
      </c>
      <c r="O11" s="1" t="s">
        <v>267</v>
      </c>
      <c r="P11" s="1">
        <f>0.08*(1)</f>
        <v>0.08</v>
      </c>
      <c r="Q11" s="1" t="s">
        <v>92</v>
      </c>
      <c r="R11" s="1">
        <f>8978*(1)</f>
        <v>8978</v>
      </c>
      <c r="S11" s="1" t="s">
        <v>268</v>
      </c>
      <c r="T11" s="1">
        <f>0.066*(1)</f>
        <v>6.6000000000000003E-2</v>
      </c>
      <c r="U11" s="1" t="s">
        <v>92</v>
      </c>
      <c r="V11" s="1">
        <f>12913*(1)</f>
        <v>12913</v>
      </c>
      <c r="W11" s="1" t="s">
        <v>269</v>
      </c>
      <c r="X11" s="1">
        <f>0.062*(1)</f>
        <v>6.2E-2</v>
      </c>
      <c r="Y11" s="1" t="s">
        <v>111</v>
      </c>
      <c r="Z11" s="1">
        <f>6662*(1)</f>
        <v>6662</v>
      </c>
      <c r="AA11" s="1" t="s">
        <v>117</v>
      </c>
      <c r="AB11" s="1">
        <f>0.066*(1)</f>
        <v>6.6000000000000003E-2</v>
      </c>
      <c r="AC11" s="1" t="s">
        <v>120</v>
      </c>
      <c r="AD11" s="1">
        <f>74013*(1)</f>
        <v>74013</v>
      </c>
      <c r="AE11" s="1" t="s">
        <v>110</v>
      </c>
      <c r="AF11" s="1">
        <f>0.059*(1)</f>
        <v>5.8999999999999997E-2</v>
      </c>
      <c r="AG11" s="1" t="s">
        <v>99</v>
      </c>
      <c r="AH11" s="1">
        <f>16498*(1)</f>
        <v>16498</v>
      </c>
      <c r="AI11" s="1" t="s">
        <v>270</v>
      </c>
      <c r="AJ11" s="1">
        <f>0.075*(1)</f>
        <v>7.4999999999999997E-2</v>
      </c>
      <c r="AK11" s="1" t="s">
        <v>92</v>
      </c>
      <c r="AL11" s="1">
        <f>4184*(1)</f>
        <v>4184</v>
      </c>
      <c r="AM11" s="1" t="s">
        <v>271</v>
      </c>
      <c r="AN11" s="1">
        <f>0.056*(1)</f>
        <v>5.6000000000000001E-2</v>
      </c>
      <c r="AO11" s="1" t="s">
        <v>129</v>
      </c>
      <c r="AP11" s="1">
        <f>10638*(1)</f>
        <v>10638</v>
      </c>
      <c r="AQ11" s="1" t="s">
        <v>272</v>
      </c>
      <c r="AR11" s="1">
        <f>0.066*(1)</f>
        <v>6.6000000000000003E-2</v>
      </c>
      <c r="AS11" s="1" t="s">
        <v>94</v>
      </c>
      <c r="AT11" s="1">
        <f>85037*(1)</f>
        <v>85037</v>
      </c>
      <c r="AU11" s="1" t="s">
        <v>273</v>
      </c>
      <c r="AV11" s="1">
        <f>0.064*(1)</f>
        <v>6.4000000000000001E-2</v>
      </c>
      <c r="AW11" s="1" t="s">
        <v>99</v>
      </c>
      <c r="AX11" s="1">
        <f>6106*(1)</f>
        <v>6106</v>
      </c>
      <c r="AY11" s="1" t="s">
        <v>125</v>
      </c>
      <c r="AZ11" s="1">
        <f>0.064*(1)</f>
        <v>6.4000000000000001E-2</v>
      </c>
      <c r="BA11" s="1" t="s">
        <v>90</v>
      </c>
      <c r="BB11" s="1">
        <f>11943*(1)</f>
        <v>11943</v>
      </c>
      <c r="BC11" s="1" t="s">
        <v>274</v>
      </c>
      <c r="BD11" s="1">
        <f>0.071*(1)</f>
        <v>7.0999999999999994E-2</v>
      </c>
      <c r="BE11" s="1" t="s">
        <v>94</v>
      </c>
      <c r="BF11" s="1">
        <f>54774*(1)</f>
        <v>54774</v>
      </c>
      <c r="BG11" s="1" t="s">
        <v>275</v>
      </c>
      <c r="BH11" s="1">
        <f>0.066*(1)</f>
        <v>6.6000000000000003E-2</v>
      </c>
      <c r="BI11" s="1" t="s">
        <v>99</v>
      </c>
      <c r="BJ11" s="1">
        <f>4691*(1)</f>
        <v>4691</v>
      </c>
      <c r="BK11" s="1" t="s">
        <v>172</v>
      </c>
      <c r="BL11" s="1">
        <f>0.063*(1)</f>
        <v>6.3E-2</v>
      </c>
      <c r="BM11" s="1" t="s">
        <v>94</v>
      </c>
      <c r="BN11" s="1">
        <f>13412*(1)</f>
        <v>13412</v>
      </c>
      <c r="BO11" s="1" t="s">
        <v>216</v>
      </c>
      <c r="BP11" s="1">
        <f>0.058*(1)</f>
        <v>5.8000000000000003E-2</v>
      </c>
      <c r="BQ11" s="1" t="s">
        <v>96</v>
      </c>
      <c r="BR11" s="1">
        <f>13973*(1)</f>
        <v>13973</v>
      </c>
      <c r="BS11" s="1" t="s">
        <v>276</v>
      </c>
      <c r="BT11" s="1">
        <f>0.077*(1)</f>
        <v>7.6999999999999999E-2</v>
      </c>
      <c r="BU11" s="1" t="s">
        <v>120</v>
      </c>
      <c r="BV11" s="1">
        <f>20117*(1)</f>
        <v>20117</v>
      </c>
      <c r="BW11" s="1" t="s">
        <v>247</v>
      </c>
      <c r="BX11" s="1">
        <f>0.064*(1)</f>
        <v>6.4000000000000001E-2</v>
      </c>
      <c r="BY11" s="1" t="s">
        <v>92</v>
      </c>
      <c r="BZ11" s="1">
        <f>26952*(1)</f>
        <v>26952</v>
      </c>
      <c r="CA11" s="1" t="s">
        <v>277</v>
      </c>
      <c r="CB11" s="1">
        <f>0.063*(1)</f>
        <v>6.3E-2</v>
      </c>
      <c r="CC11" s="1" t="s">
        <v>92</v>
      </c>
      <c r="CD11" s="1">
        <f>13577*(1)</f>
        <v>13577</v>
      </c>
      <c r="CE11" s="1" t="s">
        <v>278</v>
      </c>
      <c r="CF11" s="1">
        <f>0.06*(1)</f>
        <v>0.06</v>
      </c>
      <c r="CG11" s="1" t="s">
        <v>96</v>
      </c>
      <c r="CH11" s="1">
        <f>3167*(1)</f>
        <v>3167</v>
      </c>
      <c r="CI11" s="1" t="s">
        <v>279</v>
      </c>
      <c r="CJ11" s="1">
        <f>0.049*(1)</f>
        <v>4.9000000000000002E-2</v>
      </c>
      <c r="CK11" s="1" t="s">
        <v>109</v>
      </c>
      <c r="CL11" s="1">
        <f>11539*(1)</f>
        <v>11539</v>
      </c>
      <c r="CM11" s="1" t="s">
        <v>280</v>
      </c>
      <c r="CN11" s="1">
        <f>0.063*(1)</f>
        <v>6.3E-2</v>
      </c>
      <c r="CO11" s="1" t="s">
        <v>92</v>
      </c>
      <c r="CP11" s="1">
        <f>6223*(1)</f>
        <v>6223</v>
      </c>
      <c r="CQ11" s="1" t="s">
        <v>281</v>
      </c>
      <c r="CR11" s="1">
        <f>0.057*(1)</f>
        <v>5.7000000000000002E-2</v>
      </c>
      <c r="CS11" s="1" t="s">
        <v>94</v>
      </c>
      <c r="CT11" s="1">
        <f>35298*(1)</f>
        <v>35298</v>
      </c>
      <c r="CU11" s="1" t="s">
        <v>282</v>
      </c>
      <c r="CV11" s="1">
        <f>0.066*(1)</f>
        <v>6.6000000000000003E-2</v>
      </c>
      <c r="CW11" s="1" t="s">
        <v>111</v>
      </c>
      <c r="CX11" s="1">
        <f>5135*(1)</f>
        <v>5135</v>
      </c>
      <c r="CY11" s="1" t="s">
        <v>283</v>
      </c>
      <c r="CZ11" s="1">
        <f>0.059*(1)</f>
        <v>5.8999999999999997E-2</v>
      </c>
      <c r="DA11" s="1" t="s">
        <v>145</v>
      </c>
      <c r="DB11" s="1">
        <f>14659*(1)</f>
        <v>14659</v>
      </c>
      <c r="DC11" s="1" t="s">
        <v>284</v>
      </c>
      <c r="DD11" s="1">
        <f>0.09*(1)</f>
        <v>0.09</v>
      </c>
      <c r="DE11" s="1" t="s">
        <v>120</v>
      </c>
      <c r="DF11" s="1">
        <f>7891*(1)</f>
        <v>7891</v>
      </c>
      <c r="DG11" s="1" t="s">
        <v>285</v>
      </c>
      <c r="DH11" s="1">
        <f>0.063*(1)</f>
        <v>6.3E-2</v>
      </c>
      <c r="DI11" s="1" t="s">
        <v>109</v>
      </c>
      <c r="DJ11" s="1">
        <f>4214*(1)</f>
        <v>4214</v>
      </c>
      <c r="DK11" s="1" t="s">
        <v>286</v>
      </c>
      <c r="DL11" s="1">
        <f>0.055*(1)</f>
        <v>5.5E-2</v>
      </c>
      <c r="DM11" s="1" t="s">
        <v>120</v>
      </c>
      <c r="DN11" s="1">
        <f>5202*(1)</f>
        <v>5202</v>
      </c>
      <c r="DO11" s="1" t="s">
        <v>287</v>
      </c>
      <c r="DP11" s="1">
        <f>0.071*(1)</f>
        <v>7.0999999999999994E-2</v>
      </c>
      <c r="DQ11" s="1" t="s">
        <v>109</v>
      </c>
      <c r="DR11" s="1">
        <f>23392*(1)</f>
        <v>23392</v>
      </c>
      <c r="DS11" s="1" t="s">
        <v>288</v>
      </c>
      <c r="DT11" s="1">
        <f>0.063*(1)</f>
        <v>6.3E-2</v>
      </c>
      <c r="DU11" s="1" t="s">
        <v>111</v>
      </c>
      <c r="DV11" s="1">
        <f>31649*(1)</f>
        <v>31649</v>
      </c>
      <c r="DW11" s="1" t="s">
        <v>289</v>
      </c>
      <c r="DX11" s="1">
        <f>0.059*(1)</f>
        <v>5.8999999999999997E-2</v>
      </c>
      <c r="DY11" s="1" t="s">
        <v>99</v>
      </c>
      <c r="DZ11" s="1">
        <f>12617*(1)</f>
        <v>12617</v>
      </c>
      <c r="EA11" s="1" t="s">
        <v>290</v>
      </c>
      <c r="EB11" s="1">
        <f>0.063*(1)</f>
        <v>6.3E-2</v>
      </c>
      <c r="EC11" s="1" t="s">
        <v>96</v>
      </c>
      <c r="ED11" s="1">
        <f>6662*(1)</f>
        <v>6662</v>
      </c>
      <c r="EE11" s="1" t="s">
        <v>291</v>
      </c>
      <c r="EF11" s="1">
        <f>0.072*(1)</f>
        <v>7.1999999999999995E-2</v>
      </c>
      <c r="EG11" s="1" t="s">
        <v>109</v>
      </c>
      <c r="EH11" s="1">
        <f>16473*(1)</f>
        <v>16473</v>
      </c>
      <c r="EI11" s="1" t="s">
        <v>292</v>
      </c>
      <c r="EJ11" s="1">
        <f>0.067*(1)</f>
        <v>6.7000000000000004E-2</v>
      </c>
      <c r="EK11" s="1" t="s">
        <v>92</v>
      </c>
      <c r="EL11" s="1">
        <f>10114*(1)</f>
        <v>10114</v>
      </c>
      <c r="EM11" s="1" t="s">
        <v>293</v>
      </c>
      <c r="EN11" s="1">
        <f>0.087*(1)</f>
        <v>8.6999999999999994E-2</v>
      </c>
      <c r="EO11" s="1" t="s">
        <v>144</v>
      </c>
      <c r="EP11" s="1">
        <f>11154*(1)</f>
        <v>11154</v>
      </c>
      <c r="EQ11" s="1" t="s">
        <v>294</v>
      </c>
      <c r="ER11" s="1">
        <f>0.084*(1)</f>
        <v>8.4000000000000005E-2</v>
      </c>
      <c r="ES11" s="1" t="s">
        <v>94</v>
      </c>
    </row>
    <row r="12" spans="1:149" x14ac:dyDescent="0.3">
      <c r="A12" s="7" t="s">
        <v>295</v>
      </c>
      <c r="B12" s="1">
        <f>7280*(1)</f>
        <v>7280</v>
      </c>
      <c r="C12" s="1" t="s">
        <v>296</v>
      </c>
      <c r="D12" s="1">
        <f>0.072*(1)</f>
        <v>7.1999999999999995E-2</v>
      </c>
      <c r="E12" s="1" t="s">
        <v>87</v>
      </c>
      <c r="F12" s="1">
        <f>5147*(1)</f>
        <v>5147</v>
      </c>
      <c r="G12" s="1" t="s">
        <v>133</v>
      </c>
      <c r="H12" s="1">
        <f>0.053*(1)</f>
        <v>5.2999999999999999E-2</v>
      </c>
      <c r="I12" s="1" t="s">
        <v>94</v>
      </c>
      <c r="J12" s="1">
        <f>3338*(1)</f>
        <v>3338</v>
      </c>
      <c r="K12" s="1" t="s">
        <v>297</v>
      </c>
      <c r="L12" s="1">
        <f>0.051*(1)</f>
        <v>5.0999999999999997E-2</v>
      </c>
      <c r="M12" s="1" t="s">
        <v>87</v>
      </c>
      <c r="N12" s="1">
        <f>33997*(1)</f>
        <v>33997</v>
      </c>
      <c r="O12" s="1" t="s">
        <v>298</v>
      </c>
      <c r="P12" s="1">
        <f>0.087*(1)</f>
        <v>8.6999999999999994E-2</v>
      </c>
      <c r="Q12" s="1" t="s">
        <v>92</v>
      </c>
      <c r="R12" s="1">
        <f>8315*(1)</f>
        <v>8315</v>
      </c>
      <c r="S12" s="1" t="s">
        <v>299</v>
      </c>
      <c r="T12" s="1">
        <f>0.061*(1)</f>
        <v>6.0999999999999999E-2</v>
      </c>
      <c r="U12" s="1" t="s">
        <v>90</v>
      </c>
      <c r="V12" s="1">
        <f>13201*(1)</f>
        <v>13201</v>
      </c>
      <c r="W12" s="1" t="s">
        <v>300</v>
      </c>
      <c r="X12" s="1">
        <f>0.063*(1)</f>
        <v>6.3E-2</v>
      </c>
      <c r="Y12" s="1" t="s">
        <v>94</v>
      </c>
      <c r="Z12" s="1">
        <f>5134*(1)</f>
        <v>5134</v>
      </c>
      <c r="AA12" s="1" t="s">
        <v>301</v>
      </c>
      <c r="AB12" s="1">
        <f>0.051*(1)</f>
        <v>5.0999999999999997E-2</v>
      </c>
      <c r="AC12" s="1" t="s">
        <v>90</v>
      </c>
      <c r="AD12" s="1">
        <f>76367*(1)</f>
        <v>76367</v>
      </c>
      <c r="AE12" s="1" t="s">
        <v>302</v>
      </c>
      <c r="AF12" s="1">
        <f>0.061*(1)</f>
        <v>6.0999999999999999E-2</v>
      </c>
      <c r="AG12" s="1" t="s">
        <v>99</v>
      </c>
      <c r="AH12" s="1">
        <f>11333*(1)</f>
        <v>11333</v>
      </c>
      <c r="AI12" s="1" t="s">
        <v>236</v>
      </c>
      <c r="AJ12" s="1">
        <f>0.051*(1)</f>
        <v>5.0999999999999997E-2</v>
      </c>
      <c r="AK12" s="1" t="s">
        <v>92</v>
      </c>
      <c r="AL12" s="1">
        <f>3284*(1)</f>
        <v>3284</v>
      </c>
      <c r="AM12" s="1" t="s">
        <v>303</v>
      </c>
      <c r="AN12" s="1">
        <f>0.044*(1)</f>
        <v>4.3999999999999997E-2</v>
      </c>
      <c r="AO12" s="1" t="s">
        <v>141</v>
      </c>
      <c r="AP12" s="1">
        <f>9396*(1)</f>
        <v>9396</v>
      </c>
      <c r="AQ12" s="1" t="s">
        <v>304</v>
      </c>
      <c r="AR12" s="1">
        <f>0.058*(1)</f>
        <v>5.8000000000000003E-2</v>
      </c>
      <c r="AS12" s="1" t="s">
        <v>90</v>
      </c>
      <c r="AT12" s="1">
        <f>89912*(1)</f>
        <v>89912</v>
      </c>
      <c r="AU12" s="1" t="s">
        <v>305</v>
      </c>
      <c r="AV12" s="1">
        <f>0.068*(1)</f>
        <v>6.8000000000000005E-2</v>
      </c>
      <c r="AW12" s="1" t="s">
        <v>99</v>
      </c>
      <c r="AX12" s="1">
        <f>5648*(1)</f>
        <v>5648</v>
      </c>
      <c r="AY12" s="1" t="s">
        <v>306</v>
      </c>
      <c r="AZ12" s="1">
        <f>0.059*(1)</f>
        <v>5.8999999999999997E-2</v>
      </c>
      <c r="BA12" s="1" t="s">
        <v>94</v>
      </c>
      <c r="BB12" s="1">
        <f>13108*(1)</f>
        <v>13108</v>
      </c>
      <c r="BC12" s="1" t="s">
        <v>307</v>
      </c>
      <c r="BD12" s="1">
        <f>0.078*(1)</f>
        <v>7.8E-2</v>
      </c>
      <c r="BE12" s="1" t="s">
        <v>94</v>
      </c>
      <c r="BF12" s="1">
        <f>53261*(1)</f>
        <v>53261</v>
      </c>
      <c r="BG12" s="1" t="s">
        <v>125</v>
      </c>
      <c r="BH12" s="1">
        <f>0.064*(1)</f>
        <v>6.4000000000000001E-2</v>
      </c>
      <c r="BI12" s="1" t="s">
        <v>99</v>
      </c>
      <c r="BJ12" s="1">
        <f>4636*(1)</f>
        <v>4636</v>
      </c>
      <c r="BK12" s="1" t="s">
        <v>308</v>
      </c>
      <c r="BL12" s="1">
        <f>0.062*(1)</f>
        <v>6.2E-2</v>
      </c>
      <c r="BM12" s="1" t="s">
        <v>96</v>
      </c>
      <c r="BN12" s="1">
        <f>12736*(1)</f>
        <v>12736</v>
      </c>
      <c r="BO12" s="1" t="s">
        <v>309</v>
      </c>
      <c r="BP12" s="1">
        <f>0.055*(1)</f>
        <v>5.5E-2</v>
      </c>
      <c r="BQ12" s="1" t="s">
        <v>94</v>
      </c>
      <c r="BR12" s="1">
        <f>11659*(1)</f>
        <v>11659</v>
      </c>
      <c r="BS12" s="1" t="s">
        <v>310</v>
      </c>
      <c r="BT12" s="1">
        <f>0.065*(1)</f>
        <v>6.5000000000000002E-2</v>
      </c>
      <c r="BU12" s="1" t="s">
        <v>90</v>
      </c>
      <c r="BV12" s="1">
        <f>18132*(1)</f>
        <v>18132</v>
      </c>
      <c r="BW12" s="1" t="s">
        <v>311</v>
      </c>
      <c r="BX12" s="1">
        <f>0.057*(1)</f>
        <v>5.7000000000000002E-2</v>
      </c>
      <c r="BY12" s="1" t="s">
        <v>96</v>
      </c>
      <c r="BZ12" s="1">
        <f>26611*(1)</f>
        <v>26611</v>
      </c>
      <c r="CA12" s="1" t="s">
        <v>312</v>
      </c>
      <c r="CB12" s="1">
        <f>0.062*(1)</f>
        <v>6.2E-2</v>
      </c>
      <c r="CC12" s="1" t="s">
        <v>92</v>
      </c>
      <c r="CD12" s="1">
        <f>13202*(1)</f>
        <v>13202</v>
      </c>
      <c r="CE12" s="1" t="s">
        <v>313</v>
      </c>
      <c r="CF12" s="1">
        <f>0.058*(1)</f>
        <v>5.8000000000000003E-2</v>
      </c>
      <c r="CG12" s="1" t="s">
        <v>92</v>
      </c>
      <c r="CH12" s="1">
        <f>3877*(1)</f>
        <v>3877</v>
      </c>
      <c r="CI12" s="1" t="s">
        <v>314</v>
      </c>
      <c r="CJ12" s="1">
        <f>0.059*(1)</f>
        <v>5.8999999999999997E-2</v>
      </c>
      <c r="CK12" s="1" t="s">
        <v>120</v>
      </c>
      <c r="CL12" s="1">
        <f>10070*(1)</f>
        <v>10070</v>
      </c>
      <c r="CM12" s="1" t="s">
        <v>315</v>
      </c>
      <c r="CN12" s="1">
        <f>0.055*(1)</f>
        <v>5.5E-2</v>
      </c>
      <c r="CO12" s="1" t="s">
        <v>92</v>
      </c>
      <c r="CP12" s="1">
        <f>5632*(1)</f>
        <v>5632</v>
      </c>
      <c r="CQ12" s="1" t="s">
        <v>316</v>
      </c>
      <c r="CR12" s="1">
        <f>0.052*(1)</f>
        <v>5.1999999999999998E-2</v>
      </c>
      <c r="CS12" s="1" t="s">
        <v>96</v>
      </c>
      <c r="CT12" s="1">
        <f>35235*(1)</f>
        <v>35235</v>
      </c>
      <c r="CU12" s="1" t="s">
        <v>317</v>
      </c>
      <c r="CV12" s="1">
        <f>0.066*(1)</f>
        <v>6.6000000000000003E-2</v>
      </c>
      <c r="CW12" s="1" t="s">
        <v>111</v>
      </c>
      <c r="CX12" s="1">
        <f>6037*(1)</f>
        <v>6037</v>
      </c>
      <c r="CY12" s="1" t="s">
        <v>318</v>
      </c>
      <c r="CZ12" s="1">
        <f>0.07*(1)</f>
        <v>7.0000000000000007E-2</v>
      </c>
      <c r="DA12" s="1" t="s">
        <v>145</v>
      </c>
      <c r="DB12" s="1">
        <f>15602*(1)</f>
        <v>15602</v>
      </c>
      <c r="DC12" s="1" t="s">
        <v>319</v>
      </c>
      <c r="DD12" s="1">
        <f>0.096*(1)</f>
        <v>9.6000000000000002E-2</v>
      </c>
      <c r="DE12" s="1" t="s">
        <v>132</v>
      </c>
      <c r="DF12" s="1">
        <f>7274*(1)</f>
        <v>7274</v>
      </c>
      <c r="DG12" s="1" t="s">
        <v>320</v>
      </c>
      <c r="DH12" s="1">
        <f>0.058*(1)</f>
        <v>5.8000000000000003E-2</v>
      </c>
      <c r="DI12" s="1" t="s">
        <v>120</v>
      </c>
      <c r="DJ12" s="1">
        <f>4468*(1)</f>
        <v>4468</v>
      </c>
      <c r="DK12" s="1" t="s">
        <v>321</v>
      </c>
      <c r="DL12" s="1">
        <f>0.058*(1)</f>
        <v>5.8000000000000003E-2</v>
      </c>
      <c r="DM12" s="1" t="s">
        <v>94</v>
      </c>
      <c r="DN12" s="1">
        <f>4185*(1)</f>
        <v>4185</v>
      </c>
      <c r="DO12" s="1" t="s">
        <v>322</v>
      </c>
      <c r="DP12" s="1">
        <f>0.057*(1)</f>
        <v>5.7000000000000002E-2</v>
      </c>
      <c r="DQ12" s="1" t="s">
        <v>132</v>
      </c>
      <c r="DR12" s="1">
        <f>22446*(1)</f>
        <v>22446</v>
      </c>
      <c r="DS12" s="1" t="s">
        <v>323</v>
      </c>
      <c r="DT12" s="1">
        <f>0.06*(1)</f>
        <v>0.06</v>
      </c>
      <c r="DU12" s="1" t="s">
        <v>111</v>
      </c>
      <c r="DV12" s="1">
        <f>31846*(1)</f>
        <v>31846</v>
      </c>
      <c r="DW12" s="1" t="s">
        <v>324</v>
      </c>
      <c r="DX12" s="1">
        <f>0.059*(1)</f>
        <v>5.8999999999999997E-2</v>
      </c>
      <c r="DY12" s="1" t="s">
        <v>99</v>
      </c>
      <c r="DZ12" s="1">
        <f>11357*(1)</f>
        <v>11357</v>
      </c>
      <c r="EA12" s="1" t="s">
        <v>325</v>
      </c>
      <c r="EB12" s="1">
        <f>0.056*(1)</f>
        <v>5.6000000000000001E-2</v>
      </c>
      <c r="EC12" s="1" t="s">
        <v>94</v>
      </c>
      <c r="ED12" s="1">
        <f>4955*(1)</f>
        <v>4955</v>
      </c>
      <c r="EE12" s="1" t="s">
        <v>326</v>
      </c>
      <c r="EF12" s="1">
        <f>0.054*(1)</f>
        <v>5.3999999999999999E-2</v>
      </c>
      <c r="EG12" s="1" t="s">
        <v>111</v>
      </c>
      <c r="EH12" s="1">
        <f>14035*(1)</f>
        <v>14035</v>
      </c>
      <c r="EI12" s="1" t="s">
        <v>327</v>
      </c>
      <c r="EJ12" s="1">
        <f>0.057*(1)</f>
        <v>5.7000000000000002E-2</v>
      </c>
      <c r="EK12" s="1" t="s">
        <v>96</v>
      </c>
      <c r="EL12" s="1">
        <f>7189*(1)</f>
        <v>7189</v>
      </c>
      <c r="EM12" s="1" t="s">
        <v>328</v>
      </c>
      <c r="EN12" s="1">
        <f>0.062*(1)</f>
        <v>6.2E-2</v>
      </c>
      <c r="EO12" s="1" t="s">
        <v>329</v>
      </c>
      <c r="EP12" s="1">
        <f>15596*(1)</f>
        <v>15596</v>
      </c>
      <c r="EQ12" s="1" t="s">
        <v>330</v>
      </c>
      <c r="ER12" s="1">
        <f>0.118*(1)</f>
        <v>0.11799999999999999</v>
      </c>
      <c r="ES12" s="1" t="s">
        <v>90</v>
      </c>
    </row>
    <row r="13" spans="1:149" x14ac:dyDescent="0.3">
      <c r="A13" s="7" t="s">
        <v>331</v>
      </c>
      <c r="B13" s="1">
        <f>11758*(1)</f>
        <v>11758</v>
      </c>
      <c r="C13" s="1" t="s">
        <v>100</v>
      </c>
      <c r="D13" s="1">
        <f>0.116*(1)</f>
        <v>0.11600000000000001</v>
      </c>
      <c r="E13" s="1" t="s">
        <v>120</v>
      </c>
      <c r="F13" s="1">
        <f>11385*(1)</f>
        <v>11385</v>
      </c>
      <c r="G13" s="1" t="s">
        <v>108</v>
      </c>
      <c r="H13" s="1">
        <f>0.117*(1)</f>
        <v>0.11700000000000001</v>
      </c>
      <c r="I13" s="1" t="s">
        <v>120</v>
      </c>
      <c r="J13" s="1">
        <f>7976*(1)</f>
        <v>7976</v>
      </c>
      <c r="K13" s="1" t="s">
        <v>332</v>
      </c>
      <c r="L13" s="1">
        <f>0.121*(1)</f>
        <v>0.121</v>
      </c>
      <c r="M13" s="1" t="s">
        <v>90</v>
      </c>
      <c r="N13" s="1">
        <f>43859*(1)</f>
        <v>43859</v>
      </c>
      <c r="O13" s="1" t="s">
        <v>333</v>
      </c>
      <c r="P13" s="1">
        <f>0.112*(1)</f>
        <v>0.112</v>
      </c>
      <c r="Q13" s="1" t="s">
        <v>96</v>
      </c>
      <c r="R13" s="1">
        <f>16407*(1)</f>
        <v>16407</v>
      </c>
      <c r="S13" s="1" t="s">
        <v>300</v>
      </c>
      <c r="T13" s="1">
        <f>0.121*(1)</f>
        <v>0.121</v>
      </c>
      <c r="U13" s="1" t="s">
        <v>87</v>
      </c>
      <c r="V13" s="1">
        <f>26242*(1)</f>
        <v>26242</v>
      </c>
      <c r="W13" s="1" t="s">
        <v>206</v>
      </c>
      <c r="X13" s="1">
        <f>0.125*(1)</f>
        <v>0.125</v>
      </c>
      <c r="Y13" s="1" t="s">
        <v>96</v>
      </c>
      <c r="Z13" s="1">
        <f>11137*(1)</f>
        <v>11137</v>
      </c>
      <c r="AA13" s="1" t="s">
        <v>334</v>
      </c>
      <c r="AB13" s="1">
        <f>0.11*(1)</f>
        <v>0.11</v>
      </c>
      <c r="AC13" s="1" t="s">
        <v>96</v>
      </c>
      <c r="AD13" s="1">
        <f>178857*(1)</f>
        <v>178857</v>
      </c>
      <c r="AE13" s="1" t="s">
        <v>335</v>
      </c>
      <c r="AF13" s="1">
        <f>0.143*(1)</f>
        <v>0.14299999999999999</v>
      </c>
      <c r="AG13" s="1" t="s">
        <v>99</v>
      </c>
      <c r="AH13" s="1">
        <f>20990*(1)</f>
        <v>20990</v>
      </c>
      <c r="AI13" s="1" t="s">
        <v>336</v>
      </c>
      <c r="AJ13" s="1">
        <f>0.095*(1)</f>
        <v>9.5000000000000001E-2</v>
      </c>
      <c r="AK13" s="1" t="s">
        <v>96</v>
      </c>
      <c r="AL13" s="1">
        <f>8916*(1)</f>
        <v>8916</v>
      </c>
      <c r="AM13" s="1" t="s">
        <v>337</v>
      </c>
      <c r="AN13" s="1">
        <f>0.119*(1)</f>
        <v>0.11899999999999999</v>
      </c>
      <c r="AO13" s="1" t="s">
        <v>145</v>
      </c>
      <c r="AP13" s="1">
        <f>19276*(1)</f>
        <v>19276</v>
      </c>
      <c r="AQ13" s="1" t="s">
        <v>338</v>
      </c>
      <c r="AR13" s="1">
        <f>0.12*(1)</f>
        <v>0.12</v>
      </c>
      <c r="AS13" s="1" t="s">
        <v>120</v>
      </c>
      <c r="AT13" s="1">
        <f>232874*(1)</f>
        <v>232874</v>
      </c>
      <c r="AU13" s="1" t="s">
        <v>339</v>
      </c>
      <c r="AV13" s="1">
        <f>0.176*(1)</f>
        <v>0.17599999999999999</v>
      </c>
      <c r="AW13" s="1" t="s">
        <v>99</v>
      </c>
      <c r="AX13" s="1">
        <f>8540*(1)</f>
        <v>8540</v>
      </c>
      <c r="AY13" s="1" t="s">
        <v>340</v>
      </c>
      <c r="AZ13" s="1">
        <f>0.089*(1)</f>
        <v>8.8999999999999996E-2</v>
      </c>
      <c r="BA13" s="1" t="s">
        <v>111</v>
      </c>
      <c r="BB13" s="1">
        <f>22436*(1)</f>
        <v>22436</v>
      </c>
      <c r="BC13" s="1" t="s">
        <v>203</v>
      </c>
      <c r="BD13" s="1">
        <f>0.133*(1)</f>
        <v>0.13300000000000001</v>
      </c>
      <c r="BE13" s="1" t="s">
        <v>94</v>
      </c>
      <c r="BF13" s="1">
        <f>125590*(1)</f>
        <v>125590</v>
      </c>
      <c r="BG13" s="1" t="s">
        <v>341</v>
      </c>
      <c r="BH13" s="1">
        <f>0.152*(1)</f>
        <v>0.152</v>
      </c>
      <c r="BI13" s="1" t="s">
        <v>99</v>
      </c>
      <c r="BJ13" s="1">
        <f>10289*(1)</f>
        <v>10289</v>
      </c>
      <c r="BK13" s="1" t="s">
        <v>342</v>
      </c>
      <c r="BL13" s="1">
        <f>0.138*(1)</f>
        <v>0.13800000000000001</v>
      </c>
      <c r="BM13" s="1" t="s">
        <v>132</v>
      </c>
      <c r="BN13" s="1">
        <f>28399*(1)</f>
        <v>28399</v>
      </c>
      <c r="BO13" s="1" t="s">
        <v>231</v>
      </c>
      <c r="BP13" s="1">
        <f>0.122*(1)</f>
        <v>0.122</v>
      </c>
      <c r="BQ13" s="1" t="s">
        <v>87</v>
      </c>
      <c r="BR13" s="1">
        <f>21322*(1)</f>
        <v>21322</v>
      </c>
      <c r="BS13" s="1" t="s">
        <v>343</v>
      </c>
      <c r="BT13" s="1">
        <f>0.118*(1)</f>
        <v>0.11799999999999999</v>
      </c>
      <c r="BU13" s="1" t="s">
        <v>90</v>
      </c>
      <c r="BV13" s="1">
        <f>35733*(1)</f>
        <v>35733</v>
      </c>
      <c r="BW13" s="1" t="s">
        <v>344</v>
      </c>
      <c r="BX13" s="1">
        <f>0.113*(1)</f>
        <v>0.113</v>
      </c>
      <c r="BY13" s="1" t="s">
        <v>94</v>
      </c>
      <c r="BZ13" s="1">
        <f>61423*(1)</f>
        <v>61423</v>
      </c>
      <c r="CA13" s="1" t="s">
        <v>345</v>
      </c>
      <c r="CB13" s="1">
        <f>0.143*(1)</f>
        <v>0.14299999999999999</v>
      </c>
      <c r="CC13" s="1" t="s">
        <v>111</v>
      </c>
      <c r="CD13" s="1">
        <f>27895*(1)</f>
        <v>27895</v>
      </c>
      <c r="CE13" s="1" t="s">
        <v>346</v>
      </c>
      <c r="CF13" s="1">
        <f>0.123*(1)</f>
        <v>0.123</v>
      </c>
      <c r="CG13" s="1" t="s">
        <v>96</v>
      </c>
      <c r="CH13" s="1">
        <f>8457*(1)</f>
        <v>8457</v>
      </c>
      <c r="CI13" s="1" t="s">
        <v>347</v>
      </c>
      <c r="CJ13" s="1">
        <f>0.13*(1)</f>
        <v>0.13</v>
      </c>
      <c r="CK13" s="1" t="s">
        <v>87</v>
      </c>
      <c r="CL13" s="1">
        <f>19538*(1)</f>
        <v>19538</v>
      </c>
      <c r="CM13" s="1" t="s">
        <v>348</v>
      </c>
      <c r="CN13" s="1">
        <f>0.107*(1)</f>
        <v>0.107</v>
      </c>
      <c r="CO13" s="1" t="s">
        <v>92</v>
      </c>
      <c r="CP13" s="1">
        <f>12448*(1)</f>
        <v>12448</v>
      </c>
      <c r="CQ13" s="1" t="s">
        <v>349</v>
      </c>
      <c r="CR13" s="1">
        <f>0.114*(1)</f>
        <v>0.114</v>
      </c>
      <c r="CS13" s="1" t="s">
        <v>94</v>
      </c>
      <c r="CT13" s="1">
        <f>72404*(1)</f>
        <v>72404</v>
      </c>
      <c r="CU13" s="1" t="s">
        <v>350</v>
      </c>
      <c r="CV13" s="1">
        <f>0.135*(1)</f>
        <v>0.13500000000000001</v>
      </c>
      <c r="CW13" s="1" t="s">
        <v>99</v>
      </c>
      <c r="CX13" s="1">
        <f>10922*(1)</f>
        <v>10922</v>
      </c>
      <c r="CY13" s="1" t="s">
        <v>280</v>
      </c>
      <c r="CZ13" s="1">
        <f>0.126*(1)</f>
        <v>0.126</v>
      </c>
      <c r="DA13" s="1" t="s">
        <v>120</v>
      </c>
      <c r="DB13" s="1">
        <f>18267*(1)</f>
        <v>18267</v>
      </c>
      <c r="DC13" s="1" t="s">
        <v>351</v>
      </c>
      <c r="DD13" s="1">
        <f>0.112*(1)</f>
        <v>0.112</v>
      </c>
      <c r="DE13" s="1" t="s">
        <v>94</v>
      </c>
      <c r="DF13" s="1">
        <f>16279*(1)</f>
        <v>16279</v>
      </c>
      <c r="DG13" s="1" t="s">
        <v>352</v>
      </c>
      <c r="DH13" s="1">
        <f>0.13*(1)</f>
        <v>0.13</v>
      </c>
      <c r="DI13" s="1" t="s">
        <v>120</v>
      </c>
      <c r="DJ13" s="1">
        <f>10050*(1)</f>
        <v>10050</v>
      </c>
      <c r="DK13" s="1" t="s">
        <v>353</v>
      </c>
      <c r="DL13" s="1">
        <f>0.131*(1)</f>
        <v>0.13100000000000001</v>
      </c>
      <c r="DM13" s="1" t="s">
        <v>120</v>
      </c>
      <c r="DN13" s="1">
        <f>9281*(1)</f>
        <v>9281</v>
      </c>
      <c r="DO13" s="1" t="s">
        <v>354</v>
      </c>
      <c r="DP13" s="1">
        <f>0.127*(1)</f>
        <v>0.127</v>
      </c>
      <c r="DQ13" s="1" t="s">
        <v>90</v>
      </c>
      <c r="DR13" s="1">
        <f>44246*(1)</f>
        <v>44246</v>
      </c>
      <c r="DS13" s="1" t="s">
        <v>355</v>
      </c>
      <c r="DT13" s="1">
        <f>0.118*(1)</f>
        <v>0.11799999999999999</v>
      </c>
      <c r="DU13" s="1" t="s">
        <v>111</v>
      </c>
      <c r="DV13" s="1">
        <f>71797*(1)</f>
        <v>71797</v>
      </c>
      <c r="DW13" s="1" t="s">
        <v>296</v>
      </c>
      <c r="DX13" s="1">
        <f>0.134*(1)</f>
        <v>0.13400000000000001</v>
      </c>
      <c r="DY13" s="1" t="s">
        <v>111</v>
      </c>
      <c r="DZ13" s="1">
        <f>22503*(1)</f>
        <v>22503</v>
      </c>
      <c r="EA13" s="1" t="s">
        <v>356</v>
      </c>
      <c r="EB13" s="1">
        <f>0.112*(1)</f>
        <v>0.112</v>
      </c>
      <c r="EC13" s="1" t="s">
        <v>96</v>
      </c>
      <c r="ED13" s="1">
        <f>10034*(1)</f>
        <v>10034</v>
      </c>
      <c r="EE13" s="1" t="s">
        <v>357</v>
      </c>
      <c r="EF13" s="1">
        <f>0.108*(1)</f>
        <v>0.108</v>
      </c>
      <c r="EG13" s="1" t="s">
        <v>99</v>
      </c>
      <c r="EH13" s="1">
        <f>29271*(1)</f>
        <v>29271</v>
      </c>
      <c r="EI13" s="1" t="s">
        <v>358</v>
      </c>
      <c r="EJ13" s="1">
        <f>0.119*(1)</f>
        <v>0.11899999999999999</v>
      </c>
      <c r="EK13" s="1" t="s">
        <v>94</v>
      </c>
      <c r="EL13" s="1">
        <f>13205*(1)</f>
        <v>13205</v>
      </c>
      <c r="EM13" s="1" t="s">
        <v>268</v>
      </c>
      <c r="EN13" s="1">
        <f>0.113*(1)</f>
        <v>0.113</v>
      </c>
      <c r="EO13" s="1" t="s">
        <v>92</v>
      </c>
      <c r="EP13" s="1">
        <f>16268*(1)</f>
        <v>16268</v>
      </c>
      <c r="EQ13" s="1" t="s">
        <v>359</v>
      </c>
      <c r="ER13" s="1">
        <f>0.123*(1)</f>
        <v>0.123</v>
      </c>
      <c r="ES13" s="1" t="s">
        <v>120</v>
      </c>
    </row>
    <row r="14" spans="1:149" x14ac:dyDescent="0.3">
      <c r="A14" s="7" t="s">
        <v>360</v>
      </c>
      <c r="B14" s="1">
        <f>12741*(1)</f>
        <v>12741</v>
      </c>
      <c r="C14" s="1" t="s">
        <v>361</v>
      </c>
      <c r="D14" s="1">
        <f>0.125*(1)</f>
        <v>0.125</v>
      </c>
      <c r="E14" s="1" t="s">
        <v>90</v>
      </c>
      <c r="F14" s="1">
        <f>11529*(1)</f>
        <v>11529</v>
      </c>
      <c r="G14" s="1" t="s">
        <v>362</v>
      </c>
      <c r="H14" s="1">
        <f>0.118*(1)</f>
        <v>0.11799999999999999</v>
      </c>
      <c r="I14" s="1" t="s">
        <v>109</v>
      </c>
      <c r="J14" s="1">
        <f>8215*(1)</f>
        <v>8215</v>
      </c>
      <c r="K14" s="1" t="s">
        <v>363</v>
      </c>
      <c r="L14" s="1">
        <f>0.125*(1)</f>
        <v>0.125</v>
      </c>
      <c r="M14" s="1" t="s">
        <v>90</v>
      </c>
      <c r="N14" s="1">
        <f>49563*(1)</f>
        <v>49563</v>
      </c>
      <c r="O14" s="1" t="s">
        <v>364</v>
      </c>
      <c r="P14" s="1">
        <f>0.127*(1)</f>
        <v>0.127</v>
      </c>
      <c r="Q14" s="1" t="s">
        <v>96</v>
      </c>
      <c r="R14" s="1">
        <f>15148*(1)</f>
        <v>15148</v>
      </c>
      <c r="S14" s="1" t="s">
        <v>365</v>
      </c>
      <c r="T14" s="1">
        <f>0.112*(1)</f>
        <v>0.112</v>
      </c>
      <c r="U14" s="1" t="s">
        <v>94</v>
      </c>
      <c r="V14" s="1">
        <f>26595*(1)</f>
        <v>26595</v>
      </c>
      <c r="W14" s="1" t="s">
        <v>366</v>
      </c>
      <c r="X14" s="1">
        <f>0.127*(1)</f>
        <v>0.127</v>
      </c>
      <c r="Y14" s="1" t="s">
        <v>96</v>
      </c>
      <c r="Z14" s="1">
        <f>11702*(1)</f>
        <v>11702</v>
      </c>
      <c r="AA14" s="1" t="s">
        <v>367</v>
      </c>
      <c r="AB14" s="1">
        <f>0.116*(1)</f>
        <v>0.11600000000000001</v>
      </c>
      <c r="AC14" s="1" t="s">
        <v>96</v>
      </c>
      <c r="AD14" s="1">
        <f>152057*(1)</f>
        <v>152057</v>
      </c>
      <c r="AE14" s="1" t="s">
        <v>368</v>
      </c>
      <c r="AF14" s="1">
        <f>0.122*(1)</f>
        <v>0.122</v>
      </c>
      <c r="AG14" s="1" t="s">
        <v>99</v>
      </c>
      <c r="AH14" s="1">
        <f>34935*(1)</f>
        <v>34935</v>
      </c>
      <c r="AI14" s="1" t="s">
        <v>369</v>
      </c>
      <c r="AJ14" s="1">
        <f>0.158*(1)</f>
        <v>0.158</v>
      </c>
      <c r="AK14" s="1" t="s">
        <v>96</v>
      </c>
      <c r="AL14" s="1">
        <f>8401*(1)</f>
        <v>8401</v>
      </c>
      <c r="AM14" s="1" t="s">
        <v>370</v>
      </c>
      <c r="AN14" s="1">
        <f>0.112*(1)</f>
        <v>0.112</v>
      </c>
      <c r="AO14" s="1" t="s">
        <v>145</v>
      </c>
      <c r="AP14" s="1">
        <f>21927*(1)</f>
        <v>21927</v>
      </c>
      <c r="AQ14" s="1" t="s">
        <v>371</v>
      </c>
      <c r="AR14" s="1">
        <f>0.136*(1)</f>
        <v>0.13600000000000001</v>
      </c>
      <c r="AS14" s="1" t="s">
        <v>87</v>
      </c>
      <c r="AT14" s="1">
        <f>186436*(1)</f>
        <v>186436</v>
      </c>
      <c r="AU14" s="1" t="s">
        <v>372</v>
      </c>
      <c r="AV14" s="1">
        <f>0.141*(1)</f>
        <v>0.14099999999999999</v>
      </c>
      <c r="AW14" s="1" t="s">
        <v>99</v>
      </c>
      <c r="AX14" s="1">
        <f>10060*(1)</f>
        <v>10060</v>
      </c>
      <c r="AY14" s="1" t="s">
        <v>373</v>
      </c>
      <c r="AZ14" s="1">
        <f>0.105*(1)</f>
        <v>0.105</v>
      </c>
      <c r="BA14" s="1" t="s">
        <v>92</v>
      </c>
      <c r="BB14" s="1">
        <f>19903*(1)</f>
        <v>19903</v>
      </c>
      <c r="BC14" s="1" t="s">
        <v>374</v>
      </c>
      <c r="BD14" s="1">
        <f>0.118*(1)</f>
        <v>0.11799999999999999</v>
      </c>
      <c r="BE14" s="1" t="s">
        <v>94</v>
      </c>
      <c r="BF14" s="1">
        <f>103514*(1)</f>
        <v>103514</v>
      </c>
      <c r="BG14" s="1" t="s">
        <v>375</v>
      </c>
      <c r="BH14" s="1">
        <f>0.125*(1)</f>
        <v>0.125</v>
      </c>
      <c r="BI14" s="1" t="s">
        <v>99</v>
      </c>
      <c r="BJ14" s="1">
        <f>9137*(1)</f>
        <v>9137</v>
      </c>
      <c r="BK14" s="1" t="s">
        <v>376</v>
      </c>
      <c r="BL14" s="1">
        <f>0.122*(1)</f>
        <v>0.122</v>
      </c>
      <c r="BM14" s="1" t="s">
        <v>94</v>
      </c>
      <c r="BN14" s="1">
        <f>26979*(1)</f>
        <v>26979</v>
      </c>
      <c r="BO14" s="1" t="s">
        <v>377</v>
      </c>
      <c r="BP14" s="1">
        <f>0.116*(1)</f>
        <v>0.11600000000000001</v>
      </c>
      <c r="BQ14" s="1" t="s">
        <v>94</v>
      </c>
      <c r="BR14" s="1">
        <f>21589*(1)</f>
        <v>21589</v>
      </c>
      <c r="BS14" s="1" t="s">
        <v>279</v>
      </c>
      <c r="BT14" s="1">
        <f>0.12*(1)</f>
        <v>0.12</v>
      </c>
      <c r="BU14" s="1" t="s">
        <v>92</v>
      </c>
      <c r="BV14" s="1">
        <f>38581*(1)</f>
        <v>38581</v>
      </c>
      <c r="BW14" s="1" t="s">
        <v>223</v>
      </c>
      <c r="BX14" s="1">
        <f>0.122*(1)</f>
        <v>0.122</v>
      </c>
      <c r="BY14" s="1" t="s">
        <v>96</v>
      </c>
      <c r="BZ14" s="1">
        <f>50640*(1)</f>
        <v>50640</v>
      </c>
      <c r="CA14" s="1" t="s">
        <v>378</v>
      </c>
      <c r="CB14" s="1">
        <f>0.118*(1)</f>
        <v>0.11799999999999999</v>
      </c>
      <c r="CC14" s="1" t="s">
        <v>111</v>
      </c>
      <c r="CD14" s="1">
        <f>25597*(1)</f>
        <v>25597</v>
      </c>
      <c r="CE14" s="1" t="s">
        <v>379</v>
      </c>
      <c r="CF14" s="1">
        <f>0.113*(1)</f>
        <v>0.113</v>
      </c>
      <c r="CG14" s="1" t="s">
        <v>96</v>
      </c>
      <c r="CH14" s="1">
        <f>7988*(1)</f>
        <v>7988</v>
      </c>
      <c r="CI14" s="1" t="s">
        <v>380</v>
      </c>
      <c r="CJ14" s="1">
        <f>0.122*(1)</f>
        <v>0.122</v>
      </c>
      <c r="CK14" s="1" t="s">
        <v>94</v>
      </c>
      <c r="CL14" s="1">
        <f>23362*(1)</f>
        <v>23362</v>
      </c>
      <c r="CM14" s="1" t="s">
        <v>381</v>
      </c>
      <c r="CN14" s="1">
        <f>0.128*(1)</f>
        <v>0.128</v>
      </c>
      <c r="CO14" s="1" t="s">
        <v>94</v>
      </c>
      <c r="CP14" s="1">
        <f>13897*(1)</f>
        <v>13897</v>
      </c>
      <c r="CQ14" s="1" t="s">
        <v>361</v>
      </c>
      <c r="CR14" s="1">
        <f>0.127*(1)</f>
        <v>0.127</v>
      </c>
      <c r="CS14" s="1" t="s">
        <v>90</v>
      </c>
      <c r="CT14" s="1">
        <f>65229*(1)</f>
        <v>65229</v>
      </c>
      <c r="CU14" s="1" t="s">
        <v>382</v>
      </c>
      <c r="CV14" s="1">
        <f>0.122*(1)</f>
        <v>0.122</v>
      </c>
      <c r="CW14" s="1" t="s">
        <v>111</v>
      </c>
      <c r="CX14" s="1">
        <f>10031*(1)</f>
        <v>10031</v>
      </c>
      <c r="CY14" s="1" t="s">
        <v>383</v>
      </c>
      <c r="CZ14" s="1">
        <f>0.116*(1)</f>
        <v>0.11600000000000001</v>
      </c>
      <c r="DA14" s="1" t="s">
        <v>96</v>
      </c>
      <c r="DB14" s="1">
        <f>17797*(1)</f>
        <v>17797</v>
      </c>
      <c r="DC14" s="1" t="s">
        <v>384</v>
      </c>
      <c r="DD14" s="1">
        <f>0.11*(1)</f>
        <v>0.11</v>
      </c>
      <c r="DE14" s="1" t="s">
        <v>120</v>
      </c>
      <c r="DF14" s="1">
        <f>14486*(1)</f>
        <v>14486</v>
      </c>
      <c r="DG14" s="1" t="s">
        <v>370</v>
      </c>
      <c r="DH14" s="1">
        <f>0.116*(1)</f>
        <v>0.11600000000000001</v>
      </c>
      <c r="DI14" s="1" t="s">
        <v>120</v>
      </c>
      <c r="DJ14" s="1">
        <f>9989*(1)</f>
        <v>9989</v>
      </c>
      <c r="DK14" s="1" t="s">
        <v>385</v>
      </c>
      <c r="DL14" s="1">
        <f>0.13*(1)</f>
        <v>0.13</v>
      </c>
      <c r="DM14" s="1" t="s">
        <v>90</v>
      </c>
      <c r="DN14" s="1">
        <f>8880*(1)</f>
        <v>8880</v>
      </c>
      <c r="DO14" s="1" t="s">
        <v>175</v>
      </c>
      <c r="DP14" s="1">
        <f>0.121*(1)</f>
        <v>0.121</v>
      </c>
      <c r="DQ14" s="1" t="s">
        <v>92</v>
      </c>
      <c r="DR14" s="1">
        <f>44740*(1)</f>
        <v>44740</v>
      </c>
      <c r="DS14" s="1" t="s">
        <v>330</v>
      </c>
      <c r="DT14" s="1">
        <f>0.12*(1)</f>
        <v>0.12</v>
      </c>
      <c r="DU14" s="1" t="s">
        <v>111</v>
      </c>
      <c r="DV14" s="1">
        <f>66393*(1)</f>
        <v>66393</v>
      </c>
      <c r="DW14" s="1" t="s">
        <v>253</v>
      </c>
      <c r="DX14" s="1">
        <f>0.123*(1)</f>
        <v>0.123</v>
      </c>
      <c r="DY14" s="1" t="s">
        <v>111</v>
      </c>
      <c r="DZ14" s="1">
        <f>21693*(1)</f>
        <v>21693</v>
      </c>
      <c r="EA14" s="1" t="s">
        <v>386</v>
      </c>
      <c r="EB14" s="1">
        <f>0.108*(1)</f>
        <v>0.108</v>
      </c>
      <c r="EC14" s="1" t="s">
        <v>96</v>
      </c>
      <c r="ED14" s="1">
        <f>12157*(1)</f>
        <v>12157</v>
      </c>
      <c r="EE14" s="1" t="s">
        <v>294</v>
      </c>
      <c r="EF14" s="1">
        <f>0.131*(1)</f>
        <v>0.13100000000000001</v>
      </c>
      <c r="EG14" s="1" t="s">
        <v>87</v>
      </c>
      <c r="EH14" s="1">
        <f>33980*(1)</f>
        <v>33980</v>
      </c>
      <c r="EI14" s="1" t="s">
        <v>387</v>
      </c>
      <c r="EJ14" s="1">
        <f>0.138*(1)</f>
        <v>0.13800000000000001</v>
      </c>
      <c r="EK14" s="1" t="s">
        <v>96</v>
      </c>
      <c r="EL14" s="1">
        <f>13157*(1)</f>
        <v>13157</v>
      </c>
      <c r="EM14" s="1" t="s">
        <v>388</v>
      </c>
      <c r="EN14" s="1">
        <f>0.113*(1)</f>
        <v>0.113</v>
      </c>
      <c r="EO14" s="1" t="s">
        <v>94</v>
      </c>
      <c r="EP14" s="1">
        <f>14943*(1)</f>
        <v>14943</v>
      </c>
      <c r="EQ14" s="1" t="s">
        <v>389</v>
      </c>
      <c r="ER14" s="1">
        <f>0.113*(1)</f>
        <v>0.113</v>
      </c>
      <c r="ES14" s="1" t="s">
        <v>96</v>
      </c>
    </row>
    <row r="15" spans="1:149" x14ac:dyDescent="0.3">
      <c r="A15" s="7" t="s">
        <v>390</v>
      </c>
      <c r="B15" s="1">
        <f>11034*(1)</f>
        <v>11034</v>
      </c>
      <c r="C15" s="1" t="s">
        <v>391</v>
      </c>
      <c r="D15" s="1">
        <f>0.109*(1)</f>
        <v>0.109</v>
      </c>
      <c r="E15" s="1" t="s">
        <v>94</v>
      </c>
      <c r="F15" s="1">
        <f>11708*(1)</f>
        <v>11708</v>
      </c>
      <c r="G15" s="1" t="s">
        <v>392</v>
      </c>
      <c r="H15" s="1">
        <f>0.12*(1)</f>
        <v>0.12</v>
      </c>
      <c r="I15" s="1" t="s">
        <v>92</v>
      </c>
      <c r="J15" s="1">
        <f>8316*(1)</f>
        <v>8316</v>
      </c>
      <c r="K15" s="1" t="s">
        <v>393</v>
      </c>
      <c r="L15" s="1">
        <f>0.126*(1)</f>
        <v>0.126</v>
      </c>
      <c r="M15" s="1" t="s">
        <v>96</v>
      </c>
      <c r="N15" s="1">
        <f>45911*(1)</f>
        <v>45911</v>
      </c>
      <c r="O15" s="1" t="s">
        <v>219</v>
      </c>
      <c r="P15" s="1">
        <f>0.118*(1)</f>
        <v>0.11799999999999999</v>
      </c>
      <c r="Q15" s="1" t="s">
        <v>92</v>
      </c>
      <c r="R15" s="1">
        <f>16737*(1)</f>
        <v>16737</v>
      </c>
      <c r="S15" s="1" t="s">
        <v>394</v>
      </c>
      <c r="T15" s="1">
        <f>0.123*(1)</f>
        <v>0.123</v>
      </c>
      <c r="U15" s="1" t="s">
        <v>94</v>
      </c>
      <c r="V15" s="1">
        <f>25953*(1)</f>
        <v>25953</v>
      </c>
      <c r="W15" s="1" t="s">
        <v>353</v>
      </c>
      <c r="X15" s="1">
        <f>0.124*(1)</f>
        <v>0.124</v>
      </c>
      <c r="Y15" s="1" t="s">
        <v>92</v>
      </c>
      <c r="Z15" s="1">
        <f>13223*(1)</f>
        <v>13223</v>
      </c>
      <c r="AA15" s="1" t="s">
        <v>395</v>
      </c>
      <c r="AB15" s="1">
        <f>0.131*(1)</f>
        <v>0.13100000000000001</v>
      </c>
      <c r="AC15" s="1" t="s">
        <v>96</v>
      </c>
      <c r="AD15" s="1">
        <f>145536*(1)</f>
        <v>145536</v>
      </c>
      <c r="AE15" s="1" t="s">
        <v>187</v>
      </c>
      <c r="AF15" s="1">
        <f>0.116*(1)</f>
        <v>0.11600000000000001</v>
      </c>
      <c r="AG15" s="1" t="s">
        <v>99</v>
      </c>
      <c r="AH15" s="1">
        <f>32520*(1)</f>
        <v>32520</v>
      </c>
      <c r="AI15" s="1" t="s">
        <v>396</v>
      </c>
      <c r="AJ15" s="1">
        <f>0.147*(1)</f>
        <v>0.14699999999999999</v>
      </c>
      <c r="AK15" s="1" t="s">
        <v>96</v>
      </c>
      <c r="AL15" s="1">
        <f>8691*(1)</f>
        <v>8691</v>
      </c>
      <c r="AM15" s="1" t="s">
        <v>397</v>
      </c>
      <c r="AN15" s="1">
        <f>0.116*(1)</f>
        <v>0.11600000000000001</v>
      </c>
      <c r="AO15" s="1" t="s">
        <v>90</v>
      </c>
      <c r="AP15" s="1">
        <f>21318*(1)</f>
        <v>21318</v>
      </c>
      <c r="AQ15" s="1" t="s">
        <v>398</v>
      </c>
      <c r="AR15" s="1">
        <f>0.132*(1)</f>
        <v>0.13200000000000001</v>
      </c>
      <c r="AS15" s="1" t="s">
        <v>94</v>
      </c>
      <c r="AT15" s="1">
        <f>152759*(1)</f>
        <v>152759</v>
      </c>
      <c r="AU15" s="1" t="s">
        <v>399</v>
      </c>
      <c r="AV15" s="1">
        <f>0.116*(1)</f>
        <v>0.11600000000000001</v>
      </c>
      <c r="AW15" s="1" t="s">
        <v>99</v>
      </c>
      <c r="AX15" s="1">
        <f>12739*(1)</f>
        <v>12739</v>
      </c>
      <c r="AY15" s="1" t="s">
        <v>400</v>
      </c>
      <c r="AZ15" s="1">
        <f>0.133*(1)</f>
        <v>0.13300000000000001</v>
      </c>
      <c r="BA15" s="1" t="s">
        <v>92</v>
      </c>
      <c r="BB15" s="1">
        <f>19293*(1)</f>
        <v>19293</v>
      </c>
      <c r="BC15" s="1" t="s">
        <v>401</v>
      </c>
      <c r="BD15" s="1">
        <f>0.115*(1)</f>
        <v>0.115</v>
      </c>
      <c r="BE15" s="1" t="s">
        <v>96</v>
      </c>
      <c r="BF15" s="1">
        <f>91777*(1)</f>
        <v>91777</v>
      </c>
      <c r="BG15" s="1" t="s">
        <v>402</v>
      </c>
      <c r="BH15" s="1">
        <f>0.111*(1)</f>
        <v>0.111</v>
      </c>
      <c r="BI15" s="1" t="s">
        <v>99</v>
      </c>
      <c r="BJ15" s="1">
        <f>8675*(1)</f>
        <v>8675</v>
      </c>
      <c r="BK15" s="1" t="s">
        <v>403</v>
      </c>
      <c r="BL15" s="1">
        <f>0.116*(1)</f>
        <v>0.11600000000000001</v>
      </c>
      <c r="BM15" s="1" t="s">
        <v>94</v>
      </c>
      <c r="BN15" s="1">
        <f>29372*(1)</f>
        <v>29372</v>
      </c>
      <c r="BO15" s="1" t="s">
        <v>404</v>
      </c>
      <c r="BP15" s="1">
        <f>0.127*(1)</f>
        <v>0.127</v>
      </c>
      <c r="BQ15" s="1" t="s">
        <v>94</v>
      </c>
      <c r="BR15" s="1">
        <f>22612*(1)</f>
        <v>22612</v>
      </c>
      <c r="BS15" s="1" t="s">
        <v>320</v>
      </c>
      <c r="BT15" s="1">
        <f>0.125*(1)</f>
        <v>0.125</v>
      </c>
      <c r="BU15" s="1" t="s">
        <v>94</v>
      </c>
      <c r="BV15" s="1">
        <f>41369*(1)</f>
        <v>41369</v>
      </c>
      <c r="BW15" s="1" t="s">
        <v>405</v>
      </c>
      <c r="BX15" s="1">
        <f>0.131*(1)</f>
        <v>0.13100000000000001</v>
      </c>
      <c r="BY15" s="1" t="s">
        <v>92</v>
      </c>
      <c r="BZ15" s="1">
        <f>51008*(1)</f>
        <v>51008</v>
      </c>
      <c r="CA15" s="1" t="s">
        <v>406</v>
      </c>
      <c r="CB15" s="1">
        <f>0.119*(1)</f>
        <v>0.11899999999999999</v>
      </c>
      <c r="CC15" s="1" t="s">
        <v>111</v>
      </c>
      <c r="CD15" s="1">
        <f>26427*(1)</f>
        <v>26427</v>
      </c>
      <c r="CE15" s="1" t="s">
        <v>407</v>
      </c>
      <c r="CF15" s="1">
        <f>0.117*(1)</f>
        <v>0.11700000000000001</v>
      </c>
      <c r="CG15" s="1" t="s">
        <v>92</v>
      </c>
      <c r="CH15" s="1">
        <f>8447*(1)</f>
        <v>8447</v>
      </c>
      <c r="CI15" s="1" t="s">
        <v>408</v>
      </c>
      <c r="CJ15" s="1">
        <f>0.129*(1)</f>
        <v>0.129</v>
      </c>
      <c r="CK15" s="1" t="s">
        <v>87</v>
      </c>
      <c r="CL15" s="1">
        <f>24954*(1)</f>
        <v>24954</v>
      </c>
      <c r="CM15" s="1" t="s">
        <v>409</v>
      </c>
      <c r="CN15" s="1">
        <f>0.136*(1)</f>
        <v>0.13600000000000001</v>
      </c>
      <c r="CO15" s="1" t="s">
        <v>92</v>
      </c>
      <c r="CP15" s="1">
        <f>13675*(1)</f>
        <v>13675</v>
      </c>
      <c r="CQ15" s="1" t="s">
        <v>349</v>
      </c>
      <c r="CR15" s="1">
        <f>0.125*(1)</f>
        <v>0.125</v>
      </c>
      <c r="CS15" s="1" t="s">
        <v>94</v>
      </c>
      <c r="CT15" s="1">
        <f>60625*(1)</f>
        <v>60625</v>
      </c>
      <c r="CU15" s="1" t="s">
        <v>112</v>
      </c>
      <c r="CV15" s="1">
        <f>0.113*(1)</f>
        <v>0.113</v>
      </c>
      <c r="CW15" s="1" t="s">
        <v>111</v>
      </c>
      <c r="CX15" s="1">
        <f>10491*(1)</f>
        <v>10491</v>
      </c>
      <c r="CY15" s="1" t="s">
        <v>410</v>
      </c>
      <c r="CZ15" s="1">
        <f>0.121*(1)</f>
        <v>0.121</v>
      </c>
      <c r="DA15" s="1" t="s">
        <v>92</v>
      </c>
      <c r="DB15" s="1">
        <f>19117*(1)</f>
        <v>19117</v>
      </c>
      <c r="DC15" s="1" t="s">
        <v>124</v>
      </c>
      <c r="DD15" s="1">
        <f>0.118*(1)</f>
        <v>0.11799999999999999</v>
      </c>
      <c r="DE15" s="1" t="s">
        <v>96</v>
      </c>
      <c r="DF15" s="1">
        <f>15346*(1)</f>
        <v>15346</v>
      </c>
      <c r="DG15" s="1" t="s">
        <v>100</v>
      </c>
      <c r="DH15" s="1">
        <f>0.123*(1)</f>
        <v>0.123</v>
      </c>
      <c r="DI15" s="1" t="s">
        <v>90</v>
      </c>
      <c r="DJ15" s="1">
        <f>10405*(1)</f>
        <v>10405</v>
      </c>
      <c r="DK15" s="1" t="s">
        <v>411</v>
      </c>
      <c r="DL15" s="1">
        <f>0.135*(1)</f>
        <v>0.13500000000000001</v>
      </c>
      <c r="DM15" s="1" t="s">
        <v>94</v>
      </c>
      <c r="DN15" s="1">
        <f>9113*(1)</f>
        <v>9113</v>
      </c>
      <c r="DO15" s="1" t="s">
        <v>412</v>
      </c>
      <c r="DP15" s="1">
        <f>0.124*(1)</f>
        <v>0.124</v>
      </c>
      <c r="DQ15" s="1" t="s">
        <v>94</v>
      </c>
      <c r="DR15" s="1">
        <f>45361*(1)</f>
        <v>45361</v>
      </c>
      <c r="DS15" s="1" t="s">
        <v>413</v>
      </c>
      <c r="DT15" s="1">
        <f>0.121*(1)</f>
        <v>0.121</v>
      </c>
      <c r="DU15" s="1" t="s">
        <v>99</v>
      </c>
      <c r="DV15" s="1">
        <f>66161*(1)</f>
        <v>66161</v>
      </c>
      <c r="DW15" s="1" t="s">
        <v>414</v>
      </c>
      <c r="DX15" s="1">
        <f>0.123*(1)</f>
        <v>0.123</v>
      </c>
      <c r="DY15" s="1" t="s">
        <v>99</v>
      </c>
      <c r="DZ15" s="1">
        <f>25479*(1)</f>
        <v>25479</v>
      </c>
      <c r="EA15" s="1" t="s">
        <v>415</v>
      </c>
      <c r="EB15" s="1">
        <f>0.127*(1)</f>
        <v>0.127</v>
      </c>
      <c r="EC15" s="1" t="s">
        <v>96</v>
      </c>
      <c r="ED15" s="1">
        <f>11094*(1)</f>
        <v>11094</v>
      </c>
      <c r="EE15" s="1" t="s">
        <v>416</v>
      </c>
      <c r="EF15" s="1">
        <f>0.12*(1)</f>
        <v>0.12</v>
      </c>
      <c r="EG15" s="1" t="s">
        <v>90</v>
      </c>
      <c r="EH15" s="1">
        <f>34325*(1)</f>
        <v>34325</v>
      </c>
      <c r="EI15" s="1" t="s">
        <v>378</v>
      </c>
      <c r="EJ15" s="1">
        <f>0.139*(1)</f>
        <v>0.13900000000000001</v>
      </c>
      <c r="EK15" s="1" t="s">
        <v>96</v>
      </c>
      <c r="EL15" s="1">
        <f>13404*(1)</f>
        <v>13404</v>
      </c>
      <c r="EM15" s="1" t="s">
        <v>417</v>
      </c>
      <c r="EN15" s="1">
        <f>0.115*(1)</f>
        <v>0.115</v>
      </c>
      <c r="EO15" s="1" t="s">
        <v>96</v>
      </c>
      <c r="EP15" s="1">
        <f>15412*(1)</f>
        <v>15412</v>
      </c>
      <c r="EQ15" s="1" t="s">
        <v>418</v>
      </c>
      <c r="ER15" s="1">
        <f>0.116*(1)</f>
        <v>0.11600000000000001</v>
      </c>
      <c r="ES15" s="1" t="s">
        <v>94</v>
      </c>
    </row>
    <row r="16" spans="1:149" x14ac:dyDescent="0.3">
      <c r="A16" s="7" t="s">
        <v>419</v>
      </c>
      <c r="B16" s="1">
        <f>6280*(1)</f>
        <v>6280</v>
      </c>
      <c r="C16" s="1" t="s">
        <v>420</v>
      </c>
      <c r="D16" s="1">
        <f>0.062*(1)</f>
        <v>6.2E-2</v>
      </c>
      <c r="E16" s="1" t="s">
        <v>109</v>
      </c>
      <c r="F16" s="1">
        <f>6227*(1)</f>
        <v>6227</v>
      </c>
      <c r="G16" s="1" t="s">
        <v>352</v>
      </c>
      <c r="H16" s="1">
        <f>0.064*(1)</f>
        <v>6.4000000000000001E-2</v>
      </c>
      <c r="I16" s="1" t="s">
        <v>109</v>
      </c>
      <c r="J16" s="1">
        <f>4705*(1)</f>
        <v>4705</v>
      </c>
      <c r="K16" s="1" t="s">
        <v>421</v>
      </c>
      <c r="L16" s="1">
        <f>0.071*(1)</f>
        <v>7.0999999999999994E-2</v>
      </c>
      <c r="M16" s="1" t="s">
        <v>141</v>
      </c>
      <c r="N16" s="1">
        <f>25631*(1)</f>
        <v>25631</v>
      </c>
      <c r="O16" s="1" t="s">
        <v>422</v>
      </c>
      <c r="P16" s="1">
        <f>0.066*(1)</f>
        <v>6.6000000000000003E-2</v>
      </c>
      <c r="Q16" s="1" t="s">
        <v>94</v>
      </c>
      <c r="R16" s="1">
        <f>7950*(1)</f>
        <v>7950</v>
      </c>
      <c r="S16" s="1" t="s">
        <v>327</v>
      </c>
      <c r="T16" s="1">
        <f>0.059*(1)</f>
        <v>5.8999999999999997E-2</v>
      </c>
      <c r="U16" s="1" t="s">
        <v>120</v>
      </c>
      <c r="V16" s="1">
        <f>13483*(1)</f>
        <v>13483</v>
      </c>
      <c r="W16" s="1" t="s">
        <v>423</v>
      </c>
      <c r="X16" s="1">
        <f>0.064*(1)</f>
        <v>6.4000000000000001E-2</v>
      </c>
      <c r="Y16" s="1" t="s">
        <v>120</v>
      </c>
      <c r="Z16" s="1">
        <f>8351*(1)</f>
        <v>8351</v>
      </c>
      <c r="AA16" s="1" t="s">
        <v>424</v>
      </c>
      <c r="AB16" s="1">
        <f>0.082*(1)</f>
        <v>8.2000000000000003E-2</v>
      </c>
      <c r="AC16" s="1" t="s">
        <v>129</v>
      </c>
      <c r="AD16" s="1">
        <f>80304*(1)</f>
        <v>80304</v>
      </c>
      <c r="AE16" s="1" t="s">
        <v>425</v>
      </c>
      <c r="AF16" s="1">
        <f>0.064*(1)</f>
        <v>6.4000000000000001E-2</v>
      </c>
      <c r="AG16" s="1" t="s">
        <v>92</v>
      </c>
      <c r="AH16" s="1">
        <f>14106*(1)</f>
        <v>14106</v>
      </c>
      <c r="AI16" s="1" t="s">
        <v>426</v>
      </c>
      <c r="AJ16" s="1">
        <f>0.064*(1)</f>
        <v>6.4000000000000001E-2</v>
      </c>
      <c r="AK16" s="1" t="s">
        <v>120</v>
      </c>
      <c r="AL16" s="1">
        <f>4298*(1)</f>
        <v>4298</v>
      </c>
      <c r="AM16" s="1" t="s">
        <v>427</v>
      </c>
      <c r="AN16" s="1">
        <f>0.057*(1)</f>
        <v>5.7000000000000002E-2</v>
      </c>
      <c r="AO16" s="1" t="s">
        <v>139</v>
      </c>
      <c r="AP16" s="1">
        <f>10934*(1)</f>
        <v>10934</v>
      </c>
      <c r="AQ16" s="1" t="s">
        <v>237</v>
      </c>
      <c r="AR16" s="1">
        <f>0.068*(1)</f>
        <v>6.8000000000000005E-2</v>
      </c>
      <c r="AS16" s="1" t="s">
        <v>87</v>
      </c>
      <c r="AT16" s="1">
        <f>71074*(1)</f>
        <v>71074</v>
      </c>
      <c r="AU16" s="1" t="s">
        <v>428</v>
      </c>
      <c r="AV16" s="1">
        <f>0.054*(1)</f>
        <v>5.3999999999999999E-2</v>
      </c>
      <c r="AW16" s="1" t="s">
        <v>92</v>
      </c>
      <c r="AX16" s="1">
        <f>7513*(1)</f>
        <v>7513</v>
      </c>
      <c r="AY16" s="1" t="s">
        <v>359</v>
      </c>
      <c r="AZ16" s="1">
        <f>0.079*(1)</f>
        <v>7.9000000000000001E-2</v>
      </c>
      <c r="BA16" s="1" t="s">
        <v>132</v>
      </c>
      <c r="BB16" s="1">
        <f>10900*(1)</f>
        <v>10900</v>
      </c>
      <c r="BC16" s="1" t="s">
        <v>429</v>
      </c>
      <c r="BD16" s="1">
        <f>0.065*(1)</f>
        <v>6.5000000000000002E-2</v>
      </c>
      <c r="BE16" s="1" t="s">
        <v>120</v>
      </c>
      <c r="BF16" s="1">
        <f>54600*(1)</f>
        <v>54600</v>
      </c>
      <c r="BG16" s="1" t="s">
        <v>430</v>
      </c>
      <c r="BH16" s="1">
        <f>0.066*(1)</f>
        <v>6.6000000000000003E-2</v>
      </c>
      <c r="BI16" s="1" t="s">
        <v>92</v>
      </c>
      <c r="BJ16" s="1">
        <f>4853*(1)</f>
        <v>4853</v>
      </c>
      <c r="BK16" s="1" t="s">
        <v>431</v>
      </c>
      <c r="BL16" s="1">
        <f>0.065*(1)</f>
        <v>6.5000000000000002E-2</v>
      </c>
      <c r="BM16" s="1" t="s">
        <v>145</v>
      </c>
      <c r="BN16" s="1">
        <f>15067*(1)</f>
        <v>15067</v>
      </c>
      <c r="BO16" s="1" t="s">
        <v>432</v>
      </c>
      <c r="BP16" s="1">
        <f>0.065*(1)</f>
        <v>6.5000000000000002E-2</v>
      </c>
      <c r="BQ16" s="1" t="s">
        <v>90</v>
      </c>
      <c r="BR16" s="1">
        <f>12320*(1)</f>
        <v>12320</v>
      </c>
      <c r="BS16" s="1" t="s">
        <v>433</v>
      </c>
      <c r="BT16" s="1">
        <f>0.068*(1)</f>
        <v>6.8000000000000005E-2</v>
      </c>
      <c r="BU16" s="1" t="s">
        <v>87</v>
      </c>
      <c r="BV16" s="1">
        <f>21830*(1)</f>
        <v>21830</v>
      </c>
      <c r="BW16" s="1" t="s">
        <v>434</v>
      </c>
      <c r="BX16" s="1">
        <f>0.069*(1)</f>
        <v>6.9000000000000006E-2</v>
      </c>
      <c r="BY16" s="1" t="s">
        <v>90</v>
      </c>
      <c r="BZ16" s="1">
        <f>28389*(1)</f>
        <v>28389</v>
      </c>
      <c r="CA16" s="1" t="s">
        <v>435</v>
      </c>
      <c r="CB16" s="1">
        <f>0.066*(1)</f>
        <v>6.6000000000000003E-2</v>
      </c>
      <c r="CC16" s="1" t="s">
        <v>96</v>
      </c>
      <c r="CD16" s="1">
        <f>15560*(1)</f>
        <v>15560</v>
      </c>
      <c r="CE16" s="1" t="s">
        <v>436</v>
      </c>
      <c r="CF16" s="1">
        <f>0.069*(1)</f>
        <v>6.9000000000000006E-2</v>
      </c>
      <c r="CG16" s="1" t="s">
        <v>109</v>
      </c>
      <c r="CH16" s="1">
        <f>3289*(1)</f>
        <v>3289</v>
      </c>
      <c r="CI16" s="1" t="s">
        <v>398</v>
      </c>
      <c r="CJ16" s="1">
        <f>0.05*(1)</f>
        <v>0.05</v>
      </c>
      <c r="CK16" s="1" t="s">
        <v>145</v>
      </c>
      <c r="CL16" s="1">
        <f>11598*(1)</f>
        <v>11598</v>
      </c>
      <c r="CM16" s="1" t="s">
        <v>437</v>
      </c>
      <c r="CN16" s="1">
        <f>0.063*(1)</f>
        <v>6.3E-2</v>
      </c>
      <c r="CO16" s="1" t="s">
        <v>120</v>
      </c>
      <c r="CP16" s="1">
        <f>7027*(1)</f>
        <v>7027</v>
      </c>
      <c r="CQ16" s="1" t="s">
        <v>438</v>
      </c>
      <c r="CR16" s="1">
        <f>0.064*(1)</f>
        <v>6.4000000000000001E-2</v>
      </c>
      <c r="CS16" s="1" t="s">
        <v>132</v>
      </c>
      <c r="CT16" s="1">
        <f>34388*(1)</f>
        <v>34388</v>
      </c>
      <c r="CU16" s="1" t="s">
        <v>439</v>
      </c>
      <c r="CV16" s="1">
        <f>0.064*(1)</f>
        <v>6.4000000000000001E-2</v>
      </c>
      <c r="CW16" s="1" t="s">
        <v>96</v>
      </c>
      <c r="CX16" s="1">
        <f>5442*(1)</f>
        <v>5442</v>
      </c>
      <c r="CY16" s="1" t="s">
        <v>440</v>
      </c>
      <c r="CZ16" s="1">
        <f>0.063*(1)</f>
        <v>6.3E-2</v>
      </c>
      <c r="DA16" s="1" t="s">
        <v>141</v>
      </c>
      <c r="DB16" s="1">
        <f>10373*(1)</f>
        <v>10373</v>
      </c>
      <c r="DC16" s="1" t="s">
        <v>441</v>
      </c>
      <c r="DD16" s="1">
        <f>0.064*(1)</f>
        <v>6.4000000000000001E-2</v>
      </c>
      <c r="DE16" s="1" t="s">
        <v>87</v>
      </c>
      <c r="DF16" s="1">
        <f>7580*(1)</f>
        <v>7580</v>
      </c>
      <c r="DG16" s="1" t="s">
        <v>442</v>
      </c>
      <c r="DH16" s="1">
        <f>0.061*(1)</f>
        <v>6.0999999999999999E-2</v>
      </c>
      <c r="DI16" s="1" t="s">
        <v>132</v>
      </c>
      <c r="DJ16" s="1">
        <f>5961*(1)</f>
        <v>5961</v>
      </c>
      <c r="DK16" s="1" t="s">
        <v>307</v>
      </c>
      <c r="DL16" s="1">
        <f>0.078*(1)</f>
        <v>7.8E-2</v>
      </c>
      <c r="DM16" s="1" t="s">
        <v>132</v>
      </c>
      <c r="DN16" s="1">
        <f>4751*(1)</f>
        <v>4751</v>
      </c>
      <c r="DO16" s="1" t="s">
        <v>370</v>
      </c>
      <c r="DP16" s="1">
        <f>0.065*(1)</f>
        <v>6.5000000000000002E-2</v>
      </c>
      <c r="DQ16" s="1" t="s">
        <v>129</v>
      </c>
      <c r="DR16" s="1">
        <f>26063*(1)</f>
        <v>26063</v>
      </c>
      <c r="DS16" s="1" t="s">
        <v>443</v>
      </c>
      <c r="DT16" s="1">
        <f>0.07*(1)</f>
        <v>7.0000000000000007E-2</v>
      </c>
      <c r="DU16" s="1" t="s">
        <v>94</v>
      </c>
      <c r="DV16" s="1">
        <f>34679*(1)</f>
        <v>34679</v>
      </c>
      <c r="DW16" s="1" t="s">
        <v>444</v>
      </c>
      <c r="DX16" s="1">
        <f>0.065*(1)</f>
        <v>6.5000000000000002E-2</v>
      </c>
      <c r="DY16" s="1" t="s">
        <v>96</v>
      </c>
      <c r="DZ16" s="1">
        <f>12000*(1)</f>
        <v>12000</v>
      </c>
      <c r="EA16" s="1" t="s">
        <v>445</v>
      </c>
      <c r="EB16" s="1">
        <f>0.06*(1)</f>
        <v>0.06</v>
      </c>
      <c r="EC16" s="1" t="s">
        <v>120</v>
      </c>
      <c r="ED16" s="1">
        <f>5199*(1)</f>
        <v>5199</v>
      </c>
      <c r="EE16" s="1" t="s">
        <v>351</v>
      </c>
      <c r="EF16" s="1">
        <f>0.056*(1)</f>
        <v>5.6000000000000001E-2</v>
      </c>
      <c r="EG16" s="1" t="s">
        <v>109</v>
      </c>
      <c r="EH16" s="1">
        <f>16773*(1)</f>
        <v>16773</v>
      </c>
      <c r="EI16" s="1" t="s">
        <v>446</v>
      </c>
      <c r="EJ16" s="1">
        <f>0.068*(1)</f>
        <v>6.8000000000000005E-2</v>
      </c>
      <c r="EK16" s="1" t="s">
        <v>109</v>
      </c>
      <c r="EL16" s="1">
        <f>8032*(1)</f>
        <v>8032</v>
      </c>
      <c r="EM16" s="1" t="s">
        <v>352</v>
      </c>
      <c r="EN16" s="1">
        <f>0.069*(1)</f>
        <v>6.9000000000000006E-2</v>
      </c>
      <c r="EO16" s="1" t="s">
        <v>120</v>
      </c>
      <c r="EP16" s="1">
        <f>9335*(1)</f>
        <v>9335</v>
      </c>
      <c r="EQ16" s="1" t="s">
        <v>447</v>
      </c>
      <c r="ER16" s="1">
        <f>0.07*(1)</f>
        <v>7.0000000000000007E-2</v>
      </c>
      <c r="ES16" s="1" t="s">
        <v>87</v>
      </c>
    </row>
    <row r="17" spans="1:149" x14ac:dyDescent="0.3">
      <c r="A17" s="7" t="s">
        <v>448</v>
      </c>
      <c r="B17" s="1">
        <f>7126*(1)</f>
        <v>7126</v>
      </c>
      <c r="C17" s="1" t="s">
        <v>291</v>
      </c>
      <c r="D17" s="1">
        <f>0.07*(1)</f>
        <v>7.0000000000000007E-2</v>
      </c>
      <c r="E17" s="1" t="s">
        <v>87</v>
      </c>
      <c r="F17" s="1">
        <f>8138*(1)</f>
        <v>8138</v>
      </c>
      <c r="G17" s="1" t="s">
        <v>449</v>
      </c>
      <c r="H17" s="1">
        <f>0.084*(1)</f>
        <v>8.4000000000000005E-2</v>
      </c>
      <c r="I17" s="1" t="s">
        <v>145</v>
      </c>
      <c r="J17" s="1">
        <f>5209*(1)</f>
        <v>5209</v>
      </c>
      <c r="K17" s="1" t="s">
        <v>450</v>
      </c>
      <c r="L17" s="1">
        <f>0.079*(1)</f>
        <v>7.9000000000000001E-2</v>
      </c>
      <c r="M17" s="1" t="s">
        <v>139</v>
      </c>
      <c r="N17" s="1">
        <f>24946*(1)</f>
        <v>24946</v>
      </c>
      <c r="O17" s="1" t="s">
        <v>451</v>
      </c>
      <c r="P17" s="1">
        <f>0.064*(1)</f>
        <v>6.4000000000000001E-2</v>
      </c>
      <c r="Q17" s="1" t="s">
        <v>94</v>
      </c>
      <c r="R17" s="1">
        <f>10480*(1)</f>
        <v>10480</v>
      </c>
      <c r="S17" s="1" t="s">
        <v>452</v>
      </c>
      <c r="T17" s="1">
        <f>0.077*(1)</f>
        <v>7.6999999999999999E-2</v>
      </c>
      <c r="U17" s="1" t="s">
        <v>120</v>
      </c>
      <c r="V17" s="1">
        <f>16248*(1)</f>
        <v>16248</v>
      </c>
      <c r="W17" s="1" t="s">
        <v>453</v>
      </c>
      <c r="X17" s="1">
        <f>0.078*(1)</f>
        <v>7.8E-2</v>
      </c>
      <c r="Y17" s="1" t="s">
        <v>120</v>
      </c>
      <c r="Z17" s="1">
        <f>6955*(1)</f>
        <v>6955</v>
      </c>
      <c r="AA17" s="1" t="s">
        <v>454</v>
      </c>
      <c r="AB17" s="1">
        <f>0.069*(1)</f>
        <v>6.9000000000000006E-2</v>
      </c>
      <c r="AC17" s="1" t="s">
        <v>129</v>
      </c>
      <c r="AD17" s="1">
        <f>93246*(1)</f>
        <v>93246</v>
      </c>
      <c r="AE17" s="1" t="s">
        <v>455</v>
      </c>
      <c r="AF17" s="1">
        <f>0.075*(1)</f>
        <v>7.4999999999999997E-2</v>
      </c>
      <c r="AG17" s="1" t="s">
        <v>92</v>
      </c>
      <c r="AH17" s="1">
        <f>12244*(1)</f>
        <v>12244</v>
      </c>
      <c r="AI17" s="1" t="s">
        <v>456</v>
      </c>
      <c r="AJ17" s="1">
        <f>0.055*(1)</f>
        <v>5.5E-2</v>
      </c>
      <c r="AK17" s="1" t="s">
        <v>120</v>
      </c>
      <c r="AL17" s="1">
        <f>6435*(1)</f>
        <v>6435</v>
      </c>
      <c r="AM17" s="1" t="s">
        <v>457</v>
      </c>
      <c r="AN17" s="1">
        <f>0.086*(1)</f>
        <v>8.5999999999999993E-2</v>
      </c>
      <c r="AO17" s="1" t="s">
        <v>139</v>
      </c>
      <c r="AP17" s="1">
        <f>10526*(1)</f>
        <v>10526</v>
      </c>
      <c r="AQ17" s="1" t="s">
        <v>458</v>
      </c>
      <c r="AR17" s="1">
        <f>0.065*(1)</f>
        <v>6.5000000000000002E-2</v>
      </c>
      <c r="AS17" s="1" t="s">
        <v>87</v>
      </c>
      <c r="AT17" s="1">
        <f>76731*(1)</f>
        <v>76731</v>
      </c>
      <c r="AU17" s="1" t="s">
        <v>459</v>
      </c>
      <c r="AV17" s="1">
        <f>0.058*(1)</f>
        <v>5.8000000000000003E-2</v>
      </c>
      <c r="AW17" s="1" t="s">
        <v>92</v>
      </c>
      <c r="AX17" s="1">
        <f>7240*(1)</f>
        <v>7240</v>
      </c>
      <c r="AY17" s="1" t="s">
        <v>346</v>
      </c>
      <c r="AZ17" s="1">
        <f>0.076*(1)</f>
        <v>7.5999999999999998E-2</v>
      </c>
      <c r="BA17" s="1" t="s">
        <v>145</v>
      </c>
      <c r="BB17" s="1">
        <f>11074*(1)</f>
        <v>11074</v>
      </c>
      <c r="BC17" s="1" t="s">
        <v>460</v>
      </c>
      <c r="BD17" s="1">
        <f>0.066*(1)</f>
        <v>6.6000000000000003E-2</v>
      </c>
      <c r="BE17" s="1" t="s">
        <v>120</v>
      </c>
      <c r="BF17" s="1">
        <f>51866*(1)</f>
        <v>51866</v>
      </c>
      <c r="BG17" s="1" t="s">
        <v>461</v>
      </c>
      <c r="BH17" s="1">
        <f>0.063*(1)</f>
        <v>6.3E-2</v>
      </c>
      <c r="BI17" s="1" t="s">
        <v>92</v>
      </c>
      <c r="BJ17" s="1">
        <f>5270*(1)</f>
        <v>5270</v>
      </c>
      <c r="BK17" s="1" t="s">
        <v>366</v>
      </c>
      <c r="BL17" s="1">
        <f>0.071*(1)</f>
        <v>7.0999999999999994E-2</v>
      </c>
      <c r="BM17" s="1" t="s">
        <v>145</v>
      </c>
      <c r="BN17" s="1">
        <f>20196*(1)</f>
        <v>20196</v>
      </c>
      <c r="BO17" s="1" t="s">
        <v>462</v>
      </c>
      <c r="BP17" s="1">
        <f>0.087*(1)</f>
        <v>8.6999999999999994E-2</v>
      </c>
      <c r="BQ17" s="1" t="s">
        <v>90</v>
      </c>
      <c r="BR17" s="1">
        <f>12761*(1)</f>
        <v>12761</v>
      </c>
      <c r="BS17" s="1" t="s">
        <v>463</v>
      </c>
      <c r="BT17" s="1">
        <f>0.071*(1)</f>
        <v>7.0999999999999994E-2</v>
      </c>
      <c r="BU17" s="1" t="s">
        <v>87</v>
      </c>
      <c r="BV17" s="1">
        <f>22702*(1)</f>
        <v>22702</v>
      </c>
      <c r="BW17" s="1" t="s">
        <v>464</v>
      </c>
      <c r="BX17" s="1">
        <f>0.072*(1)</f>
        <v>7.1999999999999995E-2</v>
      </c>
      <c r="BY17" s="1" t="s">
        <v>90</v>
      </c>
      <c r="BZ17" s="1">
        <f>28674*(1)</f>
        <v>28674</v>
      </c>
      <c r="CA17" s="1" t="s">
        <v>465</v>
      </c>
      <c r="CB17" s="1">
        <f>0.067*(1)</f>
        <v>6.7000000000000004E-2</v>
      </c>
      <c r="CC17" s="1" t="s">
        <v>96</v>
      </c>
      <c r="CD17" s="1">
        <f>17404*(1)</f>
        <v>17404</v>
      </c>
      <c r="CE17" s="1" t="s">
        <v>466</v>
      </c>
      <c r="CF17" s="1">
        <f>0.077*(1)</f>
        <v>7.6999999999999999E-2</v>
      </c>
      <c r="CG17" s="1" t="s">
        <v>87</v>
      </c>
      <c r="CH17" s="1">
        <f>5827*(1)</f>
        <v>5827</v>
      </c>
      <c r="CI17" s="1" t="s">
        <v>467</v>
      </c>
      <c r="CJ17" s="1">
        <f>0.089*(1)</f>
        <v>8.8999999999999996E-2</v>
      </c>
      <c r="CK17" s="1" t="s">
        <v>132</v>
      </c>
      <c r="CL17" s="1">
        <f>15122*(1)</f>
        <v>15122</v>
      </c>
      <c r="CM17" s="1" t="s">
        <v>468</v>
      </c>
      <c r="CN17" s="1">
        <f>0.083*(1)</f>
        <v>8.3000000000000004E-2</v>
      </c>
      <c r="CO17" s="1" t="s">
        <v>120</v>
      </c>
      <c r="CP17" s="1">
        <f>7852*(1)</f>
        <v>7852</v>
      </c>
      <c r="CQ17" s="1" t="s">
        <v>469</v>
      </c>
      <c r="CR17" s="1">
        <f>0.072*(1)</f>
        <v>7.1999999999999995E-2</v>
      </c>
      <c r="CS17" s="1" t="s">
        <v>109</v>
      </c>
      <c r="CT17" s="1">
        <f>36181*(1)</f>
        <v>36181</v>
      </c>
      <c r="CU17" s="1" t="s">
        <v>470</v>
      </c>
      <c r="CV17" s="1">
        <f>0.068*(1)</f>
        <v>6.8000000000000005E-2</v>
      </c>
      <c r="CW17" s="1" t="s">
        <v>96</v>
      </c>
      <c r="CX17" s="1">
        <f>6769*(1)</f>
        <v>6769</v>
      </c>
      <c r="CY17" s="1" t="s">
        <v>471</v>
      </c>
      <c r="CZ17" s="1">
        <f>0.078*(1)</f>
        <v>7.8E-2</v>
      </c>
      <c r="DA17" s="1" t="s">
        <v>141</v>
      </c>
      <c r="DB17" s="1">
        <f>12918*(1)</f>
        <v>12918</v>
      </c>
      <c r="DC17" s="1" t="s">
        <v>472</v>
      </c>
      <c r="DD17" s="1">
        <f>0.08*(1)</f>
        <v>0.08</v>
      </c>
      <c r="DE17" s="1" t="s">
        <v>109</v>
      </c>
      <c r="DF17" s="1">
        <f>8740*(1)</f>
        <v>8740</v>
      </c>
      <c r="DG17" s="1" t="s">
        <v>473</v>
      </c>
      <c r="DH17" s="1">
        <f>0.07*(1)</f>
        <v>7.0000000000000007E-2</v>
      </c>
      <c r="DI17" s="1" t="s">
        <v>132</v>
      </c>
      <c r="DJ17" s="1">
        <f>4914*(1)</f>
        <v>4914</v>
      </c>
      <c r="DK17" s="1" t="s">
        <v>474</v>
      </c>
      <c r="DL17" s="1">
        <f>0.064*(1)</f>
        <v>6.4000000000000001E-2</v>
      </c>
      <c r="DM17" s="1" t="s">
        <v>145</v>
      </c>
      <c r="DN17" s="1">
        <f>5016*(1)</f>
        <v>5016</v>
      </c>
      <c r="DO17" s="1" t="s">
        <v>475</v>
      </c>
      <c r="DP17" s="1">
        <f>0.068*(1)</f>
        <v>6.8000000000000005E-2</v>
      </c>
      <c r="DQ17" s="1" t="s">
        <v>129</v>
      </c>
      <c r="DR17" s="1">
        <f>26108*(1)</f>
        <v>26108</v>
      </c>
      <c r="DS17" s="1" t="s">
        <v>476</v>
      </c>
      <c r="DT17" s="1">
        <f>0.07*(1)</f>
        <v>7.0000000000000007E-2</v>
      </c>
      <c r="DU17" s="1" t="s">
        <v>94</v>
      </c>
      <c r="DV17" s="1">
        <f>41419*(1)</f>
        <v>41419</v>
      </c>
      <c r="DW17" s="1" t="s">
        <v>477</v>
      </c>
      <c r="DX17" s="1">
        <f>0.077*(1)</f>
        <v>7.6999999999999999E-2</v>
      </c>
      <c r="DY17" s="1" t="s">
        <v>96</v>
      </c>
      <c r="DZ17" s="1">
        <f>17409*(1)</f>
        <v>17409</v>
      </c>
      <c r="EA17" s="1" t="s">
        <v>364</v>
      </c>
      <c r="EB17" s="1">
        <f>0.086*(1)</f>
        <v>8.5999999999999993E-2</v>
      </c>
      <c r="EC17" s="1" t="s">
        <v>120</v>
      </c>
      <c r="ED17" s="1">
        <f>7469*(1)</f>
        <v>7469</v>
      </c>
      <c r="EE17" s="1" t="s">
        <v>478</v>
      </c>
      <c r="EF17" s="1">
        <f>0.081*(1)</f>
        <v>8.1000000000000003E-2</v>
      </c>
      <c r="EG17" s="1" t="s">
        <v>109</v>
      </c>
      <c r="EH17" s="1">
        <f>16376*(1)</f>
        <v>16376</v>
      </c>
      <c r="EI17" s="1" t="s">
        <v>479</v>
      </c>
      <c r="EJ17" s="1">
        <f>0.066*(1)</f>
        <v>6.6000000000000003E-2</v>
      </c>
      <c r="EK17" s="1" t="s">
        <v>109</v>
      </c>
      <c r="EL17" s="1">
        <f>7306*(1)</f>
        <v>7306</v>
      </c>
      <c r="EM17" s="1" t="s">
        <v>480</v>
      </c>
      <c r="EN17" s="1">
        <f>0.063*(1)</f>
        <v>6.3E-2</v>
      </c>
      <c r="EO17" s="1" t="s">
        <v>120</v>
      </c>
      <c r="EP17" s="1">
        <f>6526*(1)</f>
        <v>6526</v>
      </c>
      <c r="EQ17" s="1" t="s">
        <v>304</v>
      </c>
      <c r="ER17" s="1">
        <f>0.049*(1)</f>
        <v>4.9000000000000002E-2</v>
      </c>
      <c r="ES17" s="1" t="s">
        <v>87</v>
      </c>
    </row>
    <row r="18" spans="1:149" x14ac:dyDescent="0.3">
      <c r="A18" s="7" t="s">
        <v>481</v>
      </c>
      <c r="B18" s="1">
        <f>11584*(1)</f>
        <v>11584</v>
      </c>
      <c r="C18" s="1" t="s">
        <v>482</v>
      </c>
      <c r="D18" s="1">
        <f>0.114*(1)</f>
        <v>0.114</v>
      </c>
      <c r="E18" s="1" t="s">
        <v>94</v>
      </c>
      <c r="F18" s="1">
        <f>12229*(1)</f>
        <v>12229</v>
      </c>
      <c r="G18" s="1" t="s">
        <v>483</v>
      </c>
      <c r="H18" s="1">
        <f>0.126*(1)</f>
        <v>0.126</v>
      </c>
      <c r="I18" s="1" t="s">
        <v>96</v>
      </c>
      <c r="J18" s="1">
        <f>8902*(1)</f>
        <v>8902</v>
      </c>
      <c r="K18" s="1" t="s">
        <v>484</v>
      </c>
      <c r="L18" s="1">
        <f>0.135*(1)</f>
        <v>0.13500000000000001</v>
      </c>
      <c r="M18" s="1" t="s">
        <v>111</v>
      </c>
      <c r="N18" s="1">
        <f>37613*(1)</f>
        <v>37613</v>
      </c>
      <c r="O18" s="1" t="s">
        <v>485</v>
      </c>
      <c r="P18" s="1">
        <f>0.096*(1)</f>
        <v>9.6000000000000002E-2</v>
      </c>
      <c r="Q18" s="1" t="s">
        <v>111</v>
      </c>
      <c r="R18" s="1">
        <f>16159*(1)</f>
        <v>16159</v>
      </c>
      <c r="S18" s="1" t="s">
        <v>486</v>
      </c>
      <c r="T18" s="1">
        <f>0.119*(1)</f>
        <v>0.11899999999999999</v>
      </c>
      <c r="U18" s="1" t="s">
        <v>99</v>
      </c>
      <c r="V18" s="1">
        <f>23091*(1)</f>
        <v>23091</v>
      </c>
      <c r="W18" s="1" t="s">
        <v>487</v>
      </c>
      <c r="X18" s="1">
        <f>0.11*(1)</f>
        <v>0.11</v>
      </c>
      <c r="Y18" s="1" t="s">
        <v>111</v>
      </c>
      <c r="Z18" s="1">
        <f>13253*(1)</f>
        <v>13253</v>
      </c>
      <c r="AA18" s="1" t="s">
        <v>488</v>
      </c>
      <c r="AB18" s="1">
        <f>0.131*(1)</f>
        <v>0.13100000000000001</v>
      </c>
      <c r="AC18" s="1" t="s">
        <v>111</v>
      </c>
      <c r="AD18" s="1">
        <f>141141*(1)</f>
        <v>141141</v>
      </c>
      <c r="AE18" s="1" t="s">
        <v>489</v>
      </c>
      <c r="AF18" s="1">
        <f>0.113*(1)</f>
        <v>0.113</v>
      </c>
      <c r="AG18" s="1" t="s">
        <v>99</v>
      </c>
      <c r="AH18" s="1">
        <f>21225*(1)</f>
        <v>21225</v>
      </c>
      <c r="AI18" s="1" t="s">
        <v>490</v>
      </c>
      <c r="AJ18" s="1">
        <f>0.096*(1)</f>
        <v>9.6000000000000002E-2</v>
      </c>
      <c r="AK18" s="1" t="s">
        <v>92</v>
      </c>
      <c r="AL18" s="1">
        <f>10754*(1)</f>
        <v>10754</v>
      </c>
      <c r="AM18" s="1" t="s">
        <v>491</v>
      </c>
      <c r="AN18" s="1">
        <f>0.144*(1)</f>
        <v>0.14399999999999999</v>
      </c>
      <c r="AO18" s="1" t="s">
        <v>94</v>
      </c>
      <c r="AP18" s="1">
        <f>15443*(1)</f>
        <v>15443</v>
      </c>
      <c r="AQ18" s="1" t="s">
        <v>306</v>
      </c>
      <c r="AR18" s="1">
        <f>0.096*(1)</f>
        <v>9.6000000000000002E-2</v>
      </c>
      <c r="AS18" s="1" t="s">
        <v>92</v>
      </c>
      <c r="AT18" s="1">
        <f>106949*(1)</f>
        <v>106949</v>
      </c>
      <c r="AU18" s="1" t="s">
        <v>492</v>
      </c>
      <c r="AV18" s="1">
        <f>0.081*(1)</f>
        <v>8.1000000000000003E-2</v>
      </c>
      <c r="AW18" s="1" t="s">
        <v>99</v>
      </c>
      <c r="AX18" s="1">
        <f>12073*(1)</f>
        <v>12073</v>
      </c>
      <c r="AY18" s="1" t="s">
        <v>493</v>
      </c>
      <c r="AZ18" s="1">
        <f>0.126*(1)</f>
        <v>0.126</v>
      </c>
      <c r="BA18" s="1" t="s">
        <v>99</v>
      </c>
      <c r="BB18" s="1">
        <f>19237*(1)</f>
        <v>19237</v>
      </c>
      <c r="BC18" s="1" t="s">
        <v>288</v>
      </c>
      <c r="BD18" s="1">
        <f>0.114*(1)</f>
        <v>0.114</v>
      </c>
      <c r="BE18" s="1" t="s">
        <v>96</v>
      </c>
      <c r="BF18" s="1">
        <f>81704*(1)</f>
        <v>81704</v>
      </c>
      <c r="BG18" s="1" t="s">
        <v>494</v>
      </c>
      <c r="BH18" s="1">
        <f>0.099*(1)</f>
        <v>9.9000000000000005E-2</v>
      </c>
      <c r="BI18" s="1" t="s">
        <v>99</v>
      </c>
      <c r="BJ18" s="1">
        <f>8487*(1)</f>
        <v>8487</v>
      </c>
      <c r="BK18" s="1" t="s">
        <v>495</v>
      </c>
      <c r="BL18" s="1">
        <f>0.114*(1)</f>
        <v>0.114</v>
      </c>
      <c r="BM18" s="1" t="s">
        <v>90</v>
      </c>
      <c r="BN18" s="1">
        <f>29447*(1)</f>
        <v>29447</v>
      </c>
      <c r="BO18" s="1" t="s">
        <v>324</v>
      </c>
      <c r="BP18" s="1">
        <f>0.127*(1)</f>
        <v>0.127</v>
      </c>
      <c r="BQ18" s="1" t="s">
        <v>111</v>
      </c>
      <c r="BR18" s="1">
        <f>18854*(1)</f>
        <v>18854</v>
      </c>
      <c r="BS18" s="1" t="s">
        <v>496</v>
      </c>
      <c r="BT18" s="1">
        <f>0.105*(1)</f>
        <v>0.105</v>
      </c>
      <c r="BU18" s="1" t="s">
        <v>111</v>
      </c>
      <c r="BV18" s="1">
        <f>36813*(1)</f>
        <v>36813</v>
      </c>
      <c r="BW18" s="1" t="s">
        <v>497</v>
      </c>
      <c r="BX18" s="1">
        <f>0.117*(1)</f>
        <v>0.11700000000000001</v>
      </c>
      <c r="BY18" s="1" t="s">
        <v>99</v>
      </c>
      <c r="BZ18" s="1">
        <f>45789*(1)</f>
        <v>45789</v>
      </c>
      <c r="CA18" s="1" t="s">
        <v>275</v>
      </c>
      <c r="CB18" s="1">
        <f>0.107*(1)</f>
        <v>0.107</v>
      </c>
      <c r="CC18" s="1" t="s">
        <v>99</v>
      </c>
      <c r="CD18" s="1">
        <f>29766*(1)</f>
        <v>29766</v>
      </c>
      <c r="CE18" s="1" t="s">
        <v>498</v>
      </c>
      <c r="CF18" s="1">
        <f>0.131*(1)</f>
        <v>0.13100000000000001</v>
      </c>
      <c r="CG18" s="1" t="s">
        <v>99</v>
      </c>
      <c r="CH18" s="1">
        <f>7671*(1)</f>
        <v>7671</v>
      </c>
      <c r="CI18" s="1" t="s">
        <v>89</v>
      </c>
      <c r="CJ18" s="1">
        <f>0.117*(1)</f>
        <v>0.11700000000000001</v>
      </c>
      <c r="CK18" s="1" t="s">
        <v>90</v>
      </c>
      <c r="CL18" s="1">
        <f>21290*(1)</f>
        <v>21290</v>
      </c>
      <c r="CM18" s="1" t="s">
        <v>266</v>
      </c>
      <c r="CN18" s="1">
        <f>0.116*(1)</f>
        <v>0.11600000000000001</v>
      </c>
      <c r="CO18" s="1" t="s">
        <v>111</v>
      </c>
      <c r="CP18" s="1">
        <f>13039*(1)</f>
        <v>13039</v>
      </c>
      <c r="CQ18" s="1" t="s">
        <v>499</v>
      </c>
      <c r="CR18" s="1">
        <f>0.119*(1)</f>
        <v>0.11899999999999999</v>
      </c>
      <c r="CS18" s="1" t="s">
        <v>90</v>
      </c>
      <c r="CT18" s="1">
        <f>58093*(1)</f>
        <v>58093</v>
      </c>
      <c r="CU18" s="1" t="s">
        <v>482</v>
      </c>
      <c r="CV18" s="1">
        <f>0.108*(1)</f>
        <v>0.108</v>
      </c>
      <c r="CW18" s="1" t="s">
        <v>99</v>
      </c>
      <c r="CX18" s="1">
        <f>9260*(1)</f>
        <v>9260</v>
      </c>
      <c r="CY18" s="1" t="s">
        <v>500</v>
      </c>
      <c r="CZ18" s="1">
        <f>0.107*(1)</f>
        <v>0.107</v>
      </c>
      <c r="DA18" s="1" t="s">
        <v>111</v>
      </c>
      <c r="DB18" s="1">
        <f>17724*(1)</f>
        <v>17724</v>
      </c>
      <c r="DC18" s="1" t="s">
        <v>501</v>
      </c>
      <c r="DD18" s="1">
        <f>0.109*(1)</f>
        <v>0.109</v>
      </c>
      <c r="DE18" s="1" t="s">
        <v>92</v>
      </c>
      <c r="DF18" s="1">
        <f>14389*(1)</f>
        <v>14389</v>
      </c>
      <c r="DG18" s="1" t="s">
        <v>502</v>
      </c>
      <c r="DH18" s="1">
        <f>0.115*(1)</f>
        <v>0.115</v>
      </c>
      <c r="DI18" s="1" t="s">
        <v>111</v>
      </c>
      <c r="DJ18" s="1">
        <f>8456*(1)</f>
        <v>8456</v>
      </c>
      <c r="DK18" s="1" t="s">
        <v>503</v>
      </c>
      <c r="DL18" s="1">
        <f>0.11*(1)</f>
        <v>0.11</v>
      </c>
      <c r="DM18" s="1" t="s">
        <v>96</v>
      </c>
      <c r="DN18" s="1">
        <f>8096*(1)</f>
        <v>8096</v>
      </c>
      <c r="DO18" s="1" t="s">
        <v>504</v>
      </c>
      <c r="DP18" s="1">
        <f>0.11*(1)</f>
        <v>0.11</v>
      </c>
      <c r="DQ18" s="1" t="s">
        <v>111</v>
      </c>
      <c r="DR18" s="1">
        <f>45254*(1)</f>
        <v>45254</v>
      </c>
      <c r="DS18" s="1" t="s">
        <v>505</v>
      </c>
      <c r="DT18" s="1">
        <f>0.121*(1)</f>
        <v>0.121</v>
      </c>
      <c r="DU18" s="1" t="s">
        <v>99</v>
      </c>
      <c r="DV18" s="1">
        <f>62699*(1)</f>
        <v>62699</v>
      </c>
      <c r="DW18" s="1" t="s">
        <v>133</v>
      </c>
      <c r="DX18" s="1">
        <f>0.117*(1)</f>
        <v>0.11700000000000001</v>
      </c>
      <c r="DY18" s="1" t="s">
        <v>99</v>
      </c>
      <c r="DZ18" s="1">
        <f>26307*(1)</f>
        <v>26307</v>
      </c>
      <c r="EA18" s="1" t="s">
        <v>506</v>
      </c>
      <c r="EB18" s="1">
        <f>0.131*(1)</f>
        <v>0.13100000000000001</v>
      </c>
      <c r="EC18" s="1" t="s">
        <v>92</v>
      </c>
      <c r="ED18" s="1">
        <f>11039*(1)</f>
        <v>11039</v>
      </c>
      <c r="EE18" s="1" t="s">
        <v>507</v>
      </c>
      <c r="EF18" s="1">
        <f>0.119*(1)</f>
        <v>0.11899999999999999</v>
      </c>
      <c r="EG18" s="1" t="s">
        <v>111</v>
      </c>
      <c r="EH18" s="1">
        <f>23400*(1)</f>
        <v>23400</v>
      </c>
      <c r="EI18" s="1" t="s">
        <v>508</v>
      </c>
      <c r="EJ18" s="1">
        <f>0.095*(1)</f>
        <v>9.5000000000000001E-2</v>
      </c>
      <c r="EK18" s="1" t="s">
        <v>99</v>
      </c>
      <c r="EL18" s="1">
        <f>13131*(1)</f>
        <v>13131</v>
      </c>
      <c r="EM18" s="1" t="s">
        <v>509</v>
      </c>
      <c r="EN18" s="1">
        <f>0.113*(1)</f>
        <v>0.113</v>
      </c>
      <c r="EO18" s="1" t="s">
        <v>92</v>
      </c>
      <c r="EP18" s="1">
        <f>13170*(1)</f>
        <v>13170</v>
      </c>
      <c r="EQ18" s="1" t="s">
        <v>510</v>
      </c>
      <c r="ER18" s="1">
        <f>0.099*(1)</f>
        <v>9.9000000000000005E-2</v>
      </c>
      <c r="ES18" s="1" t="s">
        <v>111</v>
      </c>
    </row>
    <row r="19" spans="1:149" x14ac:dyDescent="0.3">
      <c r="A19" s="7" t="s">
        <v>511</v>
      </c>
      <c r="B19" s="1">
        <f>5785*(1)</f>
        <v>5785</v>
      </c>
      <c r="C19" s="1" t="s">
        <v>93</v>
      </c>
      <c r="D19" s="1">
        <f>0.057*(1)</f>
        <v>5.7000000000000002E-2</v>
      </c>
      <c r="E19" s="1" t="s">
        <v>90</v>
      </c>
      <c r="F19" s="1">
        <f>5639*(1)</f>
        <v>5639</v>
      </c>
      <c r="G19" s="1" t="s">
        <v>409</v>
      </c>
      <c r="H19" s="1">
        <f>0.058*(1)</f>
        <v>5.8000000000000003E-2</v>
      </c>
      <c r="I19" s="1" t="s">
        <v>90</v>
      </c>
      <c r="J19" s="1">
        <f>3603*(1)</f>
        <v>3603</v>
      </c>
      <c r="K19" s="1" t="s">
        <v>97</v>
      </c>
      <c r="L19" s="1">
        <f>0.055*(1)</f>
        <v>5.5E-2</v>
      </c>
      <c r="M19" s="1" t="s">
        <v>87</v>
      </c>
      <c r="N19" s="1">
        <f>16257*(1)</f>
        <v>16257</v>
      </c>
      <c r="O19" s="1" t="s">
        <v>512</v>
      </c>
      <c r="P19" s="1">
        <f>0.042*(1)</f>
        <v>4.2000000000000003E-2</v>
      </c>
      <c r="Q19" s="1" t="s">
        <v>92</v>
      </c>
      <c r="R19" s="1">
        <f>8231*(1)</f>
        <v>8231</v>
      </c>
      <c r="S19" s="1" t="s">
        <v>513</v>
      </c>
      <c r="T19" s="1">
        <f>0.061*(1)</f>
        <v>6.0999999999999999E-2</v>
      </c>
      <c r="U19" s="1" t="s">
        <v>94</v>
      </c>
      <c r="V19" s="1">
        <f>9662*(1)</f>
        <v>9662</v>
      </c>
      <c r="W19" s="1" t="s">
        <v>514</v>
      </c>
      <c r="X19" s="1">
        <f>0.046*(1)</f>
        <v>4.5999999999999999E-2</v>
      </c>
      <c r="Y19" s="1" t="s">
        <v>96</v>
      </c>
      <c r="Z19" s="1">
        <f>6114*(1)</f>
        <v>6114</v>
      </c>
      <c r="AA19" s="1" t="s">
        <v>355</v>
      </c>
      <c r="AB19" s="1">
        <f>0.06*(1)</f>
        <v>0.06</v>
      </c>
      <c r="AC19" s="1" t="s">
        <v>87</v>
      </c>
      <c r="AD19" s="1">
        <f>68469*(1)</f>
        <v>68469</v>
      </c>
      <c r="AE19" s="1" t="s">
        <v>515</v>
      </c>
      <c r="AF19" s="1">
        <f>0.055*(1)</f>
        <v>5.5E-2</v>
      </c>
      <c r="AG19" s="1" t="s">
        <v>111</v>
      </c>
      <c r="AH19" s="1">
        <f>8847*(1)</f>
        <v>8847</v>
      </c>
      <c r="AI19" s="1" t="s">
        <v>516</v>
      </c>
      <c r="AJ19" s="1">
        <f>0.04*(1)</f>
        <v>0.04</v>
      </c>
      <c r="AK19" s="1" t="s">
        <v>92</v>
      </c>
      <c r="AL19" s="1">
        <f>5494*(1)</f>
        <v>5494</v>
      </c>
      <c r="AM19" s="1" t="s">
        <v>517</v>
      </c>
      <c r="AN19" s="1">
        <f>0.073*(1)</f>
        <v>7.2999999999999995E-2</v>
      </c>
      <c r="AO19" s="1" t="s">
        <v>109</v>
      </c>
      <c r="AP19" s="1">
        <f>7515*(1)</f>
        <v>7515</v>
      </c>
      <c r="AQ19" s="1" t="s">
        <v>518</v>
      </c>
      <c r="AR19" s="1">
        <f>0.047*(1)</f>
        <v>4.7E-2</v>
      </c>
      <c r="AS19" s="1" t="s">
        <v>96</v>
      </c>
      <c r="AT19" s="1">
        <f>44229*(1)</f>
        <v>44229</v>
      </c>
      <c r="AU19" s="1" t="s">
        <v>519</v>
      </c>
      <c r="AV19" s="1">
        <f>0.033*(1)</f>
        <v>3.3000000000000002E-2</v>
      </c>
      <c r="AW19" s="1" t="s">
        <v>111</v>
      </c>
      <c r="AX19" s="1">
        <f>6908*(1)</f>
        <v>6908</v>
      </c>
      <c r="AY19" s="1" t="s">
        <v>324</v>
      </c>
      <c r="AZ19" s="1">
        <f>0.072*(1)</f>
        <v>7.1999999999999995E-2</v>
      </c>
      <c r="BA19" s="1" t="s">
        <v>90</v>
      </c>
      <c r="BB19" s="1">
        <f>8605*(1)</f>
        <v>8605</v>
      </c>
      <c r="BC19" s="1" t="s">
        <v>379</v>
      </c>
      <c r="BD19" s="1">
        <f>0.051*(1)</f>
        <v>5.0999999999999997E-2</v>
      </c>
      <c r="BE19" s="1" t="s">
        <v>94</v>
      </c>
      <c r="BF19" s="1">
        <f>34922*(1)</f>
        <v>34922</v>
      </c>
      <c r="BG19" s="1" t="s">
        <v>520</v>
      </c>
      <c r="BH19" s="1">
        <f>0.042*(1)</f>
        <v>4.2000000000000003E-2</v>
      </c>
      <c r="BI19" s="1" t="s">
        <v>111</v>
      </c>
      <c r="BJ19" s="1">
        <f>3845*(1)</f>
        <v>3845</v>
      </c>
      <c r="BK19" s="1" t="s">
        <v>521</v>
      </c>
      <c r="BL19" s="1">
        <f>0.052*(1)</f>
        <v>5.1999999999999998E-2</v>
      </c>
      <c r="BM19" s="1" t="s">
        <v>87</v>
      </c>
      <c r="BN19" s="1">
        <f>13437*(1)</f>
        <v>13437</v>
      </c>
      <c r="BO19" s="1" t="s">
        <v>522</v>
      </c>
      <c r="BP19" s="1">
        <f>0.058*(1)</f>
        <v>5.8000000000000003E-2</v>
      </c>
      <c r="BQ19" s="1" t="s">
        <v>94</v>
      </c>
      <c r="BR19" s="1">
        <f>8913*(1)</f>
        <v>8913</v>
      </c>
      <c r="BS19" s="1" t="s">
        <v>396</v>
      </c>
      <c r="BT19" s="1">
        <f>0.049*(1)</f>
        <v>4.9000000000000002E-2</v>
      </c>
      <c r="BU19" s="1" t="s">
        <v>94</v>
      </c>
      <c r="BV19" s="1">
        <f>17100*(1)</f>
        <v>17100</v>
      </c>
      <c r="BW19" s="1" t="s">
        <v>523</v>
      </c>
      <c r="BX19" s="1">
        <f>0.054*(1)</f>
        <v>5.3999999999999999E-2</v>
      </c>
      <c r="BY19" s="1" t="s">
        <v>96</v>
      </c>
      <c r="BZ19" s="1">
        <f>18790*(1)</f>
        <v>18790</v>
      </c>
      <c r="CA19" s="1" t="s">
        <v>524</v>
      </c>
      <c r="CB19" s="1">
        <f>0.044*(1)</f>
        <v>4.3999999999999997E-2</v>
      </c>
      <c r="CC19" s="1" t="s">
        <v>92</v>
      </c>
      <c r="CD19" s="1">
        <f>13044*(1)</f>
        <v>13044</v>
      </c>
      <c r="CE19" s="1" t="s">
        <v>525</v>
      </c>
      <c r="CF19" s="1">
        <f>0.058*(1)</f>
        <v>5.8000000000000003E-2</v>
      </c>
      <c r="CG19" s="1" t="s">
        <v>96</v>
      </c>
      <c r="CH19" s="1">
        <f>3349*(1)</f>
        <v>3349</v>
      </c>
      <c r="CI19" s="1" t="s">
        <v>526</v>
      </c>
      <c r="CJ19" s="1">
        <f>0.051*(1)</f>
        <v>5.0999999999999997E-2</v>
      </c>
      <c r="CK19" s="1" t="s">
        <v>87</v>
      </c>
      <c r="CL19" s="1">
        <f>10622*(1)</f>
        <v>10622</v>
      </c>
      <c r="CM19" s="1" t="s">
        <v>273</v>
      </c>
      <c r="CN19" s="1">
        <f>0.058*(1)</f>
        <v>5.8000000000000003E-2</v>
      </c>
      <c r="CO19" s="1" t="s">
        <v>94</v>
      </c>
      <c r="CP19" s="1">
        <f>6082*(1)</f>
        <v>6082</v>
      </c>
      <c r="CQ19" s="1" t="s">
        <v>527</v>
      </c>
      <c r="CR19" s="1">
        <f>0.056*(1)</f>
        <v>5.6000000000000001E-2</v>
      </c>
      <c r="CS19" s="1" t="s">
        <v>120</v>
      </c>
      <c r="CT19" s="1">
        <f>30130*(1)</f>
        <v>30130</v>
      </c>
      <c r="CU19" s="1" t="s">
        <v>528</v>
      </c>
      <c r="CV19" s="1">
        <f>0.056*(1)</f>
        <v>5.6000000000000001E-2</v>
      </c>
      <c r="CW19" s="1" t="s">
        <v>111</v>
      </c>
      <c r="CX19" s="1">
        <f>4668*(1)</f>
        <v>4668</v>
      </c>
      <c r="CY19" s="1" t="s">
        <v>529</v>
      </c>
      <c r="CZ19" s="1">
        <f>0.054*(1)</f>
        <v>5.3999999999999999E-2</v>
      </c>
      <c r="DA19" s="1" t="s">
        <v>120</v>
      </c>
      <c r="DB19" s="1">
        <f>8204*(1)</f>
        <v>8204</v>
      </c>
      <c r="DC19" s="1" t="s">
        <v>530</v>
      </c>
      <c r="DD19" s="1">
        <f>0.051*(1)</f>
        <v>5.0999999999999997E-2</v>
      </c>
      <c r="DE19" s="1" t="s">
        <v>90</v>
      </c>
      <c r="DF19" s="1">
        <f>8015*(1)</f>
        <v>8015</v>
      </c>
      <c r="DG19" s="1" t="s">
        <v>531</v>
      </c>
      <c r="DH19" s="1">
        <f>0.064*(1)</f>
        <v>6.4000000000000001E-2</v>
      </c>
      <c r="DI19" s="1" t="s">
        <v>120</v>
      </c>
      <c r="DJ19" s="1">
        <f>3511*(1)</f>
        <v>3511</v>
      </c>
      <c r="DK19" s="1" t="s">
        <v>532</v>
      </c>
      <c r="DL19" s="1">
        <f>0.046*(1)</f>
        <v>4.5999999999999999E-2</v>
      </c>
      <c r="DM19" s="1" t="s">
        <v>87</v>
      </c>
      <c r="DN19" s="1">
        <f>4269*(1)</f>
        <v>4269</v>
      </c>
      <c r="DO19" s="1" t="s">
        <v>533</v>
      </c>
      <c r="DP19" s="1">
        <f>0.058*(1)</f>
        <v>5.8000000000000003E-2</v>
      </c>
      <c r="DQ19" s="1" t="s">
        <v>87</v>
      </c>
      <c r="DR19" s="1">
        <f>22160*(1)</f>
        <v>22160</v>
      </c>
      <c r="DS19" s="1" t="s">
        <v>534</v>
      </c>
      <c r="DT19" s="1">
        <f>0.059*(1)</f>
        <v>5.8999999999999997E-2</v>
      </c>
      <c r="DU19" s="1" t="s">
        <v>92</v>
      </c>
      <c r="DV19" s="1">
        <f>27731*(1)</f>
        <v>27731</v>
      </c>
      <c r="DW19" s="1" t="s">
        <v>237</v>
      </c>
      <c r="DX19" s="1">
        <f>0.052*(1)</f>
        <v>5.1999999999999998E-2</v>
      </c>
      <c r="DY19" s="1" t="s">
        <v>111</v>
      </c>
      <c r="DZ19" s="1">
        <f>12850*(1)</f>
        <v>12850</v>
      </c>
      <c r="EA19" s="1" t="s">
        <v>195</v>
      </c>
      <c r="EB19" s="1">
        <f>0.064*(1)</f>
        <v>6.4000000000000001E-2</v>
      </c>
      <c r="EC19" s="1" t="s">
        <v>94</v>
      </c>
      <c r="ED19" s="1">
        <f>5451*(1)</f>
        <v>5451</v>
      </c>
      <c r="EE19" s="1" t="s">
        <v>535</v>
      </c>
      <c r="EF19" s="1">
        <f>0.059*(1)</f>
        <v>5.8999999999999997E-2</v>
      </c>
      <c r="EG19" s="1" t="s">
        <v>90</v>
      </c>
      <c r="EH19" s="1">
        <f>10245*(1)</f>
        <v>10245</v>
      </c>
      <c r="EI19" s="1" t="s">
        <v>536</v>
      </c>
      <c r="EJ19" s="1">
        <f>0.042*(1)</f>
        <v>4.2000000000000003E-2</v>
      </c>
      <c r="EK19" s="1" t="s">
        <v>96</v>
      </c>
      <c r="EL19" s="1">
        <f>6523*(1)</f>
        <v>6523</v>
      </c>
      <c r="EM19" s="1" t="s">
        <v>537</v>
      </c>
      <c r="EN19" s="1">
        <f>0.056*(1)</f>
        <v>5.6000000000000001E-2</v>
      </c>
      <c r="EO19" s="1" t="s">
        <v>94</v>
      </c>
      <c r="EP19" s="1">
        <f>5647*(1)</f>
        <v>5647</v>
      </c>
      <c r="EQ19" s="1" t="s">
        <v>538</v>
      </c>
      <c r="ER19" s="1">
        <f>0.043*(1)</f>
        <v>4.2999999999999997E-2</v>
      </c>
      <c r="ES19" s="1" t="s">
        <v>94</v>
      </c>
    </row>
    <row r="20" spans="1:149" x14ac:dyDescent="0.3">
      <c r="A20" s="7" t="s">
        <v>539</v>
      </c>
      <c r="B20" s="1">
        <f>1754*(1)</f>
        <v>1754</v>
      </c>
      <c r="C20" s="1" t="s">
        <v>416</v>
      </c>
      <c r="D20" s="1">
        <f>0.017*(1)</f>
        <v>1.7000000000000001E-2</v>
      </c>
      <c r="E20" s="1" t="s">
        <v>94</v>
      </c>
      <c r="F20" s="1">
        <f>1895*(1)</f>
        <v>1895</v>
      </c>
      <c r="G20" s="1" t="s">
        <v>540</v>
      </c>
      <c r="H20" s="1">
        <f>0.019*(1)</f>
        <v>1.9E-2</v>
      </c>
      <c r="I20" s="1" t="s">
        <v>94</v>
      </c>
      <c r="J20" s="1">
        <f>1748*(1)</f>
        <v>1748</v>
      </c>
      <c r="K20" s="1" t="s">
        <v>541</v>
      </c>
      <c r="L20" s="1">
        <f>0.027*(1)</f>
        <v>2.7E-2</v>
      </c>
      <c r="M20" s="1" t="s">
        <v>87</v>
      </c>
      <c r="N20" s="1">
        <f>6266*(1)</f>
        <v>6266</v>
      </c>
      <c r="O20" s="1" t="s">
        <v>542</v>
      </c>
      <c r="P20" s="1">
        <f>0.016*(1)</f>
        <v>1.6E-2</v>
      </c>
      <c r="Q20" s="1" t="s">
        <v>92</v>
      </c>
      <c r="R20" s="1">
        <f>2375*(1)</f>
        <v>2375</v>
      </c>
      <c r="S20" s="1" t="s">
        <v>543</v>
      </c>
      <c r="T20" s="1">
        <f>0.018*(1)</f>
        <v>1.7999999999999999E-2</v>
      </c>
      <c r="U20" s="1" t="s">
        <v>96</v>
      </c>
      <c r="V20" s="1">
        <f>4002*(1)</f>
        <v>4002</v>
      </c>
      <c r="W20" s="1" t="s">
        <v>544</v>
      </c>
      <c r="X20" s="1">
        <f>0.019*(1)</f>
        <v>1.9E-2</v>
      </c>
      <c r="Y20" s="1" t="s">
        <v>96</v>
      </c>
      <c r="Z20" s="1">
        <f>2305*(1)</f>
        <v>2305</v>
      </c>
      <c r="AA20" s="1" t="s">
        <v>161</v>
      </c>
      <c r="AB20" s="1">
        <f>0.023*(1)</f>
        <v>2.3E-2</v>
      </c>
      <c r="AC20" s="1" t="s">
        <v>120</v>
      </c>
      <c r="AD20" s="1">
        <f>27764*(1)</f>
        <v>27764</v>
      </c>
      <c r="AE20" s="1" t="s">
        <v>545</v>
      </c>
      <c r="AF20" s="1">
        <f>0.022*(1)</f>
        <v>2.1999999999999999E-2</v>
      </c>
      <c r="AG20" s="1" t="s">
        <v>111</v>
      </c>
      <c r="AH20" s="1">
        <f>2556*(1)</f>
        <v>2556</v>
      </c>
      <c r="AI20" s="1" t="s">
        <v>546</v>
      </c>
      <c r="AJ20" s="1">
        <f>0.012*(1)</f>
        <v>1.2E-2</v>
      </c>
      <c r="AK20" s="1" t="s">
        <v>92</v>
      </c>
      <c r="AL20" s="1">
        <f>1671*(1)</f>
        <v>1671</v>
      </c>
      <c r="AM20" s="1" t="s">
        <v>547</v>
      </c>
      <c r="AN20" s="1">
        <f>0.022*(1)</f>
        <v>2.1999999999999999E-2</v>
      </c>
      <c r="AO20" s="1" t="s">
        <v>87</v>
      </c>
      <c r="AP20" s="1">
        <f>2400*(1)</f>
        <v>2400</v>
      </c>
      <c r="AQ20" s="1" t="s">
        <v>548</v>
      </c>
      <c r="AR20" s="1">
        <f>0.015*(1)</f>
        <v>1.4999999999999999E-2</v>
      </c>
      <c r="AS20" s="1" t="s">
        <v>96</v>
      </c>
      <c r="AT20" s="1">
        <f>16336*(1)</f>
        <v>16336</v>
      </c>
      <c r="AU20" s="1" t="s">
        <v>549</v>
      </c>
      <c r="AV20" s="1">
        <f>0.012*(1)</f>
        <v>1.2E-2</v>
      </c>
      <c r="AW20" s="1" t="s">
        <v>111</v>
      </c>
      <c r="AX20" s="1">
        <f>1585*(1)</f>
        <v>1585</v>
      </c>
      <c r="AY20" s="1" t="s">
        <v>114</v>
      </c>
      <c r="AZ20" s="1">
        <f>0.017*(1)</f>
        <v>1.7000000000000001E-2</v>
      </c>
      <c r="BA20" s="1" t="s">
        <v>90</v>
      </c>
      <c r="BB20" s="1">
        <f>3076*(1)</f>
        <v>3076</v>
      </c>
      <c r="BC20" s="1" t="s">
        <v>414</v>
      </c>
      <c r="BD20" s="1">
        <f>0.018*(1)</f>
        <v>1.7999999999999999E-2</v>
      </c>
      <c r="BE20" s="1" t="s">
        <v>96</v>
      </c>
      <c r="BF20" s="1">
        <f>15959*(1)</f>
        <v>15959</v>
      </c>
      <c r="BG20" s="1" t="s">
        <v>550</v>
      </c>
      <c r="BH20" s="1">
        <f>0.019*(1)</f>
        <v>1.9E-2</v>
      </c>
      <c r="BI20" s="1" t="s">
        <v>111</v>
      </c>
      <c r="BJ20" s="1">
        <f>1567*(1)</f>
        <v>1567</v>
      </c>
      <c r="BK20" s="1" t="s">
        <v>551</v>
      </c>
      <c r="BL20" s="1">
        <f>0.021*(1)</f>
        <v>2.1000000000000001E-2</v>
      </c>
      <c r="BM20" s="1" t="s">
        <v>87</v>
      </c>
      <c r="BN20" s="1">
        <f>6101*(1)</f>
        <v>6101</v>
      </c>
      <c r="BO20" s="1" t="s">
        <v>552</v>
      </c>
      <c r="BP20" s="1">
        <f>0.026*(1)</f>
        <v>2.5999999999999999E-2</v>
      </c>
      <c r="BQ20" s="1" t="s">
        <v>94</v>
      </c>
      <c r="BR20" s="1">
        <f>3290*(1)</f>
        <v>3290</v>
      </c>
      <c r="BS20" s="1" t="s">
        <v>553</v>
      </c>
      <c r="BT20" s="1">
        <f>0.018*(1)</f>
        <v>1.7999999999999999E-2</v>
      </c>
      <c r="BU20" s="1" t="s">
        <v>96</v>
      </c>
      <c r="BV20" s="1">
        <f>6587*(1)</f>
        <v>6587</v>
      </c>
      <c r="BW20" s="1" t="s">
        <v>554</v>
      </c>
      <c r="BX20" s="1">
        <f>0.021*(1)</f>
        <v>2.1000000000000001E-2</v>
      </c>
      <c r="BY20" s="1" t="s">
        <v>96</v>
      </c>
      <c r="BZ20" s="1">
        <f>8865*(1)</f>
        <v>8865</v>
      </c>
      <c r="CA20" s="1" t="s">
        <v>555</v>
      </c>
      <c r="CB20" s="1">
        <f>0.021*(1)</f>
        <v>2.1000000000000001E-2</v>
      </c>
      <c r="CC20" s="1" t="s">
        <v>92</v>
      </c>
      <c r="CD20" s="1">
        <f>6538*(1)</f>
        <v>6538</v>
      </c>
      <c r="CE20" s="1" t="s">
        <v>556</v>
      </c>
      <c r="CF20" s="1">
        <f>0.029*(1)</f>
        <v>2.9000000000000001E-2</v>
      </c>
      <c r="CG20" s="1" t="s">
        <v>96</v>
      </c>
      <c r="CH20" s="1">
        <f>1542*(1)</f>
        <v>1542</v>
      </c>
      <c r="CI20" s="1" t="s">
        <v>389</v>
      </c>
      <c r="CJ20" s="1">
        <f>0.024*(1)</f>
        <v>2.4E-2</v>
      </c>
      <c r="CK20" s="1" t="s">
        <v>120</v>
      </c>
      <c r="CL20" s="1">
        <f>2948*(1)</f>
        <v>2948</v>
      </c>
      <c r="CM20" s="1" t="s">
        <v>342</v>
      </c>
      <c r="CN20" s="1">
        <f>0.016*(1)</f>
        <v>1.6E-2</v>
      </c>
      <c r="CO20" s="1" t="s">
        <v>96</v>
      </c>
      <c r="CP20" s="1">
        <f>2420*(1)</f>
        <v>2420</v>
      </c>
      <c r="CQ20" s="1" t="s">
        <v>557</v>
      </c>
      <c r="CR20" s="1">
        <f>0.022*(1)</f>
        <v>2.1999999999999999E-2</v>
      </c>
      <c r="CS20" s="1" t="s">
        <v>120</v>
      </c>
      <c r="CT20" s="1">
        <f>10308*(1)</f>
        <v>10308</v>
      </c>
      <c r="CU20" s="1" t="s">
        <v>558</v>
      </c>
      <c r="CV20" s="1">
        <f>0.019*(1)</f>
        <v>1.9E-2</v>
      </c>
      <c r="CW20" s="1" t="s">
        <v>111</v>
      </c>
      <c r="CX20" s="1">
        <f>1446*(1)</f>
        <v>1446</v>
      </c>
      <c r="CY20" s="1" t="s">
        <v>559</v>
      </c>
      <c r="CZ20" s="1">
        <f>0.017*(1)</f>
        <v>1.7000000000000001E-2</v>
      </c>
      <c r="DA20" s="1" t="s">
        <v>120</v>
      </c>
      <c r="DB20" s="1">
        <f>3253*(1)</f>
        <v>3253</v>
      </c>
      <c r="DC20" s="1" t="s">
        <v>469</v>
      </c>
      <c r="DD20" s="1">
        <f>0.02*(1)</f>
        <v>0.02</v>
      </c>
      <c r="DE20" s="1" t="s">
        <v>90</v>
      </c>
      <c r="DF20" s="1">
        <f>2788*(1)</f>
        <v>2788</v>
      </c>
      <c r="DG20" s="1" t="s">
        <v>290</v>
      </c>
      <c r="DH20" s="1">
        <f>0.022*(1)</f>
        <v>2.1999999999999999E-2</v>
      </c>
      <c r="DI20" s="1" t="s">
        <v>90</v>
      </c>
      <c r="DJ20" s="1">
        <f>1597*(1)</f>
        <v>1597</v>
      </c>
      <c r="DK20" s="1" t="s">
        <v>560</v>
      </c>
      <c r="DL20" s="1">
        <f>0.021*(1)</f>
        <v>2.1000000000000001E-2</v>
      </c>
      <c r="DM20" s="1" t="s">
        <v>87</v>
      </c>
      <c r="DN20" s="1">
        <f>1449*(1)</f>
        <v>1449</v>
      </c>
      <c r="DO20" s="1" t="s">
        <v>561</v>
      </c>
      <c r="DP20" s="1">
        <f>0.02*(1)</f>
        <v>0.02</v>
      </c>
      <c r="DQ20" s="1" t="s">
        <v>87</v>
      </c>
      <c r="DR20" s="1">
        <f>8237*(1)</f>
        <v>8237</v>
      </c>
      <c r="DS20" s="1" t="s">
        <v>562</v>
      </c>
      <c r="DT20" s="1">
        <f>0.022*(1)</f>
        <v>2.1999999999999999E-2</v>
      </c>
      <c r="DU20" s="1" t="s">
        <v>92</v>
      </c>
      <c r="DV20" s="1">
        <f>11363*(1)</f>
        <v>11363</v>
      </c>
      <c r="DW20" s="1" t="s">
        <v>563</v>
      </c>
      <c r="DX20" s="1">
        <f>0.021*(1)</f>
        <v>2.1000000000000001E-2</v>
      </c>
      <c r="DY20" s="1" t="s">
        <v>111</v>
      </c>
      <c r="DZ20" s="1">
        <f>5370*(1)</f>
        <v>5370</v>
      </c>
      <c r="EA20" s="1" t="s">
        <v>420</v>
      </c>
      <c r="EB20" s="1">
        <f>0.027*(1)</f>
        <v>2.7E-2</v>
      </c>
      <c r="EC20" s="1" t="s">
        <v>94</v>
      </c>
      <c r="ED20" s="1">
        <f>1880*(1)</f>
        <v>1880</v>
      </c>
      <c r="EE20" s="1" t="s">
        <v>535</v>
      </c>
      <c r="EF20" s="1">
        <f>0.02*(1)</f>
        <v>0.02</v>
      </c>
      <c r="EG20" s="1" t="s">
        <v>90</v>
      </c>
      <c r="EH20" s="1">
        <f>3829*(1)</f>
        <v>3829</v>
      </c>
      <c r="EI20" s="1" t="s">
        <v>396</v>
      </c>
      <c r="EJ20" s="1">
        <f>0.016*(1)</f>
        <v>1.6E-2</v>
      </c>
      <c r="EK20" s="1" t="s">
        <v>92</v>
      </c>
      <c r="EL20" s="1">
        <f>2043*(1)</f>
        <v>2043</v>
      </c>
      <c r="EM20" s="1" t="s">
        <v>537</v>
      </c>
      <c r="EN20" s="1">
        <f>0.018*(1)</f>
        <v>1.7999999999999999E-2</v>
      </c>
      <c r="EO20" s="1" t="s">
        <v>94</v>
      </c>
      <c r="EP20" s="1">
        <f>2392*(1)</f>
        <v>2392</v>
      </c>
      <c r="EQ20" s="1" t="s">
        <v>564</v>
      </c>
      <c r="ER20" s="1">
        <f>0.018*(1)</f>
        <v>1.7999999999999999E-2</v>
      </c>
      <c r="ES20" s="1" t="s">
        <v>94</v>
      </c>
    </row>
    <row r="21" spans="1:149" x14ac:dyDescent="0.3">
      <c r="A21" s="7" t="s">
        <v>565</v>
      </c>
      <c r="B21" s="1">
        <f>39.9*(1)</f>
        <v>39.9</v>
      </c>
      <c r="C21" s="1" t="s">
        <v>87</v>
      </c>
      <c r="D21" s="1" t="s">
        <v>84</v>
      </c>
      <c r="E21" s="1" t="s">
        <v>84</v>
      </c>
      <c r="F21" s="1">
        <f>42.8*(1)</f>
        <v>42.8</v>
      </c>
      <c r="G21" s="1" t="s">
        <v>129</v>
      </c>
      <c r="H21" s="1" t="s">
        <v>84</v>
      </c>
      <c r="I21" s="1" t="s">
        <v>84</v>
      </c>
      <c r="J21" s="1">
        <f>44.3*(1)</f>
        <v>44.3</v>
      </c>
      <c r="K21" s="1" t="s">
        <v>87</v>
      </c>
      <c r="L21" s="1" t="s">
        <v>84</v>
      </c>
      <c r="M21" s="1" t="s">
        <v>84</v>
      </c>
      <c r="N21" s="1">
        <f>37.3*(1)</f>
        <v>37.299999999999997</v>
      </c>
      <c r="O21" s="1" t="s">
        <v>96</v>
      </c>
      <c r="P21" s="1" t="s">
        <v>84</v>
      </c>
      <c r="Q21" s="1" t="s">
        <v>84</v>
      </c>
      <c r="R21" s="1">
        <f>41.1*(1)</f>
        <v>41.1</v>
      </c>
      <c r="S21" s="1" t="s">
        <v>87</v>
      </c>
      <c r="T21" s="1" t="s">
        <v>84</v>
      </c>
      <c r="U21" s="1" t="s">
        <v>84</v>
      </c>
      <c r="V21" s="1">
        <f>40.3*(1)</f>
        <v>40.299999999999997</v>
      </c>
      <c r="W21" s="1" t="s">
        <v>87</v>
      </c>
      <c r="X21" s="1" t="s">
        <v>84</v>
      </c>
      <c r="Y21" s="1" t="s">
        <v>84</v>
      </c>
      <c r="Z21" s="1">
        <f>44.6*(1)</f>
        <v>44.6</v>
      </c>
      <c r="AA21" s="1" t="s">
        <v>96</v>
      </c>
      <c r="AB21" s="1" t="s">
        <v>84</v>
      </c>
      <c r="AC21" s="1" t="s">
        <v>84</v>
      </c>
      <c r="AD21" s="1">
        <f>40.2*(1)</f>
        <v>40.200000000000003</v>
      </c>
      <c r="AE21" s="1" t="s">
        <v>92</v>
      </c>
      <c r="AF21" s="1" t="s">
        <v>84</v>
      </c>
      <c r="AG21" s="1" t="s">
        <v>84</v>
      </c>
      <c r="AH21" s="1">
        <f>39.6*(1)</f>
        <v>39.6</v>
      </c>
      <c r="AI21" s="1" t="s">
        <v>94</v>
      </c>
      <c r="AJ21" s="1" t="s">
        <v>84</v>
      </c>
      <c r="AK21" s="1" t="s">
        <v>84</v>
      </c>
      <c r="AL21" s="1">
        <f>44.9*(1)</f>
        <v>44.9</v>
      </c>
      <c r="AM21" s="1" t="s">
        <v>96</v>
      </c>
      <c r="AN21" s="1" t="s">
        <v>84</v>
      </c>
      <c r="AO21" s="1" t="s">
        <v>84</v>
      </c>
      <c r="AP21" s="1">
        <f>38.9*(1)</f>
        <v>38.9</v>
      </c>
      <c r="AQ21" s="1" t="s">
        <v>120</v>
      </c>
      <c r="AR21" s="1" t="s">
        <v>84</v>
      </c>
      <c r="AS21" s="1" t="s">
        <v>84</v>
      </c>
      <c r="AT21" s="1">
        <f>34.7*(1)</f>
        <v>34.700000000000003</v>
      </c>
      <c r="AU21" s="1" t="s">
        <v>99</v>
      </c>
      <c r="AV21" s="1" t="s">
        <v>84</v>
      </c>
      <c r="AW21" s="1" t="s">
        <v>84</v>
      </c>
      <c r="AX21" s="1">
        <f>45.4*(1)</f>
        <v>45.4</v>
      </c>
      <c r="AY21" s="1" t="s">
        <v>90</v>
      </c>
      <c r="AZ21" s="1" t="s">
        <v>84</v>
      </c>
      <c r="BA21" s="1" t="s">
        <v>84</v>
      </c>
      <c r="BB21" s="1">
        <f>38.8*(1)</f>
        <v>38.799999999999997</v>
      </c>
      <c r="BC21" s="1" t="s">
        <v>90</v>
      </c>
      <c r="BD21" s="1" t="s">
        <v>84</v>
      </c>
      <c r="BE21" s="1" t="s">
        <v>84</v>
      </c>
      <c r="BF21" s="1">
        <f>36.9*(1)</f>
        <v>36.9</v>
      </c>
      <c r="BG21" s="1" t="s">
        <v>111</v>
      </c>
      <c r="BH21" s="1" t="s">
        <v>84</v>
      </c>
      <c r="BI21" s="1" t="s">
        <v>84</v>
      </c>
      <c r="BJ21" s="1">
        <f>39.9*(1)</f>
        <v>39.9</v>
      </c>
      <c r="BK21" s="1" t="s">
        <v>145</v>
      </c>
      <c r="BL21" s="1" t="s">
        <v>84</v>
      </c>
      <c r="BM21" s="1" t="s">
        <v>84</v>
      </c>
      <c r="BN21" s="1">
        <f>44.2*(1)</f>
        <v>44.2</v>
      </c>
      <c r="BO21" s="1" t="s">
        <v>94</v>
      </c>
      <c r="BP21" s="1" t="s">
        <v>84</v>
      </c>
      <c r="BQ21" s="1" t="s">
        <v>84</v>
      </c>
      <c r="BR21" s="1">
        <f>39.7*(1)</f>
        <v>39.700000000000003</v>
      </c>
      <c r="BS21" s="1" t="s">
        <v>120</v>
      </c>
      <c r="BT21" s="1" t="s">
        <v>84</v>
      </c>
      <c r="BU21" s="1" t="s">
        <v>84</v>
      </c>
      <c r="BV21" s="1">
        <f>41.9*(1)</f>
        <v>41.9</v>
      </c>
      <c r="BW21" s="1" t="s">
        <v>90</v>
      </c>
      <c r="BX21" s="1" t="s">
        <v>84</v>
      </c>
      <c r="BY21" s="1" t="s">
        <v>84</v>
      </c>
      <c r="BZ21" s="1">
        <f>38.5*(1)</f>
        <v>38.5</v>
      </c>
      <c r="CA21" s="1" t="s">
        <v>94</v>
      </c>
      <c r="CB21" s="1" t="s">
        <v>84</v>
      </c>
      <c r="CC21" s="1" t="s">
        <v>84</v>
      </c>
      <c r="CD21" s="1">
        <f>42.9*(1)</f>
        <v>42.9</v>
      </c>
      <c r="CE21" s="1" t="s">
        <v>94</v>
      </c>
      <c r="CF21" s="1" t="s">
        <v>84</v>
      </c>
      <c r="CG21" s="1" t="s">
        <v>84</v>
      </c>
      <c r="CH21" s="1">
        <f>41*(1)</f>
        <v>41</v>
      </c>
      <c r="CI21" s="1" t="s">
        <v>141</v>
      </c>
      <c r="CJ21" s="1" t="s">
        <v>84</v>
      </c>
      <c r="CK21" s="1" t="s">
        <v>84</v>
      </c>
      <c r="CL21" s="1">
        <f>42.8*(1)</f>
        <v>42.8</v>
      </c>
      <c r="CM21" s="1" t="s">
        <v>120</v>
      </c>
      <c r="CN21" s="1" t="s">
        <v>84</v>
      </c>
      <c r="CO21" s="1" t="s">
        <v>84</v>
      </c>
      <c r="CP21" s="1">
        <f>41.8*(1)</f>
        <v>41.8</v>
      </c>
      <c r="CQ21" s="1" t="s">
        <v>120</v>
      </c>
      <c r="CR21" s="1" t="s">
        <v>84</v>
      </c>
      <c r="CS21" s="1" t="s">
        <v>84</v>
      </c>
      <c r="CT21" s="1">
        <f>39*(1)</f>
        <v>39</v>
      </c>
      <c r="CU21" s="1" t="s">
        <v>92</v>
      </c>
      <c r="CV21" s="1" t="s">
        <v>84</v>
      </c>
      <c r="CW21" s="1" t="s">
        <v>84</v>
      </c>
      <c r="CX21" s="1">
        <f>40.2*(1)</f>
        <v>40.200000000000003</v>
      </c>
      <c r="CY21" s="1" t="s">
        <v>141</v>
      </c>
      <c r="CZ21" s="1" t="s">
        <v>84</v>
      </c>
      <c r="DA21" s="1" t="s">
        <v>84</v>
      </c>
      <c r="DB21" s="1">
        <f>40.1*(1)</f>
        <v>40.1</v>
      </c>
      <c r="DC21" s="1" t="s">
        <v>132</v>
      </c>
      <c r="DD21" s="1" t="s">
        <v>84</v>
      </c>
      <c r="DE21" s="1" t="s">
        <v>84</v>
      </c>
      <c r="DF21" s="1">
        <f>40.7*(1)</f>
        <v>40.700000000000003</v>
      </c>
      <c r="DG21" s="1" t="s">
        <v>120</v>
      </c>
      <c r="DH21" s="1" t="s">
        <v>84</v>
      </c>
      <c r="DI21" s="1" t="s">
        <v>84</v>
      </c>
      <c r="DJ21" s="1">
        <f>41.6*(1)</f>
        <v>41.6</v>
      </c>
      <c r="DK21" s="1" t="s">
        <v>138</v>
      </c>
      <c r="DL21" s="1" t="s">
        <v>84</v>
      </c>
      <c r="DM21" s="1" t="s">
        <v>84</v>
      </c>
      <c r="DN21" s="1">
        <f>39.7*(1)</f>
        <v>39.700000000000003</v>
      </c>
      <c r="DO21" s="1" t="s">
        <v>139</v>
      </c>
      <c r="DP21" s="1" t="s">
        <v>84</v>
      </c>
      <c r="DQ21" s="1" t="s">
        <v>84</v>
      </c>
      <c r="DR21" s="1">
        <f>41.5*(1)</f>
        <v>41.5</v>
      </c>
      <c r="DS21" s="1" t="s">
        <v>96</v>
      </c>
      <c r="DT21" s="1" t="s">
        <v>84</v>
      </c>
      <c r="DU21" s="1" t="s">
        <v>84</v>
      </c>
      <c r="DV21" s="1">
        <f>41.4*(1)</f>
        <v>41.4</v>
      </c>
      <c r="DW21" s="1" t="s">
        <v>96</v>
      </c>
      <c r="DX21" s="1" t="s">
        <v>84</v>
      </c>
      <c r="DY21" s="1" t="s">
        <v>84</v>
      </c>
      <c r="DZ21" s="1">
        <f>44.6*(1)</f>
        <v>44.6</v>
      </c>
      <c r="EA21" s="1" t="s">
        <v>96</v>
      </c>
      <c r="EB21" s="1" t="s">
        <v>84</v>
      </c>
      <c r="EC21" s="1" t="s">
        <v>84</v>
      </c>
      <c r="ED21" s="1">
        <f>40.9*(1)</f>
        <v>40.9</v>
      </c>
      <c r="EE21" s="1" t="s">
        <v>145</v>
      </c>
      <c r="EF21" s="1" t="s">
        <v>84</v>
      </c>
      <c r="EG21" s="1" t="s">
        <v>84</v>
      </c>
      <c r="EH21" s="1">
        <f>39.3*(1)</f>
        <v>39.299999999999997</v>
      </c>
      <c r="EI21" s="1" t="s">
        <v>109</v>
      </c>
      <c r="EJ21" s="1" t="s">
        <v>84</v>
      </c>
      <c r="EK21" s="1" t="s">
        <v>84</v>
      </c>
      <c r="EL21" s="1">
        <f>39.9*(1)</f>
        <v>39.9</v>
      </c>
      <c r="EM21" s="1" t="s">
        <v>87</v>
      </c>
      <c r="EN21" s="1" t="s">
        <v>84</v>
      </c>
      <c r="EO21" s="1" t="s">
        <v>84</v>
      </c>
      <c r="EP21" s="1">
        <f>36*(1)</f>
        <v>36</v>
      </c>
      <c r="EQ21" s="1" t="s">
        <v>120</v>
      </c>
      <c r="ER21" s="1" t="s">
        <v>84</v>
      </c>
      <c r="ES21" s="1" t="s">
        <v>84</v>
      </c>
    </row>
    <row r="22" spans="1:149" x14ac:dyDescent="0.3">
      <c r="A22" s="7" t="s">
        <v>566</v>
      </c>
      <c r="B22" s="1">
        <f>23390*(1)</f>
        <v>23390</v>
      </c>
      <c r="C22" s="1" t="s">
        <v>484</v>
      </c>
      <c r="D22" s="1">
        <f>0.23*(1)</f>
        <v>0.23</v>
      </c>
      <c r="E22" s="1" t="s">
        <v>99</v>
      </c>
      <c r="F22" s="1">
        <f>21360*(1)</f>
        <v>21360</v>
      </c>
      <c r="G22" s="1" t="s">
        <v>567</v>
      </c>
      <c r="H22" s="1">
        <f>0.219*(1)</f>
        <v>0.219</v>
      </c>
      <c r="I22" s="1" t="s">
        <v>111</v>
      </c>
      <c r="J22" s="1">
        <f>12621*(1)</f>
        <v>12621</v>
      </c>
      <c r="K22" s="1" t="s">
        <v>568</v>
      </c>
      <c r="L22" s="1">
        <f>0.192*(1)</f>
        <v>0.192</v>
      </c>
      <c r="M22" s="1" t="s">
        <v>111</v>
      </c>
      <c r="N22" s="1">
        <f>91164*(1)</f>
        <v>91164</v>
      </c>
      <c r="O22" s="1" t="s">
        <v>83</v>
      </c>
      <c r="P22" s="1">
        <f>0.234*(1)</f>
        <v>0.23400000000000001</v>
      </c>
      <c r="Q22" s="1" t="s">
        <v>83</v>
      </c>
      <c r="R22" s="1">
        <f>30495*(1)</f>
        <v>30495</v>
      </c>
      <c r="S22" s="1" t="s">
        <v>569</v>
      </c>
      <c r="T22" s="1">
        <f>0.225*(1)</f>
        <v>0.22500000000000001</v>
      </c>
      <c r="U22" s="1" t="s">
        <v>99</v>
      </c>
      <c r="V22" s="1">
        <f>46984*(1)</f>
        <v>46984</v>
      </c>
      <c r="W22" s="1" t="s">
        <v>570</v>
      </c>
      <c r="X22" s="1">
        <f>0.224*(1)</f>
        <v>0.224</v>
      </c>
      <c r="Y22" s="1" t="s">
        <v>99</v>
      </c>
      <c r="Z22" s="1">
        <f>20629*(1)</f>
        <v>20629</v>
      </c>
      <c r="AA22" s="1" t="s">
        <v>83</v>
      </c>
      <c r="AB22" s="1">
        <f>0.204*(1)</f>
        <v>0.20399999999999999</v>
      </c>
      <c r="AC22" s="1" t="s">
        <v>83</v>
      </c>
      <c r="AD22" s="1">
        <f>257093*(1)</f>
        <v>257093</v>
      </c>
      <c r="AE22" s="1" t="s">
        <v>83</v>
      </c>
      <c r="AF22" s="1">
        <f>0.206*(1)</f>
        <v>0.20599999999999999</v>
      </c>
      <c r="AG22" s="1" t="s">
        <v>83</v>
      </c>
      <c r="AH22" s="1">
        <f>55951*(1)</f>
        <v>55951</v>
      </c>
      <c r="AI22" s="1" t="s">
        <v>571</v>
      </c>
      <c r="AJ22" s="1">
        <f>0.253*(1)</f>
        <v>0.253</v>
      </c>
      <c r="AK22" s="1" t="s">
        <v>99</v>
      </c>
      <c r="AL22" s="1">
        <f>15043*(1)</f>
        <v>15043</v>
      </c>
      <c r="AM22" s="1" t="s">
        <v>572</v>
      </c>
      <c r="AN22" s="1">
        <f>0.201*(1)</f>
        <v>0.20100000000000001</v>
      </c>
      <c r="AO22" s="1" t="s">
        <v>111</v>
      </c>
      <c r="AP22" s="1">
        <f>38711*(1)</f>
        <v>38711</v>
      </c>
      <c r="AQ22" s="1" t="s">
        <v>83</v>
      </c>
      <c r="AR22" s="1">
        <f>0.24*(1)</f>
        <v>0.24</v>
      </c>
      <c r="AS22" s="1" t="s">
        <v>83</v>
      </c>
      <c r="AT22" s="1">
        <f>307247*(1)</f>
        <v>307247</v>
      </c>
      <c r="AU22" s="1" t="s">
        <v>83</v>
      </c>
      <c r="AV22" s="1">
        <f>0.233*(1)</f>
        <v>0.23300000000000001</v>
      </c>
      <c r="AW22" s="1" t="s">
        <v>83</v>
      </c>
      <c r="AX22" s="1">
        <f>21464*(1)</f>
        <v>21464</v>
      </c>
      <c r="AY22" s="1" t="s">
        <v>83</v>
      </c>
      <c r="AZ22" s="1">
        <f>0.225*(1)</f>
        <v>0.22500000000000001</v>
      </c>
      <c r="BA22" s="1" t="s">
        <v>83</v>
      </c>
      <c r="BB22" s="1">
        <f>34783*(1)</f>
        <v>34783</v>
      </c>
      <c r="BC22" s="1" t="s">
        <v>573</v>
      </c>
      <c r="BD22" s="1">
        <f>0.207*(1)</f>
        <v>0.20699999999999999</v>
      </c>
      <c r="BE22" s="1" t="s">
        <v>99</v>
      </c>
      <c r="BF22" s="1">
        <f>189830*(1)</f>
        <v>189830</v>
      </c>
      <c r="BG22" s="1" t="s">
        <v>574</v>
      </c>
      <c r="BH22" s="1">
        <f>0.23*(1)</f>
        <v>0.23</v>
      </c>
      <c r="BI22" s="1" t="s">
        <v>99</v>
      </c>
      <c r="BJ22" s="1">
        <f>16076*(1)</f>
        <v>16076</v>
      </c>
      <c r="BK22" s="1" t="s">
        <v>575</v>
      </c>
      <c r="BL22" s="1">
        <f>0.215*(1)</f>
        <v>0.215</v>
      </c>
      <c r="BM22" s="1" t="s">
        <v>96</v>
      </c>
      <c r="BN22" s="1">
        <f>45188*(1)</f>
        <v>45188</v>
      </c>
      <c r="BO22" s="1" t="s">
        <v>568</v>
      </c>
      <c r="BP22" s="1">
        <f>0.195*(1)</f>
        <v>0.19500000000000001</v>
      </c>
      <c r="BQ22" s="1" t="s">
        <v>99</v>
      </c>
      <c r="BR22" s="1">
        <f>41214*(1)</f>
        <v>41214</v>
      </c>
      <c r="BS22" s="1" t="s">
        <v>576</v>
      </c>
      <c r="BT22" s="1">
        <f>0.228*(1)</f>
        <v>0.22800000000000001</v>
      </c>
      <c r="BU22" s="1" t="s">
        <v>94</v>
      </c>
      <c r="BV22" s="1">
        <f>68737*(1)</f>
        <v>68737</v>
      </c>
      <c r="BW22" s="1" t="s">
        <v>83</v>
      </c>
      <c r="BX22" s="1">
        <f>0.218*(1)</f>
        <v>0.218</v>
      </c>
      <c r="BY22" s="1" t="s">
        <v>83</v>
      </c>
      <c r="BZ22" s="1">
        <f>99022*(1)</f>
        <v>99022</v>
      </c>
      <c r="CA22" s="1" t="s">
        <v>83</v>
      </c>
      <c r="CB22" s="1">
        <f>0.231*(1)</f>
        <v>0.23100000000000001</v>
      </c>
      <c r="CC22" s="1" t="s">
        <v>83</v>
      </c>
      <c r="CD22" s="1">
        <f>45749*(1)</f>
        <v>45749</v>
      </c>
      <c r="CE22" s="1" t="s">
        <v>577</v>
      </c>
      <c r="CF22" s="1">
        <f>0.202*(1)</f>
        <v>0.20200000000000001</v>
      </c>
      <c r="CG22" s="1" t="s">
        <v>99</v>
      </c>
      <c r="CH22" s="1">
        <f>13890*(1)</f>
        <v>13890</v>
      </c>
      <c r="CI22" s="1" t="s">
        <v>578</v>
      </c>
      <c r="CJ22" s="1">
        <f>0.213*(1)</f>
        <v>0.21299999999999999</v>
      </c>
      <c r="CK22" s="1" t="s">
        <v>99</v>
      </c>
      <c r="CL22" s="1">
        <f>39586*(1)</f>
        <v>39586</v>
      </c>
      <c r="CM22" s="1" t="s">
        <v>579</v>
      </c>
      <c r="CN22" s="1">
        <f>0.216*(1)</f>
        <v>0.216</v>
      </c>
      <c r="CO22" s="1" t="s">
        <v>99</v>
      </c>
      <c r="CP22" s="1">
        <f>25300*(1)</f>
        <v>25300</v>
      </c>
      <c r="CQ22" s="1" t="s">
        <v>580</v>
      </c>
      <c r="CR22" s="1">
        <f>0.232*(1)</f>
        <v>0.23200000000000001</v>
      </c>
      <c r="CS22" s="1" t="s">
        <v>111</v>
      </c>
      <c r="CT22" s="1">
        <f>118612*(1)</f>
        <v>118612</v>
      </c>
      <c r="CU22" s="1" t="s">
        <v>581</v>
      </c>
      <c r="CV22" s="1">
        <f>0.221*(1)</f>
        <v>0.221</v>
      </c>
      <c r="CW22" s="1" t="s">
        <v>99</v>
      </c>
      <c r="CX22" s="1">
        <f>19309*(1)</f>
        <v>19309</v>
      </c>
      <c r="CY22" s="1" t="s">
        <v>168</v>
      </c>
      <c r="CZ22" s="1">
        <f>0.223*(1)</f>
        <v>0.223</v>
      </c>
      <c r="DA22" s="1" t="s">
        <v>92</v>
      </c>
      <c r="DB22" s="1">
        <f>29986*(1)</f>
        <v>29986</v>
      </c>
      <c r="DC22" s="1" t="s">
        <v>274</v>
      </c>
      <c r="DD22" s="1">
        <f>0.185*(1)</f>
        <v>0.185</v>
      </c>
      <c r="DE22" s="1" t="s">
        <v>94</v>
      </c>
      <c r="DF22" s="1">
        <f>27360*(1)</f>
        <v>27360</v>
      </c>
      <c r="DG22" s="1" t="s">
        <v>582</v>
      </c>
      <c r="DH22" s="1">
        <f>0.219*(1)</f>
        <v>0.219</v>
      </c>
      <c r="DI22" s="1" t="s">
        <v>92</v>
      </c>
      <c r="DJ22" s="1">
        <f>16250*(1)</f>
        <v>16250</v>
      </c>
      <c r="DK22" s="1" t="s">
        <v>83</v>
      </c>
      <c r="DL22" s="1">
        <f>0.211*(1)</f>
        <v>0.21099999999999999</v>
      </c>
      <c r="DM22" s="1" t="s">
        <v>83</v>
      </c>
      <c r="DN22" s="1">
        <f>16074*(1)</f>
        <v>16074</v>
      </c>
      <c r="DO22" s="1" t="s">
        <v>505</v>
      </c>
      <c r="DP22" s="1">
        <f>0.219*(1)</f>
        <v>0.219</v>
      </c>
      <c r="DQ22" s="1" t="s">
        <v>90</v>
      </c>
      <c r="DR22" s="1">
        <f>80333*(1)</f>
        <v>80333</v>
      </c>
      <c r="DS22" s="1" t="s">
        <v>83</v>
      </c>
      <c r="DT22" s="1">
        <f>0.215*(1)</f>
        <v>0.215</v>
      </c>
      <c r="DU22" s="1" t="s">
        <v>83</v>
      </c>
      <c r="DV22" s="1">
        <f>112088*(1)</f>
        <v>112088</v>
      </c>
      <c r="DW22" s="1" t="s">
        <v>583</v>
      </c>
      <c r="DX22" s="1">
        <f>0.208*(1)</f>
        <v>0.20799999999999999</v>
      </c>
      <c r="DY22" s="1" t="s">
        <v>99</v>
      </c>
      <c r="DZ22" s="1">
        <f>41304*(1)</f>
        <v>41304</v>
      </c>
      <c r="EA22" s="1" t="s">
        <v>395</v>
      </c>
      <c r="EB22" s="1">
        <f>0.205*(1)</f>
        <v>0.20499999999999999</v>
      </c>
      <c r="EC22" s="1" t="s">
        <v>111</v>
      </c>
      <c r="ED22" s="1">
        <f>21096*(1)</f>
        <v>21096</v>
      </c>
      <c r="EE22" s="1" t="s">
        <v>421</v>
      </c>
      <c r="EF22" s="1">
        <f>0.228*(1)</f>
        <v>0.22800000000000001</v>
      </c>
      <c r="EG22" s="1" t="s">
        <v>109</v>
      </c>
      <c r="EH22" s="1">
        <f>59024*(1)</f>
        <v>59024</v>
      </c>
      <c r="EI22" s="1" t="s">
        <v>83</v>
      </c>
      <c r="EJ22" s="1">
        <f>0.239*(1)</f>
        <v>0.23899999999999999</v>
      </c>
      <c r="EK22" s="1" t="s">
        <v>83</v>
      </c>
      <c r="EL22" s="1">
        <f>27663*(1)</f>
        <v>27663</v>
      </c>
      <c r="EM22" s="1" t="s">
        <v>584</v>
      </c>
      <c r="EN22" s="1">
        <f>0.237*(1)</f>
        <v>0.23699999999999999</v>
      </c>
      <c r="EO22" s="1" t="s">
        <v>96</v>
      </c>
      <c r="EP22" s="1">
        <f>26903*(1)</f>
        <v>26903</v>
      </c>
      <c r="EQ22" s="1" t="s">
        <v>83</v>
      </c>
      <c r="ER22" s="1">
        <f>0.203*(1)</f>
        <v>0.20300000000000001</v>
      </c>
      <c r="ES22" s="1" t="s">
        <v>83</v>
      </c>
    </row>
    <row r="23" spans="1:149" x14ac:dyDescent="0.3">
      <c r="A23" s="7" t="s">
        <v>585</v>
      </c>
      <c r="B23" s="1">
        <f>80529*(1)</f>
        <v>80529</v>
      </c>
      <c r="C23" s="1" t="s">
        <v>586</v>
      </c>
      <c r="D23" s="1">
        <f>0.792*(1)</f>
        <v>0.79200000000000004</v>
      </c>
      <c r="E23" s="1" t="s">
        <v>94</v>
      </c>
      <c r="F23" s="1">
        <f>78527*(1)</f>
        <v>78527</v>
      </c>
      <c r="G23" s="1" t="s">
        <v>388</v>
      </c>
      <c r="H23" s="1">
        <f>0.807*(1)</f>
        <v>0.80700000000000005</v>
      </c>
      <c r="I23" s="1" t="s">
        <v>94</v>
      </c>
      <c r="J23" s="1">
        <f>55035*(1)</f>
        <v>55035</v>
      </c>
      <c r="K23" s="1" t="s">
        <v>172</v>
      </c>
      <c r="L23" s="1">
        <f>0.836*(1)</f>
        <v>0.83599999999999997</v>
      </c>
      <c r="M23" s="1" t="s">
        <v>90</v>
      </c>
      <c r="N23" s="1">
        <f>309966*(1)</f>
        <v>309966</v>
      </c>
      <c r="O23" s="1" t="s">
        <v>587</v>
      </c>
      <c r="P23" s="1">
        <f>0.794*(1)</f>
        <v>0.79400000000000004</v>
      </c>
      <c r="Q23" s="1" t="s">
        <v>92</v>
      </c>
      <c r="R23" s="1">
        <f>108294*(1)</f>
        <v>108294</v>
      </c>
      <c r="S23" s="1" t="s">
        <v>588</v>
      </c>
      <c r="T23" s="1">
        <f>0.798*(1)</f>
        <v>0.79800000000000004</v>
      </c>
      <c r="U23" s="1" t="s">
        <v>94</v>
      </c>
      <c r="V23" s="1">
        <f>168838*(1)</f>
        <v>168838</v>
      </c>
      <c r="W23" s="1" t="s">
        <v>350</v>
      </c>
      <c r="X23" s="1">
        <f>0.805*(1)</f>
        <v>0.80500000000000005</v>
      </c>
      <c r="Y23" s="1" t="s">
        <v>96</v>
      </c>
      <c r="Z23" s="1">
        <f>83908*(1)</f>
        <v>83908</v>
      </c>
      <c r="AA23" s="1" t="s">
        <v>543</v>
      </c>
      <c r="AB23" s="1">
        <f>0.828*(1)</f>
        <v>0.82799999999999996</v>
      </c>
      <c r="AC23" s="1" t="s">
        <v>90</v>
      </c>
      <c r="AD23" s="1">
        <f>1021604*(1)</f>
        <v>1021604</v>
      </c>
      <c r="AE23" s="1" t="s">
        <v>589</v>
      </c>
      <c r="AF23" s="1">
        <f>0.818*(1)</f>
        <v>0.81799999999999995</v>
      </c>
      <c r="AG23" s="1" t="s">
        <v>99</v>
      </c>
      <c r="AH23" s="1">
        <f>171265*(1)</f>
        <v>171265</v>
      </c>
      <c r="AI23" s="1" t="s">
        <v>590</v>
      </c>
      <c r="AJ23" s="1">
        <f>0.776*(1)</f>
        <v>0.77600000000000002</v>
      </c>
      <c r="AK23" s="1" t="s">
        <v>92</v>
      </c>
      <c r="AL23" s="1">
        <f>60924*(1)</f>
        <v>60924</v>
      </c>
      <c r="AM23" s="1" t="s">
        <v>495</v>
      </c>
      <c r="AN23" s="1">
        <f>0.814*(1)</f>
        <v>0.81399999999999995</v>
      </c>
      <c r="AO23" s="1" t="s">
        <v>90</v>
      </c>
      <c r="AP23" s="1">
        <f>126863*(1)</f>
        <v>126863</v>
      </c>
      <c r="AQ23" s="1" t="s">
        <v>591</v>
      </c>
      <c r="AR23" s="1">
        <f>0.788*(1)</f>
        <v>0.78800000000000003</v>
      </c>
      <c r="AS23" s="1" t="s">
        <v>96</v>
      </c>
      <c r="AT23" s="1">
        <f>1046269*(1)</f>
        <v>1046269</v>
      </c>
      <c r="AU23" s="1" t="s">
        <v>592</v>
      </c>
      <c r="AV23" s="1">
        <f>0.792*(1)</f>
        <v>0.79200000000000004</v>
      </c>
      <c r="AW23" s="1" t="s">
        <v>99</v>
      </c>
      <c r="AX23" s="1">
        <f>76923*(1)</f>
        <v>76923</v>
      </c>
      <c r="AY23" s="1" t="s">
        <v>593</v>
      </c>
      <c r="AZ23" s="1">
        <f>0.805*(1)</f>
        <v>0.80500000000000005</v>
      </c>
      <c r="BA23" s="1" t="s">
        <v>90</v>
      </c>
      <c r="BB23" s="1">
        <f>137925*(1)</f>
        <v>137925</v>
      </c>
      <c r="BC23" s="1" t="s">
        <v>594</v>
      </c>
      <c r="BD23" s="1">
        <f>0.819*(1)</f>
        <v>0.81899999999999995</v>
      </c>
      <c r="BE23" s="1" t="s">
        <v>96</v>
      </c>
      <c r="BF23" s="1">
        <f>656834*(1)</f>
        <v>656834</v>
      </c>
      <c r="BG23" s="1" t="s">
        <v>595</v>
      </c>
      <c r="BH23" s="1">
        <f>0.795*(1)</f>
        <v>0.79500000000000004</v>
      </c>
      <c r="BI23" s="1" t="s">
        <v>111</v>
      </c>
      <c r="BJ23" s="1">
        <f>60226*(1)</f>
        <v>60226</v>
      </c>
      <c r="BK23" s="1" t="s">
        <v>596</v>
      </c>
      <c r="BL23" s="1">
        <f>0.807*(1)</f>
        <v>0.80700000000000005</v>
      </c>
      <c r="BM23" s="1" t="s">
        <v>90</v>
      </c>
      <c r="BN23" s="1">
        <f>191981*(1)</f>
        <v>191981</v>
      </c>
      <c r="BO23" s="1" t="s">
        <v>170</v>
      </c>
      <c r="BP23" s="1">
        <f>0.827*(1)</f>
        <v>0.82699999999999996</v>
      </c>
      <c r="BQ23" s="1" t="s">
        <v>92</v>
      </c>
      <c r="BR23" s="1">
        <f>144868*(1)</f>
        <v>144868</v>
      </c>
      <c r="BS23" s="1" t="s">
        <v>597</v>
      </c>
      <c r="BT23" s="1">
        <f>0.803*(1)</f>
        <v>0.80300000000000005</v>
      </c>
      <c r="BU23" s="1" t="s">
        <v>90</v>
      </c>
      <c r="BV23" s="1">
        <f>254456*(1)</f>
        <v>254456</v>
      </c>
      <c r="BW23" s="1" t="s">
        <v>352</v>
      </c>
      <c r="BX23" s="1">
        <f>0.806*(1)</f>
        <v>0.80600000000000005</v>
      </c>
      <c r="BY23" s="1" t="s">
        <v>92</v>
      </c>
      <c r="BZ23" s="1">
        <f>340578*(1)</f>
        <v>340578</v>
      </c>
      <c r="CA23" s="1" t="s">
        <v>598</v>
      </c>
      <c r="CB23" s="1">
        <f>0.794*(1)</f>
        <v>0.79400000000000004</v>
      </c>
      <c r="CC23" s="1" t="s">
        <v>92</v>
      </c>
      <c r="CD23" s="1">
        <f>186232*(1)</f>
        <v>186232</v>
      </c>
      <c r="CE23" s="1" t="s">
        <v>599</v>
      </c>
      <c r="CF23" s="1">
        <f>0.821*(1)</f>
        <v>0.82099999999999995</v>
      </c>
      <c r="CG23" s="1" t="s">
        <v>96</v>
      </c>
      <c r="CH23" s="1">
        <f>52809*(1)</f>
        <v>52809</v>
      </c>
      <c r="CI23" s="1" t="s">
        <v>306</v>
      </c>
      <c r="CJ23" s="1">
        <f>0.809*(1)</f>
        <v>0.80900000000000005</v>
      </c>
      <c r="CK23" s="1" t="s">
        <v>120</v>
      </c>
      <c r="CL23" s="1">
        <f>148510*(1)</f>
        <v>148510</v>
      </c>
      <c r="CM23" s="1" t="s">
        <v>117</v>
      </c>
      <c r="CN23" s="1">
        <f>0.811*(1)</f>
        <v>0.81100000000000005</v>
      </c>
      <c r="CO23" s="1" t="s">
        <v>96</v>
      </c>
      <c r="CP23" s="1">
        <f>87499*(1)</f>
        <v>87499</v>
      </c>
      <c r="CQ23" s="1" t="s">
        <v>600</v>
      </c>
      <c r="CR23" s="1">
        <f>0.801*(1)</f>
        <v>0.80100000000000005</v>
      </c>
      <c r="CS23" s="1" t="s">
        <v>90</v>
      </c>
      <c r="CT23" s="1">
        <f>430283*(1)</f>
        <v>430283</v>
      </c>
      <c r="CU23" s="1" t="s">
        <v>601</v>
      </c>
      <c r="CV23" s="1">
        <f>0.803*(1)</f>
        <v>0.80300000000000005</v>
      </c>
      <c r="CW23" s="1" t="s">
        <v>92</v>
      </c>
      <c r="CX23" s="1">
        <f>69006*(1)</f>
        <v>69006</v>
      </c>
      <c r="CY23" s="1" t="s">
        <v>602</v>
      </c>
      <c r="CZ23" s="1">
        <f>0.799*(1)</f>
        <v>0.79900000000000004</v>
      </c>
      <c r="DA23" s="1" t="s">
        <v>94</v>
      </c>
      <c r="DB23" s="1">
        <f>135676*(1)</f>
        <v>135676</v>
      </c>
      <c r="DC23" s="1" t="s">
        <v>121</v>
      </c>
      <c r="DD23" s="1">
        <f>0.836*(1)</f>
        <v>0.83599999999999997</v>
      </c>
      <c r="DE23" s="1" t="s">
        <v>94</v>
      </c>
      <c r="DF23" s="1">
        <f>101247*(1)</f>
        <v>101247</v>
      </c>
      <c r="DG23" s="1" t="s">
        <v>603</v>
      </c>
      <c r="DH23" s="1">
        <f>0.809*(1)</f>
        <v>0.80900000000000005</v>
      </c>
      <c r="DI23" s="1" t="s">
        <v>90</v>
      </c>
      <c r="DJ23" s="1">
        <f>63053*(1)</f>
        <v>63053</v>
      </c>
      <c r="DK23" s="1" t="s">
        <v>165</v>
      </c>
      <c r="DL23" s="1">
        <f>0.82*(1)</f>
        <v>0.82</v>
      </c>
      <c r="DM23" s="1" t="s">
        <v>90</v>
      </c>
      <c r="DN23" s="1">
        <f>59201*(1)</f>
        <v>59201</v>
      </c>
      <c r="DO23" s="1" t="s">
        <v>604</v>
      </c>
      <c r="DP23" s="1">
        <f>0.807*(1)</f>
        <v>0.80700000000000005</v>
      </c>
      <c r="DQ23" s="1" t="s">
        <v>109</v>
      </c>
      <c r="DR23" s="1">
        <f>302176*(1)</f>
        <v>302176</v>
      </c>
      <c r="DS23" s="1" t="s">
        <v>605</v>
      </c>
      <c r="DT23" s="1">
        <f>0.808*(1)</f>
        <v>0.80800000000000005</v>
      </c>
      <c r="DU23" s="1" t="s">
        <v>111</v>
      </c>
      <c r="DV23" s="1">
        <f>438939*(1)</f>
        <v>438939</v>
      </c>
      <c r="DW23" s="1" t="s">
        <v>606</v>
      </c>
      <c r="DX23" s="1">
        <f>0.816*(1)</f>
        <v>0.81599999999999995</v>
      </c>
      <c r="DY23" s="1" t="s">
        <v>111</v>
      </c>
      <c r="DZ23" s="1">
        <f>164902*(1)</f>
        <v>164902</v>
      </c>
      <c r="EA23" s="1" t="s">
        <v>607</v>
      </c>
      <c r="EB23" s="1">
        <f>0.819*(1)</f>
        <v>0.81899999999999995</v>
      </c>
      <c r="EC23" s="1" t="s">
        <v>92</v>
      </c>
      <c r="ED23" s="1">
        <f>74320*(1)</f>
        <v>74320</v>
      </c>
      <c r="EE23" s="1" t="s">
        <v>396</v>
      </c>
      <c r="EF23" s="1">
        <f>0.803*(1)</f>
        <v>0.80300000000000005</v>
      </c>
      <c r="EG23" s="1" t="s">
        <v>109</v>
      </c>
      <c r="EH23" s="1">
        <f>195928*(1)</f>
        <v>195928</v>
      </c>
      <c r="EI23" s="1" t="s">
        <v>608</v>
      </c>
      <c r="EJ23" s="1">
        <f>0.795*(1)</f>
        <v>0.79500000000000004</v>
      </c>
      <c r="EK23" s="1" t="s">
        <v>96</v>
      </c>
      <c r="EL23" s="1">
        <f>92759*(1)</f>
        <v>92759</v>
      </c>
      <c r="EM23" s="1" t="s">
        <v>609</v>
      </c>
      <c r="EN23" s="1">
        <f>0.795*(1)</f>
        <v>0.79500000000000004</v>
      </c>
      <c r="EO23" s="1" t="s">
        <v>94</v>
      </c>
      <c r="EP23" s="1">
        <f>108933*(1)</f>
        <v>108933</v>
      </c>
      <c r="EQ23" s="1" t="s">
        <v>561</v>
      </c>
      <c r="ER23" s="1">
        <f>0.822*(1)</f>
        <v>0.82199999999999995</v>
      </c>
      <c r="ES23" s="1" t="s">
        <v>96</v>
      </c>
    </row>
    <row r="24" spans="1:149" x14ac:dyDescent="0.3">
      <c r="A24" s="7" t="s">
        <v>610</v>
      </c>
      <c r="B24" s="1">
        <f>78280*(1)</f>
        <v>78280</v>
      </c>
      <c r="C24" s="1" t="s">
        <v>484</v>
      </c>
      <c r="D24" s="1">
        <f>0.77*(1)</f>
        <v>0.77</v>
      </c>
      <c r="E24" s="1" t="s">
        <v>99</v>
      </c>
      <c r="F24" s="1">
        <f>75977*(1)</f>
        <v>75977</v>
      </c>
      <c r="G24" s="1" t="s">
        <v>567</v>
      </c>
      <c r="H24" s="1">
        <f>0.781*(1)</f>
        <v>0.78100000000000003</v>
      </c>
      <c r="I24" s="1" t="s">
        <v>111</v>
      </c>
      <c r="J24" s="1">
        <f>53228*(1)</f>
        <v>53228</v>
      </c>
      <c r="K24" s="1" t="s">
        <v>568</v>
      </c>
      <c r="L24" s="1">
        <f>0.808*(1)</f>
        <v>0.80800000000000005</v>
      </c>
      <c r="M24" s="1" t="s">
        <v>111</v>
      </c>
      <c r="N24" s="1">
        <f>299070*(1)</f>
        <v>299070</v>
      </c>
      <c r="O24" s="1" t="s">
        <v>83</v>
      </c>
      <c r="P24" s="1">
        <f>0.766*(1)</f>
        <v>0.76600000000000001</v>
      </c>
      <c r="Q24" s="1" t="s">
        <v>83</v>
      </c>
      <c r="R24" s="1">
        <f>105138*(1)</f>
        <v>105138</v>
      </c>
      <c r="S24" s="1" t="s">
        <v>569</v>
      </c>
      <c r="T24" s="1">
        <f>0.775*(1)</f>
        <v>0.77500000000000002</v>
      </c>
      <c r="U24" s="1" t="s">
        <v>99</v>
      </c>
      <c r="V24" s="1">
        <f>162658*(1)</f>
        <v>162658</v>
      </c>
      <c r="W24" s="1" t="s">
        <v>570</v>
      </c>
      <c r="X24" s="1">
        <f>0.776*(1)</f>
        <v>0.77600000000000002</v>
      </c>
      <c r="Y24" s="1" t="s">
        <v>99</v>
      </c>
      <c r="Z24" s="1">
        <f>80681*(1)</f>
        <v>80681</v>
      </c>
      <c r="AA24" s="1" t="s">
        <v>83</v>
      </c>
      <c r="AB24" s="1">
        <f>0.796*(1)</f>
        <v>0.79600000000000004</v>
      </c>
      <c r="AC24" s="1" t="s">
        <v>83</v>
      </c>
      <c r="AD24" s="1">
        <f>992294*(1)</f>
        <v>992294</v>
      </c>
      <c r="AE24" s="1" t="s">
        <v>83</v>
      </c>
      <c r="AF24" s="1">
        <f>0.794*(1)</f>
        <v>0.79400000000000004</v>
      </c>
      <c r="AG24" s="1" t="s">
        <v>83</v>
      </c>
      <c r="AH24" s="1">
        <f>164789*(1)</f>
        <v>164789</v>
      </c>
      <c r="AI24" s="1" t="s">
        <v>571</v>
      </c>
      <c r="AJ24" s="1">
        <f>0.747*(1)</f>
        <v>0.747</v>
      </c>
      <c r="AK24" s="1" t="s">
        <v>99</v>
      </c>
      <c r="AL24" s="1">
        <f>59809*(1)</f>
        <v>59809</v>
      </c>
      <c r="AM24" s="1" t="s">
        <v>572</v>
      </c>
      <c r="AN24" s="1">
        <f>0.799*(1)</f>
        <v>0.79900000000000004</v>
      </c>
      <c r="AO24" s="1" t="s">
        <v>111</v>
      </c>
      <c r="AP24" s="1">
        <f>122353*(1)</f>
        <v>122353</v>
      </c>
      <c r="AQ24" s="1" t="s">
        <v>83</v>
      </c>
      <c r="AR24" s="1">
        <f>0.76*(1)</f>
        <v>0.76</v>
      </c>
      <c r="AS24" s="1" t="s">
        <v>83</v>
      </c>
      <c r="AT24" s="1">
        <f>1014167*(1)</f>
        <v>1014167</v>
      </c>
      <c r="AU24" s="1" t="s">
        <v>83</v>
      </c>
      <c r="AV24" s="1">
        <f>0.767*(1)</f>
        <v>0.76700000000000002</v>
      </c>
      <c r="AW24" s="1" t="s">
        <v>83</v>
      </c>
      <c r="AX24" s="1">
        <f>74101*(1)</f>
        <v>74101</v>
      </c>
      <c r="AY24" s="1" t="s">
        <v>83</v>
      </c>
      <c r="AZ24" s="1">
        <f>0.775*(1)</f>
        <v>0.77500000000000002</v>
      </c>
      <c r="BA24" s="1" t="s">
        <v>83</v>
      </c>
      <c r="BB24" s="1">
        <f>133629*(1)</f>
        <v>133629</v>
      </c>
      <c r="BC24" s="1" t="s">
        <v>573</v>
      </c>
      <c r="BD24" s="1">
        <f>0.793*(1)</f>
        <v>0.79300000000000004</v>
      </c>
      <c r="BE24" s="1" t="s">
        <v>99</v>
      </c>
      <c r="BF24" s="1">
        <f>636309*(1)</f>
        <v>636309</v>
      </c>
      <c r="BG24" s="1" t="s">
        <v>574</v>
      </c>
      <c r="BH24" s="1">
        <f>0.77*(1)</f>
        <v>0.77</v>
      </c>
      <c r="BI24" s="1" t="s">
        <v>99</v>
      </c>
      <c r="BJ24" s="1">
        <f>58580*(1)</f>
        <v>58580</v>
      </c>
      <c r="BK24" s="1" t="s">
        <v>575</v>
      </c>
      <c r="BL24" s="1">
        <f>0.785*(1)</f>
        <v>0.78500000000000003</v>
      </c>
      <c r="BM24" s="1" t="s">
        <v>96</v>
      </c>
      <c r="BN24" s="1">
        <f>186835*(1)</f>
        <v>186835</v>
      </c>
      <c r="BO24" s="1" t="s">
        <v>568</v>
      </c>
      <c r="BP24" s="1">
        <f>0.805*(1)</f>
        <v>0.80500000000000005</v>
      </c>
      <c r="BQ24" s="1" t="s">
        <v>99</v>
      </c>
      <c r="BR24" s="1">
        <f>139187*(1)</f>
        <v>139187</v>
      </c>
      <c r="BS24" s="1" t="s">
        <v>576</v>
      </c>
      <c r="BT24" s="1">
        <f>0.772*(1)</f>
        <v>0.77200000000000002</v>
      </c>
      <c r="BU24" s="1" t="s">
        <v>94</v>
      </c>
      <c r="BV24" s="1">
        <f>246858*(1)</f>
        <v>246858</v>
      </c>
      <c r="BW24" s="1" t="s">
        <v>83</v>
      </c>
      <c r="BX24" s="1">
        <f>0.782*(1)</f>
        <v>0.78200000000000003</v>
      </c>
      <c r="BY24" s="1" t="s">
        <v>83</v>
      </c>
      <c r="BZ24" s="1">
        <f>330169*(1)</f>
        <v>330169</v>
      </c>
      <c r="CA24" s="1" t="s">
        <v>83</v>
      </c>
      <c r="CB24" s="1">
        <f>0.769*(1)</f>
        <v>0.76900000000000002</v>
      </c>
      <c r="CC24" s="1" t="s">
        <v>83</v>
      </c>
      <c r="CD24" s="1">
        <f>181013*(1)</f>
        <v>181013</v>
      </c>
      <c r="CE24" s="1" t="s">
        <v>577</v>
      </c>
      <c r="CF24" s="1">
        <f>0.798*(1)</f>
        <v>0.79800000000000004</v>
      </c>
      <c r="CG24" s="1" t="s">
        <v>99</v>
      </c>
      <c r="CH24" s="1">
        <f>51401*(1)</f>
        <v>51401</v>
      </c>
      <c r="CI24" s="1" t="s">
        <v>578</v>
      </c>
      <c r="CJ24" s="1">
        <f>0.787*(1)</f>
        <v>0.78700000000000003</v>
      </c>
      <c r="CK24" s="1" t="s">
        <v>99</v>
      </c>
      <c r="CL24" s="1">
        <f>143506*(1)</f>
        <v>143506</v>
      </c>
      <c r="CM24" s="1" t="s">
        <v>579</v>
      </c>
      <c r="CN24" s="1">
        <f>0.784*(1)</f>
        <v>0.78400000000000003</v>
      </c>
      <c r="CO24" s="1" t="s">
        <v>99</v>
      </c>
      <c r="CP24" s="1">
        <f>83964*(1)</f>
        <v>83964</v>
      </c>
      <c r="CQ24" s="1" t="s">
        <v>580</v>
      </c>
      <c r="CR24" s="1">
        <f>0.768*(1)</f>
        <v>0.76800000000000002</v>
      </c>
      <c r="CS24" s="1" t="s">
        <v>111</v>
      </c>
      <c r="CT24" s="1">
        <f>417228*(1)</f>
        <v>417228</v>
      </c>
      <c r="CU24" s="1" t="s">
        <v>581</v>
      </c>
      <c r="CV24" s="1">
        <f>0.779*(1)</f>
        <v>0.77900000000000003</v>
      </c>
      <c r="CW24" s="1" t="s">
        <v>99</v>
      </c>
      <c r="CX24" s="1">
        <f>67099*(1)</f>
        <v>67099</v>
      </c>
      <c r="CY24" s="1" t="s">
        <v>168</v>
      </c>
      <c r="CZ24" s="1">
        <f>0.777*(1)</f>
        <v>0.77700000000000002</v>
      </c>
      <c r="DA24" s="1" t="s">
        <v>92</v>
      </c>
      <c r="DB24" s="1">
        <f>132396*(1)</f>
        <v>132396</v>
      </c>
      <c r="DC24" s="1" t="s">
        <v>274</v>
      </c>
      <c r="DD24" s="1">
        <f>0.815*(1)</f>
        <v>0.81499999999999995</v>
      </c>
      <c r="DE24" s="1" t="s">
        <v>94</v>
      </c>
      <c r="DF24" s="1">
        <f>97835*(1)</f>
        <v>97835</v>
      </c>
      <c r="DG24" s="1" t="s">
        <v>582</v>
      </c>
      <c r="DH24" s="1">
        <f>0.781*(1)</f>
        <v>0.78100000000000003</v>
      </c>
      <c r="DI24" s="1" t="s">
        <v>92</v>
      </c>
      <c r="DJ24" s="1">
        <f>60641*(1)</f>
        <v>60641</v>
      </c>
      <c r="DK24" s="1" t="s">
        <v>83</v>
      </c>
      <c r="DL24" s="1">
        <f>0.789*(1)</f>
        <v>0.78900000000000003</v>
      </c>
      <c r="DM24" s="1" t="s">
        <v>83</v>
      </c>
      <c r="DN24" s="1">
        <f>57272*(1)</f>
        <v>57272</v>
      </c>
      <c r="DO24" s="1" t="s">
        <v>505</v>
      </c>
      <c r="DP24" s="1">
        <f>0.781*(1)</f>
        <v>0.78100000000000003</v>
      </c>
      <c r="DQ24" s="1" t="s">
        <v>90</v>
      </c>
      <c r="DR24" s="1">
        <f>293501*(1)</f>
        <v>293501</v>
      </c>
      <c r="DS24" s="1" t="s">
        <v>83</v>
      </c>
      <c r="DT24" s="1">
        <f>0.785*(1)</f>
        <v>0.78500000000000003</v>
      </c>
      <c r="DU24" s="1" t="s">
        <v>83</v>
      </c>
      <c r="DV24" s="1">
        <f>425545*(1)</f>
        <v>425545</v>
      </c>
      <c r="DW24" s="1" t="s">
        <v>583</v>
      </c>
      <c r="DX24" s="1">
        <f>0.792*(1)</f>
        <v>0.79200000000000004</v>
      </c>
      <c r="DY24" s="1" t="s">
        <v>99</v>
      </c>
      <c r="DZ24" s="1">
        <f>160031*(1)</f>
        <v>160031</v>
      </c>
      <c r="EA24" s="1" t="s">
        <v>395</v>
      </c>
      <c r="EB24" s="1">
        <f>0.795*(1)</f>
        <v>0.79500000000000004</v>
      </c>
      <c r="EC24" s="1" t="s">
        <v>111</v>
      </c>
      <c r="ED24" s="1">
        <f>71404*(1)</f>
        <v>71404</v>
      </c>
      <c r="EE24" s="1" t="s">
        <v>421</v>
      </c>
      <c r="EF24" s="1">
        <f>0.772*(1)</f>
        <v>0.77200000000000002</v>
      </c>
      <c r="EG24" s="1" t="s">
        <v>109</v>
      </c>
      <c r="EH24" s="1">
        <f>187529*(1)</f>
        <v>187529</v>
      </c>
      <c r="EI24" s="1" t="s">
        <v>83</v>
      </c>
      <c r="EJ24" s="1">
        <f>0.761*(1)</f>
        <v>0.76100000000000001</v>
      </c>
      <c r="EK24" s="1" t="s">
        <v>83</v>
      </c>
      <c r="EL24" s="1">
        <f>89047*(1)</f>
        <v>89047</v>
      </c>
      <c r="EM24" s="1" t="s">
        <v>584</v>
      </c>
      <c r="EN24" s="1">
        <f>0.763*(1)</f>
        <v>0.76300000000000001</v>
      </c>
      <c r="EO24" s="1" t="s">
        <v>96</v>
      </c>
      <c r="EP24" s="1">
        <f>105569*(1)</f>
        <v>105569</v>
      </c>
      <c r="EQ24" s="1" t="s">
        <v>83</v>
      </c>
      <c r="ER24" s="1">
        <f>0.797*(1)</f>
        <v>0.79700000000000004</v>
      </c>
      <c r="ES24" s="1" t="s">
        <v>83</v>
      </c>
    </row>
    <row r="25" spans="1:149" x14ac:dyDescent="0.3">
      <c r="A25" s="7" t="s">
        <v>611</v>
      </c>
      <c r="B25" s="1">
        <f>73117*(1)</f>
        <v>73117</v>
      </c>
      <c r="C25" s="1" t="s">
        <v>612</v>
      </c>
      <c r="D25" s="1">
        <f>0.719*(1)</f>
        <v>0.71899999999999997</v>
      </c>
      <c r="E25" s="1" t="s">
        <v>87</v>
      </c>
      <c r="F25" s="1">
        <f>73269*(1)</f>
        <v>73269</v>
      </c>
      <c r="G25" s="1" t="s">
        <v>613</v>
      </c>
      <c r="H25" s="1">
        <f>0.753*(1)</f>
        <v>0.753</v>
      </c>
      <c r="I25" s="1" t="s">
        <v>90</v>
      </c>
      <c r="J25" s="1">
        <f>51408*(1)</f>
        <v>51408</v>
      </c>
      <c r="K25" s="1" t="s">
        <v>614</v>
      </c>
      <c r="L25" s="1">
        <f>0.781*(1)</f>
        <v>0.78100000000000003</v>
      </c>
      <c r="M25" s="1" t="s">
        <v>120</v>
      </c>
      <c r="N25" s="1">
        <f>273997*(1)</f>
        <v>273997</v>
      </c>
      <c r="O25" s="1" t="s">
        <v>615</v>
      </c>
      <c r="P25" s="1">
        <f>0.702*(1)</f>
        <v>0.70199999999999996</v>
      </c>
      <c r="Q25" s="1" t="s">
        <v>90</v>
      </c>
      <c r="R25" s="1">
        <f>99914*(1)</f>
        <v>99914</v>
      </c>
      <c r="S25" s="1" t="s">
        <v>161</v>
      </c>
      <c r="T25" s="1">
        <f>0.737*(1)</f>
        <v>0.73699999999999999</v>
      </c>
      <c r="U25" s="1" t="s">
        <v>94</v>
      </c>
      <c r="V25" s="1">
        <f>156141*(1)</f>
        <v>156141</v>
      </c>
      <c r="W25" s="1" t="s">
        <v>616</v>
      </c>
      <c r="X25" s="1">
        <f>0.745*(1)</f>
        <v>0.745</v>
      </c>
      <c r="Y25" s="1" t="s">
        <v>96</v>
      </c>
      <c r="Z25" s="1">
        <f>77361*(1)</f>
        <v>77361</v>
      </c>
      <c r="AA25" s="1" t="s">
        <v>103</v>
      </c>
      <c r="AB25" s="1">
        <f>0.764*(1)</f>
        <v>0.76400000000000001</v>
      </c>
      <c r="AC25" s="1" t="s">
        <v>120</v>
      </c>
      <c r="AD25" s="1">
        <f>947490*(1)</f>
        <v>947490</v>
      </c>
      <c r="AE25" s="1" t="s">
        <v>617</v>
      </c>
      <c r="AF25" s="1">
        <f>0.758*(1)</f>
        <v>0.75800000000000001</v>
      </c>
      <c r="AG25" s="1" t="s">
        <v>111</v>
      </c>
      <c r="AH25" s="1">
        <f>156533*(1)</f>
        <v>156533</v>
      </c>
      <c r="AI25" s="1" t="s">
        <v>618</v>
      </c>
      <c r="AJ25" s="1">
        <f>0.709*(1)</f>
        <v>0.70899999999999996</v>
      </c>
      <c r="AK25" s="1" t="s">
        <v>94</v>
      </c>
      <c r="AL25" s="1">
        <f>57355*(1)</f>
        <v>57355</v>
      </c>
      <c r="AM25" s="1" t="s">
        <v>619</v>
      </c>
      <c r="AN25" s="1">
        <f>0.766*(1)</f>
        <v>0.76600000000000001</v>
      </c>
      <c r="AO25" s="1" t="s">
        <v>129</v>
      </c>
      <c r="AP25" s="1">
        <f>116991*(1)</f>
        <v>116991</v>
      </c>
      <c r="AQ25" s="1" t="s">
        <v>618</v>
      </c>
      <c r="AR25" s="1">
        <f>0.726*(1)</f>
        <v>0.72599999999999998</v>
      </c>
      <c r="AS25" s="1" t="s">
        <v>120</v>
      </c>
      <c r="AT25" s="1">
        <f>957881*(1)</f>
        <v>957881</v>
      </c>
      <c r="AU25" s="1" t="s">
        <v>620</v>
      </c>
      <c r="AV25" s="1">
        <f>0.725*(1)</f>
        <v>0.72499999999999998</v>
      </c>
      <c r="AW25" s="1" t="s">
        <v>111</v>
      </c>
      <c r="AX25" s="1">
        <f>70851*(1)</f>
        <v>70851</v>
      </c>
      <c r="AY25" s="1" t="s">
        <v>621</v>
      </c>
      <c r="AZ25" s="1">
        <f>0.741*(1)</f>
        <v>0.74099999999999999</v>
      </c>
      <c r="BA25" s="1" t="s">
        <v>87</v>
      </c>
      <c r="BB25" s="1">
        <f>123426*(1)</f>
        <v>123426</v>
      </c>
      <c r="BC25" s="1" t="s">
        <v>622</v>
      </c>
      <c r="BD25" s="1">
        <f>0.733*(1)</f>
        <v>0.73299999999999998</v>
      </c>
      <c r="BE25" s="1" t="s">
        <v>90</v>
      </c>
      <c r="BF25" s="1">
        <f>602667*(1)</f>
        <v>602667</v>
      </c>
      <c r="BG25" s="1" t="s">
        <v>623</v>
      </c>
      <c r="BH25" s="1">
        <f>0.729*(1)</f>
        <v>0.72899999999999998</v>
      </c>
      <c r="BI25" s="1" t="s">
        <v>111</v>
      </c>
      <c r="BJ25" s="1">
        <f>55958*(1)</f>
        <v>55958</v>
      </c>
      <c r="BK25" s="1" t="s">
        <v>624</v>
      </c>
      <c r="BL25" s="1">
        <f>0.75*(1)</f>
        <v>0.75</v>
      </c>
      <c r="BM25" s="1" t="s">
        <v>120</v>
      </c>
      <c r="BN25" s="1">
        <f>179793*(1)</f>
        <v>179793</v>
      </c>
      <c r="BO25" s="1" t="s">
        <v>625</v>
      </c>
      <c r="BP25" s="1">
        <f>0.775*(1)</f>
        <v>0.77500000000000002</v>
      </c>
      <c r="BQ25" s="1" t="s">
        <v>96</v>
      </c>
      <c r="BR25" s="1">
        <f>130515*(1)</f>
        <v>130515</v>
      </c>
      <c r="BS25" s="1" t="s">
        <v>626</v>
      </c>
      <c r="BT25" s="1">
        <f>0.723*(1)</f>
        <v>0.72299999999999998</v>
      </c>
      <c r="BU25" s="1" t="s">
        <v>87</v>
      </c>
      <c r="BV25" s="1">
        <f>234229*(1)</f>
        <v>234229</v>
      </c>
      <c r="BW25" s="1" t="s">
        <v>627</v>
      </c>
      <c r="BX25" s="1">
        <f>0.742*(1)</f>
        <v>0.74199999999999999</v>
      </c>
      <c r="BY25" s="1" t="s">
        <v>94</v>
      </c>
      <c r="BZ25" s="1">
        <f>314830*(1)</f>
        <v>314830</v>
      </c>
      <c r="CA25" s="1" t="s">
        <v>628</v>
      </c>
      <c r="CB25" s="1">
        <f>0.734*(1)</f>
        <v>0.73399999999999999</v>
      </c>
      <c r="CC25" s="1" t="s">
        <v>96</v>
      </c>
      <c r="CD25" s="1">
        <f>172820*(1)</f>
        <v>172820</v>
      </c>
      <c r="CE25" s="1" t="s">
        <v>131</v>
      </c>
      <c r="CF25" s="1">
        <f>0.762*(1)</f>
        <v>0.76200000000000001</v>
      </c>
      <c r="CG25" s="1" t="s">
        <v>94</v>
      </c>
      <c r="CH25" s="1">
        <f>49822*(1)</f>
        <v>49822</v>
      </c>
      <c r="CI25" s="1" t="s">
        <v>398</v>
      </c>
      <c r="CJ25" s="1">
        <f>0.763*(1)</f>
        <v>0.76300000000000001</v>
      </c>
      <c r="CK25" s="1" t="s">
        <v>145</v>
      </c>
      <c r="CL25" s="1">
        <f>137634*(1)</f>
        <v>137634</v>
      </c>
      <c r="CM25" s="1" t="s">
        <v>88</v>
      </c>
      <c r="CN25" s="1">
        <f>0.752*(1)</f>
        <v>0.752</v>
      </c>
      <c r="CO25" s="1" t="s">
        <v>96</v>
      </c>
      <c r="CP25" s="1">
        <f>80889*(1)</f>
        <v>80889</v>
      </c>
      <c r="CQ25" s="1" t="s">
        <v>629</v>
      </c>
      <c r="CR25" s="1">
        <f>0.74*(1)</f>
        <v>0.74</v>
      </c>
      <c r="CS25" s="1" t="s">
        <v>109</v>
      </c>
      <c r="CT25" s="1">
        <f>395403*(1)</f>
        <v>395403</v>
      </c>
      <c r="CU25" s="1" t="s">
        <v>630</v>
      </c>
      <c r="CV25" s="1">
        <f>0.738*(1)</f>
        <v>0.73799999999999999</v>
      </c>
      <c r="CW25" s="1" t="s">
        <v>96</v>
      </c>
      <c r="CX25" s="1">
        <f>63446*(1)</f>
        <v>63446</v>
      </c>
      <c r="CY25" s="1" t="s">
        <v>631</v>
      </c>
      <c r="CZ25" s="1">
        <f>0.734*(1)</f>
        <v>0.73399999999999999</v>
      </c>
      <c r="DA25" s="1" t="s">
        <v>145</v>
      </c>
      <c r="DB25" s="1">
        <f>118769*(1)</f>
        <v>118769</v>
      </c>
      <c r="DC25" s="1" t="s">
        <v>632</v>
      </c>
      <c r="DD25" s="1">
        <f>0.731*(1)</f>
        <v>0.73099999999999998</v>
      </c>
      <c r="DE25" s="1" t="s">
        <v>132</v>
      </c>
      <c r="DF25" s="1">
        <f>93747*(1)</f>
        <v>93747</v>
      </c>
      <c r="DG25" s="1" t="s">
        <v>633</v>
      </c>
      <c r="DH25" s="1">
        <f>0.749*(1)</f>
        <v>0.749</v>
      </c>
      <c r="DI25" s="1" t="s">
        <v>109</v>
      </c>
      <c r="DJ25" s="1">
        <f>58562*(1)</f>
        <v>58562</v>
      </c>
      <c r="DK25" s="1" t="s">
        <v>600</v>
      </c>
      <c r="DL25" s="1">
        <f>0.762*(1)</f>
        <v>0.76200000000000001</v>
      </c>
      <c r="DM25" s="1" t="s">
        <v>87</v>
      </c>
      <c r="DN25" s="1">
        <f>54352*(1)</f>
        <v>54352</v>
      </c>
      <c r="DO25" s="1" t="s">
        <v>634</v>
      </c>
      <c r="DP25" s="1">
        <f>0.741*(1)</f>
        <v>0.74099999999999999</v>
      </c>
      <c r="DQ25" s="1" t="s">
        <v>129</v>
      </c>
      <c r="DR25" s="1">
        <f>280073*(1)</f>
        <v>280073</v>
      </c>
      <c r="DS25" s="1" t="s">
        <v>635</v>
      </c>
      <c r="DT25" s="1">
        <f>0.749*(1)</f>
        <v>0.749</v>
      </c>
      <c r="DU25" s="1" t="s">
        <v>92</v>
      </c>
      <c r="DV25" s="1">
        <f>406808*(1)</f>
        <v>406808</v>
      </c>
      <c r="DW25" s="1" t="s">
        <v>636</v>
      </c>
      <c r="DX25" s="1">
        <f>0.757*(1)</f>
        <v>0.75700000000000001</v>
      </c>
      <c r="DY25" s="1" t="s">
        <v>92</v>
      </c>
      <c r="DZ25" s="1">
        <f>153206*(1)</f>
        <v>153206</v>
      </c>
      <c r="EA25" s="1" t="s">
        <v>637</v>
      </c>
      <c r="EB25" s="1">
        <f>0.761*(1)</f>
        <v>0.76100000000000001</v>
      </c>
      <c r="EC25" s="1" t="s">
        <v>94</v>
      </c>
      <c r="ED25" s="1">
        <f>68983*(1)</f>
        <v>68983</v>
      </c>
      <c r="EE25" s="1" t="s">
        <v>261</v>
      </c>
      <c r="EF25" s="1">
        <f>0.746*(1)</f>
        <v>0.746</v>
      </c>
      <c r="EG25" s="1" t="s">
        <v>132</v>
      </c>
      <c r="EH25" s="1">
        <f>179782*(1)</f>
        <v>179782</v>
      </c>
      <c r="EI25" s="1" t="s">
        <v>638</v>
      </c>
      <c r="EJ25" s="1">
        <f>0.729*(1)</f>
        <v>0.72899999999999998</v>
      </c>
      <c r="EK25" s="1" t="s">
        <v>94</v>
      </c>
      <c r="EL25" s="1">
        <f>82353*(1)</f>
        <v>82353</v>
      </c>
      <c r="EM25" s="1" t="s">
        <v>639</v>
      </c>
      <c r="EN25" s="1">
        <f>0.706*(1)</f>
        <v>0.70599999999999996</v>
      </c>
      <c r="EO25" s="1" t="s">
        <v>153</v>
      </c>
      <c r="EP25" s="1">
        <f>95526*(1)</f>
        <v>95526</v>
      </c>
      <c r="EQ25" s="1" t="s">
        <v>130</v>
      </c>
      <c r="ER25" s="1">
        <f>0.721*(1)</f>
        <v>0.72099999999999997</v>
      </c>
      <c r="ES25" s="1" t="s">
        <v>109</v>
      </c>
    </row>
    <row r="26" spans="1:149" x14ac:dyDescent="0.3">
      <c r="A26" s="7" t="s">
        <v>640</v>
      </c>
      <c r="B26" s="1">
        <f>23763*(1)</f>
        <v>23763</v>
      </c>
      <c r="C26" s="1" t="s">
        <v>112</v>
      </c>
      <c r="D26" s="1">
        <f>0.234*(1)</f>
        <v>0.23400000000000001</v>
      </c>
      <c r="E26" s="1" t="s">
        <v>87</v>
      </c>
      <c r="F26" s="1">
        <f>24801*(1)</f>
        <v>24801</v>
      </c>
      <c r="G26" s="1" t="s">
        <v>641</v>
      </c>
      <c r="H26" s="1">
        <f>0.255*(1)</f>
        <v>0.255</v>
      </c>
      <c r="I26" s="1" t="s">
        <v>141</v>
      </c>
      <c r="J26" s="1">
        <f>17267*(1)</f>
        <v>17267</v>
      </c>
      <c r="K26" s="1" t="s">
        <v>642</v>
      </c>
      <c r="L26" s="1">
        <f>0.262*(1)</f>
        <v>0.26200000000000001</v>
      </c>
      <c r="M26" s="1" t="s">
        <v>145</v>
      </c>
      <c r="N26" s="1">
        <f>76352*(1)</f>
        <v>76352</v>
      </c>
      <c r="O26" s="1" t="s">
        <v>643</v>
      </c>
      <c r="P26" s="1">
        <f>0.196*(1)</f>
        <v>0.19600000000000001</v>
      </c>
      <c r="Q26" s="1" t="s">
        <v>94</v>
      </c>
      <c r="R26" s="1">
        <f>33320*(1)</f>
        <v>33320</v>
      </c>
      <c r="S26" s="1" t="s">
        <v>644</v>
      </c>
      <c r="T26" s="1">
        <f>0.246*(1)</f>
        <v>0.246</v>
      </c>
      <c r="U26" s="1" t="s">
        <v>120</v>
      </c>
      <c r="V26" s="1">
        <f>46562*(1)</f>
        <v>46562</v>
      </c>
      <c r="W26" s="1" t="s">
        <v>645</v>
      </c>
      <c r="X26" s="1">
        <f>0.222*(1)</f>
        <v>0.222</v>
      </c>
      <c r="Y26" s="1" t="s">
        <v>120</v>
      </c>
      <c r="Z26" s="1">
        <f>26108*(1)</f>
        <v>26108</v>
      </c>
      <c r="AA26" s="1" t="s">
        <v>474</v>
      </c>
      <c r="AB26" s="1">
        <f>0.258*(1)</f>
        <v>0.25800000000000001</v>
      </c>
      <c r="AC26" s="1" t="s">
        <v>87</v>
      </c>
      <c r="AD26" s="1">
        <f>295353*(1)</f>
        <v>295353</v>
      </c>
      <c r="AE26" s="1" t="s">
        <v>646</v>
      </c>
      <c r="AF26" s="1">
        <f>0.236*(1)</f>
        <v>0.23599999999999999</v>
      </c>
      <c r="AG26" s="1" t="s">
        <v>92</v>
      </c>
      <c r="AH26" s="1">
        <f>38605*(1)</f>
        <v>38605</v>
      </c>
      <c r="AI26" s="1" t="s">
        <v>647</v>
      </c>
      <c r="AJ26" s="1">
        <f>0.175*(1)</f>
        <v>0.17499999999999999</v>
      </c>
      <c r="AK26" s="1" t="s">
        <v>90</v>
      </c>
      <c r="AL26" s="1">
        <f>21702*(1)</f>
        <v>21702</v>
      </c>
      <c r="AM26" s="1" t="s">
        <v>648</v>
      </c>
      <c r="AN26" s="1">
        <f>0.29*(1)</f>
        <v>0.28999999999999998</v>
      </c>
      <c r="AO26" s="1" t="s">
        <v>139</v>
      </c>
      <c r="AP26" s="1">
        <f>31174*(1)</f>
        <v>31174</v>
      </c>
      <c r="AQ26" s="1" t="s">
        <v>649</v>
      </c>
      <c r="AR26" s="1">
        <f>0.194*(1)</f>
        <v>0.19400000000000001</v>
      </c>
      <c r="AS26" s="1" t="s">
        <v>87</v>
      </c>
      <c r="AT26" s="1">
        <f>214281*(1)</f>
        <v>214281</v>
      </c>
      <c r="AU26" s="1" t="s">
        <v>650</v>
      </c>
      <c r="AV26" s="1">
        <f>0.162*(1)</f>
        <v>0.16200000000000001</v>
      </c>
      <c r="AW26" s="1" t="s">
        <v>111</v>
      </c>
      <c r="AX26" s="1">
        <f>24425*(1)</f>
        <v>24425</v>
      </c>
      <c r="AY26" s="1" t="s">
        <v>651</v>
      </c>
      <c r="AZ26" s="1">
        <f>0.256*(1)</f>
        <v>0.25600000000000001</v>
      </c>
      <c r="BA26" s="1" t="s">
        <v>132</v>
      </c>
      <c r="BB26" s="1">
        <f>37460*(1)</f>
        <v>37460</v>
      </c>
      <c r="BC26" s="1" t="s">
        <v>652</v>
      </c>
      <c r="BD26" s="1">
        <f>0.222*(1)</f>
        <v>0.222</v>
      </c>
      <c r="BE26" s="1" t="s">
        <v>120</v>
      </c>
      <c r="BF26" s="1">
        <f>162946*(1)</f>
        <v>162946</v>
      </c>
      <c r="BG26" s="1" t="s">
        <v>653</v>
      </c>
      <c r="BH26" s="1">
        <f>0.197*(1)</f>
        <v>0.19700000000000001</v>
      </c>
      <c r="BI26" s="1" t="s">
        <v>92</v>
      </c>
      <c r="BJ26" s="1">
        <f>17402*(1)</f>
        <v>17402</v>
      </c>
      <c r="BK26" s="1" t="s">
        <v>421</v>
      </c>
      <c r="BL26" s="1">
        <f>0.233*(1)</f>
        <v>0.23300000000000001</v>
      </c>
      <c r="BM26" s="1" t="s">
        <v>129</v>
      </c>
      <c r="BN26" s="1">
        <f>60685*(1)</f>
        <v>60685</v>
      </c>
      <c r="BO26" s="1" t="s">
        <v>654</v>
      </c>
      <c r="BP26" s="1">
        <f>0.262*(1)</f>
        <v>0.26200000000000001</v>
      </c>
      <c r="BQ26" s="1" t="s">
        <v>90</v>
      </c>
      <c r="BR26" s="1">
        <f>38326*(1)</f>
        <v>38326</v>
      </c>
      <c r="BS26" s="1" t="s">
        <v>655</v>
      </c>
      <c r="BT26" s="1">
        <f>0.212*(1)</f>
        <v>0.21199999999999999</v>
      </c>
      <c r="BU26" s="1" t="s">
        <v>87</v>
      </c>
      <c r="BV26" s="1">
        <f>74853*(1)</f>
        <v>74853</v>
      </c>
      <c r="BW26" s="1" t="s">
        <v>656</v>
      </c>
      <c r="BX26" s="1">
        <f>0.237*(1)</f>
        <v>0.23699999999999999</v>
      </c>
      <c r="BY26" s="1" t="s">
        <v>94</v>
      </c>
      <c r="BZ26" s="1">
        <f>90212*(1)</f>
        <v>90212</v>
      </c>
      <c r="CA26" s="1" t="s">
        <v>657</v>
      </c>
      <c r="CB26" s="1">
        <f>0.21*(1)</f>
        <v>0.21</v>
      </c>
      <c r="CC26" s="1" t="s">
        <v>94</v>
      </c>
      <c r="CD26" s="1">
        <f>59762*(1)</f>
        <v>59762</v>
      </c>
      <c r="CE26" s="1" t="s">
        <v>658</v>
      </c>
      <c r="CF26" s="1">
        <f>0.264*(1)</f>
        <v>0.26400000000000001</v>
      </c>
      <c r="CG26" s="1" t="s">
        <v>120</v>
      </c>
      <c r="CH26" s="1">
        <f>16134*(1)</f>
        <v>16134</v>
      </c>
      <c r="CI26" s="1" t="s">
        <v>251</v>
      </c>
      <c r="CJ26" s="1">
        <f>0.247*(1)</f>
        <v>0.247</v>
      </c>
      <c r="CK26" s="1" t="s">
        <v>141</v>
      </c>
      <c r="CL26" s="1">
        <f>45563*(1)</f>
        <v>45563</v>
      </c>
      <c r="CM26" s="1" t="s">
        <v>659</v>
      </c>
      <c r="CN26" s="1">
        <f>0.249*(1)</f>
        <v>0.249</v>
      </c>
      <c r="CO26" s="1" t="s">
        <v>87</v>
      </c>
      <c r="CP26" s="1">
        <f>26276*(1)</f>
        <v>26276</v>
      </c>
      <c r="CQ26" s="1" t="s">
        <v>660</v>
      </c>
      <c r="CR26" s="1">
        <f>0.24*(1)</f>
        <v>0.24</v>
      </c>
      <c r="CS26" s="1" t="s">
        <v>145</v>
      </c>
      <c r="CT26" s="1">
        <f>120082*(1)</f>
        <v>120082</v>
      </c>
      <c r="CU26" s="1" t="s">
        <v>661</v>
      </c>
      <c r="CV26" s="1">
        <f>0.224*(1)</f>
        <v>0.224</v>
      </c>
      <c r="CW26" s="1" t="s">
        <v>96</v>
      </c>
      <c r="CX26" s="1">
        <f>19375*(1)</f>
        <v>19375</v>
      </c>
      <c r="CY26" s="1" t="s">
        <v>662</v>
      </c>
      <c r="CZ26" s="1">
        <f>0.224*(1)</f>
        <v>0.224</v>
      </c>
      <c r="DA26" s="1" t="s">
        <v>132</v>
      </c>
      <c r="DB26" s="1">
        <f>37137*(1)</f>
        <v>37137</v>
      </c>
      <c r="DC26" s="1" t="s">
        <v>663</v>
      </c>
      <c r="DD26" s="1">
        <f>0.229*(1)</f>
        <v>0.22900000000000001</v>
      </c>
      <c r="DE26" s="1" t="s">
        <v>132</v>
      </c>
      <c r="DF26" s="1">
        <f>30649*(1)</f>
        <v>30649</v>
      </c>
      <c r="DG26" s="1" t="s">
        <v>460</v>
      </c>
      <c r="DH26" s="1">
        <f>0.245*(1)</f>
        <v>0.245</v>
      </c>
      <c r="DI26" s="1" t="s">
        <v>109</v>
      </c>
      <c r="DJ26" s="1">
        <f>16860*(1)</f>
        <v>16860</v>
      </c>
      <c r="DK26" s="1" t="s">
        <v>664</v>
      </c>
      <c r="DL26" s="1">
        <f>0.219*(1)</f>
        <v>0.219</v>
      </c>
      <c r="DM26" s="1" t="s">
        <v>129</v>
      </c>
      <c r="DN26" s="1">
        <f>16889*(1)</f>
        <v>16889</v>
      </c>
      <c r="DO26" s="1" t="s">
        <v>665</v>
      </c>
      <c r="DP26" s="1">
        <f>0.23*(1)</f>
        <v>0.23</v>
      </c>
      <c r="DQ26" s="1" t="s">
        <v>132</v>
      </c>
      <c r="DR26" s="1">
        <f>90768*(1)</f>
        <v>90768</v>
      </c>
      <c r="DS26" s="1" t="s">
        <v>628</v>
      </c>
      <c r="DT26" s="1">
        <f>0.243*(1)</f>
        <v>0.24299999999999999</v>
      </c>
      <c r="DU26" s="1" t="s">
        <v>96</v>
      </c>
      <c r="DV26" s="1">
        <f>127019*(1)</f>
        <v>127019</v>
      </c>
      <c r="DW26" s="1" t="s">
        <v>666</v>
      </c>
      <c r="DX26" s="1">
        <f>0.236*(1)</f>
        <v>0.23599999999999999</v>
      </c>
      <c r="DY26" s="1" t="s">
        <v>96</v>
      </c>
      <c r="DZ26" s="1">
        <f>54505*(1)</f>
        <v>54505</v>
      </c>
      <c r="EA26" s="1" t="s">
        <v>667</v>
      </c>
      <c r="EB26" s="1">
        <f>0.271*(1)</f>
        <v>0.27100000000000002</v>
      </c>
      <c r="EC26" s="1" t="s">
        <v>120</v>
      </c>
      <c r="ED26" s="1">
        <f>23221*(1)</f>
        <v>23221</v>
      </c>
      <c r="EE26" s="1" t="s">
        <v>668</v>
      </c>
      <c r="EF26" s="1">
        <f>0.251*(1)</f>
        <v>0.251</v>
      </c>
      <c r="EG26" s="1" t="s">
        <v>109</v>
      </c>
      <c r="EH26" s="1">
        <f>46861*(1)</f>
        <v>46861</v>
      </c>
      <c r="EI26" s="1" t="s">
        <v>669</v>
      </c>
      <c r="EJ26" s="1">
        <f>0.19*(1)</f>
        <v>0.19</v>
      </c>
      <c r="EK26" s="1" t="s">
        <v>120</v>
      </c>
      <c r="EL26" s="1">
        <f>25574*(1)</f>
        <v>25574</v>
      </c>
      <c r="EM26" s="1" t="s">
        <v>670</v>
      </c>
      <c r="EN26" s="1">
        <f>0.219*(1)</f>
        <v>0.219</v>
      </c>
      <c r="EO26" s="1" t="s">
        <v>87</v>
      </c>
      <c r="EP26" s="1">
        <f>25211*(1)</f>
        <v>25211</v>
      </c>
      <c r="EQ26" s="1" t="s">
        <v>369</v>
      </c>
      <c r="ER26" s="1">
        <f>0.19*(1)</f>
        <v>0.19</v>
      </c>
      <c r="ES26" s="1" t="s">
        <v>90</v>
      </c>
    </row>
    <row r="27" spans="1:149" x14ac:dyDescent="0.3">
      <c r="A27" s="7" t="s">
        <v>671</v>
      </c>
      <c r="B27" s="1">
        <f>19123*(1)</f>
        <v>19123</v>
      </c>
      <c r="C27" s="1" t="s">
        <v>672</v>
      </c>
      <c r="D27" s="1">
        <f>0.188*(1)</f>
        <v>0.188</v>
      </c>
      <c r="E27" s="1" t="s">
        <v>96</v>
      </c>
      <c r="F27" s="1">
        <f>19763*(1)</f>
        <v>19763</v>
      </c>
      <c r="G27" s="1" t="s">
        <v>673</v>
      </c>
      <c r="H27" s="1">
        <f>0.203*(1)</f>
        <v>0.20300000000000001</v>
      </c>
      <c r="I27" s="1" t="s">
        <v>94</v>
      </c>
      <c r="J27" s="1">
        <f>14253*(1)</f>
        <v>14253</v>
      </c>
      <c r="K27" s="1" t="s">
        <v>674</v>
      </c>
      <c r="L27" s="1">
        <f>0.216*(1)</f>
        <v>0.216</v>
      </c>
      <c r="M27" s="1" t="s">
        <v>111</v>
      </c>
      <c r="N27" s="1">
        <f>60136*(1)</f>
        <v>60136</v>
      </c>
      <c r="O27" s="1" t="s">
        <v>675</v>
      </c>
      <c r="P27" s="1">
        <f>0.154*(1)</f>
        <v>0.154</v>
      </c>
      <c r="Q27" s="1" t="s">
        <v>111</v>
      </c>
      <c r="R27" s="1">
        <f>26765*(1)</f>
        <v>26765</v>
      </c>
      <c r="S27" s="1" t="s">
        <v>676</v>
      </c>
      <c r="T27" s="1">
        <f>0.197*(1)</f>
        <v>0.19700000000000001</v>
      </c>
      <c r="U27" s="1" t="s">
        <v>111</v>
      </c>
      <c r="V27" s="1">
        <f>36755*(1)</f>
        <v>36755</v>
      </c>
      <c r="W27" s="1" t="s">
        <v>677</v>
      </c>
      <c r="X27" s="1">
        <f>0.175*(1)</f>
        <v>0.17499999999999999</v>
      </c>
      <c r="Y27" s="1" t="s">
        <v>99</v>
      </c>
      <c r="Z27" s="1">
        <f>21672*(1)</f>
        <v>21672</v>
      </c>
      <c r="AA27" s="1" t="s">
        <v>335</v>
      </c>
      <c r="AB27" s="1">
        <f>0.214*(1)</f>
        <v>0.214</v>
      </c>
      <c r="AC27" s="1" t="s">
        <v>111</v>
      </c>
      <c r="AD27" s="1">
        <f>237374*(1)</f>
        <v>237374</v>
      </c>
      <c r="AE27" s="1" t="s">
        <v>678</v>
      </c>
      <c r="AF27" s="1">
        <f>0.19*(1)</f>
        <v>0.19</v>
      </c>
      <c r="AG27" s="1" t="s">
        <v>99</v>
      </c>
      <c r="AH27" s="1">
        <f>32628*(1)</f>
        <v>32628</v>
      </c>
      <c r="AI27" s="1" t="s">
        <v>679</v>
      </c>
      <c r="AJ27" s="1">
        <f>0.148*(1)</f>
        <v>0.14799999999999999</v>
      </c>
      <c r="AK27" s="1" t="s">
        <v>92</v>
      </c>
      <c r="AL27" s="1">
        <f>17919*(1)</f>
        <v>17919</v>
      </c>
      <c r="AM27" s="1" t="s">
        <v>680</v>
      </c>
      <c r="AN27" s="1">
        <f>0.239*(1)</f>
        <v>0.23899999999999999</v>
      </c>
      <c r="AO27" s="1" t="s">
        <v>87</v>
      </c>
      <c r="AP27" s="1">
        <f>25358*(1)</f>
        <v>25358</v>
      </c>
      <c r="AQ27" s="1" t="s">
        <v>164</v>
      </c>
      <c r="AR27" s="1">
        <f>0.157*(1)</f>
        <v>0.157</v>
      </c>
      <c r="AS27" s="1" t="s">
        <v>96</v>
      </c>
      <c r="AT27" s="1">
        <f>167514*(1)</f>
        <v>167514</v>
      </c>
      <c r="AU27" s="1" t="s">
        <v>681</v>
      </c>
      <c r="AV27" s="1">
        <f>0.127*(1)</f>
        <v>0.127</v>
      </c>
      <c r="AW27" s="1" t="s">
        <v>99</v>
      </c>
      <c r="AX27" s="1">
        <f>20566*(1)</f>
        <v>20566</v>
      </c>
      <c r="AY27" s="1" t="s">
        <v>682</v>
      </c>
      <c r="AZ27" s="1">
        <f>0.215*(1)</f>
        <v>0.215</v>
      </c>
      <c r="BA27" s="1" t="s">
        <v>111</v>
      </c>
      <c r="BB27" s="1">
        <f>30918*(1)</f>
        <v>30918</v>
      </c>
      <c r="BC27" s="1" t="s">
        <v>683</v>
      </c>
      <c r="BD27" s="1">
        <f>0.184*(1)</f>
        <v>0.184</v>
      </c>
      <c r="BE27" s="1" t="s">
        <v>96</v>
      </c>
      <c r="BF27" s="1">
        <f>132585*(1)</f>
        <v>132585</v>
      </c>
      <c r="BG27" s="1" t="s">
        <v>485</v>
      </c>
      <c r="BH27" s="1">
        <f>0.16*(1)</f>
        <v>0.16</v>
      </c>
      <c r="BI27" s="1" t="s">
        <v>99</v>
      </c>
      <c r="BJ27" s="1">
        <f>13899*(1)</f>
        <v>13899</v>
      </c>
      <c r="BK27" s="1" t="s">
        <v>684</v>
      </c>
      <c r="BL27" s="1">
        <f>0.186*(1)</f>
        <v>0.186</v>
      </c>
      <c r="BM27" s="1" t="s">
        <v>90</v>
      </c>
      <c r="BN27" s="1">
        <f>48985*(1)</f>
        <v>48985</v>
      </c>
      <c r="BO27" s="1" t="s">
        <v>685</v>
      </c>
      <c r="BP27" s="1">
        <f>0.211*(1)</f>
        <v>0.21099999999999999</v>
      </c>
      <c r="BQ27" s="1" t="s">
        <v>111</v>
      </c>
      <c r="BR27" s="1">
        <f>31057*(1)</f>
        <v>31057</v>
      </c>
      <c r="BS27" s="1" t="s">
        <v>686</v>
      </c>
      <c r="BT27" s="1">
        <f>0.172*(1)</f>
        <v>0.17199999999999999</v>
      </c>
      <c r="BU27" s="1" t="s">
        <v>92</v>
      </c>
      <c r="BV27" s="1">
        <f>60500*(1)</f>
        <v>60500</v>
      </c>
      <c r="BW27" s="1" t="s">
        <v>687</v>
      </c>
      <c r="BX27" s="1">
        <f>0.192*(1)</f>
        <v>0.192</v>
      </c>
      <c r="BY27" s="1" t="s">
        <v>99</v>
      </c>
      <c r="BZ27" s="1">
        <f>73444*(1)</f>
        <v>73444</v>
      </c>
      <c r="CA27" s="1" t="s">
        <v>688</v>
      </c>
      <c r="CB27" s="1">
        <f>0.171*(1)</f>
        <v>0.17100000000000001</v>
      </c>
      <c r="CC27" s="1" t="s">
        <v>99</v>
      </c>
      <c r="CD27" s="1">
        <f>49348*(1)</f>
        <v>49348</v>
      </c>
      <c r="CE27" s="1" t="s">
        <v>689</v>
      </c>
      <c r="CF27" s="1">
        <f>0.218*(1)</f>
        <v>0.218</v>
      </c>
      <c r="CG27" s="1" t="s">
        <v>99</v>
      </c>
      <c r="CH27" s="1">
        <f>12562*(1)</f>
        <v>12562</v>
      </c>
      <c r="CI27" s="1" t="s">
        <v>690</v>
      </c>
      <c r="CJ27" s="1">
        <f>0.192*(1)</f>
        <v>0.192</v>
      </c>
      <c r="CK27" s="1" t="s">
        <v>87</v>
      </c>
      <c r="CL27" s="1">
        <f>34860*(1)</f>
        <v>34860</v>
      </c>
      <c r="CM27" s="1" t="s">
        <v>691</v>
      </c>
      <c r="CN27" s="1">
        <f>0.19*(1)</f>
        <v>0.19</v>
      </c>
      <c r="CO27" s="1" t="s">
        <v>92</v>
      </c>
      <c r="CP27" s="1">
        <f>21541*(1)</f>
        <v>21541</v>
      </c>
      <c r="CQ27" s="1" t="s">
        <v>692</v>
      </c>
      <c r="CR27" s="1">
        <f>0.197*(1)</f>
        <v>0.19700000000000001</v>
      </c>
      <c r="CS27" s="1" t="s">
        <v>90</v>
      </c>
      <c r="CT27" s="1">
        <f>98531*(1)</f>
        <v>98531</v>
      </c>
      <c r="CU27" s="1" t="s">
        <v>297</v>
      </c>
      <c r="CV27" s="1">
        <f>0.184*(1)</f>
        <v>0.184</v>
      </c>
      <c r="CW27" s="1" t="s">
        <v>99</v>
      </c>
      <c r="CX27" s="1">
        <f>15374*(1)</f>
        <v>15374</v>
      </c>
      <c r="CY27" s="1" t="s">
        <v>693</v>
      </c>
      <c r="CZ27" s="1">
        <f>0.178*(1)</f>
        <v>0.17799999999999999</v>
      </c>
      <c r="DA27" s="1" t="s">
        <v>111</v>
      </c>
      <c r="DB27" s="1">
        <f>29181*(1)</f>
        <v>29181</v>
      </c>
      <c r="DC27" s="1" t="s">
        <v>694</v>
      </c>
      <c r="DD27" s="1">
        <f>0.18*(1)</f>
        <v>0.18</v>
      </c>
      <c r="DE27" s="1" t="s">
        <v>94</v>
      </c>
      <c r="DF27" s="1">
        <f>25192*(1)</f>
        <v>25192</v>
      </c>
      <c r="DG27" s="1" t="s">
        <v>302</v>
      </c>
      <c r="DH27" s="1">
        <f>0.201*(1)</f>
        <v>0.20100000000000001</v>
      </c>
      <c r="DI27" s="1" t="s">
        <v>96</v>
      </c>
      <c r="DJ27" s="1">
        <f>13564*(1)</f>
        <v>13564</v>
      </c>
      <c r="DK27" s="1" t="s">
        <v>695</v>
      </c>
      <c r="DL27" s="1">
        <f>0.176*(1)</f>
        <v>0.17599999999999999</v>
      </c>
      <c r="DM27" s="1" t="s">
        <v>96</v>
      </c>
      <c r="DN27" s="1">
        <f>13814*(1)</f>
        <v>13814</v>
      </c>
      <c r="DO27" s="1" t="s">
        <v>172</v>
      </c>
      <c r="DP27" s="1">
        <f>0.188*(1)</f>
        <v>0.188</v>
      </c>
      <c r="DQ27" s="1" t="s">
        <v>94</v>
      </c>
      <c r="DR27" s="1">
        <f>75651*(1)</f>
        <v>75651</v>
      </c>
      <c r="DS27" s="1" t="s">
        <v>696</v>
      </c>
      <c r="DT27" s="1">
        <f>0.202*(1)</f>
        <v>0.20200000000000001</v>
      </c>
      <c r="DU27" s="1" t="s">
        <v>99</v>
      </c>
      <c r="DV27" s="1">
        <f>101793*(1)</f>
        <v>101793</v>
      </c>
      <c r="DW27" s="1" t="s">
        <v>697</v>
      </c>
      <c r="DX27" s="1">
        <f>0.189*(1)</f>
        <v>0.189</v>
      </c>
      <c r="DY27" s="1" t="s">
        <v>99</v>
      </c>
      <c r="DZ27" s="1">
        <f>44527*(1)</f>
        <v>44527</v>
      </c>
      <c r="EA27" s="1" t="s">
        <v>698</v>
      </c>
      <c r="EB27" s="1">
        <f>0.221*(1)</f>
        <v>0.221</v>
      </c>
      <c r="EC27" s="1" t="s">
        <v>111</v>
      </c>
      <c r="ED27" s="1">
        <f>18370*(1)</f>
        <v>18370</v>
      </c>
      <c r="EE27" s="1" t="s">
        <v>699</v>
      </c>
      <c r="EF27" s="1">
        <f>0.199*(1)</f>
        <v>0.19900000000000001</v>
      </c>
      <c r="EG27" s="1" t="s">
        <v>111</v>
      </c>
      <c r="EH27" s="1">
        <f>37474*(1)</f>
        <v>37474</v>
      </c>
      <c r="EI27" s="1" t="s">
        <v>700</v>
      </c>
      <c r="EJ27" s="1">
        <f>0.152*(1)</f>
        <v>0.152</v>
      </c>
      <c r="EK27" s="1" t="s">
        <v>111</v>
      </c>
      <c r="EL27" s="1">
        <f>21697*(1)</f>
        <v>21697</v>
      </c>
      <c r="EM27" s="1" t="s">
        <v>701</v>
      </c>
      <c r="EN27" s="1">
        <f>0.186*(1)</f>
        <v>0.186</v>
      </c>
      <c r="EO27" s="1" t="s">
        <v>92</v>
      </c>
      <c r="EP27" s="1">
        <f>21209*(1)</f>
        <v>21209</v>
      </c>
      <c r="EQ27" s="1" t="s">
        <v>169</v>
      </c>
      <c r="ER27" s="1">
        <f>0.16*(1)</f>
        <v>0.16</v>
      </c>
      <c r="ES27" s="1" t="s">
        <v>92</v>
      </c>
    </row>
    <row r="28" spans="1:149" x14ac:dyDescent="0.3">
      <c r="A28" s="7" t="s">
        <v>610</v>
      </c>
      <c r="B28" s="1">
        <f>78280*(1)</f>
        <v>78280</v>
      </c>
      <c r="C28" s="1" t="s">
        <v>484</v>
      </c>
      <c r="D28" s="1">
        <f>78280*(1)</f>
        <v>78280</v>
      </c>
      <c r="E28" s="1" t="s">
        <v>84</v>
      </c>
      <c r="F28" s="1">
        <f>75977*(1)</f>
        <v>75977</v>
      </c>
      <c r="G28" s="1" t="s">
        <v>567</v>
      </c>
      <c r="H28" s="1">
        <f>75977*(1)</f>
        <v>75977</v>
      </c>
      <c r="I28" s="1" t="s">
        <v>84</v>
      </c>
      <c r="J28" s="1">
        <f>53228*(1)</f>
        <v>53228</v>
      </c>
      <c r="K28" s="1" t="s">
        <v>568</v>
      </c>
      <c r="L28" s="1">
        <f>53228*(1)</f>
        <v>53228</v>
      </c>
      <c r="M28" s="1" t="s">
        <v>84</v>
      </c>
      <c r="N28" s="1">
        <f>299070*(1)</f>
        <v>299070</v>
      </c>
      <c r="O28" s="1" t="s">
        <v>83</v>
      </c>
      <c r="P28" s="1">
        <f>299070*(1)</f>
        <v>299070</v>
      </c>
      <c r="Q28" s="1" t="s">
        <v>84</v>
      </c>
      <c r="R28" s="1">
        <f>105138*(1)</f>
        <v>105138</v>
      </c>
      <c r="S28" s="1" t="s">
        <v>569</v>
      </c>
      <c r="T28" s="1">
        <f>105138*(1)</f>
        <v>105138</v>
      </c>
      <c r="U28" s="1" t="s">
        <v>84</v>
      </c>
      <c r="V28" s="1">
        <f>162658*(1)</f>
        <v>162658</v>
      </c>
      <c r="W28" s="1" t="s">
        <v>570</v>
      </c>
      <c r="X28" s="1">
        <f>162658*(1)</f>
        <v>162658</v>
      </c>
      <c r="Y28" s="1" t="s">
        <v>84</v>
      </c>
      <c r="Z28" s="1">
        <f>80681*(1)</f>
        <v>80681</v>
      </c>
      <c r="AA28" s="1" t="s">
        <v>83</v>
      </c>
      <c r="AB28" s="1">
        <f>80681*(1)</f>
        <v>80681</v>
      </c>
      <c r="AC28" s="1" t="s">
        <v>84</v>
      </c>
      <c r="AD28" s="1">
        <f>992294*(1)</f>
        <v>992294</v>
      </c>
      <c r="AE28" s="1" t="s">
        <v>83</v>
      </c>
      <c r="AF28" s="1">
        <f>992294*(1)</f>
        <v>992294</v>
      </c>
      <c r="AG28" s="1" t="s">
        <v>84</v>
      </c>
      <c r="AH28" s="1">
        <f>164789*(1)</f>
        <v>164789</v>
      </c>
      <c r="AI28" s="1" t="s">
        <v>571</v>
      </c>
      <c r="AJ28" s="1">
        <f>164789*(1)</f>
        <v>164789</v>
      </c>
      <c r="AK28" s="1" t="s">
        <v>84</v>
      </c>
      <c r="AL28" s="1">
        <f>59809*(1)</f>
        <v>59809</v>
      </c>
      <c r="AM28" s="1" t="s">
        <v>572</v>
      </c>
      <c r="AN28" s="1">
        <f>59809*(1)</f>
        <v>59809</v>
      </c>
      <c r="AO28" s="1" t="s">
        <v>84</v>
      </c>
      <c r="AP28" s="1">
        <f>122353*(1)</f>
        <v>122353</v>
      </c>
      <c r="AQ28" s="1" t="s">
        <v>83</v>
      </c>
      <c r="AR28" s="1">
        <f>122353*(1)</f>
        <v>122353</v>
      </c>
      <c r="AS28" s="1" t="s">
        <v>84</v>
      </c>
      <c r="AT28" s="1">
        <f>1014167*(1)</f>
        <v>1014167</v>
      </c>
      <c r="AU28" s="1" t="s">
        <v>83</v>
      </c>
      <c r="AV28" s="1">
        <f>1014167*(1)</f>
        <v>1014167</v>
      </c>
      <c r="AW28" s="1" t="s">
        <v>84</v>
      </c>
      <c r="AX28" s="1">
        <f>74101*(1)</f>
        <v>74101</v>
      </c>
      <c r="AY28" s="1" t="s">
        <v>83</v>
      </c>
      <c r="AZ28" s="1">
        <f>74101*(1)</f>
        <v>74101</v>
      </c>
      <c r="BA28" s="1" t="s">
        <v>84</v>
      </c>
      <c r="BB28" s="1">
        <f>133629*(1)</f>
        <v>133629</v>
      </c>
      <c r="BC28" s="1" t="s">
        <v>573</v>
      </c>
      <c r="BD28" s="1">
        <f>133629*(1)</f>
        <v>133629</v>
      </c>
      <c r="BE28" s="1" t="s">
        <v>84</v>
      </c>
      <c r="BF28" s="1">
        <f>636309*(1)</f>
        <v>636309</v>
      </c>
      <c r="BG28" s="1" t="s">
        <v>574</v>
      </c>
      <c r="BH28" s="1">
        <f>636309*(1)</f>
        <v>636309</v>
      </c>
      <c r="BI28" s="1" t="s">
        <v>84</v>
      </c>
      <c r="BJ28" s="1">
        <f>58580*(1)</f>
        <v>58580</v>
      </c>
      <c r="BK28" s="1" t="s">
        <v>575</v>
      </c>
      <c r="BL28" s="1">
        <f>58580*(1)</f>
        <v>58580</v>
      </c>
      <c r="BM28" s="1" t="s">
        <v>84</v>
      </c>
      <c r="BN28" s="1">
        <f>186835*(1)</f>
        <v>186835</v>
      </c>
      <c r="BO28" s="1" t="s">
        <v>568</v>
      </c>
      <c r="BP28" s="1">
        <f>186835*(1)</f>
        <v>186835</v>
      </c>
      <c r="BQ28" s="1" t="s">
        <v>84</v>
      </c>
      <c r="BR28" s="1">
        <f>139187*(1)</f>
        <v>139187</v>
      </c>
      <c r="BS28" s="1" t="s">
        <v>576</v>
      </c>
      <c r="BT28" s="1">
        <f>139187*(1)</f>
        <v>139187</v>
      </c>
      <c r="BU28" s="1" t="s">
        <v>84</v>
      </c>
      <c r="BV28" s="1">
        <f>246858*(1)</f>
        <v>246858</v>
      </c>
      <c r="BW28" s="1" t="s">
        <v>83</v>
      </c>
      <c r="BX28" s="1">
        <f>246858*(1)</f>
        <v>246858</v>
      </c>
      <c r="BY28" s="1" t="s">
        <v>84</v>
      </c>
      <c r="BZ28" s="1">
        <f>330169*(1)</f>
        <v>330169</v>
      </c>
      <c r="CA28" s="1" t="s">
        <v>83</v>
      </c>
      <c r="CB28" s="1">
        <f>330169*(1)</f>
        <v>330169</v>
      </c>
      <c r="CC28" s="1" t="s">
        <v>84</v>
      </c>
      <c r="CD28" s="1">
        <f>181013*(1)</f>
        <v>181013</v>
      </c>
      <c r="CE28" s="1" t="s">
        <v>577</v>
      </c>
      <c r="CF28" s="1">
        <f>181013*(1)</f>
        <v>181013</v>
      </c>
      <c r="CG28" s="1" t="s">
        <v>84</v>
      </c>
      <c r="CH28" s="1">
        <f>51401*(1)</f>
        <v>51401</v>
      </c>
      <c r="CI28" s="1" t="s">
        <v>578</v>
      </c>
      <c r="CJ28" s="1">
        <f>51401*(1)</f>
        <v>51401</v>
      </c>
      <c r="CK28" s="1" t="s">
        <v>84</v>
      </c>
      <c r="CL28" s="1">
        <f>143506*(1)</f>
        <v>143506</v>
      </c>
      <c r="CM28" s="1" t="s">
        <v>579</v>
      </c>
      <c r="CN28" s="1">
        <f>143506*(1)</f>
        <v>143506</v>
      </c>
      <c r="CO28" s="1" t="s">
        <v>84</v>
      </c>
      <c r="CP28" s="1">
        <f>83964*(1)</f>
        <v>83964</v>
      </c>
      <c r="CQ28" s="1" t="s">
        <v>580</v>
      </c>
      <c r="CR28" s="1">
        <f>83964*(1)</f>
        <v>83964</v>
      </c>
      <c r="CS28" s="1" t="s">
        <v>84</v>
      </c>
      <c r="CT28" s="1">
        <f>417228*(1)</f>
        <v>417228</v>
      </c>
      <c r="CU28" s="1" t="s">
        <v>581</v>
      </c>
      <c r="CV28" s="1">
        <f>417228*(1)</f>
        <v>417228</v>
      </c>
      <c r="CW28" s="1" t="s">
        <v>84</v>
      </c>
      <c r="CX28" s="1">
        <f>67099*(1)</f>
        <v>67099</v>
      </c>
      <c r="CY28" s="1" t="s">
        <v>168</v>
      </c>
      <c r="CZ28" s="1">
        <f>67099*(1)</f>
        <v>67099</v>
      </c>
      <c r="DA28" s="1" t="s">
        <v>84</v>
      </c>
      <c r="DB28" s="1">
        <f>132396*(1)</f>
        <v>132396</v>
      </c>
      <c r="DC28" s="1" t="s">
        <v>274</v>
      </c>
      <c r="DD28" s="1">
        <f>132396*(1)</f>
        <v>132396</v>
      </c>
      <c r="DE28" s="1" t="s">
        <v>84</v>
      </c>
      <c r="DF28" s="1">
        <f>97835*(1)</f>
        <v>97835</v>
      </c>
      <c r="DG28" s="1" t="s">
        <v>582</v>
      </c>
      <c r="DH28" s="1">
        <f>97835*(1)</f>
        <v>97835</v>
      </c>
      <c r="DI28" s="1" t="s">
        <v>84</v>
      </c>
      <c r="DJ28" s="1">
        <f>60641*(1)</f>
        <v>60641</v>
      </c>
      <c r="DK28" s="1" t="s">
        <v>83</v>
      </c>
      <c r="DL28" s="1">
        <f>60641*(1)</f>
        <v>60641</v>
      </c>
      <c r="DM28" s="1" t="s">
        <v>84</v>
      </c>
      <c r="DN28" s="1">
        <f>57272*(1)</f>
        <v>57272</v>
      </c>
      <c r="DO28" s="1" t="s">
        <v>505</v>
      </c>
      <c r="DP28" s="1">
        <f>57272*(1)</f>
        <v>57272</v>
      </c>
      <c r="DQ28" s="1" t="s">
        <v>84</v>
      </c>
      <c r="DR28" s="1">
        <f>293501*(1)</f>
        <v>293501</v>
      </c>
      <c r="DS28" s="1" t="s">
        <v>83</v>
      </c>
      <c r="DT28" s="1">
        <f>293501*(1)</f>
        <v>293501</v>
      </c>
      <c r="DU28" s="1" t="s">
        <v>84</v>
      </c>
      <c r="DV28" s="1">
        <f>425545*(1)</f>
        <v>425545</v>
      </c>
      <c r="DW28" s="1" t="s">
        <v>583</v>
      </c>
      <c r="DX28" s="1">
        <f>425545*(1)</f>
        <v>425545</v>
      </c>
      <c r="DY28" s="1" t="s">
        <v>84</v>
      </c>
      <c r="DZ28" s="1">
        <f>160031*(1)</f>
        <v>160031</v>
      </c>
      <c r="EA28" s="1" t="s">
        <v>395</v>
      </c>
      <c r="EB28" s="1">
        <f>160031*(1)</f>
        <v>160031</v>
      </c>
      <c r="EC28" s="1" t="s">
        <v>84</v>
      </c>
      <c r="ED28" s="1">
        <f>71404*(1)</f>
        <v>71404</v>
      </c>
      <c r="EE28" s="1" t="s">
        <v>421</v>
      </c>
      <c r="EF28" s="1">
        <f>71404*(1)</f>
        <v>71404</v>
      </c>
      <c r="EG28" s="1" t="s">
        <v>84</v>
      </c>
      <c r="EH28" s="1">
        <f>187529*(1)</f>
        <v>187529</v>
      </c>
      <c r="EI28" s="1" t="s">
        <v>83</v>
      </c>
      <c r="EJ28" s="1">
        <f>187529*(1)</f>
        <v>187529</v>
      </c>
      <c r="EK28" s="1" t="s">
        <v>84</v>
      </c>
      <c r="EL28" s="1">
        <f>89047*(1)</f>
        <v>89047</v>
      </c>
      <c r="EM28" s="1" t="s">
        <v>584</v>
      </c>
      <c r="EN28" s="1">
        <f>89047*(1)</f>
        <v>89047</v>
      </c>
      <c r="EO28" s="1" t="s">
        <v>84</v>
      </c>
      <c r="EP28" s="1">
        <f>105569*(1)</f>
        <v>105569</v>
      </c>
      <c r="EQ28" s="1" t="s">
        <v>83</v>
      </c>
      <c r="ER28" s="1">
        <f>105569*(1)</f>
        <v>105569</v>
      </c>
      <c r="ES28" s="1" t="s">
        <v>84</v>
      </c>
    </row>
    <row r="29" spans="1:149" x14ac:dyDescent="0.3">
      <c r="A29" s="8" t="s">
        <v>85</v>
      </c>
      <c r="B29" s="1">
        <f>39130*(1)</f>
        <v>39130</v>
      </c>
      <c r="C29" s="1" t="s">
        <v>107</v>
      </c>
      <c r="D29" s="1">
        <f>0.5*(1)</f>
        <v>0.5</v>
      </c>
      <c r="E29" s="1" t="s">
        <v>120</v>
      </c>
      <c r="F29" s="1">
        <f>38289*(1)</f>
        <v>38289</v>
      </c>
      <c r="G29" s="1" t="s">
        <v>702</v>
      </c>
      <c r="H29" s="1">
        <f>0.504*(1)</f>
        <v>0.504</v>
      </c>
      <c r="I29" s="1" t="s">
        <v>132</v>
      </c>
      <c r="J29" s="1">
        <f>27361*(1)</f>
        <v>27361</v>
      </c>
      <c r="K29" s="1" t="s">
        <v>703</v>
      </c>
      <c r="L29" s="1">
        <f>0.514*(1)</f>
        <v>0.51400000000000001</v>
      </c>
      <c r="M29" s="1" t="s">
        <v>92</v>
      </c>
      <c r="N29" s="1">
        <f>146134*(1)</f>
        <v>146134</v>
      </c>
      <c r="O29" s="1" t="s">
        <v>704</v>
      </c>
      <c r="P29" s="1">
        <f>0.489*(1)</f>
        <v>0.48899999999999999</v>
      </c>
      <c r="Q29" s="1" t="s">
        <v>99</v>
      </c>
      <c r="R29" s="1">
        <f>50347*(1)</f>
        <v>50347</v>
      </c>
      <c r="S29" s="1" t="s">
        <v>688</v>
      </c>
      <c r="T29" s="1">
        <f>0.479*(1)</f>
        <v>0.47899999999999998</v>
      </c>
      <c r="U29" s="1" t="s">
        <v>92</v>
      </c>
      <c r="V29" s="1">
        <f>78794*(1)</f>
        <v>78794</v>
      </c>
      <c r="W29" s="1" t="s">
        <v>705</v>
      </c>
      <c r="X29" s="1">
        <f>0.484*(1)</f>
        <v>0.48399999999999999</v>
      </c>
      <c r="Y29" s="1" t="s">
        <v>96</v>
      </c>
      <c r="Z29" s="1">
        <f>41035*(1)</f>
        <v>41035</v>
      </c>
      <c r="AA29" s="1" t="s">
        <v>162</v>
      </c>
      <c r="AB29" s="1">
        <f>0.509*(1)</f>
        <v>0.50900000000000001</v>
      </c>
      <c r="AC29" s="1" t="s">
        <v>92</v>
      </c>
      <c r="AD29" s="1">
        <f>468430*(1)</f>
        <v>468430</v>
      </c>
      <c r="AE29" s="1" t="s">
        <v>83</v>
      </c>
      <c r="AF29" s="1">
        <f>0.472*(1)</f>
        <v>0.47199999999999998</v>
      </c>
      <c r="AG29" s="1" t="s">
        <v>83</v>
      </c>
      <c r="AH29" s="1">
        <f>81690*(1)</f>
        <v>81690</v>
      </c>
      <c r="AI29" s="1" t="s">
        <v>706</v>
      </c>
      <c r="AJ29" s="1">
        <f>0.496*(1)</f>
        <v>0.496</v>
      </c>
      <c r="AK29" s="1" t="s">
        <v>99</v>
      </c>
      <c r="AL29" s="1">
        <f>29009*(1)</f>
        <v>29009</v>
      </c>
      <c r="AM29" s="1" t="s">
        <v>98</v>
      </c>
      <c r="AN29" s="1">
        <f>0.485*(1)</f>
        <v>0.48499999999999999</v>
      </c>
      <c r="AO29" s="1" t="s">
        <v>87</v>
      </c>
      <c r="AP29" s="1">
        <f>60774*(1)</f>
        <v>60774</v>
      </c>
      <c r="AQ29" s="1" t="s">
        <v>413</v>
      </c>
      <c r="AR29" s="1">
        <f>0.497*(1)</f>
        <v>0.497</v>
      </c>
      <c r="AS29" s="1" t="s">
        <v>96</v>
      </c>
      <c r="AT29" s="1">
        <f>492113*(1)</f>
        <v>492113</v>
      </c>
      <c r="AU29" s="1" t="s">
        <v>83</v>
      </c>
      <c r="AV29" s="1">
        <f>0.485*(1)</f>
        <v>0.48499999999999999</v>
      </c>
      <c r="AW29" s="1" t="s">
        <v>83</v>
      </c>
      <c r="AX29" s="1">
        <f>36822*(1)</f>
        <v>36822</v>
      </c>
      <c r="AY29" s="1" t="s">
        <v>707</v>
      </c>
      <c r="AZ29" s="1">
        <f>0.497*(1)</f>
        <v>0.497</v>
      </c>
      <c r="BA29" s="1" t="s">
        <v>92</v>
      </c>
      <c r="BB29" s="1">
        <f>65953*(1)</f>
        <v>65953</v>
      </c>
      <c r="BC29" s="1" t="s">
        <v>708</v>
      </c>
      <c r="BD29" s="1">
        <f>0.494*(1)</f>
        <v>0.49399999999999999</v>
      </c>
      <c r="BE29" s="1" t="s">
        <v>92</v>
      </c>
      <c r="BF29" s="1">
        <f>304796*(1)</f>
        <v>304796</v>
      </c>
      <c r="BG29" s="1" t="s">
        <v>508</v>
      </c>
      <c r="BH29" s="1">
        <f>0.479*(1)</f>
        <v>0.47899999999999998</v>
      </c>
      <c r="BI29" s="1" t="s">
        <v>99</v>
      </c>
      <c r="BJ29" s="1">
        <f>28809*(1)</f>
        <v>28809</v>
      </c>
      <c r="BK29" s="1" t="s">
        <v>709</v>
      </c>
      <c r="BL29" s="1">
        <f>0.492*(1)</f>
        <v>0.49199999999999999</v>
      </c>
      <c r="BM29" s="1" t="s">
        <v>132</v>
      </c>
      <c r="BN29" s="1">
        <f>90622*(1)</f>
        <v>90622</v>
      </c>
      <c r="BO29" s="1" t="s">
        <v>710</v>
      </c>
      <c r="BP29" s="1">
        <f>0.485*(1)</f>
        <v>0.48499999999999999</v>
      </c>
      <c r="BQ29" s="1" t="s">
        <v>99</v>
      </c>
      <c r="BR29" s="1">
        <f>68571*(1)</f>
        <v>68571</v>
      </c>
      <c r="BS29" s="1" t="s">
        <v>711</v>
      </c>
      <c r="BT29" s="1">
        <f>0.493*(1)</f>
        <v>0.49299999999999999</v>
      </c>
      <c r="BU29" s="1" t="s">
        <v>92</v>
      </c>
      <c r="BV29" s="1">
        <f>121097*(1)</f>
        <v>121097</v>
      </c>
      <c r="BW29" s="1" t="s">
        <v>712</v>
      </c>
      <c r="BX29" s="1">
        <f>0.491*(1)</f>
        <v>0.49099999999999999</v>
      </c>
      <c r="BY29" s="1" t="s">
        <v>99</v>
      </c>
      <c r="BZ29" s="1">
        <f>158077*(1)</f>
        <v>158077</v>
      </c>
      <c r="CA29" s="1" t="s">
        <v>83</v>
      </c>
      <c r="CB29" s="1">
        <f>0.479*(1)</f>
        <v>0.47899999999999998</v>
      </c>
      <c r="CC29" s="1" t="s">
        <v>83</v>
      </c>
      <c r="CD29" s="1">
        <f>88623*(1)</f>
        <v>88623</v>
      </c>
      <c r="CE29" s="1" t="s">
        <v>677</v>
      </c>
      <c r="CF29" s="1">
        <f>0.49*(1)</f>
        <v>0.49</v>
      </c>
      <c r="CG29" s="1" t="s">
        <v>111</v>
      </c>
      <c r="CH29" s="1">
        <f>27729*(1)</f>
        <v>27729</v>
      </c>
      <c r="CI29" s="1" t="s">
        <v>713</v>
      </c>
      <c r="CJ29" s="1">
        <f>0.539*(1)</f>
        <v>0.53900000000000003</v>
      </c>
      <c r="CK29" s="1" t="s">
        <v>120</v>
      </c>
      <c r="CL29" s="1">
        <f>70853*(1)</f>
        <v>70853</v>
      </c>
      <c r="CM29" s="1" t="s">
        <v>714</v>
      </c>
      <c r="CN29" s="1">
        <f>0.494*(1)</f>
        <v>0.49399999999999999</v>
      </c>
      <c r="CO29" s="1" t="s">
        <v>92</v>
      </c>
      <c r="CP29" s="1">
        <f>41368*(1)</f>
        <v>41368</v>
      </c>
      <c r="CQ29" s="1" t="s">
        <v>275</v>
      </c>
      <c r="CR29" s="1">
        <f>0.493*(1)</f>
        <v>0.49299999999999999</v>
      </c>
      <c r="CS29" s="1" t="s">
        <v>90</v>
      </c>
      <c r="CT29" s="1">
        <f>198858*(1)</f>
        <v>198858</v>
      </c>
      <c r="CU29" s="1" t="s">
        <v>335</v>
      </c>
      <c r="CV29" s="1">
        <f>0.477*(1)</f>
        <v>0.47699999999999998</v>
      </c>
      <c r="CW29" s="1" t="s">
        <v>99</v>
      </c>
      <c r="CX29" s="1">
        <f>32697*(1)</f>
        <v>32697</v>
      </c>
      <c r="CY29" s="1" t="s">
        <v>715</v>
      </c>
      <c r="CZ29" s="1">
        <f>0.487*(1)</f>
        <v>0.48699999999999999</v>
      </c>
      <c r="DA29" s="1" t="s">
        <v>90</v>
      </c>
      <c r="DB29" s="1">
        <f>64092*(1)</f>
        <v>64092</v>
      </c>
      <c r="DC29" s="1" t="s">
        <v>716</v>
      </c>
      <c r="DD29" s="1">
        <f>0.484*(1)</f>
        <v>0.48399999999999999</v>
      </c>
      <c r="DE29" s="1" t="s">
        <v>120</v>
      </c>
      <c r="DF29" s="1">
        <f>49937*(1)</f>
        <v>49937</v>
      </c>
      <c r="DG29" s="1" t="s">
        <v>411</v>
      </c>
      <c r="DH29" s="1">
        <f>0.51*(1)</f>
        <v>0.51</v>
      </c>
      <c r="DI29" s="1" t="s">
        <v>96</v>
      </c>
      <c r="DJ29" s="1">
        <f>32096*(1)</f>
        <v>32096</v>
      </c>
      <c r="DK29" s="1" t="s">
        <v>83</v>
      </c>
      <c r="DL29" s="1">
        <f>0.529*(1)</f>
        <v>0.52900000000000003</v>
      </c>
      <c r="DM29" s="1" t="s">
        <v>83</v>
      </c>
      <c r="DN29" s="1">
        <f>27946*(1)</f>
        <v>27946</v>
      </c>
      <c r="DO29" s="1" t="s">
        <v>717</v>
      </c>
      <c r="DP29" s="1">
        <f>0.488*(1)</f>
        <v>0.48799999999999999</v>
      </c>
      <c r="DQ29" s="1" t="s">
        <v>132</v>
      </c>
      <c r="DR29" s="1">
        <f>141840*(1)</f>
        <v>141840</v>
      </c>
      <c r="DS29" s="1" t="s">
        <v>718</v>
      </c>
      <c r="DT29" s="1">
        <f>0.483*(1)</f>
        <v>0.48299999999999998</v>
      </c>
      <c r="DU29" s="1" t="s">
        <v>99</v>
      </c>
      <c r="DV29" s="1">
        <f>205033*(1)</f>
        <v>205033</v>
      </c>
      <c r="DW29" s="1" t="s">
        <v>719</v>
      </c>
      <c r="DX29" s="1">
        <f>0.482*(1)</f>
        <v>0.48199999999999998</v>
      </c>
      <c r="DY29" s="1" t="s">
        <v>99</v>
      </c>
      <c r="DZ29" s="1">
        <f>77367*(1)</f>
        <v>77367</v>
      </c>
      <c r="EA29" s="1" t="s">
        <v>720</v>
      </c>
      <c r="EB29" s="1">
        <f>0.483*(1)</f>
        <v>0.48299999999999998</v>
      </c>
      <c r="EC29" s="1" t="s">
        <v>92</v>
      </c>
      <c r="ED29" s="1">
        <f>34672*(1)</f>
        <v>34672</v>
      </c>
      <c r="EE29" s="1" t="s">
        <v>721</v>
      </c>
      <c r="EF29" s="1">
        <f>0.486*(1)</f>
        <v>0.48599999999999999</v>
      </c>
      <c r="EG29" s="1" t="s">
        <v>120</v>
      </c>
      <c r="EH29" s="1">
        <f>95183*(1)</f>
        <v>95183</v>
      </c>
      <c r="EI29" s="1" t="s">
        <v>722</v>
      </c>
      <c r="EJ29" s="1">
        <f>0.508*(1)</f>
        <v>0.50800000000000001</v>
      </c>
      <c r="EK29" s="1" t="s">
        <v>94</v>
      </c>
      <c r="EL29" s="1">
        <f>44119*(1)</f>
        <v>44119</v>
      </c>
      <c r="EM29" s="1" t="s">
        <v>424</v>
      </c>
      <c r="EN29" s="1">
        <f>0.495*(1)</f>
        <v>0.495</v>
      </c>
      <c r="EO29" s="1" t="s">
        <v>141</v>
      </c>
      <c r="EP29" s="1">
        <f>51951*(1)</f>
        <v>51951</v>
      </c>
      <c r="EQ29" s="1" t="s">
        <v>723</v>
      </c>
      <c r="ER29" s="1">
        <f>0.492*(1)</f>
        <v>0.49199999999999999</v>
      </c>
      <c r="ES29" s="1" t="s">
        <v>111</v>
      </c>
    </row>
    <row r="30" spans="1:149" x14ac:dyDescent="0.3">
      <c r="A30" s="8" t="s">
        <v>134</v>
      </c>
      <c r="B30" s="1">
        <f>39150*(1)</f>
        <v>39150</v>
      </c>
      <c r="C30" s="1" t="s">
        <v>125</v>
      </c>
      <c r="D30" s="1">
        <f>0.5*(1)</f>
        <v>0.5</v>
      </c>
      <c r="E30" s="1" t="s">
        <v>120</v>
      </c>
      <c r="F30" s="1">
        <f>37688*(1)</f>
        <v>37688</v>
      </c>
      <c r="G30" s="1" t="s">
        <v>724</v>
      </c>
      <c r="H30" s="1">
        <f>0.496*(1)</f>
        <v>0.496</v>
      </c>
      <c r="I30" s="1" t="s">
        <v>132</v>
      </c>
      <c r="J30" s="1">
        <f>25867*(1)</f>
        <v>25867</v>
      </c>
      <c r="K30" s="1" t="s">
        <v>486</v>
      </c>
      <c r="L30" s="1">
        <f>0.486*(1)</f>
        <v>0.48599999999999999</v>
      </c>
      <c r="M30" s="1" t="s">
        <v>92</v>
      </c>
      <c r="N30" s="1">
        <f>152936*(1)</f>
        <v>152936</v>
      </c>
      <c r="O30" s="1" t="s">
        <v>704</v>
      </c>
      <c r="P30" s="1">
        <f>0.511*(1)</f>
        <v>0.51100000000000001</v>
      </c>
      <c r="Q30" s="1" t="s">
        <v>99</v>
      </c>
      <c r="R30" s="1">
        <f>54791*(1)</f>
        <v>54791</v>
      </c>
      <c r="S30" s="1" t="s">
        <v>725</v>
      </c>
      <c r="T30" s="1">
        <f>0.521*(1)</f>
        <v>0.52100000000000002</v>
      </c>
      <c r="U30" s="1" t="s">
        <v>92</v>
      </c>
      <c r="V30" s="1">
        <f>83864*(1)</f>
        <v>83864</v>
      </c>
      <c r="W30" s="1" t="s">
        <v>561</v>
      </c>
      <c r="X30" s="1">
        <f>0.516*(1)</f>
        <v>0.51600000000000001</v>
      </c>
      <c r="Y30" s="1" t="s">
        <v>96</v>
      </c>
      <c r="Z30" s="1">
        <f>39646*(1)</f>
        <v>39646</v>
      </c>
      <c r="AA30" s="1" t="s">
        <v>162</v>
      </c>
      <c r="AB30" s="1">
        <f>0.491*(1)</f>
        <v>0.49099999999999999</v>
      </c>
      <c r="AC30" s="1" t="s">
        <v>92</v>
      </c>
      <c r="AD30" s="1">
        <f>523864*(1)</f>
        <v>523864</v>
      </c>
      <c r="AE30" s="1" t="s">
        <v>83</v>
      </c>
      <c r="AF30" s="1">
        <f>0.528*(1)</f>
        <v>0.52800000000000002</v>
      </c>
      <c r="AG30" s="1" t="s">
        <v>83</v>
      </c>
      <c r="AH30" s="1">
        <f>83099*(1)</f>
        <v>83099</v>
      </c>
      <c r="AI30" s="1" t="s">
        <v>335</v>
      </c>
      <c r="AJ30" s="1">
        <f>0.504*(1)</f>
        <v>0.504</v>
      </c>
      <c r="AK30" s="1" t="s">
        <v>99</v>
      </c>
      <c r="AL30" s="1">
        <f>30800*(1)</f>
        <v>30800</v>
      </c>
      <c r="AM30" s="1" t="s">
        <v>726</v>
      </c>
      <c r="AN30" s="1">
        <f>0.515*(1)</f>
        <v>0.51500000000000001</v>
      </c>
      <c r="AO30" s="1" t="s">
        <v>87</v>
      </c>
      <c r="AP30" s="1">
        <f>61579*(1)</f>
        <v>61579</v>
      </c>
      <c r="AQ30" s="1" t="s">
        <v>413</v>
      </c>
      <c r="AR30" s="1">
        <f>0.503*(1)</f>
        <v>0.503</v>
      </c>
      <c r="AS30" s="1" t="s">
        <v>96</v>
      </c>
      <c r="AT30" s="1">
        <f>522054*(1)</f>
        <v>522054</v>
      </c>
      <c r="AU30" s="1" t="s">
        <v>83</v>
      </c>
      <c r="AV30" s="1">
        <f>0.515*(1)</f>
        <v>0.51500000000000001</v>
      </c>
      <c r="AW30" s="1" t="s">
        <v>83</v>
      </c>
      <c r="AX30" s="1">
        <f>37279*(1)</f>
        <v>37279</v>
      </c>
      <c r="AY30" s="1" t="s">
        <v>727</v>
      </c>
      <c r="AZ30" s="1">
        <f>0.503*(1)</f>
        <v>0.503</v>
      </c>
      <c r="BA30" s="1" t="s">
        <v>92</v>
      </c>
      <c r="BB30" s="1">
        <f>67676*(1)</f>
        <v>67676</v>
      </c>
      <c r="BC30" s="1" t="s">
        <v>728</v>
      </c>
      <c r="BD30" s="1">
        <f>0.506*(1)</f>
        <v>0.50600000000000001</v>
      </c>
      <c r="BE30" s="1" t="s">
        <v>92</v>
      </c>
      <c r="BF30" s="1">
        <f>331513*(1)</f>
        <v>331513</v>
      </c>
      <c r="BG30" s="1" t="s">
        <v>729</v>
      </c>
      <c r="BH30" s="1">
        <f>0.521*(1)</f>
        <v>0.52100000000000002</v>
      </c>
      <c r="BI30" s="1" t="s">
        <v>99</v>
      </c>
      <c r="BJ30" s="1">
        <f>29771*(1)</f>
        <v>29771</v>
      </c>
      <c r="BK30" s="1" t="s">
        <v>730</v>
      </c>
      <c r="BL30" s="1">
        <f>0.508*(1)</f>
        <v>0.50800000000000001</v>
      </c>
      <c r="BM30" s="1" t="s">
        <v>132</v>
      </c>
      <c r="BN30" s="1">
        <f>96213*(1)</f>
        <v>96213</v>
      </c>
      <c r="BO30" s="1" t="s">
        <v>731</v>
      </c>
      <c r="BP30" s="1">
        <f>0.515*(1)</f>
        <v>0.51500000000000001</v>
      </c>
      <c r="BQ30" s="1" t="s">
        <v>99</v>
      </c>
      <c r="BR30" s="1">
        <f>70616*(1)</f>
        <v>70616</v>
      </c>
      <c r="BS30" s="1" t="s">
        <v>164</v>
      </c>
      <c r="BT30" s="1">
        <f>0.507*(1)</f>
        <v>0.50700000000000001</v>
      </c>
      <c r="BU30" s="1" t="s">
        <v>92</v>
      </c>
      <c r="BV30" s="1">
        <f>125761*(1)</f>
        <v>125761</v>
      </c>
      <c r="BW30" s="1" t="s">
        <v>712</v>
      </c>
      <c r="BX30" s="1">
        <f>0.509*(1)</f>
        <v>0.50900000000000001</v>
      </c>
      <c r="BY30" s="1" t="s">
        <v>99</v>
      </c>
      <c r="BZ30" s="1">
        <f>172092*(1)</f>
        <v>172092</v>
      </c>
      <c r="CA30" s="1" t="s">
        <v>83</v>
      </c>
      <c r="CB30" s="1">
        <f>0.521*(1)</f>
        <v>0.52100000000000002</v>
      </c>
      <c r="CC30" s="1" t="s">
        <v>83</v>
      </c>
      <c r="CD30" s="1">
        <f>92390*(1)</f>
        <v>92390</v>
      </c>
      <c r="CE30" s="1" t="s">
        <v>732</v>
      </c>
      <c r="CF30" s="1">
        <f>0.51*(1)</f>
        <v>0.51</v>
      </c>
      <c r="CG30" s="1" t="s">
        <v>111</v>
      </c>
      <c r="CH30" s="1">
        <f>23672*(1)</f>
        <v>23672</v>
      </c>
      <c r="CI30" s="1" t="s">
        <v>411</v>
      </c>
      <c r="CJ30" s="1">
        <f>0.461*(1)</f>
        <v>0.46100000000000002</v>
      </c>
      <c r="CK30" s="1" t="s">
        <v>120</v>
      </c>
      <c r="CL30" s="1">
        <f>72653*(1)</f>
        <v>72653</v>
      </c>
      <c r="CM30" s="1" t="s">
        <v>733</v>
      </c>
      <c r="CN30" s="1">
        <f>0.506*(1)</f>
        <v>0.50600000000000001</v>
      </c>
      <c r="CO30" s="1" t="s">
        <v>92</v>
      </c>
      <c r="CP30" s="1">
        <f>42596*(1)</f>
        <v>42596</v>
      </c>
      <c r="CQ30" s="1" t="s">
        <v>734</v>
      </c>
      <c r="CR30" s="1">
        <f>0.507*(1)</f>
        <v>0.50700000000000001</v>
      </c>
      <c r="CS30" s="1" t="s">
        <v>90</v>
      </c>
      <c r="CT30" s="1">
        <f>218370*(1)</f>
        <v>218370</v>
      </c>
      <c r="CU30" s="1" t="s">
        <v>699</v>
      </c>
      <c r="CV30" s="1">
        <f>0.523*(1)</f>
        <v>0.52300000000000002</v>
      </c>
      <c r="CW30" s="1" t="s">
        <v>99</v>
      </c>
      <c r="CX30" s="1">
        <f>34402*(1)</f>
        <v>34402</v>
      </c>
      <c r="CY30" s="1" t="s">
        <v>735</v>
      </c>
      <c r="CZ30" s="1">
        <f>0.513*(1)</f>
        <v>0.51300000000000001</v>
      </c>
      <c r="DA30" s="1" t="s">
        <v>90</v>
      </c>
      <c r="DB30" s="1">
        <f>68304*(1)</f>
        <v>68304</v>
      </c>
      <c r="DC30" s="1" t="s">
        <v>736</v>
      </c>
      <c r="DD30" s="1">
        <f>0.516*(1)</f>
        <v>0.51600000000000001</v>
      </c>
      <c r="DE30" s="1" t="s">
        <v>120</v>
      </c>
      <c r="DF30" s="1">
        <f>47898*(1)</f>
        <v>47898</v>
      </c>
      <c r="DG30" s="1" t="s">
        <v>737</v>
      </c>
      <c r="DH30" s="1">
        <f>0.49*(1)</f>
        <v>0.49</v>
      </c>
      <c r="DI30" s="1" t="s">
        <v>96</v>
      </c>
      <c r="DJ30" s="1">
        <f>28545*(1)</f>
        <v>28545</v>
      </c>
      <c r="DK30" s="1" t="s">
        <v>83</v>
      </c>
      <c r="DL30" s="1">
        <f>0.471*(1)</f>
        <v>0.47099999999999997</v>
      </c>
      <c r="DM30" s="1" t="s">
        <v>83</v>
      </c>
      <c r="DN30" s="1">
        <f>29326*(1)</f>
        <v>29326</v>
      </c>
      <c r="DO30" s="1" t="s">
        <v>738</v>
      </c>
      <c r="DP30" s="1">
        <f>0.512*(1)</f>
        <v>0.51200000000000001</v>
      </c>
      <c r="DQ30" s="1" t="s">
        <v>132</v>
      </c>
      <c r="DR30" s="1">
        <f>151661*(1)</f>
        <v>151661</v>
      </c>
      <c r="DS30" s="1" t="s">
        <v>718</v>
      </c>
      <c r="DT30" s="1">
        <f>0.517*(1)</f>
        <v>0.51700000000000002</v>
      </c>
      <c r="DU30" s="1" t="s">
        <v>99</v>
      </c>
      <c r="DV30" s="1">
        <f>220512*(1)</f>
        <v>220512</v>
      </c>
      <c r="DW30" s="1" t="s">
        <v>739</v>
      </c>
      <c r="DX30" s="1">
        <f>0.518*(1)</f>
        <v>0.51800000000000002</v>
      </c>
      <c r="DY30" s="1" t="s">
        <v>99</v>
      </c>
      <c r="DZ30" s="1">
        <f>82664*(1)</f>
        <v>82664</v>
      </c>
      <c r="EA30" s="1" t="s">
        <v>740</v>
      </c>
      <c r="EB30" s="1">
        <f>0.517*(1)</f>
        <v>0.51700000000000002</v>
      </c>
      <c r="EC30" s="1" t="s">
        <v>92</v>
      </c>
      <c r="ED30" s="1">
        <f>36732*(1)</f>
        <v>36732</v>
      </c>
      <c r="EE30" s="1" t="s">
        <v>741</v>
      </c>
      <c r="EF30" s="1">
        <f>0.514*(1)</f>
        <v>0.51400000000000001</v>
      </c>
      <c r="EG30" s="1" t="s">
        <v>120</v>
      </c>
      <c r="EH30" s="1">
        <f>92346*(1)</f>
        <v>92346</v>
      </c>
      <c r="EI30" s="1" t="s">
        <v>742</v>
      </c>
      <c r="EJ30" s="1">
        <f>0.492*(1)</f>
        <v>0.49199999999999999</v>
      </c>
      <c r="EK30" s="1" t="s">
        <v>94</v>
      </c>
      <c r="EL30" s="1">
        <f>44928*(1)</f>
        <v>44928</v>
      </c>
      <c r="EM30" s="1" t="s">
        <v>743</v>
      </c>
      <c r="EN30" s="1">
        <f>0.505*(1)</f>
        <v>0.505</v>
      </c>
      <c r="EO30" s="1" t="s">
        <v>141</v>
      </c>
      <c r="EP30" s="1">
        <f>53618*(1)</f>
        <v>53618</v>
      </c>
      <c r="EQ30" s="1" t="s">
        <v>723</v>
      </c>
      <c r="ER30" s="1">
        <f>0.508*(1)</f>
        <v>0.50800000000000001</v>
      </c>
      <c r="ES30" s="1" t="s">
        <v>111</v>
      </c>
    </row>
    <row r="31" spans="1:149" ht="28.8" x14ac:dyDescent="0.3">
      <c r="A31" s="8" t="s">
        <v>135</v>
      </c>
      <c r="B31" s="1">
        <f>99.9*(1)</f>
        <v>99.9</v>
      </c>
      <c r="C31" s="1" t="s">
        <v>744</v>
      </c>
      <c r="D31" s="1" t="s">
        <v>84</v>
      </c>
      <c r="E31" s="1" t="s">
        <v>84</v>
      </c>
      <c r="F31" s="1">
        <f>101.6*(1)</f>
        <v>101.6</v>
      </c>
      <c r="G31" s="1" t="s">
        <v>745</v>
      </c>
      <c r="H31" s="1" t="s">
        <v>84</v>
      </c>
      <c r="I31" s="1" t="s">
        <v>84</v>
      </c>
      <c r="J31" s="1">
        <f>105.8*(1)</f>
        <v>105.8</v>
      </c>
      <c r="K31" s="1" t="s">
        <v>129</v>
      </c>
      <c r="L31" s="1" t="s">
        <v>84</v>
      </c>
      <c r="M31" s="1" t="s">
        <v>84</v>
      </c>
      <c r="N31" s="1">
        <f>95.6*(1)</f>
        <v>95.6</v>
      </c>
      <c r="O31" s="1" t="s">
        <v>94</v>
      </c>
      <c r="P31" s="1" t="s">
        <v>84</v>
      </c>
      <c r="Q31" s="1" t="s">
        <v>84</v>
      </c>
      <c r="R31" s="1">
        <f>91.9*(1)</f>
        <v>91.9</v>
      </c>
      <c r="S31" s="1" t="s">
        <v>145</v>
      </c>
      <c r="T31" s="1" t="s">
        <v>84</v>
      </c>
      <c r="U31" s="1" t="s">
        <v>84</v>
      </c>
      <c r="V31" s="1">
        <f>94*(1)</f>
        <v>94</v>
      </c>
      <c r="W31" s="1" t="s">
        <v>139</v>
      </c>
      <c r="X31" s="1" t="s">
        <v>84</v>
      </c>
      <c r="Y31" s="1" t="s">
        <v>84</v>
      </c>
      <c r="Z31" s="1">
        <f>103.5*(1)</f>
        <v>103.5</v>
      </c>
      <c r="AA31" s="1" t="s">
        <v>141</v>
      </c>
      <c r="AB31" s="1" t="s">
        <v>84</v>
      </c>
      <c r="AC31" s="1" t="s">
        <v>84</v>
      </c>
      <c r="AD31" s="1">
        <f>89.4*(1)</f>
        <v>89.4</v>
      </c>
      <c r="AE31" s="1" t="s">
        <v>83</v>
      </c>
      <c r="AF31" s="1" t="s">
        <v>84</v>
      </c>
      <c r="AG31" s="1" t="s">
        <v>84</v>
      </c>
      <c r="AH31" s="1">
        <f>98.3*(1)</f>
        <v>98.3</v>
      </c>
      <c r="AI31" s="1" t="s">
        <v>94</v>
      </c>
      <c r="AJ31" s="1" t="s">
        <v>84</v>
      </c>
      <c r="AK31" s="1" t="s">
        <v>84</v>
      </c>
      <c r="AL31" s="1">
        <f>94.2*(1)</f>
        <v>94.2</v>
      </c>
      <c r="AM31" s="1" t="s">
        <v>746</v>
      </c>
      <c r="AN31" s="1" t="s">
        <v>84</v>
      </c>
      <c r="AO31" s="1" t="s">
        <v>84</v>
      </c>
      <c r="AP31" s="1">
        <f>98.7*(1)</f>
        <v>98.7</v>
      </c>
      <c r="AQ31" s="1" t="s">
        <v>329</v>
      </c>
      <c r="AR31" s="1" t="s">
        <v>84</v>
      </c>
      <c r="AS31" s="1" t="s">
        <v>84</v>
      </c>
      <c r="AT31" s="1">
        <f>94.3*(1)</f>
        <v>94.3</v>
      </c>
      <c r="AU31" s="1" t="s">
        <v>83</v>
      </c>
      <c r="AV31" s="1" t="s">
        <v>84</v>
      </c>
      <c r="AW31" s="1" t="s">
        <v>84</v>
      </c>
      <c r="AX31" s="1">
        <f>98.8*(1)</f>
        <v>98.8</v>
      </c>
      <c r="AY31" s="1" t="s">
        <v>141</v>
      </c>
      <c r="AZ31" s="1" t="s">
        <v>84</v>
      </c>
      <c r="BA31" s="1" t="s">
        <v>84</v>
      </c>
      <c r="BB31" s="1">
        <f>97.5*(1)</f>
        <v>97.5</v>
      </c>
      <c r="BC31" s="1" t="s">
        <v>129</v>
      </c>
      <c r="BD31" s="1" t="s">
        <v>84</v>
      </c>
      <c r="BE31" s="1" t="s">
        <v>84</v>
      </c>
      <c r="BF31" s="1">
        <f>91.9*(1)</f>
        <v>91.9</v>
      </c>
      <c r="BG31" s="1" t="s">
        <v>111</v>
      </c>
      <c r="BH31" s="1" t="s">
        <v>84</v>
      </c>
      <c r="BI31" s="1" t="s">
        <v>84</v>
      </c>
      <c r="BJ31" s="1">
        <f>96.8*(1)</f>
        <v>96.8</v>
      </c>
      <c r="BK31" s="1" t="s">
        <v>747</v>
      </c>
      <c r="BL31" s="1" t="s">
        <v>84</v>
      </c>
      <c r="BM31" s="1" t="s">
        <v>84</v>
      </c>
      <c r="BN31" s="1">
        <f>94.2*(1)</f>
        <v>94.2</v>
      </c>
      <c r="BO31" s="1" t="s">
        <v>90</v>
      </c>
      <c r="BP31" s="1" t="s">
        <v>84</v>
      </c>
      <c r="BQ31" s="1" t="s">
        <v>84</v>
      </c>
      <c r="BR31" s="1">
        <f>97.1*(1)</f>
        <v>97.1</v>
      </c>
      <c r="BS31" s="1" t="s">
        <v>141</v>
      </c>
      <c r="BT31" s="1" t="s">
        <v>84</v>
      </c>
      <c r="BU31" s="1" t="s">
        <v>84</v>
      </c>
      <c r="BV31" s="1">
        <f>96.3*(1)</f>
        <v>96.3</v>
      </c>
      <c r="BW31" s="1" t="s">
        <v>94</v>
      </c>
      <c r="BX31" s="1" t="s">
        <v>84</v>
      </c>
      <c r="BY31" s="1" t="s">
        <v>84</v>
      </c>
      <c r="BZ31" s="1">
        <f>91.9*(1)</f>
        <v>91.9</v>
      </c>
      <c r="CA31" s="1" t="s">
        <v>83</v>
      </c>
      <c r="CB31" s="1" t="s">
        <v>84</v>
      </c>
      <c r="CC31" s="1" t="s">
        <v>84</v>
      </c>
      <c r="CD31" s="1">
        <f>95.9*(1)</f>
        <v>95.9</v>
      </c>
      <c r="CE31" s="1" t="s">
        <v>90</v>
      </c>
      <c r="CF31" s="1" t="s">
        <v>84</v>
      </c>
      <c r="CG31" s="1" t="s">
        <v>84</v>
      </c>
      <c r="CH31" s="1">
        <f>117.1*(1)</f>
        <v>117.1</v>
      </c>
      <c r="CI31" s="1" t="s">
        <v>136</v>
      </c>
      <c r="CJ31" s="1" t="s">
        <v>84</v>
      </c>
      <c r="CK31" s="1" t="s">
        <v>84</v>
      </c>
      <c r="CL31" s="1">
        <f>97.5*(1)</f>
        <v>97.5</v>
      </c>
      <c r="CM31" s="1" t="s">
        <v>145</v>
      </c>
      <c r="CN31" s="1" t="s">
        <v>84</v>
      </c>
      <c r="CO31" s="1" t="s">
        <v>84</v>
      </c>
      <c r="CP31" s="1">
        <f>97.1*(1)</f>
        <v>97.1</v>
      </c>
      <c r="CQ31" s="1" t="s">
        <v>140</v>
      </c>
      <c r="CR31" s="1" t="s">
        <v>84</v>
      </c>
      <c r="CS31" s="1" t="s">
        <v>84</v>
      </c>
      <c r="CT31" s="1">
        <f>91.1*(1)</f>
        <v>91.1</v>
      </c>
      <c r="CU31" s="1" t="s">
        <v>111</v>
      </c>
      <c r="CV31" s="1" t="s">
        <v>84</v>
      </c>
      <c r="CW31" s="1" t="s">
        <v>84</v>
      </c>
      <c r="CX31" s="1">
        <f>95*(1)</f>
        <v>95</v>
      </c>
      <c r="CY31" s="1" t="s">
        <v>148</v>
      </c>
      <c r="CZ31" s="1" t="s">
        <v>84</v>
      </c>
      <c r="DA31" s="1" t="s">
        <v>84</v>
      </c>
      <c r="DB31" s="1">
        <f>93.8*(1)</f>
        <v>93.8</v>
      </c>
      <c r="DC31" s="1" t="s">
        <v>137</v>
      </c>
      <c r="DD31" s="1" t="s">
        <v>84</v>
      </c>
      <c r="DE31" s="1" t="s">
        <v>84</v>
      </c>
      <c r="DF31" s="1">
        <f>104.3*(1)</f>
        <v>104.3</v>
      </c>
      <c r="DG31" s="1" t="s">
        <v>138</v>
      </c>
      <c r="DH31" s="1" t="s">
        <v>84</v>
      </c>
      <c r="DI31" s="1" t="s">
        <v>84</v>
      </c>
      <c r="DJ31" s="1">
        <f>112.4*(1)</f>
        <v>112.4</v>
      </c>
      <c r="DK31" s="1" t="s">
        <v>83</v>
      </c>
      <c r="DL31" s="1" t="s">
        <v>84</v>
      </c>
      <c r="DM31" s="1" t="s">
        <v>84</v>
      </c>
      <c r="DN31" s="1">
        <f>95.3*(1)</f>
        <v>95.3</v>
      </c>
      <c r="DO31" s="1" t="s">
        <v>747</v>
      </c>
      <c r="DP31" s="1" t="s">
        <v>84</v>
      </c>
      <c r="DQ31" s="1" t="s">
        <v>84</v>
      </c>
      <c r="DR31" s="1">
        <f>93.5*(1)</f>
        <v>93.5</v>
      </c>
      <c r="DS31" s="1" t="s">
        <v>92</v>
      </c>
      <c r="DT31" s="1" t="s">
        <v>84</v>
      </c>
      <c r="DU31" s="1" t="s">
        <v>84</v>
      </c>
      <c r="DV31" s="1">
        <f>93*(1)</f>
        <v>93</v>
      </c>
      <c r="DW31" s="1" t="s">
        <v>99</v>
      </c>
      <c r="DX31" s="1" t="s">
        <v>84</v>
      </c>
      <c r="DY31" s="1" t="s">
        <v>84</v>
      </c>
      <c r="DZ31" s="1">
        <f>93.6*(1)</f>
        <v>93.6</v>
      </c>
      <c r="EA31" s="1" t="s">
        <v>129</v>
      </c>
      <c r="EB31" s="1" t="s">
        <v>84</v>
      </c>
      <c r="EC31" s="1" t="s">
        <v>84</v>
      </c>
      <c r="ED31" s="1">
        <f>94.4*(1)</f>
        <v>94.4</v>
      </c>
      <c r="EE31" s="1" t="s">
        <v>137</v>
      </c>
      <c r="EF31" s="1" t="s">
        <v>84</v>
      </c>
      <c r="EG31" s="1" t="s">
        <v>84</v>
      </c>
      <c r="EH31" s="1">
        <f>103.1*(1)</f>
        <v>103.1</v>
      </c>
      <c r="EI31" s="1" t="s">
        <v>148</v>
      </c>
      <c r="EJ31" s="1" t="s">
        <v>84</v>
      </c>
      <c r="EK31" s="1" t="s">
        <v>84</v>
      </c>
      <c r="EL31" s="1">
        <f>98.2*(1)</f>
        <v>98.2</v>
      </c>
      <c r="EM31" s="1" t="s">
        <v>748</v>
      </c>
      <c r="EN31" s="1" t="s">
        <v>84</v>
      </c>
      <c r="EO31" s="1" t="s">
        <v>84</v>
      </c>
      <c r="EP31" s="1">
        <f>96.9*(1)</f>
        <v>96.9</v>
      </c>
      <c r="EQ31" s="1" t="s">
        <v>120</v>
      </c>
      <c r="ER31" s="1" t="s">
        <v>84</v>
      </c>
      <c r="ES31" s="1" t="s">
        <v>84</v>
      </c>
    </row>
    <row r="32" spans="1:149" x14ac:dyDescent="0.3">
      <c r="A32" s="7" t="s">
        <v>671</v>
      </c>
      <c r="B32" s="1">
        <f>19123*(1)</f>
        <v>19123</v>
      </c>
      <c r="C32" s="1" t="s">
        <v>672</v>
      </c>
      <c r="D32" s="1">
        <f>19123*(1)</f>
        <v>19123</v>
      </c>
      <c r="E32" s="1" t="s">
        <v>84</v>
      </c>
      <c r="F32" s="1">
        <f>19763*(1)</f>
        <v>19763</v>
      </c>
      <c r="G32" s="1" t="s">
        <v>673</v>
      </c>
      <c r="H32" s="1">
        <f>19763*(1)</f>
        <v>19763</v>
      </c>
      <c r="I32" s="1" t="s">
        <v>84</v>
      </c>
      <c r="J32" s="1">
        <f>14253*(1)</f>
        <v>14253</v>
      </c>
      <c r="K32" s="1" t="s">
        <v>674</v>
      </c>
      <c r="L32" s="1">
        <f>14253*(1)</f>
        <v>14253</v>
      </c>
      <c r="M32" s="1" t="s">
        <v>84</v>
      </c>
      <c r="N32" s="1">
        <f>60136*(1)</f>
        <v>60136</v>
      </c>
      <c r="O32" s="1" t="s">
        <v>675</v>
      </c>
      <c r="P32" s="1">
        <f>60136*(1)</f>
        <v>60136</v>
      </c>
      <c r="Q32" s="1" t="s">
        <v>84</v>
      </c>
      <c r="R32" s="1">
        <f>26765*(1)</f>
        <v>26765</v>
      </c>
      <c r="S32" s="1" t="s">
        <v>676</v>
      </c>
      <c r="T32" s="1">
        <f>26765*(1)</f>
        <v>26765</v>
      </c>
      <c r="U32" s="1" t="s">
        <v>84</v>
      </c>
      <c r="V32" s="1">
        <f>36755*(1)</f>
        <v>36755</v>
      </c>
      <c r="W32" s="1" t="s">
        <v>677</v>
      </c>
      <c r="X32" s="1">
        <f>36755*(1)</f>
        <v>36755</v>
      </c>
      <c r="Y32" s="1" t="s">
        <v>84</v>
      </c>
      <c r="Z32" s="1">
        <f>21672*(1)</f>
        <v>21672</v>
      </c>
      <c r="AA32" s="1" t="s">
        <v>335</v>
      </c>
      <c r="AB32" s="1">
        <f>21672*(1)</f>
        <v>21672</v>
      </c>
      <c r="AC32" s="1" t="s">
        <v>84</v>
      </c>
      <c r="AD32" s="1">
        <f>237374*(1)</f>
        <v>237374</v>
      </c>
      <c r="AE32" s="1" t="s">
        <v>678</v>
      </c>
      <c r="AF32" s="1">
        <f>237374*(1)</f>
        <v>237374</v>
      </c>
      <c r="AG32" s="1" t="s">
        <v>84</v>
      </c>
      <c r="AH32" s="1">
        <f>32628*(1)</f>
        <v>32628</v>
      </c>
      <c r="AI32" s="1" t="s">
        <v>679</v>
      </c>
      <c r="AJ32" s="1">
        <f>32628*(1)</f>
        <v>32628</v>
      </c>
      <c r="AK32" s="1" t="s">
        <v>84</v>
      </c>
      <c r="AL32" s="1">
        <f>17919*(1)</f>
        <v>17919</v>
      </c>
      <c r="AM32" s="1" t="s">
        <v>680</v>
      </c>
      <c r="AN32" s="1">
        <f>17919*(1)</f>
        <v>17919</v>
      </c>
      <c r="AO32" s="1" t="s">
        <v>84</v>
      </c>
      <c r="AP32" s="1">
        <f>25358*(1)</f>
        <v>25358</v>
      </c>
      <c r="AQ32" s="1" t="s">
        <v>164</v>
      </c>
      <c r="AR32" s="1">
        <f>25358*(1)</f>
        <v>25358</v>
      </c>
      <c r="AS32" s="1" t="s">
        <v>84</v>
      </c>
      <c r="AT32" s="1">
        <f>167514*(1)</f>
        <v>167514</v>
      </c>
      <c r="AU32" s="1" t="s">
        <v>681</v>
      </c>
      <c r="AV32" s="1">
        <f>167514*(1)</f>
        <v>167514</v>
      </c>
      <c r="AW32" s="1" t="s">
        <v>84</v>
      </c>
      <c r="AX32" s="1">
        <f>20566*(1)</f>
        <v>20566</v>
      </c>
      <c r="AY32" s="1" t="s">
        <v>682</v>
      </c>
      <c r="AZ32" s="1">
        <f>20566*(1)</f>
        <v>20566</v>
      </c>
      <c r="BA32" s="1" t="s">
        <v>84</v>
      </c>
      <c r="BB32" s="1">
        <f>30918*(1)</f>
        <v>30918</v>
      </c>
      <c r="BC32" s="1" t="s">
        <v>683</v>
      </c>
      <c r="BD32" s="1">
        <f>30918*(1)</f>
        <v>30918</v>
      </c>
      <c r="BE32" s="1" t="s">
        <v>84</v>
      </c>
      <c r="BF32" s="1">
        <f>132585*(1)</f>
        <v>132585</v>
      </c>
      <c r="BG32" s="1" t="s">
        <v>485</v>
      </c>
      <c r="BH32" s="1">
        <f>132585*(1)</f>
        <v>132585</v>
      </c>
      <c r="BI32" s="1" t="s">
        <v>84</v>
      </c>
      <c r="BJ32" s="1">
        <f>13899*(1)</f>
        <v>13899</v>
      </c>
      <c r="BK32" s="1" t="s">
        <v>684</v>
      </c>
      <c r="BL32" s="1">
        <f>13899*(1)</f>
        <v>13899</v>
      </c>
      <c r="BM32" s="1" t="s">
        <v>84</v>
      </c>
      <c r="BN32" s="1">
        <f>48985*(1)</f>
        <v>48985</v>
      </c>
      <c r="BO32" s="1" t="s">
        <v>685</v>
      </c>
      <c r="BP32" s="1">
        <f>48985*(1)</f>
        <v>48985</v>
      </c>
      <c r="BQ32" s="1" t="s">
        <v>84</v>
      </c>
      <c r="BR32" s="1">
        <f>31057*(1)</f>
        <v>31057</v>
      </c>
      <c r="BS32" s="1" t="s">
        <v>686</v>
      </c>
      <c r="BT32" s="1">
        <f>31057*(1)</f>
        <v>31057</v>
      </c>
      <c r="BU32" s="1" t="s">
        <v>84</v>
      </c>
      <c r="BV32" s="1">
        <f>60500*(1)</f>
        <v>60500</v>
      </c>
      <c r="BW32" s="1" t="s">
        <v>687</v>
      </c>
      <c r="BX32" s="1">
        <f>60500*(1)</f>
        <v>60500</v>
      </c>
      <c r="BY32" s="1" t="s">
        <v>84</v>
      </c>
      <c r="BZ32" s="1">
        <f>73444*(1)</f>
        <v>73444</v>
      </c>
      <c r="CA32" s="1" t="s">
        <v>688</v>
      </c>
      <c r="CB32" s="1">
        <f>73444*(1)</f>
        <v>73444</v>
      </c>
      <c r="CC32" s="1" t="s">
        <v>84</v>
      </c>
      <c r="CD32" s="1">
        <f>49348*(1)</f>
        <v>49348</v>
      </c>
      <c r="CE32" s="1" t="s">
        <v>689</v>
      </c>
      <c r="CF32" s="1">
        <f>49348*(1)</f>
        <v>49348</v>
      </c>
      <c r="CG32" s="1" t="s">
        <v>84</v>
      </c>
      <c r="CH32" s="1">
        <f>12562*(1)</f>
        <v>12562</v>
      </c>
      <c r="CI32" s="1" t="s">
        <v>690</v>
      </c>
      <c r="CJ32" s="1">
        <f>12562*(1)</f>
        <v>12562</v>
      </c>
      <c r="CK32" s="1" t="s">
        <v>84</v>
      </c>
      <c r="CL32" s="1">
        <f>34860*(1)</f>
        <v>34860</v>
      </c>
      <c r="CM32" s="1" t="s">
        <v>691</v>
      </c>
      <c r="CN32" s="1">
        <f>34860*(1)</f>
        <v>34860</v>
      </c>
      <c r="CO32" s="1" t="s">
        <v>84</v>
      </c>
      <c r="CP32" s="1">
        <f>21541*(1)</f>
        <v>21541</v>
      </c>
      <c r="CQ32" s="1" t="s">
        <v>692</v>
      </c>
      <c r="CR32" s="1">
        <f>21541*(1)</f>
        <v>21541</v>
      </c>
      <c r="CS32" s="1" t="s">
        <v>84</v>
      </c>
      <c r="CT32" s="1">
        <f>98531*(1)</f>
        <v>98531</v>
      </c>
      <c r="CU32" s="1" t="s">
        <v>297</v>
      </c>
      <c r="CV32" s="1">
        <f>98531*(1)</f>
        <v>98531</v>
      </c>
      <c r="CW32" s="1" t="s">
        <v>84</v>
      </c>
      <c r="CX32" s="1">
        <f>15374*(1)</f>
        <v>15374</v>
      </c>
      <c r="CY32" s="1" t="s">
        <v>693</v>
      </c>
      <c r="CZ32" s="1">
        <f>15374*(1)</f>
        <v>15374</v>
      </c>
      <c r="DA32" s="1" t="s">
        <v>84</v>
      </c>
      <c r="DB32" s="1">
        <f>29181*(1)</f>
        <v>29181</v>
      </c>
      <c r="DC32" s="1" t="s">
        <v>694</v>
      </c>
      <c r="DD32" s="1">
        <f>29181*(1)</f>
        <v>29181</v>
      </c>
      <c r="DE32" s="1" t="s">
        <v>84</v>
      </c>
      <c r="DF32" s="1">
        <f>25192*(1)</f>
        <v>25192</v>
      </c>
      <c r="DG32" s="1" t="s">
        <v>302</v>
      </c>
      <c r="DH32" s="1">
        <f>25192*(1)</f>
        <v>25192</v>
      </c>
      <c r="DI32" s="1" t="s">
        <v>84</v>
      </c>
      <c r="DJ32" s="1">
        <f>13564*(1)</f>
        <v>13564</v>
      </c>
      <c r="DK32" s="1" t="s">
        <v>695</v>
      </c>
      <c r="DL32" s="1">
        <f>13564*(1)</f>
        <v>13564</v>
      </c>
      <c r="DM32" s="1" t="s">
        <v>84</v>
      </c>
      <c r="DN32" s="1">
        <f>13814*(1)</f>
        <v>13814</v>
      </c>
      <c r="DO32" s="1" t="s">
        <v>172</v>
      </c>
      <c r="DP32" s="1">
        <f>13814*(1)</f>
        <v>13814</v>
      </c>
      <c r="DQ32" s="1" t="s">
        <v>84</v>
      </c>
      <c r="DR32" s="1">
        <f>75651*(1)</f>
        <v>75651</v>
      </c>
      <c r="DS32" s="1" t="s">
        <v>696</v>
      </c>
      <c r="DT32" s="1">
        <f>75651*(1)</f>
        <v>75651</v>
      </c>
      <c r="DU32" s="1" t="s">
        <v>84</v>
      </c>
      <c r="DV32" s="1">
        <f>101793*(1)</f>
        <v>101793</v>
      </c>
      <c r="DW32" s="1" t="s">
        <v>697</v>
      </c>
      <c r="DX32" s="1">
        <f>101793*(1)</f>
        <v>101793</v>
      </c>
      <c r="DY32" s="1" t="s">
        <v>84</v>
      </c>
      <c r="DZ32" s="1">
        <f>44527*(1)</f>
        <v>44527</v>
      </c>
      <c r="EA32" s="1" t="s">
        <v>698</v>
      </c>
      <c r="EB32" s="1">
        <f>44527*(1)</f>
        <v>44527</v>
      </c>
      <c r="EC32" s="1" t="s">
        <v>84</v>
      </c>
      <c r="ED32" s="1">
        <f>18370*(1)</f>
        <v>18370</v>
      </c>
      <c r="EE32" s="1" t="s">
        <v>699</v>
      </c>
      <c r="EF32" s="1">
        <f>18370*(1)</f>
        <v>18370</v>
      </c>
      <c r="EG32" s="1" t="s">
        <v>84</v>
      </c>
      <c r="EH32" s="1">
        <f>37474*(1)</f>
        <v>37474</v>
      </c>
      <c r="EI32" s="1" t="s">
        <v>700</v>
      </c>
      <c r="EJ32" s="1">
        <f>37474*(1)</f>
        <v>37474</v>
      </c>
      <c r="EK32" s="1" t="s">
        <v>84</v>
      </c>
      <c r="EL32" s="1">
        <f>21697*(1)</f>
        <v>21697</v>
      </c>
      <c r="EM32" s="1" t="s">
        <v>701</v>
      </c>
      <c r="EN32" s="1">
        <f>21697*(1)</f>
        <v>21697</v>
      </c>
      <c r="EO32" s="1" t="s">
        <v>84</v>
      </c>
      <c r="EP32" s="1">
        <f>21209*(1)</f>
        <v>21209</v>
      </c>
      <c r="EQ32" s="1" t="s">
        <v>169</v>
      </c>
      <c r="ER32" s="1">
        <f>21209*(1)</f>
        <v>21209</v>
      </c>
      <c r="ES32" s="1" t="s">
        <v>84</v>
      </c>
    </row>
    <row r="33" spans="1:149" x14ac:dyDescent="0.3">
      <c r="A33" s="8" t="s">
        <v>85</v>
      </c>
      <c r="B33" s="1">
        <f>8473*(1)</f>
        <v>8473</v>
      </c>
      <c r="C33" s="1" t="s">
        <v>749</v>
      </c>
      <c r="D33" s="1">
        <f>0.443*(1)</f>
        <v>0.443</v>
      </c>
      <c r="E33" s="1" t="s">
        <v>329</v>
      </c>
      <c r="F33" s="1">
        <f>9372*(1)</f>
        <v>9372</v>
      </c>
      <c r="G33" s="1" t="s">
        <v>750</v>
      </c>
      <c r="H33" s="1">
        <f>0.474*(1)</f>
        <v>0.47399999999999998</v>
      </c>
      <c r="I33" s="1" t="s">
        <v>141</v>
      </c>
      <c r="J33" s="1">
        <f>6488*(1)</f>
        <v>6488</v>
      </c>
      <c r="K33" s="1" t="s">
        <v>751</v>
      </c>
      <c r="L33" s="1">
        <f>0.455*(1)</f>
        <v>0.45500000000000002</v>
      </c>
      <c r="M33" s="1" t="s">
        <v>109</v>
      </c>
      <c r="N33" s="1">
        <f>27209*(1)</f>
        <v>27209</v>
      </c>
      <c r="O33" s="1" t="s">
        <v>752</v>
      </c>
      <c r="P33" s="1">
        <f>0.452*(1)</f>
        <v>0.45200000000000001</v>
      </c>
      <c r="Q33" s="1" t="s">
        <v>120</v>
      </c>
      <c r="R33" s="1">
        <f>11919*(1)</f>
        <v>11919</v>
      </c>
      <c r="S33" s="1" t="s">
        <v>678</v>
      </c>
      <c r="T33" s="1">
        <f>0.445*(1)</f>
        <v>0.44500000000000001</v>
      </c>
      <c r="U33" s="1" t="s">
        <v>96</v>
      </c>
      <c r="V33" s="1">
        <f>16436*(1)</f>
        <v>16436</v>
      </c>
      <c r="W33" s="1" t="s">
        <v>753</v>
      </c>
      <c r="X33" s="1">
        <f>0.447*(1)</f>
        <v>0.44700000000000001</v>
      </c>
      <c r="Y33" s="1" t="s">
        <v>96</v>
      </c>
      <c r="Z33" s="1">
        <f>10005*(1)</f>
        <v>10005</v>
      </c>
      <c r="AA33" s="1" t="s">
        <v>749</v>
      </c>
      <c r="AB33" s="1">
        <f>0.462*(1)</f>
        <v>0.46200000000000002</v>
      </c>
      <c r="AC33" s="1" t="s">
        <v>145</v>
      </c>
      <c r="AD33" s="1">
        <f>102161*(1)</f>
        <v>102161</v>
      </c>
      <c r="AE33" s="1" t="s">
        <v>678</v>
      </c>
      <c r="AF33" s="1">
        <f>0.43*(1)</f>
        <v>0.43</v>
      </c>
      <c r="AG33" s="1" t="s">
        <v>99</v>
      </c>
      <c r="AH33" s="1">
        <f>15438*(1)</f>
        <v>15438</v>
      </c>
      <c r="AI33" s="1" t="s">
        <v>754</v>
      </c>
      <c r="AJ33" s="1">
        <f>0.473*(1)</f>
        <v>0.47299999999999998</v>
      </c>
      <c r="AK33" s="1" t="s">
        <v>87</v>
      </c>
      <c r="AL33" s="1">
        <f>8187*(1)</f>
        <v>8187</v>
      </c>
      <c r="AM33" s="1" t="s">
        <v>755</v>
      </c>
      <c r="AN33" s="1">
        <f>0.457*(1)</f>
        <v>0.45700000000000002</v>
      </c>
      <c r="AO33" s="1" t="s">
        <v>145</v>
      </c>
      <c r="AP33" s="1">
        <f>11403*(1)</f>
        <v>11403</v>
      </c>
      <c r="AQ33" s="1" t="s">
        <v>756</v>
      </c>
      <c r="AR33" s="1">
        <f>0.45*(1)</f>
        <v>0.45</v>
      </c>
      <c r="AS33" s="1" t="s">
        <v>132</v>
      </c>
      <c r="AT33" s="1">
        <f>72808*(1)</f>
        <v>72808</v>
      </c>
      <c r="AU33" s="1" t="s">
        <v>681</v>
      </c>
      <c r="AV33" s="1">
        <f>0.435*(1)</f>
        <v>0.435</v>
      </c>
      <c r="AW33" s="1" t="s">
        <v>99</v>
      </c>
      <c r="AX33" s="1">
        <f>9553*(1)</f>
        <v>9553</v>
      </c>
      <c r="AY33" s="1" t="s">
        <v>500</v>
      </c>
      <c r="AZ33" s="1">
        <f>0.465*(1)</f>
        <v>0.46500000000000002</v>
      </c>
      <c r="BA33" s="1" t="s">
        <v>120</v>
      </c>
      <c r="BB33" s="1">
        <f>14336*(1)</f>
        <v>14336</v>
      </c>
      <c r="BC33" s="1" t="s">
        <v>757</v>
      </c>
      <c r="BD33" s="1">
        <f>0.464*(1)</f>
        <v>0.46400000000000002</v>
      </c>
      <c r="BE33" s="1" t="s">
        <v>141</v>
      </c>
      <c r="BF33" s="1">
        <f>57854*(1)</f>
        <v>57854</v>
      </c>
      <c r="BG33" s="1" t="s">
        <v>758</v>
      </c>
      <c r="BH33" s="1">
        <f>0.436*(1)</f>
        <v>0.436</v>
      </c>
      <c r="BI33" s="1" t="s">
        <v>92</v>
      </c>
      <c r="BJ33" s="1">
        <f>6222*(1)</f>
        <v>6222</v>
      </c>
      <c r="BK33" s="1" t="s">
        <v>189</v>
      </c>
      <c r="BL33" s="1">
        <f>0.448*(1)</f>
        <v>0.44800000000000001</v>
      </c>
      <c r="BM33" s="1" t="s">
        <v>144</v>
      </c>
      <c r="BN33" s="1">
        <f>21713*(1)</f>
        <v>21713</v>
      </c>
      <c r="BO33" s="1" t="s">
        <v>411</v>
      </c>
      <c r="BP33" s="1">
        <f>0.443*(1)</f>
        <v>0.443</v>
      </c>
      <c r="BQ33" s="1" t="s">
        <v>94</v>
      </c>
      <c r="BR33" s="1">
        <f>14350*(1)</f>
        <v>14350</v>
      </c>
      <c r="BS33" s="1" t="s">
        <v>584</v>
      </c>
      <c r="BT33" s="1">
        <f>0.462*(1)</f>
        <v>0.46200000000000002</v>
      </c>
      <c r="BU33" s="1" t="s">
        <v>132</v>
      </c>
      <c r="BV33" s="1">
        <f>27373*(1)</f>
        <v>27373</v>
      </c>
      <c r="BW33" s="1" t="s">
        <v>187</v>
      </c>
      <c r="BX33" s="1">
        <f>0.452*(1)</f>
        <v>0.45200000000000001</v>
      </c>
      <c r="BY33" s="1" t="s">
        <v>92</v>
      </c>
      <c r="BZ33" s="1">
        <f>32513*(1)</f>
        <v>32513</v>
      </c>
      <c r="CA33" s="1" t="s">
        <v>759</v>
      </c>
      <c r="CB33" s="1">
        <f>0.443*(1)</f>
        <v>0.443</v>
      </c>
      <c r="CC33" s="1" t="s">
        <v>111</v>
      </c>
      <c r="CD33" s="1">
        <f>21810*(1)</f>
        <v>21810</v>
      </c>
      <c r="CE33" s="1" t="s">
        <v>760</v>
      </c>
      <c r="CF33" s="1">
        <f>0.442*(1)</f>
        <v>0.442</v>
      </c>
      <c r="CG33" s="1" t="s">
        <v>96</v>
      </c>
      <c r="CH33" s="1">
        <f>5714*(1)</f>
        <v>5714</v>
      </c>
      <c r="CI33" s="1" t="s">
        <v>761</v>
      </c>
      <c r="CJ33" s="1">
        <f>0.455*(1)</f>
        <v>0.45500000000000002</v>
      </c>
      <c r="CK33" s="1" t="s">
        <v>148</v>
      </c>
      <c r="CL33" s="1">
        <f>16144*(1)</f>
        <v>16144</v>
      </c>
      <c r="CM33" s="1" t="s">
        <v>582</v>
      </c>
      <c r="CN33" s="1">
        <f>0.463*(1)</f>
        <v>0.46300000000000002</v>
      </c>
      <c r="CO33" s="1" t="s">
        <v>120</v>
      </c>
      <c r="CP33" s="1">
        <f>9800*(1)</f>
        <v>9800</v>
      </c>
      <c r="CQ33" s="1" t="s">
        <v>133</v>
      </c>
      <c r="CR33" s="1">
        <f>0.455*(1)</f>
        <v>0.45500000000000002</v>
      </c>
      <c r="CS33" s="1" t="s">
        <v>129</v>
      </c>
      <c r="CT33" s="1">
        <f>42668*(1)</f>
        <v>42668</v>
      </c>
      <c r="CU33" s="1" t="s">
        <v>762</v>
      </c>
      <c r="CV33" s="1">
        <f>0.433*(1)</f>
        <v>0.433</v>
      </c>
      <c r="CW33" s="1" t="s">
        <v>111</v>
      </c>
      <c r="CX33" s="1">
        <f>6780*(1)</f>
        <v>6780</v>
      </c>
      <c r="CY33" s="1" t="s">
        <v>763</v>
      </c>
      <c r="CZ33" s="1">
        <f>0.441*(1)</f>
        <v>0.441</v>
      </c>
      <c r="DA33" s="1" t="s">
        <v>120</v>
      </c>
      <c r="DB33" s="1">
        <f>13422*(1)</f>
        <v>13422</v>
      </c>
      <c r="DC33" s="1" t="s">
        <v>167</v>
      </c>
      <c r="DD33" s="1">
        <f>0.46*(1)</f>
        <v>0.46</v>
      </c>
      <c r="DE33" s="1" t="s">
        <v>129</v>
      </c>
      <c r="DF33" s="1">
        <f>11033*(1)</f>
        <v>11033</v>
      </c>
      <c r="DG33" s="1" t="s">
        <v>412</v>
      </c>
      <c r="DH33" s="1">
        <f>0.438*(1)</f>
        <v>0.438</v>
      </c>
      <c r="DI33" s="1" t="s">
        <v>87</v>
      </c>
      <c r="DJ33" s="1">
        <f>6145*(1)</f>
        <v>6145</v>
      </c>
      <c r="DK33" s="1" t="s">
        <v>326</v>
      </c>
      <c r="DL33" s="1">
        <f>0.453*(1)</f>
        <v>0.45300000000000001</v>
      </c>
      <c r="DM33" s="1" t="s">
        <v>109</v>
      </c>
      <c r="DN33" s="1">
        <f>5949*(1)</f>
        <v>5949</v>
      </c>
      <c r="DO33" s="1" t="s">
        <v>764</v>
      </c>
      <c r="DP33" s="1">
        <f>0.431*(1)</f>
        <v>0.43099999999999999</v>
      </c>
      <c r="DQ33" s="1" t="s">
        <v>132</v>
      </c>
      <c r="DR33" s="1">
        <f>33980*(1)</f>
        <v>33980</v>
      </c>
      <c r="DS33" s="1" t="s">
        <v>765</v>
      </c>
      <c r="DT33" s="1">
        <f>0.449*(1)</f>
        <v>0.44900000000000001</v>
      </c>
      <c r="DU33" s="1" t="s">
        <v>111</v>
      </c>
      <c r="DV33" s="1">
        <f>45151*(1)</f>
        <v>45151</v>
      </c>
      <c r="DW33" s="1" t="s">
        <v>574</v>
      </c>
      <c r="DX33" s="1">
        <f>0.444*(1)</f>
        <v>0.44400000000000001</v>
      </c>
      <c r="DY33" s="1" t="s">
        <v>111</v>
      </c>
      <c r="DZ33" s="1">
        <f>19953*(1)</f>
        <v>19953</v>
      </c>
      <c r="EA33" s="1" t="s">
        <v>766</v>
      </c>
      <c r="EB33" s="1">
        <f>0.448*(1)</f>
        <v>0.44800000000000001</v>
      </c>
      <c r="EC33" s="1" t="s">
        <v>92</v>
      </c>
      <c r="ED33" s="1">
        <f>8333*(1)</f>
        <v>8333</v>
      </c>
      <c r="EE33" s="1" t="s">
        <v>699</v>
      </c>
      <c r="EF33" s="1">
        <f>0.454*(1)</f>
        <v>0.45400000000000001</v>
      </c>
      <c r="EG33" s="1" t="s">
        <v>90</v>
      </c>
      <c r="EH33" s="1">
        <f>17202*(1)</f>
        <v>17202</v>
      </c>
      <c r="EI33" s="1" t="s">
        <v>393</v>
      </c>
      <c r="EJ33" s="1">
        <f>0.459*(1)</f>
        <v>0.45900000000000002</v>
      </c>
      <c r="EK33" s="1" t="s">
        <v>94</v>
      </c>
      <c r="EL33" s="1">
        <f>10038*(1)</f>
        <v>10038</v>
      </c>
      <c r="EM33" s="1" t="s">
        <v>767</v>
      </c>
      <c r="EN33" s="1">
        <f>0.463*(1)</f>
        <v>0.46300000000000002</v>
      </c>
      <c r="EO33" s="1" t="s">
        <v>96</v>
      </c>
      <c r="EP33" s="1">
        <f>9608*(1)</f>
        <v>9608</v>
      </c>
      <c r="EQ33" s="1" t="s">
        <v>768</v>
      </c>
      <c r="ER33" s="1">
        <f>0.453*(1)</f>
        <v>0.45300000000000001</v>
      </c>
      <c r="ES33" s="1" t="s">
        <v>109</v>
      </c>
    </row>
    <row r="34" spans="1:149" x14ac:dyDescent="0.3">
      <c r="A34" s="8" t="s">
        <v>134</v>
      </c>
      <c r="B34" s="1">
        <f>10650*(1)</f>
        <v>10650</v>
      </c>
      <c r="C34" s="1" t="s">
        <v>417</v>
      </c>
      <c r="D34" s="1">
        <f>0.557*(1)</f>
        <v>0.55700000000000005</v>
      </c>
      <c r="E34" s="1" t="s">
        <v>329</v>
      </c>
      <c r="F34" s="1">
        <f>10391*(1)</f>
        <v>10391</v>
      </c>
      <c r="G34" s="1" t="s">
        <v>105</v>
      </c>
      <c r="H34" s="1">
        <f>0.526*(1)</f>
        <v>0.52600000000000002</v>
      </c>
      <c r="I34" s="1" t="s">
        <v>141</v>
      </c>
      <c r="J34" s="1">
        <f>7765*(1)</f>
        <v>7765</v>
      </c>
      <c r="K34" s="1" t="s">
        <v>769</v>
      </c>
      <c r="L34" s="1">
        <f>0.545*(1)</f>
        <v>0.54500000000000004</v>
      </c>
      <c r="M34" s="1" t="s">
        <v>109</v>
      </c>
      <c r="N34" s="1">
        <f>32927*(1)</f>
        <v>32927</v>
      </c>
      <c r="O34" s="1" t="s">
        <v>93</v>
      </c>
      <c r="P34" s="1">
        <f>0.548*(1)</f>
        <v>0.54800000000000004</v>
      </c>
      <c r="Q34" s="1" t="s">
        <v>120</v>
      </c>
      <c r="R34" s="1">
        <f>14846*(1)</f>
        <v>14846</v>
      </c>
      <c r="S34" s="1" t="s">
        <v>770</v>
      </c>
      <c r="T34" s="1">
        <f>0.555*(1)</f>
        <v>0.55500000000000005</v>
      </c>
      <c r="U34" s="1" t="s">
        <v>96</v>
      </c>
      <c r="V34" s="1">
        <f>20319*(1)</f>
        <v>20319</v>
      </c>
      <c r="W34" s="1" t="s">
        <v>771</v>
      </c>
      <c r="X34" s="1">
        <f>0.553*(1)</f>
        <v>0.55300000000000005</v>
      </c>
      <c r="Y34" s="1" t="s">
        <v>96</v>
      </c>
      <c r="Z34" s="1">
        <f>11667*(1)</f>
        <v>11667</v>
      </c>
      <c r="AA34" s="1" t="s">
        <v>772</v>
      </c>
      <c r="AB34" s="1">
        <f>0.538*(1)</f>
        <v>0.53800000000000003</v>
      </c>
      <c r="AC34" s="1" t="s">
        <v>145</v>
      </c>
      <c r="AD34" s="1">
        <f>135213*(1)</f>
        <v>135213</v>
      </c>
      <c r="AE34" s="1" t="s">
        <v>83</v>
      </c>
      <c r="AF34" s="1">
        <f>0.57*(1)</f>
        <v>0.56999999999999995</v>
      </c>
      <c r="AG34" s="1" t="s">
        <v>99</v>
      </c>
      <c r="AH34" s="1">
        <f>17190*(1)</f>
        <v>17190</v>
      </c>
      <c r="AI34" s="1" t="s">
        <v>491</v>
      </c>
      <c r="AJ34" s="1">
        <f>0.527*(1)</f>
        <v>0.52700000000000002</v>
      </c>
      <c r="AK34" s="1" t="s">
        <v>87</v>
      </c>
      <c r="AL34" s="1">
        <f>9732*(1)</f>
        <v>9732</v>
      </c>
      <c r="AM34" s="1" t="s">
        <v>773</v>
      </c>
      <c r="AN34" s="1">
        <f>0.543*(1)</f>
        <v>0.54300000000000004</v>
      </c>
      <c r="AO34" s="1" t="s">
        <v>145</v>
      </c>
      <c r="AP34" s="1">
        <f>13955*(1)</f>
        <v>13955</v>
      </c>
      <c r="AQ34" s="1" t="s">
        <v>286</v>
      </c>
      <c r="AR34" s="1">
        <f>0.55*(1)</f>
        <v>0.55000000000000004</v>
      </c>
      <c r="AS34" s="1" t="s">
        <v>132</v>
      </c>
      <c r="AT34" s="1">
        <f>94706*(1)</f>
        <v>94706</v>
      </c>
      <c r="AU34" s="1" t="s">
        <v>83</v>
      </c>
      <c r="AV34" s="1">
        <f>0.565*(1)</f>
        <v>0.56499999999999995</v>
      </c>
      <c r="AW34" s="1" t="s">
        <v>99</v>
      </c>
      <c r="AX34" s="1">
        <f>11013*(1)</f>
        <v>11013</v>
      </c>
      <c r="AY34" s="1" t="s">
        <v>774</v>
      </c>
      <c r="AZ34" s="1">
        <f>0.535*(1)</f>
        <v>0.53500000000000003</v>
      </c>
      <c r="BA34" s="1" t="s">
        <v>120</v>
      </c>
      <c r="BB34" s="1">
        <f>16582*(1)</f>
        <v>16582</v>
      </c>
      <c r="BC34" s="1" t="s">
        <v>561</v>
      </c>
      <c r="BD34" s="1">
        <f>0.536*(1)</f>
        <v>0.53600000000000003</v>
      </c>
      <c r="BE34" s="1" t="s">
        <v>141</v>
      </c>
      <c r="BF34" s="1">
        <f>74731*(1)</f>
        <v>74731</v>
      </c>
      <c r="BG34" s="1" t="s">
        <v>775</v>
      </c>
      <c r="BH34" s="1">
        <f>0.564*(1)</f>
        <v>0.56399999999999995</v>
      </c>
      <c r="BI34" s="1" t="s">
        <v>92</v>
      </c>
      <c r="BJ34" s="1">
        <f>7677*(1)</f>
        <v>7677</v>
      </c>
      <c r="BK34" s="1" t="s">
        <v>776</v>
      </c>
      <c r="BL34" s="1">
        <f>0.552*(1)</f>
        <v>0.55200000000000005</v>
      </c>
      <c r="BM34" s="1" t="s">
        <v>144</v>
      </c>
      <c r="BN34" s="1">
        <f>27272*(1)</f>
        <v>27272</v>
      </c>
      <c r="BO34" s="1" t="s">
        <v>771</v>
      </c>
      <c r="BP34" s="1">
        <f>0.557*(1)</f>
        <v>0.55700000000000005</v>
      </c>
      <c r="BQ34" s="1" t="s">
        <v>94</v>
      </c>
      <c r="BR34" s="1">
        <f>16707*(1)</f>
        <v>16707</v>
      </c>
      <c r="BS34" s="1" t="s">
        <v>777</v>
      </c>
      <c r="BT34" s="1">
        <f>0.538*(1)</f>
        <v>0.53800000000000003</v>
      </c>
      <c r="BU34" s="1" t="s">
        <v>132</v>
      </c>
      <c r="BV34" s="1">
        <f>33127*(1)</f>
        <v>33127</v>
      </c>
      <c r="BW34" s="1" t="s">
        <v>167</v>
      </c>
      <c r="BX34" s="1">
        <f>0.548*(1)</f>
        <v>0.54800000000000004</v>
      </c>
      <c r="BY34" s="1" t="s">
        <v>92</v>
      </c>
      <c r="BZ34" s="1">
        <f>40931*(1)</f>
        <v>40931</v>
      </c>
      <c r="CA34" s="1" t="s">
        <v>175</v>
      </c>
      <c r="CB34" s="1">
        <f>0.557*(1)</f>
        <v>0.55700000000000005</v>
      </c>
      <c r="CC34" s="1" t="s">
        <v>111</v>
      </c>
      <c r="CD34" s="1">
        <f>27538*(1)</f>
        <v>27538</v>
      </c>
      <c r="CE34" s="1" t="s">
        <v>778</v>
      </c>
      <c r="CF34" s="1">
        <f>0.558*(1)</f>
        <v>0.55800000000000005</v>
      </c>
      <c r="CG34" s="1" t="s">
        <v>96</v>
      </c>
      <c r="CH34" s="1">
        <f>6848*(1)</f>
        <v>6848</v>
      </c>
      <c r="CI34" s="1" t="s">
        <v>779</v>
      </c>
      <c r="CJ34" s="1">
        <f>0.545*(1)</f>
        <v>0.54500000000000004</v>
      </c>
      <c r="CK34" s="1" t="s">
        <v>148</v>
      </c>
      <c r="CL34" s="1">
        <f>18716*(1)</f>
        <v>18716</v>
      </c>
      <c r="CM34" s="1" t="s">
        <v>780</v>
      </c>
      <c r="CN34" s="1">
        <f>0.537*(1)</f>
        <v>0.53700000000000003</v>
      </c>
      <c r="CO34" s="1" t="s">
        <v>120</v>
      </c>
      <c r="CP34" s="1">
        <f>11741*(1)</f>
        <v>11741</v>
      </c>
      <c r="CQ34" s="1" t="s">
        <v>781</v>
      </c>
      <c r="CR34" s="1">
        <f>0.545*(1)</f>
        <v>0.54500000000000004</v>
      </c>
      <c r="CS34" s="1" t="s">
        <v>129</v>
      </c>
      <c r="CT34" s="1">
        <f>55863*(1)</f>
        <v>55863</v>
      </c>
      <c r="CU34" s="1" t="s">
        <v>782</v>
      </c>
      <c r="CV34" s="1">
        <f>0.567*(1)</f>
        <v>0.56699999999999995</v>
      </c>
      <c r="CW34" s="1" t="s">
        <v>111</v>
      </c>
      <c r="CX34" s="1">
        <f>8594*(1)</f>
        <v>8594</v>
      </c>
      <c r="CY34" s="1" t="s">
        <v>783</v>
      </c>
      <c r="CZ34" s="1">
        <f>0.559*(1)</f>
        <v>0.55900000000000005</v>
      </c>
      <c r="DA34" s="1" t="s">
        <v>120</v>
      </c>
      <c r="DB34" s="1">
        <f>15759*(1)</f>
        <v>15759</v>
      </c>
      <c r="DC34" s="1" t="s">
        <v>330</v>
      </c>
      <c r="DD34" s="1">
        <f>0.54*(1)</f>
        <v>0.54</v>
      </c>
      <c r="DE34" s="1" t="s">
        <v>129</v>
      </c>
      <c r="DF34" s="1">
        <f>14159*(1)</f>
        <v>14159</v>
      </c>
      <c r="DG34" s="1" t="s">
        <v>502</v>
      </c>
      <c r="DH34" s="1">
        <f>0.562*(1)</f>
        <v>0.56200000000000006</v>
      </c>
      <c r="DI34" s="1" t="s">
        <v>87</v>
      </c>
      <c r="DJ34" s="1">
        <f>7419*(1)</f>
        <v>7419</v>
      </c>
      <c r="DK34" s="1" t="s">
        <v>784</v>
      </c>
      <c r="DL34" s="1">
        <f>0.547*(1)</f>
        <v>0.54700000000000004</v>
      </c>
      <c r="DM34" s="1" t="s">
        <v>109</v>
      </c>
      <c r="DN34" s="1">
        <f>7865*(1)</f>
        <v>7865</v>
      </c>
      <c r="DO34" s="1" t="s">
        <v>105</v>
      </c>
      <c r="DP34" s="1">
        <f>0.569*(1)</f>
        <v>0.56899999999999995</v>
      </c>
      <c r="DQ34" s="1" t="s">
        <v>132</v>
      </c>
      <c r="DR34" s="1">
        <f>41671*(1)</f>
        <v>41671</v>
      </c>
      <c r="DS34" s="1" t="s">
        <v>168</v>
      </c>
      <c r="DT34" s="1">
        <f>0.551*(1)</f>
        <v>0.55100000000000005</v>
      </c>
      <c r="DU34" s="1" t="s">
        <v>111</v>
      </c>
      <c r="DV34" s="1">
        <f>56642*(1)</f>
        <v>56642</v>
      </c>
      <c r="DW34" s="1" t="s">
        <v>162</v>
      </c>
      <c r="DX34" s="1">
        <f>0.556*(1)</f>
        <v>0.55600000000000005</v>
      </c>
      <c r="DY34" s="1" t="s">
        <v>111</v>
      </c>
      <c r="DZ34" s="1">
        <f>24574*(1)</f>
        <v>24574</v>
      </c>
      <c r="EA34" s="1" t="s">
        <v>399</v>
      </c>
      <c r="EB34" s="1">
        <f>0.552*(1)</f>
        <v>0.55200000000000005</v>
      </c>
      <c r="EC34" s="1" t="s">
        <v>92</v>
      </c>
      <c r="ED34" s="1">
        <f>10037*(1)</f>
        <v>10037</v>
      </c>
      <c r="EE34" s="1" t="s">
        <v>785</v>
      </c>
      <c r="EF34" s="1">
        <f>0.546*(1)</f>
        <v>0.54600000000000004</v>
      </c>
      <c r="EG34" s="1" t="s">
        <v>90</v>
      </c>
      <c r="EH34" s="1">
        <f>20272*(1)</f>
        <v>20272</v>
      </c>
      <c r="EI34" s="1" t="s">
        <v>786</v>
      </c>
      <c r="EJ34" s="1">
        <f>0.541*(1)</f>
        <v>0.54100000000000004</v>
      </c>
      <c r="EK34" s="1" t="s">
        <v>94</v>
      </c>
      <c r="EL34" s="1">
        <f>11659*(1)</f>
        <v>11659</v>
      </c>
      <c r="EM34" s="1" t="s">
        <v>507</v>
      </c>
      <c r="EN34" s="1">
        <f>0.537*(1)</f>
        <v>0.53700000000000003</v>
      </c>
      <c r="EO34" s="1" t="s">
        <v>96</v>
      </c>
      <c r="EP34" s="1">
        <f>11601*(1)</f>
        <v>11601</v>
      </c>
      <c r="EQ34" s="1" t="s">
        <v>773</v>
      </c>
      <c r="ER34" s="1">
        <f>0.547*(1)</f>
        <v>0.54700000000000004</v>
      </c>
      <c r="ES34" s="1" t="s">
        <v>109</v>
      </c>
    </row>
    <row r="35" spans="1:149" ht="28.8" x14ac:dyDescent="0.3">
      <c r="A35" s="8" t="s">
        <v>135</v>
      </c>
      <c r="B35" s="1">
        <f>79.6*(1)</f>
        <v>79.599999999999994</v>
      </c>
      <c r="C35" s="1" t="s">
        <v>787</v>
      </c>
      <c r="D35" s="1" t="s">
        <v>84</v>
      </c>
      <c r="E35" s="1" t="s">
        <v>84</v>
      </c>
      <c r="F35" s="1">
        <f>90.2*(1)</f>
        <v>90.2</v>
      </c>
      <c r="G35" s="1" t="s">
        <v>788</v>
      </c>
      <c r="H35" s="1" t="s">
        <v>84</v>
      </c>
      <c r="I35" s="1" t="s">
        <v>84</v>
      </c>
      <c r="J35" s="1">
        <f>83.6*(1)</f>
        <v>83.6</v>
      </c>
      <c r="K35" s="1" t="s">
        <v>789</v>
      </c>
      <c r="L35" s="1" t="s">
        <v>84</v>
      </c>
      <c r="M35" s="1" t="s">
        <v>84</v>
      </c>
      <c r="N35" s="1">
        <f>82.6*(1)</f>
        <v>82.6</v>
      </c>
      <c r="O35" s="1" t="s">
        <v>790</v>
      </c>
      <c r="P35" s="1" t="s">
        <v>84</v>
      </c>
      <c r="Q35" s="1" t="s">
        <v>84</v>
      </c>
      <c r="R35" s="1">
        <f>80.3*(1)</f>
        <v>80.3</v>
      </c>
      <c r="S35" s="1" t="s">
        <v>141</v>
      </c>
      <c r="T35" s="1" t="s">
        <v>84</v>
      </c>
      <c r="U35" s="1" t="s">
        <v>84</v>
      </c>
      <c r="V35" s="1">
        <f>80.9*(1)</f>
        <v>80.900000000000006</v>
      </c>
      <c r="W35" s="1" t="s">
        <v>102</v>
      </c>
      <c r="X35" s="1" t="s">
        <v>84</v>
      </c>
      <c r="Y35" s="1" t="s">
        <v>84</v>
      </c>
      <c r="Z35" s="1">
        <f>85.8*(1)</f>
        <v>85.8</v>
      </c>
      <c r="AA35" s="1" t="s">
        <v>791</v>
      </c>
      <c r="AB35" s="1" t="s">
        <v>84</v>
      </c>
      <c r="AC35" s="1" t="s">
        <v>84</v>
      </c>
      <c r="AD35" s="1">
        <f>75.6*(1)</f>
        <v>75.599999999999994</v>
      </c>
      <c r="AE35" s="1" t="s">
        <v>99</v>
      </c>
      <c r="AF35" s="1" t="s">
        <v>84</v>
      </c>
      <c r="AG35" s="1" t="s">
        <v>84</v>
      </c>
      <c r="AH35" s="1">
        <f>89.8*(1)</f>
        <v>89.8</v>
      </c>
      <c r="AI35" s="1" t="s">
        <v>150</v>
      </c>
      <c r="AJ35" s="1" t="s">
        <v>84</v>
      </c>
      <c r="AK35" s="1" t="s">
        <v>84</v>
      </c>
      <c r="AL35" s="1">
        <f>84.1*(1)</f>
        <v>84.1</v>
      </c>
      <c r="AM35" s="1" t="s">
        <v>792</v>
      </c>
      <c r="AN35" s="1" t="s">
        <v>84</v>
      </c>
      <c r="AO35" s="1" t="s">
        <v>84</v>
      </c>
      <c r="AP35" s="1">
        <f>81.7*(1)</f>
        <v>81.7</v>
      </c>
      <c r="AQ35" s="1" t="s">
        <v>136</v>
      </c>
      <c r="AR35" s="1" t="s">
        <v>84</v>
      </c>
      <c r="AS35" s="1" t="s">
        <v>84</v>
      </c>
      <c r="AT35" s="1">
        <f>76.9*(1)</f>
        <v>76.900000000000006</v>
      </c>
      <c r="AU35" s="1" t="s">
        <v>99</v>
      </c>
      <c r="AV35" s="1" t="s">
        <v>84</v>
      </c>
      <c r="AW35" s="1" t="s">
        <v>84</v>
      </c>
      <c r="AX35" s="1">
        <f>86.7*(1)</f>
        <v>86.7</v>
      </c>
      <c r="AY35" s="1" t="s">
        <v>140</v>
      </c>
      <c r="AZ35" s="1" t="s">
        <v>84</v>
      </c>
      <c r="BA35" s="1" t="s">
        <v>84</v>
      </c>
      <c r="BB35" s="1">
        <f>86.5*(1)</f>
        <v>86.5</v>
      </c>
      <c r="BC35" s="1" t="s">
        <v>152</v>
      </c>
      <c r="BD35" s="1" t="s">
        <v>84</v>
      </c>
      <c r="BE35" s="1" t="s">
        <v>84</v>
      </c>
      <c r="BF35" s="1">
        <f>77.4*(1)</f>
        <v>77.400000000000006</v>
      </c>
      <c r="BG35" s="1" t="s">
        <v>109</v>
      </c>
      <c r="BH35" s="1" t="s">
        <v>84</v>
      </c>
      <c r="BI35" s="1" t="s">
        <v>84</v>
      </c>
      <c r="BJ35" s="1">
        <f>81*(1)</f>
        <v>81</v>
      </c>
      <c r="BK35" s="1" t="s">
        <v>793</v>
      </c>
      <c r="BL35" s="1" t="s">
        <v>84</v>
      </c>
      <c r="BM35" s="1" t="s">
        <v>84</v>
      </c>
      <c r="BN35" s="1">
        <f>79.6*(1)</f>
        <v>79.599999999999994</v>
      </c>
      <c r="BO35" s="1" t="s">
        <v>329</v>
      </c>
      <c r="BP35" s="1" t="s">
        <v>84</v>
      </c>
      <c r="BQ35" s="1" t="s">
        <v>84</v>
      </c>
      <c r="BR35" s="1">
        <f>85.9*(1)</f>
        <v>85.9</v>
      </c>
      <c r="BS35" s="1" t="s">
        <v>151</v>
      </c>
      <c r="BT35" s="1" t="s">
        <v>84</v>
      </c>
      <c r="BU35" s="1" t="s">
        <v>84</v>
      </c>
      <c r="BV35" s="1">
        <f>82.6*(1)</f>
        <v>82.6</v>
      </c>
      <c r="BW35" s="1" t="s">
        <v>109</v>
      </c>
      <c r="BX35" s="1" t="s">
        <v>84</v>
      </c>
      <c r="BY35" s="1" t="s">
        <v>84</v>
      </c>
      <c r="BZ35" s="1">
        <f>79.4*(1)</f>
        <v>79.400000000000006</v>
      </c>
      <c r="CA35" s="1" t="s">
        <v>90</v>
      </c>
      <c r="CB35" s="1" t="s">
        <v>84</v>
      </c>
      <c r="CC35" s="1" t="s">
        <v>84</v>
      </c>
      <c r="CD35" s="1">
        <f>79.2*(1)</f>
        <v>79.2</v>
      </c>
      <c r="CE35" s="1" t="s">
        <v>141</v>
      </c>
      <c r="CF35" s="1" t="s">
        <v>84</v>
      </c>
      <c r="CG35" s="1" t="s">
        <v>84</v>
      </c>
      <c r="CH35" s="1">
        <f>83.4*(1)</f>
        <v>83.4</v>
      </c>
      <c r="CI35" s="1" t="s">
        <v>794</v>
      </c>
      <c r="CJ35" s="1" t="s">
        <v>84</v>
      </c>
      <c r="CK35" s="1" t="s">
        <v>84</v>
      </c>
      <c r="CL35" s="1">
        <f>86.3*(1)</f>
        <v>86.3</v>
      </c>
      <c r="CM35" s="1" t="s">
        <v>790</v>
      </c>
      <c r="CN35" s="1" t="s">
        <v>84</v>
      </c>
      <c r="CO35" s="1" t="s">
        <v>84</v>
      </c>
      <c r="CP35" s="1">
        <f>83.5*(1)</f>
        <v>83.5</v>
      </c>
      <c r="CQ35" s="1" t="s">
        <v>795</v>
      </c>
      <c r="CR35" s="1" t="s">
        <v>84</v>
      </c>
      <c r="CS35" s="1" t="s">
        <v>84</v>
      </c>
      <c r="CT35" s="1">
        <f>76.4*(1)</f>
        <v>76.400000000000006</v>
      </c>
      <c r="CU35" s="1" t="s">
        <v>120</v>
      </c>
      <c r="CV35" s="1" t="s">
        <v>84</v>
      </c>
      <c r="CW35" s="1" t="s">
        <v>84</v>
      </c>
      <c r="CX35" s="1">
        <f>78.9*(1)</f>
        <v>78.900000000000006</v>
      </c>
      <c r="CY35" s="1" t="s">
        <v>149</v>
      </c>
      <c r="CZ35" s="1" t="s">
        <v>84</v>
      </c>
      <c r="DA35" s="1" t="s">
        <v>84</v>
      </c>
      <c r="DB35" s="1">
        <f>85.2*(1)</f>
        <v>85.2</v>
      </c>
      <c r="DC35" s="1" t="s">
        <v>795</v>
      </c>
      <c r="DD35" s="1" t="s">
        <v>84</v>
      </c>
      <c r="DE35" s="1" t="s">
        <v>84</v>
      </c>
      <c r="DF35" s="1">
        <f>77.9*(1)</f>
        <v>77.900000000000006</v>
      </c>
      <c r="DG35" s="1" t="s">
        <v>796</v>
      </c>
      <c r="DH35" s="1" t="s">
        <v>84</v>
      </c>
      <c r="DI35" s="1" t="s">
        <v>84</v>
      </c>
      <c r="DJ35" s="1">
        <f>82.8*(1)</f>
        <v>82.8</v>
      </c>
      <c r="DK35" s="1" t="s">
        <v>147</v>
      </c>
      <c r="DL35" s="1" t="s">
        <v>84</v>
      </c>
      <c r="DM35" s="1" t="s">
        <v>84</v>
      </c>
      <c r="DN35" s="1">
        <f>75.6*(1)</f>
        <v>75.599999999999994</v>
      </c>
      <c r="DO35" s="1" t="s">
        <v>789</v>
      </c>
      <c r="DP35" s="1" t="s">
        <v>84</v>
      </c>
      <c r="DQ35" s="1" t="s">
        <v>84</v>
      </c>
      <c r="DR35" s="1">
        <f>81.5*(1)</f>
        <v>81.5</v>
      </c>
      <c r="DS35" s="1" t="s">
        <v>87</v>
      </c>
      <c r="DT35" s="1" t="s">
        <v>84</v>
      </c>
      <c r="DU35" s="1" t="s">
        <v>84</v>
      </c>
      <c r="DV35" s="1">
        <f>79.7*(1)</f>
        <v>79.7</v>
      </c>
      <c r="DW35" s="1" t="s">
        <v>90</v>
      </c>
      <c r="DX35" s="1" t="s">
        <v>84</v>
      </c>
      <c r="DY35" s="1" t="s">
        <v>84</v>
      </c>
      <c r="DZ35" s="1">
        <f>81.2*(1)</f>
        <v>81.2</v>
      </c>
      <c r="EA35" s="1" t="s">
        <v>145</v>
      </c>
      <c r="EB35" s="1" t="s">
        <v>84</v>
      </c>
      <c r="EC35" s="1" t="s">
        <v>84</v>
      </c>
      <c r="ED35" s="1">
        <f>83*(1)</f>
        <v>83</v>
      </c>
      <c r="EE35" s="1" t="s">
        <v>149</v>
      </c>
      <c r="EF35" s="1" t="s">
        <v>84</v>
      </c>
      <c r="EG35" s="1" t="s">
        <v>84</v>
      </c>
      <c r="EH35" s="1">
        <f>84.9*(1)</f>
        <v>84.9</v>
      </c>
      <c r="EI35" s="1" t="s">
        <v>329</v>
      </c>
      <c r="EJ35" s="1" t="s">
        <v>84</v>
      </c>
      <c r="EK35" s="1" t="s">
        <v>84</v>
      </c>
      <c r="EL35" s="1">
        <f>86.1*(1)</f>
        <v>86.1</v>
      </c>
      <c r="EM35" s="1" t="s">
        <v>139</v>
      </c>
      <c r="EN35" s="1" t="s">
        <v>84</v>
      </c>
      <c r="EO35" s="1" t="s">
        <v>84</v>
      </c>
      <c r="EP35" s="1">
        <f>82.8*(1)</f>
        <v>82.8</v>
      </c>
      <c r="EQ35" s="1" t="s">
        <v>797</v>
      </c>
      <c r="ER35" s="1" t="s">
        <v>84</v>
      </c>
      <c r="ES35" s="1" t="s">
        <v>84</v>
      </c>
    </row>
    <row r="36" spans="1:149" x14ac:dyDescent="0.3">
      <c r="A36" s="4" t="s">
        <v>798</v>
      </c>
      <c r="B36" s="1">
        <f>0*(1)</f>
        <v>0</v>
      </c>
      <c r="C36" s="1">
        <f>0*(1)</f>
        <v>0</v>
      </c>
      <c r="D36" s="1">
        <f>0*(1)</f>
        <v>0</v>
      </c>
      <c r="E36" s="1">
        <f>0*(1)</f>
        <v>0</v>
      </c>
      <c r="F36" s="1">
        <f>0*(1)</f>
        <v>0</v>
      </c>
      <c r="G36" s="1">
        <f>0*(1)</f>
        <v>0</v>
      </c>
      <c r="H36" s="1">
        <f>0*(1)</f>
        <v>0</v>
      </c>
      <c r="I36" s="1">
        <f>0*(1)</f>
        <v>0</v>
      </c>
      <c r="J36" s="1">
        <f>0*(1)</f>
        <v>0</v>
      </c>
      <c r="K36" s="1">
        <f>0*(1)</f>
        <v>0</v>
      </c>
      <c r="L36" s="1">
        <f>0*(1)</f>
        <v>0</v>
      </c>
      <c r="M36" s="1">
        <f>0*(1)</f>
        <v>0</v>
      </c>
      <c r="N36" s="1">
        <f>0*(1)</f>
        <v>0</v>
      </c>
      <c r="O36" s="1">
        <f>0*(1)</f>
        <v>0</v>
      </c>
      <c r="P36" s="1">
        <f>0*(1)</f>
        <v>0</v>
      </c>
      <c r="Q36" s="1">
        <f>0*(1)</f>
        <v>0</v>
      </c>
      <c r="R36" s="1">
        <f>0*(1)</f>
        <v>0</v>
      </c>
      <c r="S36" s="1">
        <f>0*(1)</f>
        <v>0</v>
      </c>
      <c r="T36" s="1">
        <f>0*(1)</f>
        <v>0</v>
      </c>
      <c r="U36" s="1">
        <f>0*(1)</f>
        <v>0</v>
      </c>
      <c r="V36" s="1">
        <f>0*(1)</f>
        <v>0</v>
      </c>
      <c r="W36" s="1">
        <f>0*(1)</f>
        <v>0</v>
      </c>
      <c r="X36" s="1">
        <f>0*(1)</f>
        <v>0</v>
      </c>
      <c r="Y36" s="1">
        <f>0*(1)</f>
        <v>0</v>
      </c>
      <c r="Z36" s="1">
        <f>0*(1)</f>
        <v>0</v>
      </c>
      <c r="AA36" s="1">
        <f>0*(1)</f>
        <v>0</v>
      </c>
      <c r="AB36" s="1">
        <f>0*(1)</f>
        <v>0</v>
      </c>
      <c r="AC36" s="1">
        <f>0*(1)</f>
        <v>0</v>
      </c>
      <c r="AD36" s="1">
        <f>0*(1)</f>
        <v>0</v>
      </c>
      <c r="AE36" s="1">
        <f>0*(1)</f>
        <v>0</v>
      </c>
      <c r="AF36" s="1">
        <f>0*(1)</f>
        <v>0</v>
      </c>
      <c r="AG36" s="1">
        <f>0*(1)</f>
        <v>0</v>
      </c>
      <c r="AH36" s="1">
        <f>0*(1)</f>
        <v>0</v>
      </c>
      <c r="AI36" s="1">
        <f>0*(1)</f>
        <v>0</v>
      </c>
      <c r="AJ36" s="1">
        <f>0*(1)</f>
        <v>0</v>
      </c>
      <c r="AK36" s="1">
        <f>0*(1)</f>
        <v>0</v>
      </c>
      <c r="AL36" s="1">
        <f>0*(1)</f>
        <v>0</v>
      </c>
      <c r="AM36" s="1">
        <f>0*(1)</f>
        <v>0</v>
      </c>
      <c r="AN36" s="1">
        <f>0*(1)</f>
        <v>0</v>
      </c>
      <c r="AO36" s="1">
        <f>0*(1)</f>
        <v>0</v>
      </c>
      <c r="AP36" s="1">
        <f>0*(1)</f>
        <v>0</v>
      </c>
      <c r="AQ36" s="1">
        <f>0*(1)</f>
        <v>0</v>
      </c>
      <c r="AR36" s="1">
        <f>0*(1)</f>
        <v>0</v>
      </c>
      <c r="AS36" s="1">
        <f>0*(1)</f>
        <v>0</v>
      </c>
      <c r="AT36" s="1">
        <f>0*(1)</f>
        <v>0</v>
      </c>
      <c r="AU36" s="1">
        <f>0*(1)</f>
        <v>0</v>
      </c>
      <c r="AV36" s="1">
        <f>0*(1)</f>
        <v>0</v>
      </c>
      <c r="AW36" s="1">
        <f>0*(1)</f>
        <v>0</v>
      </c>
      <c r="AX36" s="1">
        <f>0*(1)</f>
        <v>0</v>
      </c>
      <c r="AY36" s="1">
        <f>0*(1)</f>
        <v>0</v>
      </c>
      <c r="AZ36" s="1">
        <f>0*(1)</f>
        <v>0</v>
      </c>
      <c r="BA36" s="1">
        <f>0*(1)</f>
        <v>0</v>
      </c>
      <c r="BB36" s="1">
        <f>0*(1)</f>
        <v>0</v>
      </c>
      <c r="BC36" s="1">
        <f>0*(1)</f>
        <v>0</v>
      </c>
      <c r="BD36" s="1">
        <f>0*(1)</f>
        <v>0</v>
      </c>
      <c r="BE36" s="1">
        <f>0*(1)</f>
        <v>0</v>
      </c>
      <c r="BF36" s="1">
        <f>0*(1)</f>
        <v>0</v>
      </c>
      <c r="BG36" s="1">
        <f>0*(1)</f>
        <v>0</v>
      </c>
      <c r="BH36" s="1">
        <f>0*(1)</f>
        <v>0</v>
      </c>
      <c r="BI36" s="1">
        <f>0*(1)</f>
        <v>0</v>
      </c>
      <c r="BJ36" s="1">
        <f>0*(1)</f>
        <v>0</v>
      </c>
      <c r="BK36" s="1">
        <f>0*(1)</f>
        <v>0</v>
      </c>
      <c r="BL36" s="1">
        <f>0*(1)</f>
        <v>0</v>
      </c>
      <c r="BM36" s="1">
        <f>0*(1)</f>
        <v>0</v>
      </c>
      <c r="BN36" s="1">
        <f>0*(1)</f>
        <v>0</v>
      </c>
      <c r="BO36" s="1">
        <f>0*(1)</f>
        <v>0</v>
      </c>
      <c r="BP36" s="1">
        <f>0*(1)</f>
        <v>0</v>
      </c>
      <c r="BQ36" s="1">
        <f>0*(1)</f>
        <v>0</v>
      </c>
      <c r="BR36" s="1">
        <f>0*(1)</f>
        <v>0</v>
      </c>
      <c r="BS36" s="1">
        <f>0*(1)</f>
        <v>0</v>
      </c>
      <c r="BT36" s="1">
        <f>0*(1)</f>
        <v>0</v>
      </c>
      <c r="BU36" s="1">
        <f>0*(1)</f>
        <v>0</v>
      </c>
      <c r="BV36" s="1">
        <f>0*(1)</f>
        <v>0</v>
      </c>
      <c r="BW36" s="1">
        <f>0*(1)</f>
        <v>0</v>
      </c>
      <c r="BX36" s="1">
        <f>0*(1)</f>
        <v>0</v>
      </c>
      <c r="BY36" s="1">
        <f>0*(1)</f>
        <v>0</v>
      </c>
      <c r="BZ36" s="1">
        <f>0*(1)</f>
        <v>0</v>
      </c>
      <c r="CA36" s="1">
        <f>0*(1)</f>
        <v>0</v>
      </c>
      <c r="CB36" s="1">
        <f>0*(1)</f>
        <v>0</v>
      </c>
      <c r="CC36" s="1">
        <f>0*(1)</f>
        <v>0</v>
      </c>
      <c r="CD36" s="1">
        <f>0*(1)</f>
        <v>0</v>
      </c>
      <c r="CE36" s="1">
        <f>0*(1)</f>
        <v>0</v>
      </c>
      <c r="CF36" s="1">
        <f>0*(1)</f>
        <v>0</v>
      </c>
      <c r="CG36" s="1">
        <f>0*(1)</f>
        <v>0</v>
      </c>
      <c r="CH36" s="1">
        <f>0*(1)</f>
        <v>0</v>
      </c>
      <c r="CI36" s="1">
        <f>0*(1)</f>
        <v>0</v>
      </c>
      <c r="CJ36" s="1">
        <f>0*(1)</f>
        <v>0</v>
      </c>
      <c r="CK36" s="1">
        <f>0*(1)</f>
        <v>0</v>
      </c>
      <c r="CL36" s="1">
        <f>0*(1)</f>
        <v>0</v>
      </c>
      <c r="CM36" s="1">
        <f>0*(1)</f>
        <v>0</v>
      </c>
      <c r="CN36" s="1">
        <f>0*(1)</f>
        <v>0</v>
      </c>
      <c r="CO36" s="1">
        <f>0*(1)</f>
        <v>0</v>
      </c>
      <c r="CP36" s="1">
        <f>0*(1)</f>
        <v>0</v>
      </c>
      <c r="CQ36" s="1">
        <f>0*(1)</f>
        <v>0</v>
      </c>
      <c r="CR36" s="1">
        <f>0*(1)</f>
        <v>0</v>
      </c>
      <c r="CS36" s="1">
        <f>0*(1)</f>
        <v>0</v>
      </c>
      <c r="CT36" s="1">
        <f>0*(1)</f>
        <v>0</v>
      </c>
      <c r="CU36" s="1">
        <f>0*(1)</f>
        <v>0</v>
      </c>
      <c r="CV36" s="1">
        <f>0*(1)</f>
        <v>0</v>
      </c>
      <c r="CW36" s="1">
        <f>0*(1)</f>
        <v>0</v>
      </c>
      <c r="CX36" s="1">
        <f>0*(1)</f>
        <v>0</v>
      </c>
      <c r="CY36" s="1">
        <f>0*(1)</f>
        <v>0</v>
      </c>
      <c r="CZ36" s="1">
        <f>0*(1)</f>
        <v>0</v>
      </c>
      <c r="DA36" s="1">
        <f>0*(1)</f>
        <v>0</v>
      </c>
      <c r="DB36" s="1">
        <f>0*(1)</f>
        <v>0</v>
      </c>
      <c r="DC36" s="1">
        <f>0*(1)</f>
        <v>0</v>
      </c>
      <c r="DD36" s="1">
        <f>0*(1)</f>
        <v>0</v>
      </c>
      <c r="DE36" s="1">
        <f>0*(1)</f>
        <v>0</v>
      </c>
      <c r="DF36" s="1">
        <f>0*(1)</f>
        <v>0</v>
      </c>
      <c r="DG36" s="1">
        <f>0*(1)</f>
        <v>0</v>
      </c>
      <c r="DH36" s="1">
        <f>0*(1)</f>
        <v>0</v>
      </c>
      <c r="DI36" s="1">
        <f>0*(1)</f>
        <v>0</v>
      </c>
      <c r="DJ36" s="1">
        <f>0*(1)</f>
        <v>0</v>
      </c>
      <c r="DK36" s="1">
        <f>0*(1)</f>
        <v>0</v>
      </c>
      <c r="DL36" s="1">
        <f>0*(1)</f>
        <v>0</v>
      </c>
      <c r="DM36" s="1">
        <f>0*(1)</f>
        <v>0</v>
      </c>
      <c r="DN36" s="1">
        <f>0*(1)</f>
        <v>0</v>
      </c>
      <c r="DO36" s="1">
        <f>0*(1)</f>
        <v>0</v>
      </c>
      <c r="DP36" s="1">
        <f>0*(1)</f>
        <v>0</v>
      </c>
      <c r="DQ36" s="1">
        <f>0*(1)</f>
        <v>0</v>
      </c>
      <c r="DR36" s="1">
        <f>0*(1)</f>
        <v>0</v>
      </c>
      <c r="DS36" s="1">
        <f>0*(1)</f>
        <v>0</v>
      </c>
      <c r="DT36" s="1">
        <f>0*(1)</f>
        <v>0</v>
      </c>
      <c r="DU36" s="1">
        <f>0*(1)</f>
        <v>0</v>
      </c>
      <c r="DV36" s="1">
        <f>0*(1)</f>
        <v>0</v>
      </c>
      <c r="DW36" s="1">
        <f>0*(1)</f>
        <v>0</v>
      </c>
      <c r="DX36" s="1">
        <f>0*(1)</f>
        <v>0</v>
      </c>
      <c r="DY36" s="1">
        <f>0*(1)</f>
        <v>0</v>
      </c>
      <c r="DZ36" s="1">
        <f>0*(1)</f>
        <v>0</v>
      </c>
      <c r="EA36" s="1">
        <f>0*(1)</f>
        <v>0</v>
      </c>
      <c r="EB36" s="1">
        <f>0*(1)</f>
        <v>0</v>
      </c>
      <c r="EC36" s="1">
        <f>0*(1)</f>
        <v>0</v>
      </c>
      <c r="ED36" s="1">
        <f>0*(1)</f>
        <v>0</v>
      </c>
      <c r="EE36" s="1">
        <f>0*(1)</f>
        <v>0</v>
      </c>
      <c r="EF36" s="1">
        <f>0*(1)</f>
        <v>0</v>
      </c>
      <c r="EG36" s="1">
        <f>0*(1)</f>
        <v>0</v>
      </c>
      <c r="EH36" s="1">
        <f>0*(1)</f>
        <v>0</v>
      </c>
      <c r="EI36" s="1">
        <f>0*(1)</f>
        <v>0</v>
      </c>
      <c r="EJ36" s="1">
        <f>0*(1)</f>
        <v>0</v>
      </c>
      <c r="EK36" s="1">
        <f>0*(1)</f>
        <v>0</v>
      </c>
      <c r="EL36" s="1">
        <f>0*(1)</f>
        <v>0</v>
      </c>
      <c r="EM36" s="1">
        <f>0*(1)</f>
        <v>0</v>
      </c>
      <c r="EN36" s="1">
        <f>0*(1)</f>
        <v>0</v>
      </c>
      <c r="EO36" s="1">
        <f>0*(1)</f>
        <v>0</v>
      </c>
      <c r="EP36" s="1">
        <f>0*(1)</f>
        <v>0</v>
      </c>
      <c r="EQ36" s="1">
        <f>0*(1)</f>
        <v>0</v>
      </c>
      <c r="ER36" s="1">
        <f>0*(1)</f>
        <v>0</v>
      </c>
      <c r="ES36" s="1">
        <f>0*(1)</f>
        <v>0</v>
      </c>
    </row>
    <row r="37" spans="1:149" x14ac:dyDescent="0.3">
      <c r="A37" s="6" t="s">
        <v>82</v>
      </c>
      <c r="B37" s="1">
        <f>101670*(1)</f>
        <v>101670</v>
      </c>
      <c r="C37" s="1" t="s">
        <v>83</v>
      </c>
      <c r="D37" s="1">
        <f>101670*(1)</f>
        <v>101670</v>
      </c>
      <c r="E37" s="1" t="s">
        <v>84</v>
      </c>
      <c r="F37" s="1">
        <f>97337*(1)</f>
        <v>97337</v>
      </c>
      <c r="G37" s="1" t="s">
        <v>83</v>
      </c>
      <c r="H37" s="1">
        <f>97337*(1)</f>
        <v>97337</v>
      </c>
      <c r="I37" s="1" t="s">
        <v>84</v>
      </c>
      <c r="J37" s="1">
        <f>65849*(1)</f>
        <v>65849</v>
      </c>
      <c r="K37" s="1" t="s">
        <v>83</v>
      </c>
      <c r="L37" s="1">
        <f>65849*(1)</f>
        <v>65849</v>
      </c>
      <c r="M37" s="1" t="s">
        <v>84</v>
      </c>
      <c r="N37" s="1">
        <f>390234*(1)</f>
        <v>390234</v>
      </c>
      <c r="O37" s="1" t="s">
        <v>83</v>
      </c>
      <c r="P37" s="1">
        <f>390234*(1)</f>
        <v>390234</v>
      </c>
      <c r="Q37" s="1" t="s">
        <v>84</v>
      </c>
      <c r="R37" s="1">
        <f>135633*(1)</f>
        <v>135633</v>
      </c>
      <c r="S37" s="1" t="s">
        <v>83</v>
      </c>
      <c r="T37" s="1">
        <f>135633*(1)</f>
        <v>135633</v>
      </c>
      <c r="U37" s="1" t="s">
        <v>84</v>
      </c>
      <c r="V37" s="1">
        <f>209642*(1)</f>
        <v>209642</v>
      </c>
      <c r="W37" s="1" t="s">
        <v>83</v>
      </c>
      <c r="X37" s="1">
        <f>209642*(1)</f>
        <v>209642</v>
      </c>
      <c r="Y37" s="1" t="s">
        <v>84</v>
      </c>
      <c r="Z37" s="1">
        <f>101310*(1)</f>
        <v>101310</v>
      </c>
      <c r="AA37" s="1" t="s">
        <v>83</v>
      </c>
      <c r="AB37" s="1">
        <f>101310*(1)</f>
        <v>101310</v>
      </c>
      <c r="AC37" s="1" t="s">
        <v>84</v>
      </c>
      <c r="AD37" s="1">
        <f>1249387*(1)</f>
        <v>1249387</v>
      </c>
      <c r="AE37" s="1" t="s">
        <v>83</v>
      </c>
      <c r="AF37" s="1">
        <f>1249387*(1)</f>
        <v>1249387</v>
      </c>
      <c r="AG37" s="1" t="s">
        <v>84</v>
      </c>
      <c r="AH37" s="1">
        <f>220740*(1)</f>
        <v>220740</v>
      </c>
      <c r="AI37" s="1" t="s">
        <v>83</v>
      </c>
      <c r="AJ37" s="1">
        <f>220740*(1)</f>
        <v>220740</v>
      </c>
      <c r="AK37" s="1" t="s">
        <v>84</v>
      </c>
      <c r="AL37" s="1">
        <f>74852*(1)</f>
        <v>74852</v>
      </c>
      <c r="AM37" s="1" t="s">
        <v>83</v>
      </c>
      <c r="AN37" s="1">
        <f>74852*(1)</f>
        <v>74852</v>
      </c>
      <c r="AO37" s="1" t="s">
        <v>84</v>
      </c>
      <c r="AP37" s="1">
        <f>161064*(1)</f>
        <v>161064</v>
      </c>
      <c r="AQ37" s="1" t="s">
        <v>83</v>
      </c>
      <c r="AR37" s="1">
        <f>161064*(1)</f>
        <v>161064</v>
      </c>
      <c r="AS37" s="1" t="s">
        <v>84</v>
      </c>
      <c r="AT37" s="1">
        <f>1321414*(1)</f>
        <v>1321414</v>
      </c>
      <c r="AU37" s="1" t="s">
        <v>83</v>
      </c>
      <c r="AV37" s="1">
        <f>1321414*(1)</f>
        <v>1321414</v>
      </c>
      <c r="AW37" s="1" t="s">
        <v>84</v>
      </c>
      <c r="AX37" s="1">
        <f>95565*(1)</f>
        <v>95565</v>
      </c>
      <c r="AY37" s="1" t="s">
        <v>83</v>
      </c>
      <c r="AZ37" s="1">
        <f>95565*(1)</f>
        <v>95565</v>
      </c>
      <c r="BA37" s="1" t="s">
        <v>84</v>
      </c>
      <c r="BB37" s="1">
        <f>168412*(1)</f>
        <v>168412</v>
      </c>
      <c r="BC37" s="1" t="s">
        <v>83</v>
      </c>
      <c r="BD37" s="1">
        <f>168412*(1)</f>
        <v>168412</v>
      </c>
      <c r="BE37" s="1" t="s">
        <v>84</v>
      </c>
      <c r="BF37" s="1">
        <f>826139*(1)</f>
        <v>826139</v>
      </c>
      <c r="BG37" s="1" t="s">
        <v>83</v>
      </c>
      <c r="BH37" s="1">
        <f>826139*(1)</f>
        <v>826139</v>
      </c>
      <c r="BI37" s="1" t="s">
        <v>84</v>
      </c>
      <c r="BJ37" s="1">
        <f>74656*(1)</f>
        <v>74656</v>
      </c>
      <c r="BK37" s="1" t="s">
        <v>83</v>
      </c>
      <c r="BL37" s="1">
        <f>74656*(1)</f>
        <v>74656</v>
      </c>
      <c r="BM37" s="1" t="s">
        <v>84</v>
      </c>
      <c r="BN37" s="1">
        <f>232023*(1)</f>
        <v>232023</v>
      </c>
      <c r="BO37" s="1" t="s">
        <v>83</v>
      </c>
      <c r="BP37" s="1">
        <f>232023*(1)</f>
        <v>232023</v>
      </c>
      <c r="BQ37" s="1" t="s">
        <v>84</v>
      </c>
      <c r="BR37" s="1">
        <f>180401*(1)</f>
        <v>180401</v>
      </c>
      <c r="BS37" s="1" t="s">
        <v>83</v>
      </c>
      <c r="BT37" s="1">
        <f>180401*(1)</f>
        <v>180401</v>
      </c>
      <c r="BU37" s="1" t="s">
        <v>84</v>
      </c>
      <c r="BV37" s="1">
        <f>315595*(1)</f>
        <v>315595</v>
      </c>
      <c r="BW37" s="1" t="s">
        <v>83</v>
      </c>
      <c r="BX37" s="1">
        <f>315595*(1)</f>
        <v>315595</v>
      </c>
      <c r="BY37" s="1" t="s">
        <v>84</v>
      </c>
      <c r="BZ37" s="1">
        <f>429191*(1)</f>
        <v>429191</v>
      </c>
      <c r="CA37" s="1" t="s">
        <v>83</v>
      </c>
      <c r="CB37" s="1">
        <f>429191*(1)</f>
        <v>429191</v>
      </c>
      <c r="CC37" s="1" t="s">
        <v>84</v>
      </c>
      <c r="CD37" s="1">
        <f>226762*(1)</f>
        <v>226762</v>
      </c>
      <c r="CE37" s="1" t="s">
        <v>83</v>
      </c>
      <c r="CF37" s="1">
        <f>226762*(1)</f>
        <v>226762</v>
      </c>
      <c r="CG37" s="1" t="s">
        <v>84</v>
      </c>
      <c r="CH37" s="1">
        <f>65291*(1)</f>
        <v>65291</v>
      </c>
      <c r="CI37" s="1" t="s">
        <v>83</v>
      </c>
      <c r="CJ37" s="1">
        <f>65291*(1)</f>
        <v>65291</v>
      </c>
      <c r="CK37" s="1" t="s">
        <v>84</v>
      </c>
      <c r="CL37" s="1">
        <f>183092*(1)</f>
        <v>183092</v>
      </c>
      <c r="CM37" s="1" t="s">
        <v>83</v>
      </c>
      <c r="CN37" s="1">
        <f>183092*(1)</f>
        <v>183092</v>
      </c>
      <c r="CO37" s="1" t="s">
        <v>84</v>
      </c>
      <c r="CP37" s="1">
        <f>109264*(1)</f>
        <v>109264</v>
      </c>
      <c r="CQ37" s="1" t="s">
        <v>83</v>
      </c>
      <c r="CR37" s="1">
        <f>109264*(1)</f>
        <v>109264</v>
      </c>
      <c r="CS37" s="1" t="s">
        <v>84</v>
      </c>
      <c r="CT37" s="1">
        <f>535840*(1)</f>
        <v>535840</v>
      </c>
      <c r="CU37" s="1" t="s">
        <v>83</v>
      </c>
      <c r="CV37" s="1">
        <f>535840*(1)</f>
        <v>535840</v>
      </c>
      <c r="CW37" s="1" t="s">
        <v>84</v>
      </c>
      <c r="CX37" s="1">
        <f>86408*(1)</f>
        <v>86408</v>
      </c>
      <c r="CY37" s="1" t="s">
        <v>83</v>
      </c>
      <c r="CZ37" s="1">
        <f>86408*(1)</f>
        <v>86408</v>
      </c>
      <c r="DA37" s="1" t="s">
        <v>84</v>
      </c>
      <c r="DB37" s="1">
        <f>162382*(1)</f>
        <v>162382</v>
      </c>
      <c r="DC37" s="1" t="s">
        <v>83</v>
      </c>
      <c r="DD37" s="1">
        <f>162382*(1)</f>
        <v>162382</v>
      </c>
      <c r="DE37" s="1" t="s">
        <v>84</v>
      </c>
      <c r="DF37" s="1">
        <f>125195*(1)</f>
        <v>125195</v>
      </c>
      <c r="DG37" s="1" t="s">
        <v>83</v>
      </c>
      <c r="DH37" s="1">
        <f>125195*(1)</f>
        <v>125195</v>
      </c>
      <c r="DI37" s="1" t="s">
        <v>84</v>
      </c>
      <c r="DJ37" s="1">
        <f>76891*(1)</f>
        <v>76891</v>
      </c>
      <c r="DK37" s="1" t="s">
        <v>83</v>
      </c>
      <c r="DL37" s="1">
        <f>76891*(1)</f>
        <v>76891</v>
      </c>
      <c r="DM37" s="1" t="s">
        <v>84</v>
      </c>
      <c r="DN37" s="1">
        <f>73346*(1)</f>
        <v>73346</v>
      </c>
      <c r="DO37" s="1" t="s">
        <v>83</v>
      </c>
      <c r="DP37" s="1">
        <f>73346*(1)</f>
        <v>73346</v>
      </c>
      <c r="DQ37" s="1" t="s">
        <v>84</v>
      </c>
      <c r="DR37" s="1">
        <f>373834*(1)</f>
        <v>373834</v>
      </c>
      <c r="DS37" s="1" t="s">
        <v>83</v>
      </c>
      <c r="DT37" s="1">
        <f>373834*(1)</f>
        <v>373834</v>
      </c>
      <c r="DU37" s="1" t="s">
        <v>84</v>
      </c>
      <c r="DV37" s="1">
        <f>537633*(1)</f>
        <v>537633</v>
      </c>
      <c r="DW37" s="1" t="s">
        <v>83</v>
      </c>
      <c r="DX37" s="1">
        <f>537633*(1)</f>
        <v>537633</v>
      </c>
      <c r="DY37" s="1" t="s">
        <v>84</v>
      </c>
      <c r="DZ37" s="1">
        <f>201335*(1)</f>
        <v>201335</v>
      </c>
      <c r="EA37" s="1" t="s">
        <v>83</v>
      </c>
      <c r="EB37" s="1">
        <f>201335*(1)</f>
        <v>201335</v>
      </c>
      <c r="EC37" s="1" t="s">
        <v>84</v>
      </c>
      <c r="ED37" s="1">
        <f>92500*(1)</f>
        <v>92500</v>
      </c>
      <c r="EE37" s="1" t="s">
        <v>83</v>
      </c>
      <c r="EF37" s="1">
        <f>92500*(1)</f>
        <v>92500</v>
      </c>
      <c r="EG37" s="1" t="s">
        <v>84</v>
      </c>
      <c r="EH37" s="1">
        <f>246553*(1)</f>
        <v>246553</v>
      </c>
      <c r="EI37" s="1" t="s">
        <v>83</v>
      </c>
      <c r="EJ37" s="1">
        <f>246553*(1)</f>
        <v>246553</v>
      </c>
      <c r="EK37" s="1" t="s">
        <v>84</v>
      </c>
      <c r="EL37" s="1">
        <f>116710*(1)</f>
        <v>116710</v>
      </c>
      <c r="EM37" s="1" t="s">
        <v>83</v>
      </c>
      <c r="EN37" s="1">
        <f>116710*(1)</f>
        <v>116710</v>
      </c>
      <c r="EO37" s="1" t="s">
        <v>84</v>
      </c>
      <c r="EP37" s="1">
        <f>132472*(1)</f>
        <v>132472</v>
      </c>
      <c r="EQ37" s="1" t="s">
        <v>83</v>
      </c>
      <c r="ER37" s="1">
        <f>132472*(1)</f>
        <v>132472</v>
      </c>
      <c r="ES37" s="1" t="s">
        <v>84</v>
      </c>
    </row>
    <row r="38" spans="1:149" x14ac:dyDescent="0.3">
      <c r="A38" s="7" t="s">
        <v>799</v>
      </c>
      <c r="B38" s="1">
        <f>94758*(1)</f>
        <v>94758</v>
      </c>
      <c r="C38" s="1" t="s">
        <v>800</v>
      </c>
      <c r="D38" s="1">
        <f>0.932*(1)</f>
        <v>0.93200000000000005</v>
      </c>
      <c r="E38" s="1" t="s">
        <v>329</v>
      </c>
      <c r="F38" s="1">
        <f>90598*(1)</f>
        <v>90598</v>
      </c>
      <c r="G38" s="1" t="s">
        <v>801</v>
      </c>
      <c r="H38" s="1">
        <f>0.931*(1)</f>
        <v>0.93100000000000005</v>
      </c>
      <c r="I38" s="1" t="s">
        <v>148</v>
      </c>
      <c r="J38" s="1">
        <f>63371*(1)</f>
        <v>63371</v>
      </c>
      <c r="K38" s="1" t="s">
        <v>802</v>
      </c>
      <c r="L38" s="1">
        <f>0.962*(1)</f>
        <v>0.96199999999999997</v>
      </c>
      <c r="M38" s="1" t="s">
        <v>145</v>
      </c>
      <c r="N38" s="1">
        <f>359497*(1)</f>
        <v>359497</v>
      </c>
      <c r="O38" s="1" t="s">
        <v>803</v>
      </c>
      <c r="P38" s="1">
        <f>0.921*(1)</f>
        <v>0.92100000000000004</v>
      </c>
      <c r="Q38" s="1" t="s">
        <v>141</v>
      </c>
      <c r="R38" s="1">
        <f>126396*(1)</f>
        <v>126396</v>
      </c>
      <c r="S38" s="1" t="s">
        <v>804</v>
      </c>
      <c r="T38" s="1">
        <f>0.932*(1)</f>
        <v>0.93200000000000005</v>
      </c>
      <c r="U38" s="1" t="s">
        <v>141</v>
      </c>
      <c r="V38" s="1">
        <f>201497*(1)</f>
        <v>201497</v>
      </c>
      <c r="W38" s="1" t="s">
        <v>805</v>
      </c>
      <c r="X38" s="1">
        <f>0.961*(1)</f>
        <v>0.96099999999999997</v>
      </c>
      <c r="Y38" s="1" t="s">
        <v>109</v>
      </c>
      <c r="Z38" s="1">
        <f>96018*(1)</f>
        <v>96018</v>
      </c>
      <c r="AA38" s="1" t="s">
        <v>528</v>
      </c>
      <c r="AB38" s="1">
        <f>0.948*(1)</f>
        <v>0.94799999999999995</v>
      </c>
      <c r="AC38" s="1" t="s">
        <v>129</v>
      </c>
      <c r="AD38" s="1">
        <f>1159563*(1)</f>
        <v>1159563</v>
      </c>
      <c r="AE38" s="1" t="s">
        <v>806</v>
      </c>
      <c r="AF38" s="1">
        <f>0.928*(1)</f>
        <v>0.92800000000000005</v>
      </c>
      <c r="AG38" s="1" t="s">
        <v>94</v>
      </c>
      <c r="AH38" s="1">
        <f>208073*(1)</f>
        <v>208073</v>
      </c>
      <c r="AI38" s="1" t="s">
        <v>807</v>
      </c>
      <c r="AJ38" s="1">
        <f>0.943*(1)</f>
        <v>0.94299999999999995</v>
      </c>
      <c r="AK38" s="1" t="s">
        <v>87</v>
      </c>
      <c r="AL38" s="1">
        <f>67752*(1)</f>
        <v>67752</v>
      </c>
      <c r="AM38" s="1" t="s">
        <v>808</v>
      </c>
      <c r="AN38" s="1">
        <f>0.905*(1)</f>
        <v>0.90500000000000003</v>
      </c>
      <c r="AO38" s="1" t="s">
        <v>147</v>
      </c>
      <c r="AP38" s="1">
        <f>149800*(1)</f>
        <v>149800</v>
      </c>
      <c r="AQ38" s="1" t="s">
        <v>809</v>
      </c>
      <c r="AR38" s="1">
        <f>0.93*(1)</f>
        <v>0.93</v>
      </c>
      <c r="AS38" s="1" t="s">
        <v>329</v>
      </c>
      <c r="AT38" s="1">
        <f>1212834*(1)</f>
        <v>1212834</v>
      </c>
      <c r="AU38" s="1" t="s">
        <v>810</v>
      </c>
      <c r="AV38" s="1">
        <f>0.918*(1)</f>
        <v>0.91800000000000004</v>
      </c>
      <c r="AW38" s="1" t="s">
        <v>120</v>
      </c>
      <c r="AX38" s="1">
        <f>89900*(1)</f>
        <v>89900</v>
      </c>
      <c r="AY38" s="1" t="s">
        <v>811</v>
      </c>
      <c r="AZ38" s="1">
        <f>0.941*(1)</f>
        <v>0.94099999999999995</v>
      </c>
      <c r="BA38" s="1" t="s">
        <v>139</v>
      </c>
      <c r="BB38" s="1">
        <f>157684*(1)</f>
        <v>157684</v>
      </c>
      <c r="BC38" s="1" t="s">
        <v>812</v>
      </c>
      <c r="BD38" s="1">
        <f>0.936*(1)</f>
        <v>0.93600000000000005</v>
      </c>
      <c r="BE38" s="1" t="s">
        <v>132</v>
      </c>
      <c r="BF38" s="1">
        <f>776472*(1)</f>
        <v>776472</v>
      </c>
      <c r="BG38" s="1" t="s">
        <v>813</v>
      </c>
      <c r="BH38" s="1">
        <f>0.94*(1)</f>
        <v>0.94</v>
      </c>
      <c r="BI38" s="1" t="s">
        <v>87</v>
      </c>
      <c r="BJ38" s="1">
        <f>70989*(1)</f>
        <v>70989</v>
      </c>
      <c r="BK38" s="1" t="s">
        <v>814</v>
      </c>
      <c r="BL38" s="1">
        <f>0.951*(1)</f>
        <v>0.95099999999999996</v>
      </c>
      <c r="BM38" s="1" t="s">
        <v>329</v>
      </c>
      <c r="BN38" s="1">
        <f>217576*(1)</f>
        <v>217576</v>
      </c>
      <c r="BO38" s="1" t="s">
        <v>815</v>
      </c>
      <c r="BP38" s="1">
        <f>0.938*(1)</f>
        <v>0.93799999999999994</v>
      </c>
      <c r="BQ38" s="1" t="s">
        <v>132</v>
      </c>
      <c r="BR38" s="1">
        <f>172158*(1)</f>
        <v>172158</v>
      </c>
      <c r="BS38" s="1" t="s">
        <v>816</v>
      </c>
      <c r="BT38" s="1">
        <f>0.954*(1)</f>
        <v>0.95399999999999996</v>
      </c>
      <c r="BU38" s="1" t="s">
        <v>145</v>
      </c>
      <c r="BV38" s="1">
        <f>281301*(1)</f>
        <v>281301</v>
      </c>
      <c r="BW38" s="1" t="s">
        <v>817</v>
      </c>
      <c r="BX38" s="1">
        <f>0.891*(1)</f>
        <v>0.89100000000000001</v>
      </c>
      <c r="BY38" s="1" t="s">
        <v>129</v>
      </c>
      <c r="BZ38" s="1">
        <f>391158*(1)</f>
        <v>391158</v>
      </c>
      <c r="CA38" s="1" t="s">
        <v>818</v>
      </c>
      <c r="CB38" s="1">
        <f>0.911*(1)</f>
        <v>0.91100000000000003</v>
      </c>
      <c r="CC38" s="1" t="s">
        <v>145</v>
      </c>
      <c r="CD38" s="1">
        <f>210367*(1)</f>
        <v>210367</v>
      </c>
      <c r="CE38" s="1" t="s">
        <v>819</v>
      </c>
      <c r="CF38" s="1">
        <f>0.928*(1)</f>
        <v>0.92800000000000005</v>
      </c>
      <c r="CG38" s="1" t="s">
        <v>132</v>
      </c>
      <c r="CH38" s="1">
        <f>61225*(1)</f>
        <v>61225</v>
      </c>
      <c r="CI38" s="1" t="s">
        <v>820</v>
      </c>
      <c r="CJ38" s="1">
        <f>0.938*(1)</f>
        <v>0.93799999999999994</v>
      </c>
      <c r="CK38" s="1" t="s">
        <v>141</v>
      </c>
      <c r="CL38" s="1">
        <f>174927*(1)</f>
        <v>174927</v>
      </c>
      <c r="CM38" s="1" t="s">
        <v>821</v>
      </c>
      <c r="CN38" s="1">
        <f>0.955*(1)</f>
        <v>0.95499999999999996</v>
      </c>
      <c r="CO38" s="1" t="s">
        <v>109</v>
      </c>
      <c r="CP38" s="1">
        <f>104474*(1)</f>
        <v>104474</v>
      </c>
      <c r="CQ38" s="1" t="s">
        <v>597</v>
      </c>
      <c r="CR38" s="1">
        <f>0.956*(1)</f>
        <v>0.95599999999999996</v>
      </c>
      <c r="CS38" s="1" t="s">
        <v>109</v>
      </c>
      <c r="CT38" s="1">
        <f>502496*(1)</f>
        <v>502496</v>
      </c>
      <c r="CU38" s="1" t="s">
        <v>822</v>
      </c>
      <c r="CV38" s="1">
        <f>0.938*(1)</f>
        <v>0.93799999999999994</v>
      </c>
      <c r="CW38" s="1" t="s">
        <v>87</v>
      </c>
      <c r="CX38" s="1">
        <f>81630*(1)</f>
        <v>81630</v>
      </c>
      <c r="CY38" s="1" t="s">
        <v>823</v>
      </c>
      <c r="CZ38" s="1">
        <f>0.945*(1)</f>
        <v>0.94499999999999995</v>
      </c>
      <c r="DA38" s="1" t="s">
        <v>87</v>
      </c>
      <c r="DB38" s="1">
        <f>152472*(1)</f>
        <v>152472</v>
      </c>
      <c r="DC38" s="1" t="s">
        <v>824</v>
      </c>
      <c r="DD38" s="1">
        <f>0.939*(1)</f>
        <v>0.93899999999999995</v>
      </c>
      <c r="DE38" s="1" t="s">
        <v>145</v>
      </c>
      <c r="DF38" s="1">
        <f>116019*(1)</f>
        <v>116019</v>
      </c>
      <c r="DG38" s="1" t="s">
        <v>825</v>
      </c>
      <c r="DH38" s="1">
        <f>0.927*(1)</f>
        <v>0.92700000000000005</v>
      </c>
      <c r="DI38" s="1" t="s">
        <v>141</v>
      </c>
      <c r="DJ38" s="1">
        <f>72225*(1)</f>
        <v>72225</v>
      </c>
      <c r="DK38" s="1" t="s">
        <v>317</v>
      </c>
      <c r="DL38" s="1">
        <f>0.939*(1)</f>
        <v>0.93899999999999995</v>
      </c>
      <c r="DM38" s="1" t="s">
        <v>145</v>
      </c>
      <c r="DN38" s="1">
        <f>69562*(1)</f>
        <v>69562</v>
      </c>
      <c r="DO38" s="1" t="s">
        <v>826</v>
      </c>
      <c r="DP38" s="1">
        <f>0.948*(1)</f>
        <v>0.94799999999999995</v>
      </c>
      <c r="DQ38" s="1" t="s">
        <v>129</v>
      </c>
      <c r="DR38" s="1">
        <f>347712*(1)</f>
        <v>347712</v>
      </c>
      <c r="DS38" s="1" t="s">
        <v>827</v>
      </c>
      <c r="DT38" s="1">
        <f>0.93*(1)</f>
        <v>0.93</v>
      </c>
      <c r="DU38" s="1" t="s">
        <v>132</v>
      </c>
      <c r="DV38" s="1">
        <f>493878*(1)</f>
        <v>493878</v>
      </c>
      <c r="DW38" s="1" t="s">
        <v>828</v>
      </c>
      <c r="DX38" s="1">
        <f>0.919*(1)</f>
        <v>0.91900000000000004</v>
      </c>
      <c r="DY38" s="1" t="s">
        <v>109</v>
      </c>
      <c r="DZ38" s="1">
        <f>189483*(1)</f>
        <v>189483</v>
      </c>
      <c r="EA38" s="1" t="s">
        <v>829</v>
      </c>
      <c r="EB38" s="1">
        <f>0.941*(1)</f>
        <v>0.94099999999999995</v>
      </c>
      <c r="EC38" s="1" t="s">
        <v>102</v>
      </c>
      <c r="ED38" s="1">
        <f>88119*(1)</f>
        <v>88119</v>
      </c>
      <c r="EE38" s="1" t="s">
        <v>830</v>
      </c>
      <c r="EF38" s="1">
        <f>0.953*(1)</f>
        <v>0.95299999999999996</v>
      </c>
      <c r="EG38" s="1" t="s">
        <v>139</v>
      </c>
      <c r="EH38" s="1">
        <f>235289*(1)</f>
        <v>235289</v>
      </c>
      <c r="EI38" s="1" t="s">
        <v>831</v>
      </c>
      <c r="EJ38" s="1">
        <f>0.954*(1)</f>
        <v>0.95399999999999996</v>
      </c>
      <c r="EK38" s="1" t="s">
        <v>129</v>
      </c>
      <c r="EL38" s="1">
        <f>113324*(1)</f>
        <v>113324</v>
      </c>
      <c r="EM38" s="1" t="s">
        <v>832</v>
      </c>
      <c r="EN38" s="1">
        <f>0.971*(1)</f>
        <v>0.97099999999999997</v>
      </c>
      <c r="EO38" s="1" t="s">
        <v>109</v>
      </c>
      <c r="EP38" s="1">
        <f>123438*(1)</f>
        <v>123438</v>
      </c>
      <c r="EQ38" s="1" t="s">
        <v>833</v>
      </c>
      <c r="ER38" s="1">
        <f>0.932*(1)</f>
        <v>0.93200000000000005</v>
      </c>
      <c r="ES38" s="1" t="s">
        <v>132</v>
      </c>
    </row>
    <row r="39" spans="1:149" x14ac:dyDescent="0.3">
      <c r="A39" s="7" t="s">
        <v>834</v>
      </c>
      <c r="B39" s="1">
        <f>6912*(1)</f>
        <v>6912</v>
      </c>
      <c r="C39" s="1" t="s">
        <v>800</v>
      </c>
      <c r="D39" s="1">
        <f>0.068*(1)</f>
        <v>6.8000000000000005E-2</v>
      </c>
      <c r="E39" s="1" t="s">
        <v>329</v>
      </c>
      <c r="F39" s="1">
        <f>6739*(1)</f>
        <v>6739</v>
      </c>
      <c r="G39" s="1" t="s">
        <v>801</v>
      </c>
      <c r="H39" s="1">
        <f>0.069*(1)</f>
        <v>6.9000000000000006E-2</v>
      </c>
      <c r="I39" s="1" t="s">
        <v>148</v>
      </c>
      <c r="J39" s="1">
        <f>2478*(1)</f>
        <v>2478</v>
      </c>
      <c r="K39" s="1" t="s">
        <v>802</v>
      </c>
      <c r="L39" s="1">
        <f>0.038*(1)</f>
        <v>3.7999999999999999E-2</v>
      </c>
      <c r="M39" s="1" t="s">
        <v>145</v>
      </c>
      <c r="N39" s="1">
        <f>30737*(1)</f>
        <v>30737</v>
      </c>
      <c r="O39" s="1" t="s">
        <v>803</v>
      </c>
      <c r="P39" s="1">
        <f>0.079*(1)</f>
        <v>7.9000000000000001E-2</v>
      </c>
      <c r="Q39" s="1" t="s">
        <v>141</v>
      </c>
      <c r="R39" s="1">
        <f>9237*(1)</f>
        <v>9237</v>
      </c>
      <c r="S39" s="1" t="s">
        <v>804</v>
      </c>
      <c r="T39" s="1">
        <f>0.068*(1)</f>
        <v>6.8000000000000005E-2</v>
      </c>
      <c r="U39" s="1" t="s">
        <v>141</v>
      </c>
      <c r="V39" s="1">
        <f>8145*(1)</f>
        <v>8145</v>
      </c>
      <c r="W39" s="1" t="s">
        <v>805</v>
      </c>
      <c r="X39" s="1">
        <f>0.039*(1)</f>
        <v>3.9E-2</v>
      </c>
      <c r="Y39" s="1" t="s">
        <v>109</v>
      </c>
      <c r="Z39" s="1">
        <f>5292*(1)</f>
        <v>5292</v>
      </c>
      <c r="AA39" s="1" t="s">
        <v>528</v>
      </c>
      <c r="AB39" s="1">
        <f>0.052*(1)</f>
        <v>5.1999999999999998E-2</v>
      </c>
      <c r="AC39" s="1" t="s">
        <v>129</v>
      </c>
      <c r="AD39" s="1">
        <f>89824*(1)</f>
        <v>89824</v>
      </c>
      <c r="AE39" s="1" t="s">
        <v>806</v>
      </c>
      <c r="AF39" s="1">
        <f>0.072*(1)</f>
        <v>7.1999999999999995E-2</v>
      </c>
      <c r="AG39" s="1" t="s">
        <v>94</v>
      </c>
      <c r="AH39" s="1">
        <f>12667*(1)</f>
        <v>12667</v>
      </c>
      <c r="AI39" s="1" t="s">
        <v>807</v>
      </c>
      <c r="AJ39" s="1">
        <f>0.057*(1)</f>
        <v>5.7000000000000002E-2</v>
      </c>
      <c r="AK39" s="1" t="s">
        <v>87</v>
      </c>
      <c r="AL39" s="1">
        <f>7100*(1)</f>
        <v>7100</v>
      </c>
      <c r="AM39" s="1" t="s">
        <v>808</v>
      </c>
      <c r="AN39" s="1">
        <f>0.095*(1)</f>
        <v>9.5000000000000001E-2</v>
      </c>
      <c r="AO39" s="1" t="s">
        <v>147</v>
      </c>
      <c r="AP39" s="1">
        <f>11264*(1)</f>
        <v>11264</v>
      </c>
      <c r="AQ39" s="1" t="s">
        <v>809</v>
      </c>
      <c r="AR39" s="1">
        <f>0.07*(1)</f>
        <v>7.0000000000000007E-2</v>
      </c>
      <c r="AS39" s="1" t="s">
        <v>329</v>
      </c>
      <c r="AT39" s="1">
        <f>108580*(1)</f>
        <v>108580</v>
      </c>
      <c r="AU39" s="1" t="s">
        <v>810</v>
      </c>
      <c r="AV39" s="1">
        <f>0.082*(1)</f>
        <v>8.2000000000000003E-2</v>
      </c>
      <c r="AW39" s="1" t="s">
        <v>120</v>
      </c>
      <c r="AX39" s="1">
        <f>5665*(1)</f>
        <v>5665</v>
      </c>
      <c r="AY39" s="1" t="s">
        <v>811</v>
      </c>
      <c r="AZ39" s="1">
        <f>0.059*(1)</f>
        <v>5.8999999999999997E-2</v>
      </c>
      <c r="BA39" s="1" t="s">
        <v>139</v>
      </c>
      <c r="BB39" s="1">
        <f>10728*(1)</f>
        <v>10728</v>
      </c>
      <c r="BC39" s="1" t="s">
        <v>812</v>
      </c>
      <c r="BD39" s="1">
        <f>0.064*(1)</f>
        <v>6.4000000000000001E-2</v>
      </c>
      <c r="BE39" s="1" t="s">
        <v>132</v>
      </c>
      <c r="BF39" s="1">
        <f>49667*(1)</f>
        <v>49667</v>
      </c>
      <c r="BG39" s="1" t="s">
        <v>813</v>
      </c>
      <c r="BH39" s="1">
        <f>0.06*(1)</f>
        <v>0.06</v>
      </c>
      <c r="BI39" s="1" t="s">
        <v>87</v>
      </c>
      <c r="BJ39" s="1">
        <f>3667*(1)</f>
        <v>3667</v>
      </c>
      <c r="BK39" s="1" t="s">
        <v>814</v>
      </c>
      <c r="BL39" s="1">
        <f>0.049*(1)</f>
        <v>4.9000000000000002E-2</v>
      </c>
      <c r="BM39" s="1" t="s">
        <v>329</v>
      </c>
      <c r="BN39" s="1">
        <f>14447*(1)</f>
        <v>14447</v>
      </c>
      <c r="BO39" s="1" t="s">
        <v>815</v>
      </c>
      <c r="BP39" s="1">
        <f>0.062*(1)</f>
        <v>6.2E-2</v>
      </c>
      <c r="BQ39" s="1" t="s">
        <v>132</v>
      </c>
      <c r="BR39" s="1">
        <f>8243*(1)</f>
        <v>8243</v>
      </c>
      <c r="BS39" s="1" t="s">
        <v>816</v>
      </c>
      <c r="BT39" s="1">
        <f>0.046*(1)</f>
        <v>4.5999999999999999E-2</v>
      </c>
      <c r="BU39" s="1" t="s">
        <v>145</v>
      </c>
      <c r="BV39" s="1">
        <f>34294*(1)</f>
        <v>34294</v>
      </c>
      <c r="BW39" s="1" t="s">
        <v>817</v>
      </c>
      <c r="BX39" s="1">
        <f>0.109*(1)</f>
        <v>0.109</v>
      </c>
      <c r="BY39" s="1" t="s">
        <v>129</v>
      </c>
      <c r="BZ39" s="1">
        <f>38033*(1)</f>
        <v>38033</v>
      </c>
      <c r="CA39" s="1" t="s">
        <v>818</v>
      </c>
      <c r="CB39" s="1">
        <f>0.089*(1)</f>
        <v>8.8999999999999996E-2</v>
      </c>
      <c r="CC39" s="1" t="s">
        <v>145</v>
      </c>
      <c r="CD39" s="1">
        <f>16395*(1)</f>
        <v>16395</v>
      </c>
      <c r="CE39" s="1" t="s">
        <v>819</v>
      </c>
      <c r="CF39" s="1">
        <f>0.072*(1)</f>
        <v>7.1999999999999995E-2</v>
      </c>
      <c r="CG39" s="1" t="s">
        <v>132</v>
      </c>
      <c r="CH39" s="1">
        <f>4066*(1)</f>
        <v>4066</v>
      </c>
      <c r="CI39" s="1" t="s">
        <v>820</v>
      </c>
      <c r="CJ39" s="1">
        <f>0.062*(1)</f>
        <v>6.2E-2</v>
      </c>
      <c r="CK39" s="1" t="s">
        <v>141</v>
      </c>
      <c r="CL39" s="1">
        <f>8165*(1)</f>
        <v>8165</v>
      </c>
      <c r="CM39" s="1" t="s">
        <v>821</v>
      </c>
      <c r="CN39" s="1">
        <f>0.045*(1)</f>
        <v>4.4999999999999998E-2</v>
      </c>
      <c r="CO39" s="1" t="s">
        <v>109</v>
      </c>
      <c r="CP39" s="1">
        <f>4790*(1)</f>
        <v>4790</v>
      </c>
      <c r="CQ39" s="1" t="s">
        <v>597</v>
      </c>
      <c r="CR39" s="1">
        <f>0.044*(1)</f>
        <v>4.3999999999999997E-2</v>
      </c>
      <c r="CS39" s="1" t="s">
        <v>109</v>
      </c>
      <c r="CT39" s="1">
        <f>33344*(1)</f>
        <v>33344</v>
      </c>
      <c r="CU39" s="1" t="s">
        <v>822</v>
      </c>
      <c r="CV39" s="1">
        <f>0.062*(1)</f>
        <v>6.2E-2</v>
      </c>
      <c r="CW39" s="1" t="s">
        <v>87</v>
      </c>
      <c r="CX39" s="1">
        <f>4778*(1)</f>
        <v>4778</v>
      </c>
      <c r="CY39" s="1" t="s">
        <v>823</v>
      </c>
      <c r="CZ39" s="1">
        <f>0.055*(1)</f>
        <v>5.5E-2</v>
      </c>
      <c r="DA39" s="1" t="s">
        <v>87</v>
      </c>
      <c r="DB39" s="1">
        <f>9910*(1)</f>
        <v>9910</v>
      </c>
      <c r="DC39" s="1" t="s">
        <v>824</v>
      </c>
      <c r="DD39" s="1">
        <f>0.061*(1)</f>
        <v>6.0999999999999999E-2</v>
      </c>
      <c r="DE39" s="1" t="s">
        <v>145</v>
      </c>
      <c r="DF39" s="1">
        <f>9176*(1)</f>
        <v>9176</v>
      </c>
      <c r="DG39" s="1" t="s">
        <v>825</v>
      </c>
      <c r="DH39" s="1">
        <f>0.073*(1)</f>
        <v>7.2999999999999995E-2</v>
      </c>
      <c r="DI39" s="1" t="s">
        <v>141</v>
      </c>
      <c r="DJ39" s="1">
        <f>4666*(1)</f>
        <v>4666</v>
      </c>
      <c r="DK39" s="1" t="s">
        <v>317</v>
      </c>
      <c r="DL39" s="1">
        <f>0.061*(1)</f>
        <v>6.0999999999999999E-2</v>
      </c>
      <c r="DM39" s="1" t="s">
        <v>145</v>
      </c>
      <c r="DN39" s="1">
        <f>3784*(1)</f>
        <v>3784</v>
      </c>
      <c r="DO39" s="1" t="s">
        <v>826</v>
      </c>
      <c r="DP39" s="1">
        <f>0.052*(1)</f>
        <v>5.1999999999999998E-2</v>
      </c>
      <c r="DQ39" s="1" t="s">
        <v>129</v>
      </c>
      <c r="DR39" s="1">
        <f>26122*(1)</f>
        <v>26122</v>
      </c>
      <c r="DS39" s="1" t="s">
        <v>827</v>
      </c>
      <c r="DT39" s="1">
        <f>0.07*(1)</f>
        <v>7.0000000000000007E-2</v>
      </c>
      <c r="DU39" s="1" t="s">
        <v>132</v>
      </c>
      <c r="DV39" s="1">
        <f>43755*(1)</f>
        <v>43755</v>
      </c>
      <c r="DW39" s="1" t="s">
        <v>828</v>
      </c>
      <c r="DX39" s="1">
        <f>0.081*(1)</f>
        <v>8.1000000000000003E-2</v>
      </c>
      <c r="DY39" s="1" t="s">
        <v>109</v>
      </c>
      <c r="DZ39" s="1">
        <f>11852*(1)</f>
        <v>11852</v>
      </c>
      <c r="EA39" s="1" t="s">
        <v>829</v>
      </c>
      <c r="EB39" s="1">
        <f>0.059*(1)</f>
        <v>5.8999999999999997E-2</v>
      </c>
      <c r="EC39" s="1" t="s">
        <v>102</v>
      </c>
      <c r="ED39" s="1">
        <f>4381*(1)</f>
        <v>4381</v>
      </c>
      <c r="EE39" s="1" t="s">
        <v>830</v>
      </c>
      <c r="EF39" s="1">
        <f>0.047*(1)</f>
        <v>4.7E-2</v>
      </c>
      <c r="EG39" s="1" t="s">
        <v>139</v>
      </c>
      <c r="EH39" s="1">
        <f>11264*(1)</f>
        <v>11264</v>
      </c>
      <c r="EI39" s="1" t="s">
        <v>831</v>
      </c>
      <c r="EJ39" s="1">
        <f>0.046*(1)</f>
        <v>4.5999999999999999E-2</v>
      </c>
      <c r="EK39" s="1" t="s">
        <v>129</v>
      </c>
      <c r="EL39" s="1">
        <f>3386*(1)</f>
        <v>3386</v>
      </c>
      <c r="EM39" s="1" t="s">
        <v>832</v>
      </c>
      <c r="EN39" s="1">
        <f>0.029*(1)</f>
        <v>2.9000000000000001E-2</v>
      </c>
      <c r="EO39" s="1" t="s">
        <v>109</v>
      </c>
      <c r="EP39" s="1">
        <f>9034*(1)</f>
        <v>9034</v>
      </c>
      <c r="EQ39" s="1" t="s">
        <v>833</v>
      </c>
      <c r="ER39" s="1">
        <f>0.068*(1)</f>
        <v>6.8000000000000005E-2</v>
      </c>
      <c r="ES39" s="1" t="s">
        <v>132</v>
      </c>
    </row>
    <row r="40" spans="1:149" x14ac:dyDescent="0.3">
      <c r="A40" s="7" t="s">
        <v>799</v>
      </c>
      <c r="B40" s="1">
        <f>94758*(1)</f>
        <v>94758</v>
      </c>
      <c r="C40" s="1" t="s">
        <v>800</v>
      </c>
      <c r="D40" s="1">
        <f>0.932*(1)</f>
        <v>0.93200000000000005</v>
      </c>
      <c r="E40" s="1" t="s">
        <v>329</v>
      </c>
      <c r="F40" s="1">
        <f>90598*(1)</f>
        <v>90598</v>
      </c>
      <c r="G40" s="1" t="s">
        <v>801</v>
      </c>
      <c r="H40" s="1">
        <f>0.931*(1)</f>
        <v>0.93100000000000005</v>
      </c>
      <c r="I40" s="1" t="s">
        <v>148</v>
      </c>
      <c r="J40" s="1">
        <f>63371*(1)</f>
        <v>63371</v>
      </c>
      <c r="K40" s="1" t="s">
        <v>802</v>
      </c>
      <c r="L40" s="1">
        <f>0.962*(1)</f>
        <v>0.96199999999999997</v>
      </c>
      <c r="M40" s="1" t="s">
        <v>145</v>
      </c>
      <c r="N40" s="1">
        <f>359497*(1)</f>
        <v>359497</v>
      </c>
      <c r="O40" s="1" t="s">
        <v>803</v>
      </c>
      <c r="P40" s="1">
        <f>0.921*(1)</f>
        <v>0.92100000000000004</v>
      </c>
      <c r="Q40" s="1" t="s">
        <v>141</v>
      </c>
      <c r="R40" s="1">
        <f>126396*(1)</f>
        <v>126396</v>
      </c>
      <c r="S40" s="1" t="s">
        <v>804</v>
      </c>
      <c r="T40" s="1">
        <f>0.932*(1)</f>
        <v>0.93200000000000005</v>
      </c>
      <c r="U40" s="1" t="s">
        <v>141</v>
      </c>
      <c r="V40" s="1">
        <f>201497*(1)</f>
        <v>201497</v>
      </c>
      <c r="W40" s="1" t="s">
        <v>805</v>
      </c>
      <c r="X40" s="1">
        <f>0.961*(1)</f>
        <v>0.96099999999999997</v>
      </c>
      <c r="Y40" s="1" t="s">
        <v>109</v>
      </c>
      <c r="Z40" s="1">
        <f>96018*(1)</f>
        <v>96018</v>
      </c>
      <c r="AA40" s="1" t="s">
        <v>528</v>
      </c>
      <c r="AB40" s="1">
        <f>0.948*(1)</f>
        <v>0.94799999999999995</v>
      </c>
      <c r="AC40" s="1" t="s">
        <v>129</v>
      </c>
      <c r="AD40" s="1">
        <f>1159563*(1)</f>
        <v>1159563</v>
      </c>
      <c r="AE40" s="1" t="s">
        <v>806</v>
      </c>
      <c r="AF40" s="1">
        <f>0.928*(1)</f>
        <v>0.92800000000000005</v>
      </c>
      <c r="AG40" s="1" t="s">
        <v>94</v>
      </c>
      <c r="AH40" s="1">
        <f>208073*(1)</f>
        <v>208073</v>
      </c>
      <c r="AI40" s="1" t="s">
        <v>807</v>
      </c>
      <c r="AJ40" s="1">
        <f>0.943*(1)</f>
        <v>0.94299999999999995</v>
      </c>
      <c r="AK40" s="1" t="s">
        <v>87</v>
      </c>
      <c r="AL40" s="1">
        <f>67752*(1)</f>
        <v>67752</v>
      </c>
      <c r="AM40" s="1" t="s">
        <v>808</v>
      </c>
      <c r="AN40" s="1">
        <f>0.905*(1)</f>
        <v>0.90500000000000003</v>
      </c>
      <c r="AO40" s="1" t="s">
        <v>147</v>
      </c>
      <c r="AP40" s="1">
        <f>149800*(1)</f>
        <v>149800</v>
      </c>
      <c r="AQ40" s="1" t="s">
        <v>809</v>
      </c>
      <c r="AR40" s="1">
        <f>0.93*(1)</f>
        <v>0.93</v>
      </c>
      <c r="AS40" s="1" t="s">
        <v>329</v>
      </c>
      <c r="AT40" s="1">
        <f>1212834*(1)</f>
        <v>1212834</v>
      </c>
      <c r="AU40" s="1" t="s">
        <v>810</v>
      </c>
      <c r="AV40" s="1">
        <f>0.918*(1)</f>
        <v>0.91800000000000004</v>
      </c>
      <c r="AW40" s="1" t="s">
        <v>120</v>
      </c>
      <c r="AX40" s="1">
        <f>89900*(1)</f>
        <v>89900</v>
      </c>
      <c r="AY40" s="1" t="s">
        <v>811</v>
      </c>
      <c r="AZ40" s="1">
        <f>0.941*(1)</f>
        <v>0.94099999999999995</v>
      </c>
      <c r="BA40" s="1" t="s">
        <v>139</v>
      </c>
      <c r="BB40" s="1">
        <f>157684*(1)</f>
        <v>157684</v>
      </c>
      <c r="BC40" s="1" t="s">
        <v>812</v>
      </c>
      <c r="BD40" s="1">
        <f>0.936*(1)</f>
        <v>0.93600000000000005</v>
      </c>
      <c r="BE40" s="1" t="s">
        <v>132</v>
      </c>
      <c r="BF40" s="1">
        <f>776472*(1)</f>
        <v>776472</v>
      </c>
      <c r="BG40" s="1" t="s">
        <v>813</v>
      </c>
      <c r="BH40" s="1">
        <f>0.94*(1)</f>
        <v>0.94</v>
      </c>
      <c r="BI40" s="1" t="s">
        <v>87</v>
      </c>
      <c r="BJ40" s="1">
        <f>70989*(1)</f>
        <v>70989</v>
      </c>
      <c r="BK40" s="1" t="s">
        <v>814</v>
      </c>
      <c r="BL40" s="1">
        <f>0.951*(1)</f>
        <v>0.95099999999999996</v>
      </c>
      <c r="BM40" s="1" t="s">
        <v>329</v>
      </c>
      <c r="BN40" s="1">
        <f>217576*(1)</f>
        <v>217576</v>
      </c>
      <c r="BO40" s="1" t="s">
        <v>815</v>
      </c>
      <c r="BP40" s="1">
        <f>0.938*(1)</f>
        <v>0.93799999999999994</v>
      </c>
      <c r="BQ40" s="1" t="s">
        <v>132</v>
      </c>
      <c r="BR40" s="1">
        <f>172158*(1)</f>
        <v>172158</v>
      </c>
      <c r="BS40" s="1" t="s">
        <v>816</v>
      </c>
      <c r="BT40" s="1">
        <f>0.954*(1)</f>
        <v>0.95399999999999996</v>
      </c>
      <c r="BU40" s="1" t="s">
        <v>145</v>
      </c>
      <c r="BV40" s="1">
        <f>281301*(1)</f>
        <v>281301</v>
      </c>
      <c r="BW40" s="1" t="s">
        <v>817</v>
      </c>
      <c r="BX40" s="1">
        <f>0.891*(1)</f>
        <v>0.89100000000000001</v>
      </c>
      <c r="BY40" s="1" t="s">
        <v>129</v>
      </c>
      <c r="BZ40" s="1">
        <f>391158*(1)</f>
        <v>391158</v>
      </c>
      <c r="CA40" s="1" t="s">
        <v>818</v>
      </c>
      <c r="CB40" s="1">
        <f>0.911*(1)</f>
        <v>0.91100000000000003</v>
      </c>
      <c r="CC40" s="1" t="s">
        <v>145</v>
      </c>
      <c r="CD40" s="1">
        <f>210367*(1)</f>
        <v>210367</v>
      </c>
      <c r="CE40" s="1" t="s">
        <v>819</v>
      </c>
      <c r="CF40" s="1">
        <f>0.928*(1)</f>
        <v>0.92800000000000005</v>
      </c>
      <c r="CG40" s="1" t="s">
        <v>132</v>
      </c>
      <c r="CH40" s="1">
        <f>61225*(1)</f>
        <v>61225</v>
      </c>
      <c r="CI40" s="1" t="s">
        <v>820</v>
      </c>
      <c r="CJ40" s="1">
        <f>0.938*(1)</f>
        <v>0.93799999999999994</v>
      </c>
      <c r="CK40" s="1" t="s">
        <v>141</v>
      </c>
      <c r="CL40" s="1">
        <f>174927*(1)</f>
        <v>174927</v>
      </c>
      <c r="CM40" s="1" t="s">
        <v>821</v>
      </c>
      <c r="CN40" s="1">
        <f>0.955*(1)</f>
        <v>0.95499999999999996</v>
      </c>
      <c r="CO40" s="1" t="s">
        <v>109</v>
      </c>
      <c r="CP40" s="1">
        <f>104474*(1)</f>
        <v>104474</v>
      </c>
      <c r="CQ40" s="1" t="s">
        <v>597</v>
      </c>
      <c r="CR40" s="1">
        <f>0.956*(1)</f>
        <v>0.95599999999999996</v>
      </c>
      <c r="CS40" s="1" t="s">
        <v>109</v>
      </c>
      <c r="CT40" s="1">
        <f>502496*(1)</f>
        <v>502496</v>
      </c>
      <c r="CU40" s="1" t="s">
        <v>822</v>
      </c>
      <c r="CV40" s="1">
        <f>0.938*(1)</f>
        <v>0.93799999999999994</v>
      </c>
      <c r="CW40" s="1" t="s">
        <v>87</v>
      </c>
      <c r="CX40" s="1">
        <f>81630*(1)</f>
        <v>81630</v>
      </c>
      <c r="CY40" s="1" t="s">
        <v>823</v>
      </c>
      <c r="CZ40" s="1">
        <f>0.945*(1)</f>
        <v>0.94499999999999995</v>
      </c>
      <c r="DA40" s="1" t="s">
        <v>87</v>
      </c>
      <c r="DB40" s="1">
        <f>152472*(1)</f>
        <v>152472</v>
      </c>
      <c r="DC40" s="1" t="s">
        <v>824</v>
      </c>
      <c r="DD40" s="1">
        <f>0.939*(1)</f>
        <v>0.93899999999999995</v>
      </c>
      <c r="DE40" s="1" t="s">
        <v>145</v>
      </c>
      <c r="DF40" s="1">
        <f>116019*(1)</f>
        <v>116019</v>
      </c>
      <c r="DG40" s="1" t="s">
        <v>825</v>
      </c>
      <c r="DH40" s="1">
        <f>0.927*(1)</f>
        <v>0.92700000000000005</v>
      </c>
      <c r="DI40" s="1" t="s">
        <v>141</v>
      </c>
      <c r="DJ40" s="1">
        <f>72225*(1)</f>
        <v>72225</v>
      </c>
      <c r="DK40" s="1" t="s">
        <v>317</v>
      </c>
      <c r="DL40" s="1">
        <f>0.939*(1)</f>
        <v>0.93899999999999995</v>
      </c>
      <c r="DM40" s="1" t="s">
        <v>145</v>
      </c>
      <c r="DN40" s="1">
        <f>69562*(1)</f>
        <v>69562</v>
      </c>
      <c r="DO40" s="1" t="s">
        <v>826</v>
      </c>
      <c r="DP40" s="1">
        <f>0.948*(1)</f>
        <v>0.94799999999999995</v>
      </c>
      <c r="DQ40" s="1" t="s">
        <v>129</v>
      </c>
      <c r="DR40" s="1">
        <f>347712*(1)</f>
        <v>347712</v>
      </c>
      <c r="DS40" s="1" t="s">
        <v>827</v>
      </c>
      <c r="DT40" s="1">
        <f>0.93*(1)</f>
        <v>0.93</v>
      </c>
      <c r="DU40" s="1" t="s">
        <v>132</v>
      </c>
      <c r="DV40" s="1">
        <f>493878*(1)</f>
        <v>493878</v>
      </c>
      <c r="DW40" s="1" t="s">
        <v>828</v>
      </c>
      <c r="DX40" s="1">
        <f>0.919*(1)</f>
        <v>0.91900000000000004</v>
      </c>
      <c r="DY40" s="1" t="s">
        <v>109</v>
      </c>
      <c r="DZ40" s="1">
        <f>189483*(1)</f>
        <v>189483</v>
      </c>
      <c r="EA40" s="1" t="s">
        <v>829</v>
      </c>
      <c r="EB40" s="1">
        <f>0.941*(1)</f>
        <v>0.94099999999999995</v>
      </c>
      <c r="EC40" s="1" t="s">
        <v>102</v>
      </c>
      <c r="ED40" s="1">
        <f>88119*(1)</f>
        <v>88119</v>
      </c>
      <c r="EE40" s="1" t="s">
        <v>830</v>
      </c>
      <c r="EF40" s="1">
        <f>0.953*(1)</f>
        <v>0.95299999999999996</v>
      </c>
      <c r="EG40" s="1" t="s">
        <v>139</v>
      </c>
      <c r="EH40" s="1">
        <f>235289*(1)</f>
        <v>235289</v>
      </c>
      <c r="EI40" s="1" t="s">
        <v>831</v>
      </c>
      <c r="EJ40" s="1">
        <f>0.954*(1)</f>
        <v>0.95399999999999996</v>
      </c>
      <c r="EK40" s="1" t="s">
        <v>129</v>
      </c>
      <c r="EL40" s="1">
        <f>113324*(1)</f>
        <v>113324</v>
      </c>
      <c r="EM40" s="1" t="s">
        <v>832</v>
      </c>
      <c r="EN40" s="1">
        <f>0.971*(1)</f>
        <v>0.97099999999999997</v>
      </c>
      <c r="EO40" s="1" t="s">
        <v>109</v>
      </c>
      <c r="EP40" s="1">
        <f>123438*(1)</f>
        <v>123438</v>
      </c>
      <c r="EQ40" s="1" t="s">
        <v>833</v>
      </c>
      <c r="ER40" s="1">
        <f>0.932*(1)</f>
        <v>0.93200000000000005</v>
      </c>
      <c r="ES40" s="1" t="s">
        <v>132</v>
      </c>
    </row>
    <row r="41" spans="1:149" x14ac:dyDescent="0.3">
      <c r="A41" s="8" t="s">
        <v>835</v>
      </c>
      <c r="B41" s="1">
        <f>81338*(1)</f>
        <v>81338</v>
      </c>
      <c r="C41" s="1" t="s">
        <v>616</v>
      </c>
      <c r="D41" s="1">
        <f>0.8*(1)</f>
        <v>0.8</v>
      </c>
      <c r="E41" s="1" t="s">
        <v>87</v>
      </c>
      <c r="F41" s="1">
        <f>85120*(1)</f>
        <v>85120</v>
      </c>
      <c r="G41" s="1" t="s">
        <v>836</v>
      </c>
      <c r="H41" s="1">
        <f>0.874*(1)</f>
        <v>0.874</v>
      </c>
      <c r="I41" s="1" t="s">
        <v>138</v>
      </c>
      <c r="J41" s="1">
        <f>60446*(1)</f>
        <v>60446</v>
      </c>
      <c r="K41" s="1" t="s">
        <v>726</v>
      </c>
      <c r="L41" s="1">
        <f>0.918*(1)</f>
        <v>0.91800000000000004</v>
      </c>
      <c r="M41" s="1" t="s">
        <v>87</v>
      </c>
      <c r="N41" s="1">
        <f>304459*(1)</f>
        <v>304459</v>
      </c>
      <c r="O41" s="1" t="s">
        <v>837</v>
      </c>
      <c r="P41" s="1">
        <f>0.78*(1)</f>
        <v>0.78</v>
      </c>
      <c r="Q41" s="1" t="s">
        <v>109</v>
      </c>
      <c r="R41" s="1">
        <f>113590*(1)</f>
        <v>113590</v>
      </c>
      <c r="S41" s="1" t="s">
        <v>838</v>
      </c>
      <c r="T41" s="1">
        <f>0.837*(1)</f>
        <v>0.83699999999999997</v>
      </c>
      <c r="U41" s="1" t="s">
        <v>90</v>
      </c>
      <c r="V41" s="1">
        <f>193419*(1)</f>
        <v>193419</v>
      </c>
      <c r="W41" s="1" t="s">
        <v>839</v>
      </c>
      <c r="X41" s="1">
        <f>0.923*(1)</f>
        <v>0.92300000000000004</v>
      </c>
      <c r="Y41" s="1" t="s">
        <v>109</v>
      </c>
      <c r="Z41" s="1">
        <f>93303*(1)</f>
        <v>93303</v>
      </c>
      <c r="AA41" s="1" t="s">
        <v>840</v>
      </c>
      <c r="AB41" s="1">
        <f>0.921*(1)</f>
        <v>0.92100000000000004</v>
      </c>
      <c r="AC41" s="1" t="s">
        <v>109</v>
      </c>
      <c r="AD41" s="1">
        <f>722580*(1)</f>
        <v>722580</v>
      </c>
      <c r="AE41" s="1" t="s">
        <v>841</v>
      </c>
      <c r="AF41" s="1">
        <f>0.578*(1)</f>
        <v>0.57799999999999996</v>
      </c>
      <c r="AG41" s="1" t="s">
        <v>111</v>
      </c>
      <c r="AH41" s="1">
        <f>180173*(1)</f>
        <v>180173</v>
      </c>
      <c r="AI41" s="1" t="s">
        <v>214</v>
      </c>
      <c r="AJ41" s="1">
        <f>0.816*(1)</f>
        <v>0.81599999999999995</v>
      </c>
      <c r="AK41" s="1" t="s">
        <v>94</v>
      </c>
      <c r="AL41" s="1">
        <f>58544*(1)</f>
        <v>58544</v>
      </c>
      <c r="AM41" s="1" t="s">
        <v>842</v>
      </c>
      <c r="AN41" s="1">
        <f>0.782*(1)</f>
        <v>0.78200000000000003</v>
      </c>
      <c r="AO41" s="1" t="s">
        <v>136</v>
      </c>
      <c r="AP41" s="1">
        <f>132544*(1)</f>
        <v>132544</v>
      </c>
      <c r="AQ41" s="1" t="s">
        <v>843</v>
      </c>
      <c r="AR41" s="1">
        <f>0.823*(1)</f>
        <v>0.82299999999999995</v>
      </c>
      <c r="AS41" s="1" t="s">
        <v>87</v>
      </c>
      <c r="AT41" s="1">
        <f>794379*(1)</f>
        <v>794379</v>
      </c>
      <c r="AU41" s="1" t="s">
        <v>844</v>
      </c>
      <c r="AV41" s="1">
        <f>0.601*(1)</f>
        <v>0.60099999999999998</v>
      </c>
      <c r="AW41" s="1" t="s">
        <v>92</v>
      </c>
      <c r="AX41" s="1">
        <f>88137*(1)</f>
        <v>88137</v>
      </c>
      <c r="AY41" s="1" t="s">
        <v>845</v>
      </c>
      <c r="AZ41" s="1">
        <f>0.922*(1)</f>
        <v>0.92200000000000004</v>
      </c>
      <c r="BA41" s="1" t="s">
        <v>139</v>
      </c>
      <c r="BB41" s="1">
        <f>138155*(1)</f>
        <v>138155</v>
      </c>
      <c r="BC41" s="1" t="s">
        <v>846</v>
      </c>
      <c r="BD41" s="1">
        <f>0.82*(1)</f>
        <v>0.82</v>
      </c>
      <c r="BE41" s="1" t="s">
        <v>129</v>
      </c>
      <c r="BF41" s="1">
        <f>532071*(1)</f>
        <v>532071</v>
      </c>
      <c r="BG41" s="1" t="s">
        <v>847</v>
      </c>
      <c r="BH41" s="1">
        <f>0.644*(1)</f>
        <v>0.64400000000000002</v>
      </c>
      <c r="BI41" s="1" t="s">
        <v>92</v>
      </c>
      <c r="BJ41" s="1">
        <f>65864*(1)</f>
        <v>65864</v>
      </c>
      <c r="BK41" s="1" t="s">
        <v>848</v>
      </c>
      <c r="BL41" s="1">
        <f>0.882*(1)</f>
        <v>0.88200000000000001</v>
      </c>
      <c r="BM41" s="1" t="s">
        <v>132</v>
      </c>
      <c r="BN41" s="1">
        <f>200207*(1)</f>
        <v>200207</v>
      </c>
      <c r="BO41" s="1" t="s">
        <v>661</v>
      </c>
      <c r="BP41" s="1">
        <f>0.863*(1)</f>
        <v>0.86299999999999999</v>
      </c>
      <c r="BQ41" s="1" t="s">
        <v>109</v>
      </c>
      <c r="BR41" s="1">
        <f>157862*(1)</f>
        <v>157862</v>
      </c>
      <c r="BS41" s="1" t="s">
        <v>849</v>
      </c>
      <c r="BT41" s="1">
        <f>0.875*(1)</f>
        <v>0.875</v>
      </c>
      <c r="BU41" s="1" t="s">
        <v>87</v>
      </c>
      <c r="BV41" s="1">
        <f>244185*(1)</f>
        <v>244185</v>
      </c>
      <c r="BW41" s="1" t="s">
        <v>850</v>
      </c>
      <c r="BX41" s="1">
        <f>0.774*(1)</f>
        <v>0.77400000000000002</v>
      </c>
      <c r="BY41" s="1" t="s">
        <v>109</v>
      </c>
      <c r="BZ41" s="1">
        <f>294569*(1)</f>
        <v>294569</v>
      </c>
      <c r="CA41" s="1" t="s">
        <v>851</v>
      </c>
      <c r="CB41" s="1">
        <f>0.686*(1)</f>
        <v>0.68600000000000005</v>
      </c>
      <c r="CC41" s="1" t="s">
        <v>96</v>
      </c>
      <c r="CD41" s="1">
        <f>169967*(1)</f>
        <v>169967</v>
      </c>
      <c r="CE41" s="1" t="s">
        <v>852</v>
      </c>
      <c r="CF41" s="1">
        <f>0.75*(1)</f>
        <v>0.75</v>
      </c>
      <c r="CG41" s="1" t="s">
        <v>94</v>
      </c>
      <c r="CH41" s="1">
        <f>57003*(1)</f>
        <v>57003</v>
      </c>
      <c r="CI41" s="1" t="s">
        <v>176</v>
      </c>
      <c r="CJ41" s="1">
        <f>0.873*(1)</f>
        <v>0.873</v>
      </c>
      <c r="CK41" s="1" t="s">
        <v>120</v>
      </c>
      <c r="CL41" s="1">
        <f>168544*(1)</f>
        <v>168544</v>
      </c>
      <c r="CM41" s="1" t="s">
        <v>853</v>
      </c>
      <c r="CN41" s="1">
        <f>0.921*(1)</f>
        <v>0.92100000000000004</v>
      </c>
      <c r="CO41" s="1" t="s">
        <v>87</v>
      </c>
      <c r="CP41" s="1">
        <f>98395*(1)</f>
        <v>98395</v>
      </c>
      <c r="CQ41" s="1" t="s">
        <v>854</v>
      </c>
      <c r="CR41" s="1">
        <f>0.901*(1)</f>
        <v>0.90100000000000002</v>
      </c>
      <c r="CS41" s="1" t="s">
        <v>109</v>
      </c>
      <c r="CT41" s="1">
        <f>371852*(1)</f>
        <v>371852</v>
      </c>
      <c r="CU41" s="1" t="s">
        <v>855</v>
      </c>
      <c r="CV41" s="1">
        <f>0.694*(1)</f>
        <v>0.69399999999999995</v>
      </c>
      <c r="CW41" s="1" t="s">
        <v>94</v>
      </c>
      <c r="CX41" s="1">
        <f>78522*(1)</f>
        <v>78522</v>
      </c>
      <c r="CY41" s="1" t="s">
        <v>484</v>
      </c>
      <c r="CZ41" s="1">
        <f>0.909*(1)</f>
        <v>0.90900000000000003</v>
      </c>
      <c r="DA41" s="1" t="s">
        <v>99</v>
      </c>
      <c r="DB41" s="1">
        <f>141625*(1)</f>
        <v>141625</v>
      </c>
      <c r="DC41" s="1" t="s">
        <v>856</v>
      </c>
      <c r="DD41" s="1">
        <f>0.872*(1)</f>
        <v>0.872</v>
      </c>
      <c r="DE41" s="1" t="s">
        <v>87</v>
      </c>
      <c r="DF41" s="1">
        <f>104549*(1)</f>
        <v>104549</v>
      </c>
      <c r="DG41" s="1" t="s">
        <v>857</v>
      </c>
      <c r="DH41" s="1">
        <f>0.835*(1)</f>
        <v>0.83499999999999996</v>
      </c>
      <c r="DI41" s="1" t="s">
        <v>141</v>
      </c>
      <c r="DJ41" s="1">
        <f>68424*(1)</f>
        <v>68424</v>
      </c>
      <c r="DK41" s="1" t="s">
        <v>684</v>
      </c>
      <c r="DL41" s="1">
        <f>0.89*(1)</f>
        <v>0.89</v>
      </c>
      <c r="DM41" s="1" t="s">
        <v>90</v>
      </c>
      <c r="DN41" s="1">
        <f>67824*(1)</f>
        <v>67824</v>
      </c>
      <c r="DO41" s="1" t="s">
        <v>351</v>
      </c>
      <c r="DP41" s="1">
        <f>0.925*(1)</f>
        <v>0.92500000000000004</v>
      </c>
      <c r="DQ41" s="1" t="s">
        <v>129</v>
      </c>
      <c r="DR41" s="1">
        <f>319079*(1)</f>
        <v>319079</v>
      </c>
      <c r="DS41" s="1" t="s">
        <v>858</v>
      </c>
      <c r="DT41" s="1">
        <f>0.854*(1)</f>
        <v>0.85399999999999998</v>
      </c>
      <c r="DU41" s="1" t="s">
        <v>90</v>
      </c>
      <c r="DV41" s="1">
        <f>399018*(1)</f>
        <v>399018</v>
      </c>
      <c r="DW41" s="1" t="s">
        <v>859</v>
      </c>
      <c r="DX41" s="1">
        <f>0.742*(1)</f>
        <v>0.74199999999999999</v>
      </c>
      <c r="DY41" s="1" t="s">
        <v>94</v>
      </c>
      <c r="DZ41" s="1">
        <f>171557*(1)</f>
        <v>171557</v>
      </c>
      <c r="EA41" s="1" t="s">
        <v>860</v>
      </c>
      <c r="EB41" s="1">
        <f>0.852*(1)</f>
        <v>0.85199999999999998</v>
      </c>
      <c r="EC41" s="1" t="s">
        <v>145</v>
      </c>
      <c r="ED41" s="1">
        <f>86852*(1)</f>
        <v>86852</v>
      </c>
      <c r="EE41" s="1" t="s">
        <v>226</v>
      </c>
      <c r="EF41" s="1">
        <f>0.939*(1)</f>
        <v>0.93899999999999995</v>
      </c>
      <c r="EG41" s="1" t="s">
        <v>129</v>
      </c>
      <c r="EH41" s="1">
        <f>206112*(1)</f>
        <v>206112</v>
      </c>
      <c r="EI41" s="1" t="s">
        <v>829</v>
      </c>
      <c r="EJ41" s="1">
        <f>0.836*(1)</f>
        <v>0.83599999999999997</v>
      </c>
      <c r="EK41" s="1" t="s">
        <v>129</v>
      </c>
      <c r="EL41" s="1">
        <f>109069*(1)</f>
        <v>109069</v>
      </c>
      <c r="EM41" s="1" t="s">
        <v>480</v>
      </c>
      <c r="EN41" s="1">
        <f>0.935*(1)</f>
        <v>0.93500000000000005</v>
      </c>
      <c r="EO41" s="1" t="s">
        <v>120</v>
      </c>
      <c r="EP41" s="1">
        <f>115248*(1)</f>
        <v>115248</v>
      </c>
      <c r="EQ41" s="1" t="s">
        <v>861</v>
      </c>
      <c r="ER41" s="1">
        <f>0.87*(1)</f>
        <v>0.87</v>
      </c>
      <c r="ES41" s="1" t="s">
        <v>120</v>
      </c>
    </row>
    <row r="42" spans="1:149" x14ac:dyDescent="0.3">
      <c r="A42" s="8" t="s">
        <v>862</v>
      </c>
      <c r="B42" s="1">
        <f>9462*(1)</f>
        <v>9462</v>
      </c>
      <c r="C42" s="1" t="s">
        <v>863</v>
      </c>
      <c r="D42" s="1">
        <f>0.093*(1)</f>
        <v>9.2999999999999999E-2</v>
      </c>
      <c r="E42" s="1" t="s">
        <v>138</v>
      </c>
      <c r="F42" s="1">
        <f>3224*(1)</f>
        <v>3224</v>
      </c>
      <c r="G42" s="1" t="s">
        <v>864</v>
      </c>
      <c r="H42" s="1">
        <f>0.033*(1)</f>
        <v>3.3000000000000002E-2</v>
      </c>
      <c r="I42" s="1" t="s">
        <v>87</v>
      </c>
      <c r="J42" s="1">
        <f>2255*(1)</f>
        <v>2255</v>
      </c>
      <c r="K42" s="1" t="s">
        <v>506</v>
      </c>
      <c r="L42" s="1">
        <f>0.034*(1)</f>
        <v>3.4000000000000002E-2</v>
      </c>
      <c r="M42" s="1" t="s">
        <v>109</v>
      </c>
      <c r="N42" s="1">
        <f>27949*(1)</f>
        <v>27949</v>
      </c>
      <c r="O42" s="1" t="s">
        <v>865</v>
      </c>
      <c r="P42" s="1">
        <f>0.072*(1)</f>
        <v>7.1999999999999995E-2</v>
      </c>
      <c r="Q42" s="1" t="s">
        <v>87</v>
      </c>
      <c r="R42" s="1">
        <f>10078*(1)</f>
        <v>10078</v>
      </c>
      <c r="S42" s="1" t="s">
        <v>866</v>
      </c>
      <c r="T42" s="1">
        <f>0.074*(1)</f>
        <v>7.3999999999999996E-2</v>
      </c>
      <c r="U42" s="1" t="s">
        <v>132</v>
      </c>
      <c r="V42" s="1">
        <f>3417*(1)</f>
        <v>3417</v>
      </c>
      <c r="W42" s="1" t="s">
        <v>365</v>
      </c>
      <c r="X42" s="1">
        <f>0.016*(1)</f>
        <v>1.6E-2</v>
      </c>
      <c r="Y42" s="1" t="s">
        <v>92</v>
      </c>
      <c r="Z42" s="1">
        <f>1781*(1)</f>
        <v>1781</v>
      </c>
      <c r="AA42" s="1" t="s">
        <v>556</v>
      </c>
      <c r="AB42" s="1">
        <f>0.018*(1)</f>
        <v>1.7999999999999999E-2</v>
      </c>
      <c r="AC42" s="1" t="s">
        <v>109</v>
      </c>
      <c r="AD42" s="1">
        <f>360296*(1)</f>
        <v>360296</v>
      </c>
      <c r="AE42" s="1" t="s">
        <v>867</v>
      </c>
      <c r="AF42" s="1">
        <f>0.288*(1)</f>
        <v>0.28799999999999998</v>
      </c>
      <c r="AG42" s="1" t="s">
        <v>96</v>
      </c>
      <c r="AH42" s="1">
        <f>9202*(1)</f>
        <v>9202</v>
      </c>
      <c r="AI42" s="1" t="s">
        <v>868</v>
      </c>
      <c r="AJ42" s="1">
        <f>0.042*(1)</f>
        <v>4.2000000000000003E-2</v>
      </c>
      <c r="AK42" s="1" t="s">
        <v>96</v>
      </c>
      <c r="AL42" s="1">
        <f>7100*(1)</f>
        <v>7100</v>
      </c>
      <c r="AM42" s="1" t="s">
        <v>869</v>
      </c>
      <c r="AN42" s="1">
        <f>0.095*(1)</f>
        <v>9.5000000000000001E-2</v>
      </c>
      <c r="AO42" s="1" t="s">
        <v>139</v>
      </c>
      <c r="AP42" s="1">
        <f>10575*(1)</f>
        <v>10575</v>
      </c>
      <c r="AQ42" s="1" t="s">
        <v>870</v>
      </c>
      <c r="AR42" s="1">
        <f>0.066*(1)</f>
        <v>6.6000000000000003E-2</v>
      </c>
      <c r="AS42" s="1" t="s">
        <v>145</v>
      </c>
      <c r="AT42" s="1">
        <f>307221*(1)</f>
        <v>307221</v>
      </c>
      <c r="AU42" s="1" t="s">
        <v>871</v>
      </c>
      <c r="AV42" s="1">
        <f>0.232*(1)</f>
        <v>0.23200000000000001</v>
      </c>
      <c r="AW42" s="1" t="s">
        <v>94</v>
      </c>
      <c r="AX42" s="1">
        <f>585*(1)</f>
        <v>585</v>
      </c>
      <c r="AY42" s="1" t="s">
        <v>872</v>
      </c>
      <c r="AZ42" s="1">
        <f>0.006*(1)</f>
        <v>6.0000000000000001E-3</v>
      </c>
      <c r="BA42" s="1" t="s">
        <v>92</v>
      </c>
      <c r="BB42" s="1">
        <f>10751*(1)</f>
        <v>10751</v>
      </c>
      <c r="BC42" s="1" t="s">
        <v>873</v>
      </c>
      <c r="BD42" s="1">
        <f>0.064*(1)</f>
        <v>6.4000000000000001E-2</v>
      </c>
      <c r="BE42" s="1" t="s">
        <v>87</v>
      </c>
      <c r="BF42" s="1">
        <f>207570*(1)</f>
        <v>207570</v>
      </c>
      <c r="BG42" s="1" t="s">
        <v>874</v>
      </c>
      <c r="BH42" s="1">
        <f>0.251*(1)</f>
        <v>0.251</v>
      </c>
      <c r="BI42" s="1" t="s">
        <v>90</v>
      </c>
      <c r="BJ42" s="1">
        <f>1335*(1)</f>
        <v>1335</v>
      </c>
      <c r="BK42" s="1" t="s">
        <v>875</v>
      </c>
      <c r="BL42" s="1">
        <f>0.018*(1)</f>
        <v>1.7999999999999999E-2</v>
      </c>
      <c r="BM42" s="1" t="s">
        <v>90</v>
      </c>
      <c r="BN42" s="1">
        <f>11432*(1)</f>
        <v>11432</v>
      </c>
      <c r="BO42" s="1" t="s">
        <v>876</v>
      </c>
      <c r="BP42" s="1">
        <f>0.049*(1)</f>
        <v>4.9000000000000002E-2</v>
      </c>
      <c r="BQ42" s="1" t="s">
        <v>120</v>
      </c>
      <c r="BR42" s="1">
        <f>6571*(1)</f>
        <v>6571</v>
      </c>
      <c r="BS42" s="1" t="s">
        <v>877</v>
      </c>
      <c r="BT42" s="1">
        <f>0.036*(1)</f>
        <v>3.5999999999999997E-2</v>
      </c>
      <c r="BU42" s="1" t="s">
        <v>120</v>
      </c>
      <c r="BV42" s="1">
        <f>22516*(1)</f>
        <v>22516</v>
      </c>
      <c r="BW42" s="1" t="s">
        <v>878</v>
      </c>
      <c r="BX42" s="1">
        <f>0.071*(1)</f>
        <v>7.0999999999999994E-2</v>
      </c>
      <c r="BY42" s="1" t="s">
        <v>120</v>
      </c>
      <c r="BZ42" s="1">
        <f>75185*(1)</f>
        <v>75185</v>
      </c>
      <c r="CA42" s="1" t="s">
        <v>879</v>
      </c>
      <c r="CB42" s="1">
        <f>0.175*(1)</f>
        <v>0.17499999999999999</v>
      </c>
      <c r="CC42" s="1" t="s">
        <v>145</v>
      </c>
      <c r="CD42" s="1">
        <f>33416*(1)</f>
        <v>33416</v>
      </c>
      <c r="CE42" s="1" t="s">
        <v>880</v>
      </c>
      <c r="CF42" s="1">
        <f>0.147*(1)</f>
        <v>0.14699999999999999</v>
      </c>
      <c r="CG42" s="1" t="s">
        <v>120</v>
      </c>
      <c r="CH42" s="1">
        <f>2951*(1)</f>
        <v>2951</v>
      </c>
      <c r="CI42" s="1" t="s">
        <v>881</v>
      </c>
      <c r="CJ42" s="1">
        <f>0.045*(1)</f>
        <v>4.4999999999999998E-2</v>
      </c>
      <c r="CK42" s="1" t="s">
        <v>145</v>
      </c>
      <c r="CL42" s="1">
        <f>2674*(1)</f>
        <v>2674</v>
      </c>
      <c r="CM42" s="1" t="s">
        <v>692</v>
      </c>
      <c r="CN42" s="1">
        <f>0.015*(1)</f>
        <v>1.4999999999999999E-2</v>
      </c>
      <c r="CO42" s="1" t="s">
        <v>96</v>
      </c>
      <c r="CP42" s="1">
        <f>2638*(1)</f>
        <v>2638</v>
      </c>
      <c r="CQ42" s="1" t="s">
        <v>882</v>
      </c>
      <c r="CR42" s="1">
        <f>0.024*(1)</f>
        <v>2.4E-2</v>
      </c>
      <c r="CS42" s="1" t="s">
        <v>90</v>
      </c>
      <c r="CT42" s="1">
        <f>110637*(1)</f>
        <v>110637</v>
      </c>
      <c r="CU42" s="1" t="s">
        <v>883</v>
      </c>
      <c r="CV42" s="1">
        <f>0.206*(1)</f>
        <v>0.20599999999999999</v>
      </c>
      <c r="CW42" s="1" t="s">
        <v>94</v>
      </c>
      <c r="CX42" s="1">
        <f>2375*(1)</f>
        <v>2375</v>
      </c>
      <c r="CY42" s="1" t="s">
        <v>884</v>
      </c>
      <c r="CZ42" s="1">
        <f>0.027*(1)</f>
        <v>2.7E-2</v>
      </c>
      <c r="DA42" s="1" t="s">
        <v>120</v>
      </c>
      <c r="DB42" s="1">
        <f>6042*(1)</f>
        <v>6042</v>
      </c>
      <c r="DC42" s="1" t="s">
        <v>885</v>
      </c>
      <c r="DD42" s="1">
        <f>0.037*(1)</f>
        <v>3.6999999999999998E-2</v>
      </c>
      <c r="DE42" s="1" t="s">
        <v>90</v>
      </c>
      <c r="DF42" s="1">
        <f>7630*(1)</f>
        <v>7630</v>
      </c>
      <c r="DG42" s="1" t="s">
        <v>886</v>
      </c>
      <c r="DH42" s="1">
        <f>0.061*(1)</f>
        <v>6.0999999999999999E-2</v>
      </c>
      <c r="DI42" s="1" t="s">
        <v>129</v>
      </c>
      <c r="DJ42" s="1">
        <f>3173*(1)</f>
        <v>3173</v>
      </c>
      <c r="DK42" s="1" t="s">
        <v>181</v>
      </c>
      <c r="DL42" s="1">
        <f>0.041*(1)</f>
        <v>4.1000000000000002E-2</v>
      </c>
      <c r="DM42" s="1" t="s">
        <v>109</v>
      </c>
      <c r="DN42" s="1">
        <f>1447*(1)</f>
        <v>1447</v>
      </c>
      <c r="DO42" s="1" t="s">
        <v>614</v>
      </c>
      <c r="DP42" s="1">
        <f>0.02*(1)</f>
        <v>0.02</v>
      </c>
      <c r="DQ42" s="1" t="s">
        <v>120</v>
      </c>
      <c r="DR42" s="1">
        <f>22865*(1)</f>
        <v>22865</v>
      </c>
      <c r="DS42" s="1" t="s">
        <v>887</v>
      </c>
      <c r="DT42" s="1">
        <f>0.061*(1)</f>
        <v>6.0999999999999999E-2</v>
      </c>
      <c r="DU42" s="1" t="s">
        <v>120</v>
      </c>
      <c r="DV42" s="1">
        <f>65933*(1)</f>
        <v>65933</v>
      </c>
      <c r="DW42" s="1" t="s">
        <v>888</v>
      </c>
      <c r="DX42" s="1">
        <f>0.123*(1)</f>
        <v>0.123</v>
      </c>
      <c r="DY42" s="1" t="s">
        <v>87</v>
      </c>
      <c r="DZ42" s="1">
        <f>15797*(1)</f>
        <v>15797</v>
      </c>
      <c r="EA42" s="1" t="s">
        <v>889</v>
      </c>
      <c r="EB42" s="1">
        <f>0.078*(1)</f>
        <v>7.8E-2</v>
      </c>
      <c r="EC42" s="1" t="s">
        <v>109</v>
      </c>
      <c r="ED42" s="1">
        <f>826*(1)</f>
        <v>826</v>
      </c>
      <c r="EE42" s="1" t="s">
        <v>890</v>
      </c>
      <c r="EF42" s="1">
        <f>0.009*(1)</f>
        <v>8.9999999999999993E-3</v>
      </c>
      <c r="EG42" s="1" t="s">
        <v>96</v>
      </c>
      <c r="EH42" s="1">
        <f>8452*(1)</f>
        <v>8452</v>
      </c>
      <c r="EI42" s="1" t="s">
        <v>891</v>
      </c>
      <c r="EJ42" s="1">
        <f>0.034*(1)</f>
        <v>3.4000000000000002E-2</v>
      </c>
      <c r="EK42" s="1" t="s">
        <v>120</v>
      </c>
      <c r="EL42" s="1">
        <f>1979*(1)</f>
        <v>1979</v>
      </c>
      <c r="EM42" s="1" t="s">
        <v>892</v>
      </c>
      <c r="EN42" s="1">
        <f>0.017*(1)</f>
        <v>1.7000000000000001E-2</v>
      </c>
      <c r="EO42" s="1" t="s">
        <v>94</v>
      </c>
      <c r="EP42" s="1">
        <f>2382*(1)</f>
        <v>2382</v>
      </c>
      <c r="EQ42" s="1" t="s">
        <v>609</v>
      </c>
      <c r="ER42" s="1">
        <f>0.018*(1)</f>
        <v>1.7999999999999999E-2</v>
      </c>
      <c r="ES42" s="1" t="s">
        <v>94</v>
      </c>
    </row>
    <row r="43" spans="1:149" ht="28.8" x14ac:dyDescent="0.3">
      <c r="A43" s="8" t="s">
        <v>893</v>
      </c>
      <c r="B43" s="1">
        <f>574*(1)</f>
        <v>574</v>
      </c>
      <c r="C43" s="1" t="s">
        <v>467</v>
      </c>
      <c r="D43" s="1">
        <f>0.006*(1)</f>
        <v>6.0000000000000001E-3</v>
      </c>
      <c r="E43" s="1" t="s">
        <v>120</v>
      </c>
      <c r="F43" s="1">
        <f>18*(1)</f>
        <v>18</v>
      </c>
      <c r="G43" s="1" t="s">
        <v>894</v>
      </c>
      <c r="H43" s="1">
        <f>0*(1)</f>
        <v>0</v>
      </c>
      <c r="I43" s="1" t="s">
        <v>99</v>
      </c>
      <c r="J43" s="1">
        <f>21*(1)</f>
        <v>21</v>
      </c>
      <c r="K43" s="1" t="s">
        <v>895</v>
      </c>
      <c r="L43" s="1">
        <f>0*(1)</f>
        <v>0</v>
      </c>
      <c r="M43" s="1" t="s">
        <v>99</v>
      </c>
      <c r="N43" s="1">
        <f>1072*(1)</f>
        <v>1072</v>
      </c>
      <c r="O43" s="1" t="s">
        <v>896</v>
      </c>
      <c r="P43" s="1">
        <f>0.003*(1)</f>
        <v>3.0000000000000001E-3</v>
      </c>
      <c r="Q43" s="1" t="s">
        <v>111</v>
      </c>
      <c r="R43" s="1">
        <f>16*(1)</f>
        <v>16</v>
      </c>
      <c r="S43" s="1" t="s">
        <v>739</v>
      </c>
      <c r="T43" s="1">
        <f>0*(1)</f>
        <v>0</v>
      </c>
      <c r="U43" s="1" t="s">
        <v>99</v>
      </c>
      <c r="V43" s="1">
        <f>36*(1)</f>
        <v>36</v>
      </c>
      <c r="W43" s="1" t="s">
        <v>719</v>
      </c>
      <c r="X43" s="1">
        <f>0*(1)</f>
        <v>0</v>
      </c>
      <c r="Y43" s="1" t="s">
        <v>99</v>
      </c>
      <c r="Z43" s="1">
        <f>221*(1)</f>
        <v>221</v>
      </c>
      <c r="AA43" s="1" t="s">
        <v>897</v>
      </c>
      <c r="AB43" s="1">
        <f>0.002*(1)</f>
        <v>2E-3</v>
      </c>
      <c r="AC43" s="1" t="s">
        <v>111</v>
      </c>
      <c r="AD43" s="1">
        <f>3124*(1)</f>
        <v>3124</v>
      </c>
      <c r="AE43" s="1" t="s">
        <v>898</v>
      </c>
      <c r="AF43" s="1">
        <f>0.003*(1)</f>
        <v>3.0000000000000001E-3</v>
      </c>
      <c r="AG43" s="1" t="s">
        <v>111</v>
      </c>
      <c r="AH43" s="1">
        <f>43*(1)</f>
        <v>43</v>
      </c>
      <c r="AI43" s="1" t="s">
        <v>899</v>
      </c>
      <c r="AJ43" s="1">
        <f>0*(1)</f>
        <v>0</v>
      </c>
      <c r="AK43" s="1" t="s">
        <v>99</v>
      </c>
      <c r="AL43" s="1">
        <f>87*(1)</f>
        <v>87</v>
      </c>
      <c r="AM43" s="1" t="s">
        <v>900</v>
      </c>
      <c r="AN43" s="1">
        <f>0.001*(1)</f>
        <v>1E-3</v>
      </c>
      <c r="AO43" s="1" t="s">
        <v>111</v>
      </c>
      <c r="AP43" s="1">
        <f>113*(1)</f>
        <v>113</v>
      </c>
      <c r="AQ43" s="1" t="s">
        <v>901</v>
      </c>
      <c r="AR43" s="1">
        <f>0.001*(1)</f>
        <v>1E-3</v>
      </c>
      <c r="AS43" s="1" t="s">
        <v>99</v>
      </c>
      <c r="AT43" s="1">
        <f>3404*(1)</f>
        <v>3404</v>
      </c>
      <c r="AU43" s="1" t="s">
        <v>902</v>
      </c>
      <c r="AV43" s="1">
        <f>0.003*(1)</f>
        <v>3.0000000000000001E-3</v>
      </c>
      <c r="AW43" s="1" t="s">
        <v>99</v>
      </c>
      <c r="AX43" s="1">
        <f>0*(1)</f>
        <v>0</v>
      </c>
      <c r="AY43" s="1" t="s">
        <v>723</v>
      </c>
      <c r="AZ43" s="1">
        <f>0*(1)</f>
        <v>0</v>
      </c>
      <c r="BA43" s="1" t="s">
        <v>111</v>
      </c>
      <c r="BB43" s="1">
        <f>193*(1)</f>
        <v>193</v>
      </c>
      <c r="BC43" s="1" t="s">
        <v>903</v>
      </c>
      <c r="BD43" s="1">
        <f>0.001*(1)</f>
        <v>1E-3</v>
      </c>
      <c r="BE43" s="1" t="s">
        <v>99</v>
      </c>
      <c r="BF43" s="1">
        <f>688*(1)</f>
        <v>688</v>
      </c>
      <c r="BG43" s="1" t="s">
        <v>904</v>
      </c>
      <c r="BH43" s="1">
        <f>0.001*(1)</f>
        <v>1E-3</v>
      </c>
      <c r="BI43" s="1" t="s">
        <v>99</v>
      </c>
      <c r="BJ43" s="1">
        <f>0*(1)</f>
        <v>0</v>
      </c>
      <c r="BK43" s="1" t="s">
        <v>723</v>
      </c>
      <c r="BL43" s="1">
        <f>0*(1)</f>
        <v>0</v>
      </c>
      <c r="BM43" s="1" t="s">
        <v>111</v>
      </c>
      <c r="BN43" s="1">
        <f>429*(1)</f>
        <v>429</v>
      </c>
      <c r="BO43" s="1" t="s">
        <v>905</v>
      </c>
      <c r="BP43" s="1">
        <f>0.002*(1)</f>
        <v>2E-3</v>
      </c>
      <c r="BQ43" s="1" t="s">
        <v>111</v>
      </c>
      <c r="BR43" s="1">
        <f>156*(1)</f>
        <v>156</v>
      </c>
      <c r="BS43" s="1" t="s">
        <v>767</v>
      </c>
      <c r="BT43" s="1">
        <f>0.001*(1)</f>
        <v>1E-3</v>
      </c>
      <c r="BU43" s="1" t="s">
        <v>99</v>
      </c>
      <c r="BV43" s="1">
        <f>618*(1)</f>
        <v>618</v>
      </c>
      <c r="BW43" s="1" t="s">
        <v>167</v>
      </c>
      <c r="BX43" s="1">
        <f>0.002*(1)</f>
        <v>2E-3</v>
      </c>
      <c r="BY43" s="1" t="s">
        <v>99</v>
      </c>
      <c r="BZ43" s="1">
        <f>1157*(1)</f>
        <v>1157</v>
      </c>
      <c r="CA43" s="1" t="s">
        <v>906</v>
      </c>
      <c r="CB43" s="1">
        <f>0.003*(1)</f>
        <v>3.0000000000000001E-3</v>
      </c>
      <c r="CC43" s="1" t="s">
        <v>99</v>
      </c>
      <c r="CD43" s="1">
        <f>150*(1)</f>
        <v>150</v>
      </c>
      <c r="CE43" s="1" t="s">
        <v>907</v>
      </c>
      <c r="CF43" s="1">
        <f>0.001*(1)</f>
        <v>1E-3</v>
      </c>
      <c r="CG43" s="1" t="s">
        <v>99</v>
      </c>
      <c r="CH43" s="1">
        <f>262*(1)</f>
        <v>262</v>
      </c>
      <c r="CI43" s="1" t="s">
        <v>908</v>
      </c>
      <c r="CJ43" s="1">
        <f>0.004*(1)</f>
        <v>4.0000000000000001E-3</v>
      </c>
      <c r="CK43" s="1" t="s">
        <v>90</v>
      </c>
      <c r="CL43" s="1">
        <f>178*(1)</f>
        <v>178</v>
      </c>
      <c r="CM43" s="1" t="s">
        <v>676</v>
      </c>
      <c r="CN43" s="1">
        <f>0.001*(1)</f>
        <v>1E-3</v>
      </c>
      <c r="CO43" s="1" t="s">
        <v>99</v>
      </c>
      <c r="CP43" s="1">
        <f>257*(1)</f>
        <v>257</v>
      </c>
      <c r="CQ43" s="1" t="s">
        <v>773</v>
      </c>
      <c r="CR43" s="1">
        <f>0.002*(1)</f>
        <v>2E-3</v>
      </c>
      <c r="CS43" s="1" t="s">
        <v>92</v>
      </c>
      <c r="CT43" s="1">
        <f>834*(1)</f>
        <v>834</v>
      </c>
      <c r="CU43" s="1" t="s">
        <v>909</v>
      </c>
      <c r="CV43" s="1">
        <f>0.002*(1)</f>
        <v>2E-3</v>
      </c>
      <c r="CW43" s="1" t="s">
        <v>99</v>
      </c>
      <c r="CX43" s="1">
        <f>0*(1)</f>
        <v>0</v>
      </c>
      <c r="CY43" s="1" t="s">
        <v>723</v>
      </c>
      <c r="CZ43" s="1">
        <f>0*(1)</f>
        <v>0</v>
      </c>
      <c r="DA43" s="1" t="s">
        <v>111</v>
      </c>
      <c r="DB43" s="1">
        <f>149*(1)</f>
        <v>149</v>
      </c>
      <c r="DC43" s="1" t="s">
        <v>910</v>
      </c>
      <c r="DD43" s="1">
        <f>0.001*(1)</f>
        <v>1E-3</v>
      </c>
      <c r="DE43" s="1" t="s">
        <v>99</v>
      </c>
      <c r="DF43" s="1">
        <f>312*(1)</f>
        <v>312</v>
      </c>
      <c r="DG43" s="1" t="s">
        <v>411</v>
      </c>
      <c r="DH43" s="1">
        <f>0.002*(1)</f>
        <v>2E-3</v>
      </c>
      <c r="DI43" s="1" t="s">
        <v>92</v>
      </c>
      <c r="DJ43" s="1">
        <f>212*(1)</f>
        <v>212</v>
      </c>
      <c r="DK43" s="1" t="s">
        <v>911</v>
      </c>
      <c r="DL43" s="1">
        <f>0.003*(1)</f>
        <v>3.0000000000000001E-3</v>
      </c>
      <c r="DM43" s="1" t="s">
        <v>111</v>
      </c>
      <c r="DN43" s="1">
        <f>29*(1)</f>
        <v>29</v>
      </c>
      <c r="DO43" s="1" t="s">
        <v>785</v>
      </c>
      <c r="DP43" s="1">
        <f>0*(1)</f>
        <v>0</v>
      </c>
      <c r="DQ43" s="1" t="s">
        <v>99</v>
      </c>
      <c r="DR43" s="1">
        <f>490*(1)</f>
        <v>490</v>
      </c>
      <c r="DS43" s="1" t="s">
        <v>912</v>
      </c>
      <c r="DT43" s="1">
        <f>0.001*(1)</f>
        <v>1E-3</v>
      </c>
      <c r="DU43" s="1" t="s">
        <v>99</v>
      </c>
      <c r="DV43" s="1">
        <f>1158*(1)</f>
        <v>1158</v>
      </c>
      <c r="DW43" s="1" t="s">
        <v>913</v>
      </c>
      <c r="DX43" s="1">
        <f>0.002*(1)</f>
        <v>2E-3</v>
      </c>
      <c r="DY43" s="1" t="s">
        <v>99</v>
      </c>
      <c r="DZ43" s="1">
        <f>33*(1)</f>
        <v>33</v>
      </c>
      <c r="EA43" s="1" t="s">
        <v>914</v>
      </c>
      <c r="EB43" s="1">
        <f>0*(1)</f>
        <v>0</v>
      </c>
      <c r="EC43" s="1" t="s">
        <v>99</v>
      </c>
      <c r="ED43" s="1">
        <f>74*(1)</f>
        <v>74</v>
      </c>
      <c r="EE43" s="1" t="s">
        <v>915</v>
      </c>
      <c r="EF43" s="1">
        <f>0.001*(1)</f>
        <v>1E-3</v>
      </c>
      <c r="EG43" s="1" t="s">
        <v>99</v>
      </c>
      <c r="EH43" s="1">
        <f>405*(1)</f>
        <v>405</v>
      </c>
      <c r="EI43" s="1" t="s">
        <v>916</v>
      </c>
      <c r="EJ43" s="1">
        <f>0.002*(1)</f>
        <v>2E-3</v>
      </c>
      <c r="EK43" s="1" t="s">
        <v>99</v>
      </c>
      <c r="EL43" s="1">
        <f>0*(1)</f>
        <v>0</v>
      </c>
      <c r="EM43" s="1" t="s">
        <v>723</v>
      </c>
      <c r="EN43" s="1">
        <f>0*(1)</f>
        <v>0</v>
      </c>
      <c r="EO43" s="1" t="s">
        <v>99</v>
      </c>
      <c r="EP43" s="1">
        <f>468*(1)</f>
        <v>468</v>
      </c>
      <c r="EQ43" s="1" t="s">
        <v>182</v>
      </c>
      <c r="ER43" s="1">
        <f>0.004*(1)</f>
        <v>4.0000000000000001E-3</v>
      </c>
      <c r="ES43" s="1" t="s">
        <v>111</v>
      </c>
    </row>
    <row r="44" spans="1:149" x14ac:dyDescent="0.3">
      <c r="A44" s="9" t="s">
        <v>917</v>
      </c>
      <c r="B44" s="1" t="s">
        <v>918</v>
      </c>
      <c r="C44" s="1" t="s">
        <v>918</v>
      </c>
      <c r="D44" s="1" t="s">
        <v>918</v>
      </c>
      <c r="E44" s="1" t="s">
        <v>918</v>
      </c>
      <c r="F44" s="1" t="s">
        <v>918</v>
      </c>
      <c r="G44" s="1" t="s">
        <v>918</v>
      </c>
      <c r="H44" s="1" t="s">
        <v>918</v>
      </c>
      <c r="I44" s="1" t="s">
        <v>918</v>
      </c>
      <c r="J44" s="1" t="s">
        <v>918</v>
      </c>
      <c r="K44" s="1" t="s">
        <v>918</v>
      </c>
      <c r="L44" s="1" t="s">
        <v>918</v>
      </c>
      <c r="M44" s="1" t="s">
        <v>918</v>
      </c>
      <c r="N44" s="1" t="s">
        <v>918</v>
      </c>
      <c r="O44" s="1" t="s">
        <v>918</v>
      </c>
      <c r="P44" s="1" t="s">
        <v>918</v>
      </c>
      <c r="Q44" s="1" t="s">
        <v>918</v>
      </c>
      <c r="R44" s="1" t="s">
        <v>918</v>
      </c>
      <c r="S44" s="1" t="s">
        <v>918</v>
      </c>
      <c r="T44" s="1" t="s">
        <v>918</v>
      </c>
      <c r="U44" s="1" t="s">
        <v>918</v>
      </c>
      <c r="V44" s="1" t="s">
        <v>918</v>
      </c>
      <c r="W44" s="1" t="s">
        <v>918</v>
      </c>
      <c r="X44" s="1" t="s">
        <v>918</v>
      </c>
      <c r="Y44" s="1" t="s">
        <v>918</v>
      </c>
      <c r="Z44" s="1" t="s">
        <v>918</v>
      </c>
      <c r="AA44" s="1" t="s">
        <v>918</v>
      </c>
      <c r="AB44" s="1" t="s">
        <v>918</v>
      </c>
      <c r="AC44" s="1" t="s">
        <v>918</v>
      </c>
      <c r="AD44" s="1" t="s">
        <v>918</v>
      </c>
      <c r="AE44" s="1" t="s">
        <v>918</v>
      </c>
      <c r="AF44" s="1" t="s">
        <v>918</v>
      </c>
      <c r="AG44" s="1" t="s">
        <v>918</v>
      </c>
      <c r="AH44" s="1" t="s">
        <v>918</v>
      </c>
      <c r="AI44" s="1" t="s">
        <v>918</v>
      </c>
      <c r="AJ44" s="1" t="s">
        <v>918</v>
      </c>
      <c r="AK44" s="1" t="s">
        <v>918</v>
      </c>
      <c r="AL44" s="1" t="s">
        <v>918</v>
      </c>
      <c r="AM44" s="1" t="s">
        <v>918</v>
      </c>
      <c r="AN44" s="1" t="s">
        <v>918</v>
      </c>
      <c r="AO44" s="1" t="s">
        <v>918</v>
      </c>
      <c r="AP44" s="1" t="s">
        <v>918</v>
      </c>
      <c r="AQ44" s="1" t="s">
        <v>918</v>
      </c>
      <c r="AR44" s="1" t="s">
        <v>918</v>
      </c>
      <c r="AS44" s="1" t="s">
        <v>918</v>
      </c>
      <c r="AT44" s="1" t="s">
        <v>918</v>
      </c>
      <c r="AU44" s="1" t="s">
        <v>918</v>
      </c>
      <c r="AV44" s="1" t="s">
        <v>918</v>
      </c>
      <c r="AW44" s="1" t="s">
        <v>918</v>
      </c>
      <c r="AX44" s="1" t="s">
        <v>918</v>
      </c>
      <c r="AY44" s="1" t="s">
        <v>918</v>
      </c>
      <c r="AZ44" s="1" t="s">
        <v>918</v>
      </c>
      <c r="BA44" s="1" t="s">
        <v>918</v>
      </c>
      <c r="BB44" s="1" t="s">
        <v>918</v>
      </c>
      <c r="BC44" s="1" t="s">
        <v>918</v>
      </c>
      <c r="BD44" s="1" t="s">
        <v>918</v>
      </c>
      <c r="BE44" s="1" t="s">
        <v>918</v>
      </c>
      <c r="BF44" s="1" t="s">
        <v>918</v>
      </c>
      <c r="BG44" s="1" t="s">
        <v>918</v>
      </c>
      <c r="BH44" s="1" t="s">
        <v>918</v>
      </c>
      <c r="BI44" s="1" t="s">
        <v>918</v>
      </c>
      <c r="BJ44" s="1" t="s">
        <v>918</v>
      </c>
      <c r="BK44" s="1" t="s">
        <v>918</v>
      </c>
      <c r="BL44" s="1" t="s">
        <v>918</v>
      </c>
      <c r="BM44" s="1" t="s">
        <v>918</v>
      </c>
      <c r="BN44" s="1" t="s">
        <v>918</v>
      </c>
      <c r="BO44" s="1" t="s">
        <v>918</v>
      </c>
      <c r="BP44" s="1" t="s">
        <v>918</v>
      </c>
      <c r="BQ44" s="1" t="s">
        <v>918</v>
      </c>
      <c r="BR44" s="1" t="s">
        <v>918</v>
      </c>
      <c r="BS44" s="1" t="s">
        <v>918</v>
      </c>
      <c r="BT44" s="1" t="s">
        <v>918</v>
      </c>
      <c r="BU44" s="1" t="s">
        <v>918</v>
      </c>
      <c r="BV44" s="1" t="s">
        <v>918</v>
      </c>
      <c r="BW44" s="1" t="s">
        <v>918</v>
      </c>
      <c r="BX44" s="1" t="s">
        <v>918</v>
      </c>
      <c r="BY44" s="1" t="s">
        <v>918</v>
      </c>
      <c r="BZ44" s="1" t="s">
        <v>918</v>
      </c>
      <c r="CA44" s="1" t="s">
        <v>918</v>
      </c>
      <c r="CB44" s="1" t="s">
        <v>918</v>
      </c>
      <c r="CC44" s="1" t="s">
        <v>918</v>
      </c>
      <c r="CD44" s="1" t="s">
        <v>918</v>
      </c>
      <c r="CE44" s="1" t="s">
        <v>918</v>
      </c>
      <c r="CF44" s="1" t="s">
        <v>918</v>
      </c>
      <c r="CG44" s="1" t="s">
        <v>918</v>
      </c>
      <c r="CH44" s="1" t="s">
        <v>918</v>
      </c>
      <c r="CI44" s="1" t="s">
        <v>918</v>
      </c>
      <c r="CJ44" s="1" t="s">
        <v>918</v>
      </c>
      <c r="CK44" s="1" t="s">
        <v>918</v>
      </c>
      <c r="CL44" s="1" t="s">
        <v>918</v>
      </c>
      <c r="CM44" s="1" t="s">
        <v>918</v>
      </c>
      <c r="CN44" s="1" t="s">
        <v>918</v>
      </c>
      <c r="CO44" s="1" t="s">
        <v>918</v>
      </c>
      <c r="CP44" s="1" t="s">
        <v>918</v>
      </c>
      <c r="CQ44" s="1" t="s">
        <v>918</v>
      </c>
      <c r="CR44" s="1" t="s">
        <v>918</v>
      </c>
      <c r="CS44" s="1" t="s">
        <v>918</v>
      </c>
      <c r="CT44" s="1" t="s">
        <v>918</v>
      </c>
      <c r="CU44" s="1" t="s">
        <v>918</v>
      </c>
      <c r="CV44" s="1" t="s">
        <v>918</v>
      </c>
      <c r="CW44" s="1" t="s">
        <v>918</v>
      </c>
      <c r="CX44" s="1" t="s">
        <v>918</v>
      </c>
      <c r="CY44" s="1" t="s">
        <v>918</v>
      </c>
      <c r="CZ44" s="1" t="s">
        <v>918</v>
      </c>
      <c r="DA44" s="1" t="s">
        <v>918</v>
      </c>
      <c r="DB44" s="1" t="s">
        <v>918</v>
      </c>
      <c r="DC44" s="1" t="s">
        <v>918</v>
      </c>
      <c r="DD44" s="1" t="s">
        <v>918</v>
      </c>
      <c r="DE44" s="1" t="s">
        <v>918</v>
      </c>
      <c r="DF44" s="1" t="s">
        <v>918</v>
      </c>
      <c r="DG44" s="1" t="s">
        <v>918</v>
      </c>
      <c r="DH44" s="1" t="s">
        <v>918</v>
      </c>
      <c r="DI44" s="1" t="s">
        <v>918</v>
      </c>
      <c r="DJ44" s="1" t="s">
        <v>918</v>
      </c>
      <c r="DK44" s="1" t="s">
        <v>918</v>
      </c>
      <c r="DL44" s="1" t="s">
        <v>918</v>
      </c>
      <c r="DM44" s="1" t="s">
        <v>918</v>
      </c>
      <c r="DN44" s="1" t="s">
        <v>918</v>
      </c>
      <c r="DO44" s="1" t="s">
        <v>918</v>
      </c>
      <c r="DP44" s="1" t="s">
        <v>918</v>
      </c>
      <c r="DQ44" s="1" t="s">
        <v>918</v>
      </c>
      <c r="DR44" s="1" t="s">
        <v>918</v>
      </c>
      <c r="DS44" s="1" t="s">
        <v>918</v>
      </c>
      <c r="DT44" s="1" t="s">
        <v>918</v>
      </c>
      <c r="DU44" s="1" t="s">
        <v>918</v>
      </c>
      <c r="DV44" s="1" t="s">
        <v>918</v>
      </c>
      <c r="DW44" s="1" t="s">
        <v>918</v>
      </c>
      <c r="DX44" s="1" t="s">
        <v>918</v>
      </c>
      <c r="DY44" s="1" t="s">
        <v>918</v>
      </c>
      <c r="DZ44" s="1" t="s">
        <v>918</v>
      </c>
      <c r="EA44" s="1" t="s">
        <v>918</v>
      </c>
      <c r="EB44" s="1" t="s">
        <v>918</v>
      </c>
      <c r="EC44" s="1" t="s">
        <v>918</v>
      </c>
      <c r="ED44" s="1" t="s">
        <v>918</v>
      </c>
      <c r="EE44" s="1" t="s">
        <v>918</v>
      </c>
      <c r="EF44" s="1" t="s">
        <v>918</v>
      </c>
      <c r="EG44" s="1" t="s">
        <v>918</v>
      </c>
      <c r="EH44" s="1" t="s">
        <v>918</v>
      </c>
      <c r="EI44" s="1" t="s">
        <v>918</v>
      </c>
      <c r="EJ44" s="1" t="s">
        <v>918</v>
      </c>
      <c r="EK44" s="1" t="s">
        <v>918</v>
      </c>
      <c r="EL44" s="1" t="s">
        <v>918</v>
      </c>
      <c r="EM44" s="1" t="s">
        <v>918</v>
      </c>
      <c r="EN44" s="1" t="s">
        <v>918</v>
      </c>
      <c r="EO44" s="1" t="s">
        <v>918</v>
      </c>
      <c r="EP44" s="1" t="s">
        <v>918</v>
      </c>
      <c r="EQ44" s="1" t="s">
        <v>918</v>
      </c>
      <c r="ER44" s="1" t="s">
        <v>918</v>
      </c>
      <c r="ES44" s="1" t="s">
        <v>918</v>
      </c>
    </row>
    <row r="45" spans="1:149" x14ac:dyDescent="0.3">
      <c r="A45" s="9" t="s">
        <v>919</v>
      </c>
      <c r="B45" s="1" t="s">
        <v>918</v>
      </c>
      <c r="C45" s="1" t="s">
        <v>918</v>
      </c>
      <c r="D45" s="1" t="s">
        <v>918</v>
      </c>
      <c r="E45" s="1" t="s">
        <v>918</v>
      </c>
      <c r="F45" s="1" t="s">
        <v>918</v>
      </c>
      <c r="G45" s="1" t="s">
        <v>918</v>
      </c>
      <c r="H45" s="1" t="s">
        <v>918</v>
      </c>
      <c r="I45" s="1" t="s">
        <v>918</v>
      </c>
      <c r="J45" s="1" t="s">
        <v>918</v>
      </c>
      <c r="K45" s="1" t="s">
        <v>918</v>
      </c>
      <c r="L45" s="1" t="s">
        <v>918</v>
      </c>
      <c r="M45" s="1" t="s">
        <v>918</v>
      </c>
      <c r="N45" s="1" t="s">
        <v>918</v>
      </c>
      <c r="O45" s="1" t="s">
        <v>918</v>
      </c>
      <c r="P45" s="1" t="s">
        <v>918</v>
      </c>
      <c r="Q45" s="1" t="s">
        <v>918</v>
      </c>
      <c r="R45" s="1" t="s">
        <v>918</v>
      </c>
      <c r="S45" s="1" t="s">
        <v>918</v>
      </c>
      <c r="T45" s="1" t="s">
        <v>918</v>
      </c>
      <c r="U45" s="1" t="s">
        <v>918</v>
      </c>
      <c r="V45" s="1" t="s">
        <v>918</v>
      </c>
      <c r="W45" s="1" t="s">
        <v>918</v>
      </c>
      <c r="X45" s="1" t="s">
        <v>918</v>
      </c>
      <c r="Y45" s="1" t="s">
        <v>918</v>
      </c>
      <c r="Z45" s="1" t="s">
        <v>918</v>
      </c>
      <c r="AA45" s="1" t="s">
        <v>918</v>
      </c>
      <c r="AB45" s="1" t="s">
        <v>918</v>
      </c>
      <c r="AC45" s="1" t="s">
        <v>918</v>
      </c>
      <c r="AD45" s="1" t="s">
        <v>918</v>
      </c>
      <c r="AE45" s="1" t="s">
        <v>918</v>
      </c>
      <c r="AF45" s="1" t="s">
        <v>918</v>
      </c>
      <c r="AG45" s="1" t="s">
        <v>918</v>
      </c>
      <c r="AH45" s="1" t="s">
        <v>918</v>
      </c>
      <c r="AI45" s="1" t="s">
        <v>918</v>
      </c>
      <c r="AJ45" s="1" t="s">
        <v>918</v>
      </c>
      <c r="AK45" s="1" t="s">
        <v>918</v>
      </c>
      <c r="AL45" s="1" t="s">
        <v>918</v>
      </c>
      <c r="AM45" s="1" t="s">
        <v>918</v>
      </c>
      <c r="AN45" s="1" t="s">
        <v>918</v>
      </c>
      <c r="AO45" s="1" t="s">
        <v>918</v>
      </c>
      <c r="AP45" s="1" t="s">
        <v>918</v>
      </c>
      <c r="AQ45" s="1" t="s">
        <v>918</v>
      </c>
      <c r="AR45" s="1" t="s">
        <v>918</v>
      </c>
      <c r="AS45" s="1" t="s">
        <v>918</v>
      </c>
      <c r="AT45" s="1" t="s">
        <v>918</v>
      </c>
      <c r="AU45" s="1" t="s">
        <v>918</v>
      </c>
      <c r="AV45" s="1" t="s">
        <v>918</v>
      </c>
      <c r="AW45" s="1" t="s">
        <v>918</v>
      </c>
      <c r="AX45" s="1" t="s">
        <v>918</v>
      </c>
      <c r="AY45" s="1" t="s">
        <v>918</v>
      </c>
      <c r="AZ45" s="1" t="s">
        <v>918</v>
      </c>
      <c r="BA45" s="1" t="s">
        <v>918</v>
      </c>
      <c r="BB45" s="1" t="s">
        <v>918</v>
      </c>
      <c r="BC45" s="1" t="s">
        <v>918</v>
      </c>
      <c r="BD45" s="1" t="s">
        <v>918</v>
      </c>
      <c r="BE45" s="1" t="s">
        <v>918</v>
      </c>
      <c r="BF45" s="1" t="s">
        <v>918</v>
      </c>
      <c r="BG45" s="1" t="s">
        <v>918</v>
      </c>
      <c r="BH45" s="1" t="s">
        <v>918</v>
      </c>
      <c r="BI45" s="1" t="s">
        <v>918</v>
      </c>
      <c r="BJ45" s="1" t="s">
        <v>918</v>
      </c>
      <c r="BK45" s="1" t="s">
        <v>918</v>
      </c>
      <c r="BL45" s="1" t="s">
        <v>918</v>
      </c>
      <c r="BM45" s="1" t="s">
        <v>918</v>
      </c>
      <c r="BN45" s="1" t="s">
        <v>918</v>
      </c>
      <c r="BO45" s="1" t="s">
        <v>918</v>
      </c>
      <c r="BP45" s="1" t="s">
        <v>918</v>
      </c>
      <c r="BQ45" s="1" t="s">
        <v>918</v>
      </c>
      <c r="BR45" s="1" t="s">
        <v>918</v>
      </c>
      <c r="BS45" s="1" t="s">
        <v>918</v>
      </c>
      <c r="BT45" s="1" t="s">
        <v>918</v>
      </c>
      <c r="BU45" s="1" t="s">
        <v>918</v>
      </c>
      <c r="BV45" s="1" t="s">
        <v>918</v>
      </c>
      <c r="BW45" s="1" t="s">
        <v>918</v>
      </c>
      <c r="BX45" s="1" t="s">
        <v>918</v>
      </c>
      <c r="BY45" s="1" t="s">
        <v>918</v>
      </c>
      <c r="BZ45" s="1" t="s">
        <v>918</v>
      </c>
      <c r="CA45" s="1" t="s">
        <v>918</v>
      </c>
      <c r="CB45" s="1" t="s">
        <v>918</v>
      </c>
      <c r="CC45" s="1" t="s">
        <v>918</v>
      </c>
      <c r="CD45" s="1" t="s">
        <v>918</v>
      </c>
      <c r="CE45" s="1" t="s">
        <v>918</v>
      </c>
      <c r="CF45" s="1" t="s">
        <v>918</v>
      </c>
      <c r="CG45" s="1" t="s">
        <v>918</v>
      </c>
      <c r="CH45" s="1" t="s">
        <v>918</v>
      </c>
      <c r="CI45" s="1" t="s">
        <v>918</v>
      </c>
      <c r="CJ45" s="1" t="s">
        <v>918</v>
      </c>
      <c r="CK45" s="1" t="s">
        <v>918</v>
      </c>
      <c r="CL45" s="1" t="s">
        <v>918</v>
      </c>
      <c r="CM45" s="1" t="s">
        <v>918</v>
      </c>
      <c r="CN45" s="1" t="s">
        <v>918</v>
      </c>
      <c r="CO45" s="1" t="s">
        <v>918</v>
      </c>
      <c r="CP45" s="1" t="s">
        <v>918</v>
      </c>
      <c r="CQ45" s="1" t="s">
        <v>918</v>
      </c>
      <c r="CR45" s="1" t="s">
        <v>918</v>
      </c>
      <c r="CS45" s="1" t="s">
        <v>918</v>
      </c>
      <c r="CT45" s="1" t="s">
        <v>918</v>
      </c>
      <c r="CU45" s="1" t="s">
        <v>918</v>
      </c>
      <c r="CV45" s="1" t="s">
        <v>918</v>
      </c>
      <c r="CW45" s="1" t="s">
        <v>918</v>
      </c>
      <c r="CX45" s="1" t="s">
        <v>918</v>
      </c>
      <c r="CY45" s="1" t="s">
        <v>918</v>
      </c>
      <c r="CZ45" s="1" t="s">
        <v>918</v>
      </c>
      <c r="DA45" s="1" t="s">
        <v>918</v>
      </c>
      <c r="DB45" s="1" t="s">
        <v>918</v>
      </c>
      <c r="DC45" s="1" t="s">
        <v>918</v>
      </c>
      <c r="DD45" s="1" t="s">
        <v>918</v>
      </c>
      <c r="DE45" s="1" t="s">
        <v>918</v>
      </c>
      <c r="DF45" s="1" t="s">
        <v>918</v>
      </c>
      <c r="DG45" s="1" t="s">
        <v>918</v>
      </c>
      <c r="DH45" s="1" t="s">
        <v>918</v>
      </c>
      <c r="DI45" s="1" t="s">
        <v>918</v>
      </c>
      <c r="DJ45" s="1" t="s">
        <v>918</v>
      </c>
      <c r="DK45" s="1" t="s">
        <v>918</v>
      </c>
      <c r="DL45" s="1" t="s">
        <v>918</v>
      </c>
      <c r="DM45" s="1" t="s">
        <v>918</v>
      </c>
      <c r="DN45" s="1" t="s">
        <v>918</v>
      </c>
      <c r="DO45" s="1" t="s">
        <v>918</v>
      </c>
      <c r="DP45" s="1" t="s">
        <v>918</v>
      </c>
      <c r="DQ45" s="1" t="s">
        <v>918</v>
      </c>
      <c r="DR45" s="1" t="s">
        <v>918</v>
      </c>
      <c r="DS45" s="1" t="s">
        <v>918</v>
      </c>
      <c r="DT45" s="1" t="s">
        <v>918</v>
      </c>
      <c r="DU45" s="1" t="s">
        <v>918</v>
      </c>
      <c r="DV45" s="1" t="s">
        <v>918</v>
      </c>
      <c r="DW45" s="1" t="s">
        <v>918</v>
      </c>
      <c r="DX45" s="1" t="s">
        <v>918</v>
      </c>
      <c r="DY45" s="1" t="s">
        <v>918</v>
      </c>
      <c r="DZ45" s="1" t="s">
        <v>918</v>
      </c>
      <c r="EA45" s="1" t="s">
        <v>918</v>
      </c>
      <c r="EB45" s="1" t="s">
        <v>918</v>
      </c>
      <c r="EC45" s="1" t="s">
        <v>918</v>
      </c>
      <c r="ED45" s="1" t="s">
        <v>918</v>
      </c>
      <c r="EE45" s="1" t="s">
        <v>918</v>
      </c>
      <c r="EF45" s="1" t="s">
        <v>918</v>
      </c>
      <c r="EG45" s="1" t="s">
        <v>918</v>
      </c>
      <c r="EH45" s="1" t="s">
        <v>918</v>
      </c>
      <c r="EI45" s="1" t="s">
        <v>918</v>
      </c>
      <c r="EJ45" s="1" t="s">
        <v>918</v>
      </c>
      <c r="EK45" s="1" t="s">
        <v>918</v>
      </c>
      <c r="EL45" s="1" t="s">
        <v>918</v>
      </c>
      <c r="EM45" s="1" t="s">
        <v>918</v>
      </c>
      <c r="EN45" s="1" t="s">
        <v>918</v>
      </c>
      <c r="EO45" s="1" t="s">
        <v>918</v>
      </c>
      <c r="EP45" s="1" t="s">
        <v>918</v>
      </c>
      <c r="EQ45" s="1" t="s">
        <v>918</v>
      </c>
      <c r="ER45" s="1" t="s">
        <v>918</v>
      </c>
      <c r="ES45" s="1" t="s">
        <v>918</v>
      </c>
    </row>
    <row r="46" spans="1:149" x14ac:dyDescent="0.3">
      <c r="A46" s="9" t="s">
        <v>920</v>
      </c>
      <c r="B46" s="1" t="s">
        <v>918</v>
      </c>
      <c r="C46" s="1" t="s">
        <v>918</v>
      </c>
      <c r="D46" s="1" t="s">
        <v>918</v>
      </c>
      <c r="E46" s="1" t="s">
        <v>918</v>
      </c>
      <c r="F46" s="1" t="s">
        <v>918</v>
      </c>
      <c r="G46" s="1" t="s">
        <v>918</v>
      </c>
      <c r="H46" s="1" t="s">
        <v>918</v>
      </c>
      <c r="I46" s="1" t="s">
        <v>918</v>
      </c>
      <c r="J46" s="1" t="s">
        <v>918</v>
      </c>
      <c r="K46" s="1" t="s">
        <v>918</v>
      </c>
      <c r="L46" s="1" t="s">
        <v>918</v>
      </c>
      <c r="M46" s="1" t="s">
        <v>918</v>
      </c>
      <c r="N46" s="1" t="s">
        <v>918</v>
      </c>
      <c r="O46" s="1" t="s">
        <v>918</v>
      </c>
      <c r="P46" s="1" t="s">
        <v>918</v>
      </c>
      <c r="Q46" s="1" t="s">
        <v>918</v>
      </c>
      <c r="R46" s="1" t="s">
        <v>918</v>
      </c>
      <c r="S46" s="1" t="s">
        <v>918</v>
      </c>
      <c r="T46" s="1" t="s">
        <v>918</v>
      </c>
      <c r="U46" s="1" t="s">
        <v>918</v>
      </c>
      <c r="V46" s="1" t="s">
        <v>918</v>
      </c>
      <c r="W46" s="1" t="s">
        <v>918</v>
      </c>
      <c r="X46" s="1" t="s">
        <v>918</v>
      </c>
      <c r="Y46" s="1" t="s">
        <v>918</v>
      </c>
      <c r="Z46" s="1" t="s">
        <v>918</v>
      </c>
      <c r="AA46" s="1" t="s">
        <v>918</v>
      </c>
      <c r="AB46" s="1" t="s">
        <v>918</v>
      </c>
      <c r="AC46" s="1" t="s">
        <v>918</v>
      </c>
      <c r="AD46" s="1" t="s">
        <v>918</v>
      </c>
      <c r="AE46" s="1" t="s">
        <v>918</v>
      </c>
      <c r="AF46" s="1" t="s">
        <v>918</v>
      </c>
      <c r="AG46" s="1" t="s">
        <v>918</v>
      </c>
      <c r="AH46" s="1" t="s">
        <v>918</v>
      </c>
      <c r="AI46" s="1" t="s">
        <v>918</v>
      </c>
      <c r="AJ46" s="1" t="s">
        <v>918</v>
      </c>
      <c r="AK46" s="1" t="s">
        <v>918</v>
      </c>
      <c r="AL46" s="1" t="s">
        <v>918</v>
      </c>
      <c r="AM46" s="1" t="s">
        <v>918</v>
      </c>
      <c r="AN46" s="1" t="s">
        <v>918</v>
      </c>
      <c r="AO46" s="1" t="s">
        <v>918</v>
      </c>
      <c r="AP46" s="1" t="s">
        <v>918</v>
      </c>
      <c r="AQ46" s="1" t="s">
        <v>918</v>
      </c>
      <c r="AR46" s="1" t="s">
        <v>918</v>
      </c>
      <c r="AS46" s="1" t="s">
        <v>918</v>
      </c>
      <c r="AT46" s="1" t="s">
        <v>918</v>
      </c>
      <c r="AU46" s="1" t="s">
        <v>918</v>
      </c>
      <c r="AV46" s="1" t="s">
        <v>918</v>
      </c>
      <c r="AW46" s="1" t="s">
        <v>918</v>
      </c>
      <c r="AX46" s="1" t="s">
        <v>918</v>
      </c>
      <c r="AY46" s="1" t="s">
        <v>918</v>
      </c>
      <c r="AZ46" s="1" t="s">
        <v>918</v>
      </c>
      <c r="BA46" s="1" t="s">
        <v>918</v>
      </c>
      <c r="BB46" s="1" t="s">
        <v>918</v>
      </c>
      <c r="BC46" s="1" t="s">
        <v>918</v>
      </c>
      <c r="BD46" s="1" t="s">
        <v>918</v>
      </c>
      <c r="BE46" s="1" t="s">
        <v>918</v>
      </c>
      <c r="BF46" s="1" t="s">
        <v>918</v>
      </c>
      <c r="BG46" s="1" t="s">
        <v>918</v>
      </c>
      <c r="BH46" s="1" t="s">
        <v>918</v>
      </c>
      <c r="BI46" s="1" t="s">
        <v>918</v>
      </c>
      <c r="BJ46" s="1" t="s">
        <v>918</v>
      </c>
      <c r="BK46" s="1" t="s">
        <v>918</v>
      </c>
      <c r="BL46" s="1" t="s">
        <v>918</v>
      </c>
      <c r="BM46" s="1" t="s">
        <v>918</v>
      </c>
      <c r="BN46" s="1" t="s">
        <v>918</v>
      </c>
      <c r="BO46" s="1" t="s">
        <v>918</v>
      </c>
      <c r="BP46" s="1" t="s">
        <v>918</v>
      </c>
      <c r="BQ46" s="1" t="s">
        <v>918</v>
      </c>
      <c r="BR46" s="1" t="s">
        <v>918</v>
      </c>
      <c r="BS46" s="1" t="s">
        <v>918</v>
      </c>
      <c r="BT46" s="1" t="s">
        <v>918</v>
      </c>
      <c r="BU46" s="1" t="s">
        <v>918</v>
      </c>
      <c r="BV46" s="1" t="s">
        <v>918</v>
      </c>
      <c r="BW46" s="1" t="s">
        <v>918</v>
      </c>
      <c r="BX46" s="1" t="s">
        <v>918</v>
      </c>
      <c r="BY46" s="1" t="s">
        <v>918</v>
      </c>
      <c r="BZ46" s="1" t="s">
        <v>918</v>
      </c>
      <c r="CA46" s="1" t="s">
        <v>918</v>
      </c>
      <c r="CB46" s="1" t="s">
        <v>918</v>
      </c>
      <c r="CC46" s="1" t="s">
        <v>918</v>
      </c>
      <c r="CD46" s="1" t="s">
        <v>918</v>
      </c>
      <c r="CE46" s="1" t="s">
        <v>918</v>
      </c>
      <c r="CF46" s="1" t="s">
        <v>918</v>
      </c>
      <c r="CG46" s="1" t="s">
        <v>918</v>
      </c>
      <c r="CH46" s="1" t="s">
        <v>918</v>
      </c>
      <c r="CI46" s="1" t="s">
        <v>918</v>
      </c>
      <c r="CJ46" s="1" t="s">
        <v>918</v>
      </c>
      <c r="CK46" s="1" t="s">
        <v>918</v>
      </c>
      <c r="CL46" s="1" t="s">
        <v>918</v>
      </c>
      <c r="CM46" s="1" t="s">
        <v>918</v>
      </c>
      <c r="CN46" s="1" t="s">
        <v>918</v>
      </c>
      <c r="CO46" s="1" t="s">
        <v>918</v>
      </c>
      <c r="CP46" s="1" t="s">
        <v>918</v>
      </c>
      <c r="CQ46" s="1" t="s">
        <v>918</v>
      </c>
      <c r="CR46" s="1" t="s">
        <v>918</v>
      </c>
      <c r="CS46" s="1" t="s">
        <v>918</v>
      </c>
      <c r="CT46" s="1" t="s">
        <v>918</v>
      </c>
      <c r="CU46" s="1" t="s">
        <v>918</v>
      </c>
      <c r="CV46" s="1" t="s">
        <v>918</v>
      </c>
      <c r="CW46" s="1" t="s">
        <v>918</v>
      </c>
      <c r="CX46" s="1" t="s">
        <v>918</v>
      </c>
      <c r="CY46" s="1" t="s">
        <v>918</v>
      </c>
      <c r="CZ46" s="1" t="s">
        <v>918</v>
      </c>
      <c r="DA46" s="1" t="s">
        <v>918</v>
      </c>
      <c r="DB46" s="1" t="s">
        <v>918</v>
      </c>
      <c r="DC46" s="1" t="s">
        <v>918</v>
      </c>
      <c r="DD46" s="1" t="s">
        <v>918</v>
      </c>
      <c r="DE46" s="1" t="s">
        <v>918</v>
      </c>
      <c r="DF46" s="1" t="s">
        <v>918</v>
      </c>
      <c r="DG46" s="1" t="s">
        <v>918</v>
      </c>
      <c r="DH46" s="1" t="s">
        <v>918</v>
      </c>
      <c r="DI46" s="1" t="s">
        <v>918</v>
      </c>
      <c r="DJ46" s="1" t="s">
        <v>918</v>
      </c>
      <c r="DK46" s="1" t="s">
        <v>918</v>
      </c>
      <c r="DL46" s="1" t="s">
        <v>918</v>
      </c>
      <c r="DM46" s="1" t="s">
        <v>918</v>
      </c>
      <c r="DN46" s="1" t="s">
        <v>918</v>
      </c>
      <c r="DO46" s="1" t="s">
        <v>918</v>
      </c>
      <c r="DP46" s="1" t="s">
        <v>918</v>
      </c>
      <c r="DQ46" s="1" t="s">
        <v>918</v>
      </c>
      <c r="DR46" s="1" t="s">
        <v>918</v>
      </c>
      <c r="DS46" s="1" t="s">
        <v>918</v>
      </c>
      <c r="DT46" s="1" t="s">
        <v>918</v>
      </c>
      <c r="DU46" s="1" t="s">
        <v>918</v>
      </c>
      <c r="DV46" s="1" t="s">
        <v>918</v>
      </c>
      <c r="DW46" s="1" t="s">
        <v>918</v>
      </c>
      <c r="DX46" s="1" t="s">
        <v>918</v>
      </c>
      <c r="DY46" s="1" t="s">
        <v>918</v>
      </c>
      <c r="DZ46" s="1" t="s">
        <v>918</v>
      </c>
      <c r="EA46" s="1" t="s">
        <v>918</v>
      </c>
      <c r="EB46" s="1" t="s">
        <v>918</v>
      </c>
      <c r="EC46" s="1" t="s">
        <v>918</v>
      </c>
      <c r="ED46" s="1" t="s">
        <v>918</v>
      </c>
      <c r="EE46" s="1" t="s">
        <v>918</v>
      </c>
      <c r="EF46" s="1" t="s">
        <v>918</v>
      </c>
      <c r="EG46" s="1" t="s">
        <v>918</v>
      </c>
      <c r="EH46" s="1" t="s">
        <v>918</v>
      </c>
      <c r="EI46" s="1" t="s">
        <v>918</v>
      </c>
      <c r="EJ46" s="1" t="s">
        <v>918</v>
      </c>
      <c r="EK46" s="1" t="s">
        <v>918</v>
      </c>
      <c r="EL46" s="1" t="s">
        <v>918</v>
      </c>
      <c r="EM46" s="1" t="s">
        <v>918</v>
      </c>
      <c r="EN46" s="1" t="s">
        <v>918</v>
      </c>
      <c r="EO46" s="1" t="s">
        <v>918</v>
      </c>
      <c r="EP46" s="1" t="s">
        <v>918</v>
      </c>
      <c r="EQ46" s="1" t="s">
        <v>918</v>
      </c>
      <c r="ER46" s="1" t="s">
        <v>918</v>
      </c>
      <c r="ES46" s="1" t="s">
        <v>918</v>
      </c>
    </row>
    <row r="47" spans="1:149" x14ac:dyDescent="0.3">
      <c r="A47" s="9" t="s">
        <v>921</v>
      </c>
      <c r="B47" s="1" t="s">
        <v>918</v>
      </c>
      <c r="C47" s="1" t="s">
        <v>918</v>
      </c>
      <c r="D47" s="1" t="s">
        <v>918</v>
      </c>
      <c r="E47" s="1" t="s">
        <v>918</v>
      </c>
      <c r="F47" s="1" t="s">
        <v>918</v>
      </c>
      <c r="G47" s="1" t="s">
        <v>918</v>
      </c>
      <c r="H47" s="1" t="s">
        <v>918</v>
      </c>
      <c r="I47" s="1" t="s">
        <v>918</v>
      </c>
      <c r="J47" s="1" t="s">
        <v>918</v>
      </c>
      <c r="K47" s="1" t="s">
        <v>918</v>
      </c>
      <c r="L47" s="1" t="s">
        <v>918</v>
      </c>
      <c r="M47" s="1" t="s">
        <v>918</v>
      </c>
      <c r="N47" s="1" t="s">
        <v>918</v>
      </c>
      <c r="O47" s="1" t="s">
        <v>918</v>
      </c>
      <c r="P47" s="1" t="s">
        <v>918</v>
      </c>
      <c r="Q47" s="1" t="s">
        <v>918</v>
      </c>
      <c r="R47" s="1" t="s">
        <v>918</v>
      </c>
      <c r="S47" s="1" t="s">
        <v>918</v>
      </c>
      <c r="T47" s="1" t="s">
        <v>918</v>
      </c>
      <c r="U47" s="1" t="s">
        <v>918</v>
      </c>
      <c r="V47" s="1" t="s">
        <v>918</v>
      </c>
      <c r="W47" s="1" t="s">
        <v>918</v>
      </c>
      <c r="X47" s="1" t="s">
        <v>918</v>
      </c>
      <c r="Y47" s="1" t="s">
        <v>918</v>
      </c>
      <c r="Z47" s="1" t="s">
        <v>918</v>
      </c>
      <c r="AA47" s="1" t="s">
        <v>918</v>
      </c>
      <c r="AB47" s="1" t="s">
        <v>918</v>
      </c>
      <c r="AC47" s="1" t="s">
        <v>918</v>
      </c>
      <c r="AD47" s="1" t="s">
        <v>918</v>
      </c>
      <c r="AE47" s="1" t="s">
        <v>918</v>
      </c>
      <c r="AF47" s="1" t="s">
        <v>918</v>
      </c>
      <c r="AG47" s="1" t="s">
        <v>918</v>
      </c>
      <c r="AH47" s="1" t="s">
        <v>918</v>
      </c>
      <c r="AI47" s="1" t="s">
        <v>918</v>
      </c>
      <c r="AJ47" s="1" t="s">
        <v>918</v>
      </c>
      <c r="AK47" s="1" t="s">
        <v>918</v>
      </c>
      <c r="AL47" s="1" t="s">
        <v>918</v>
      </c>
      <c r="AM47" s="1" t="s">
        <v>918</v>
      </c>
      <c r="AN47" s="1" t="s">
        <v>918</v>
      </c>
      <c r="AO47" s="1" t="s">
        <v>918</v>
      </c>
      <c r="AP47" s="1" t="s">
        <v>918</v>
      </c>
      <c r="AQ47" s="1" t="s">
        <v>918</v>
      </c>
      <c r="AR47" s="1" t="s">
        <v>918</v>
      </c>
      <c r="AS47" s="1" t="s">
        <v>918</v>
      </c>
      <c r="AT47" s="1" t="s">
        <v>918</v>
      </c>
      <c r="AU47" s="1" t="s">
        <v>918</v>
      </c>
      <c r="AV47" s="1" t="s">
        <v>918</v>
      </c>
      <c r="AW47" s="1" t="s">
        <v>918</v>
      </c>
      <c r="AX47" s="1" t="s">
        <v>918</v>
      </c>
      <c r="AY47" s="1" t="s">
        <v>918</v>
      </c>
      <c r="AZ47" s="1" t="s">
        <v>918</v>
      </c>
      <c r="BA47" s="1" t="s">
        <v>918</v>
      </c>
      <c r="BB47" s="1" t="s">
        <v>918</v>
      </c>
      <c r="BC47" s="1" t="s">
        <v>918</v>
      </c>
      <c r="BD47" s="1" t="s">
        <v>918</v>
      </c>
      <c r="BE47" s="1" t="s">
        <v>918</v>
      </c>
      <c r="BF47" s="1" t="s">
        <v>918</v>
      </c>
      <c r="BG47" s="1" t="s">
        <v>918</v>
      </c>
      <c r="BH47" s="1" t="s">
        <v>918</v>
      </c>
      <c r="BI47" s="1" t="s">
        <v>918</v>
      </c>
      <c r="BJ47" s="1" t="s">
        <v>918</v>
      </c>
      <c r="BK47" s="1" t="s">
        <v>918</v>
      </c>
      <c r="BL47" s="1" t="s">
        <v>918</v>
      </c>
      <c r="BM47" s="1" t="s">
        <v>918</v>
      </c>
      <c r="BN47" s="1" t="s">
        <v>918</v>
      </c>
      <c r="BO47" s="1" t="s">
        <v>918</v>
      </c>
      <c r="BP47" s="1" t="s">
        <v>918</v>
      </c>
      <c r="BQ47" s="1" t="s">
        <v>918</v>
      </c>
      <c r="BR47" s="1" t="s">
        <v>918</v>
      </c>
      <c r="BS47" s="1" t="s">
        <v>918</v>
      </c>
      <c r="BT47" s="1" t="s">
        <v>918</v>
      </c>
      <c r="BU47" s="1" t="s">
        <v>918</v>
      </c>
      <c r="BV47" s="1" t="s">
        <v>918</v>
      </c>
      <c r="BW47" s="1" t="s">
        <v>918</v>
      </c>
      <c r="BX47" s="1" t="s">
        <v>918</v>
      </c>
      <c r="BY47" s="1" t="s">
        <v>918</v>
      </c>
      <c r="BZ47" s="1" t="s">
        <v>918</v>
      </c>
      <c r="CA47" s="1" t="s">
        <v>918</v>
      </c>
      <c r="CB47" s="1" t="s">
        <v>918</v>
      </c>
      <c r="CC47" s="1" t="s">
        <v>918</v>
      </c>
      <c r="CD47" s="1" t="s">
        <v>918</v>
      </c>
      <c r="CE47" s="1" t="s">
        <v>918</v>
      </c>
      <c r="CF47" s="1" t="s">
        <v>918</v>
      </c>
      <c r="CG47" s="1" t="s">
        <v>918</v>
      </c>
      <c r="CH47" s="1" t="s">
        <v>918</v>
      </c>
      <c r="CI47" s="1" t="s">
        <v>918</v>
      </c>
      <c r="CJ47" s="1" t="s">
        <v>918</v>
      </c>
      <c r="CK47" s="1" t="s">
        <v>918</v>
      </c>
      <c r="CL47" s="1" t="s">
        <v>918</v>
      </c>
      <c r="CM47" s="1" t="s">
        <v>918</v>
      </c>
      <c r="CN47" s="1" t="s">
        <v>918</v>
      </c>
      <c r="CO47" s="1" t="s">
        <v>918</v>
      </c>
      <c r="CP47" s="1" t="s">
        <v>918</v>
      </c>
      <c r="CQ47" s="1" t="s">
        <v>918</v>
      </c>
      <c r="CR47" s="1" t="s">
        <v>918</v>
      </c>
      <c r="CS47" s="1" t="s">
        <v>918</v>
      </c>
      <c r="CT47" s="1" t="s">
        <v>918</v>
      </c>
      <c r="CU47" s="1" t="s">
        <v>918</v>
      </c>
      <c r="CV47" s="1" t="s">
        <v>918</v>
      </c>
      <c r="CW47" s="1" t="s">
        <v>918</v>
      </c>
      <c r="CX47" s="1" t="s">
        <v>918</v>
      </c>
      <c r="CY47" s="1" t="s">
        <v>918</v>
      </c>
      <c r="CZ47" s="1" t="s">
        <v>918</v>
      </c>
      <c r="DA47" s="1" t="s">
        <v>918</v>
      </c>
      <c r="DB47" s="1" t="s">
        <v>918</v>
      </c>
      <c r="DC47" s="1" t="s">
        <v>918</v>
      </c>
      <c r="DD47" s="1" t="s">
        <v>918</v>
      </c>
      <c r="DE47" s="1" t="s">
        <v>918</v>
      </c>
      <c r="DF47" s="1" t="s">
        <v>918</v>
      </c>
      <c r="DG47" s="1" t="s">
        <v>918</v>
      </c>
      <c r="DH47" s="1" t="s">
        <v>918</v>
      </c>
      <c r="DI47" s="1" t="s">
        <v>918</v>
      </c>
      <c r="DJ47" s="1" t="s">
        <v>918</v>
      </c>
      <c r="DK47" s="1" t="s">
        <v>918</v>
      </c>
      <c r="DL47" s="1" t="s">
        <v>918</v>
      </c>
      <c r="DM47" s="1" t="s">
        <v>918</v>
      </c>
      <c r="DN47" s="1" t="s">
        <v>918</v>
      </c>
      <c r="DO47" s="1" t="s">
        <v>918</v>
      </c>
      <c r="DP47" s="1" t="s">
        <v>918</v>
      </c>
      <c r="DQ47" s="1" t="s">
        <v>918</v>
      </c>
      <c r="DR47" s="1" t="s">
        <v>918</v>
      </c>
      <c r="DS47" s="1" t="s">
        <v>918</v>
      </c>
      <c r="DT47" s="1" t="s">
        <v>918</v>
      </c>
      <c r="DU47" s="1" t="s">
        <v>918</v>
      </c>
      <c r="DV47" s="1" t="s">
        <v>918</v>
      </c>
      <c r="DW47" s="1" t="s">
        <v>918</v>
      </c>
      <c r="DX47" s="1" t="s">
        <v>918</v>
      </c>
      <c r="DY47" s="1" t="s">
        <v>918</v>
      </c>
      <c r="DZ47" s="1" t="s">
        <v>918</v>
      </c>
      <c r="EA47" s="1" t="s">
        <v>918</v>
      </c>
      <c r="EB47" s="1" t="s">
        <v>918</v>
      </c>
      <c r="EC47" s="1" t="s">
        <v>918</v>
      </c>
      <c r="ED47" s="1" t="s">
        <v>918</v>
      </c>
      <c r="EE47" s="1" t="s">
        <v>918</v>
      </c>
      <c r="EF47" s="1" t="s">
        <v>918</v>
      </c>
      <c r="EG47" s="1" t="s">
        <v>918</v>
      </c>
      <c r="EH47" s="1" t="s">
        <v>918</v>
      </c>
      <c r="EI47" s="1" t="s">
        <v>918</v>
      </c>
      <c r="EJ47" s="1" t="s">
        <v>918</v>
      </c>
      <c r="EK47" s="1" t="s">
        <v>918</v>
      </c>
      <c r="EL47" s="1" t="s">
        <v>918</v>
      </c>
      <c r="EM47" s="1" t="s">
        <v>918</v>
      </c>
      <c r="EN47" s="1" t="s">
        <v>918</v>
      </c>
      <c r="EO47" s="1" t="s">
        <v>918</v>
      </c>
      <c r="EP47" s="1" t="s">
        <v>918</v>
      </c>
      <c r="EQ47" s="1" t="s">
        <v>918</v>
      </c>
      <c r="ER47" s="1" t="s">
        <v>918</v>
      </c>
      <c r="ES47" s="1" t="s">
        <v>918</v>
      </c>
    </row>
    <row r="48" spans="1:149" x14ac:dyDescent="0.3">
      <c r="A48" s="8" t="s">
        <v>922</v>
      </c>
      <c r="B48" s="1">
        <f>942*(1)</f>
        <v>942</v>
      </c>
      <c r="C48" s="1" t="s">
        <v>923</v>
      </c>
      <c r="D48" s="1">
        <f>0.009*(1)</f>
        <v>8.9999999999999993E-3</v>
      </c>
      <c r="E48" s="1" t="s">
        <v>111</v>
      </c>
      <c r="F48" s="1">
        <f>362*(1)</f>
        <v>362</v>
      </c>
      <c r="G48" s="1" t="s">
        <v>392</v>
      </c>
      <c r="H48" s="1">
        <f>0.004*(1)</f>
        <v>4.0000000000000001E-3</v>
      </c>
      <c r="I48" s="1" t="s">
        <v>92</v>
      </c>
      <c r="J48" s="1">
        <f>153*(1)</f>
        <v>153</v>
      </c>
      <c r="K48" s="1" t="s">
        <v>924</v>
      </c>
      <c r="L48" s="1">
        <f>0.002*(1)</f>
        <v>2E-3</v>
      </c>
      <c r="M48" s="1" t="s">
        <v>92</v>
      </c>
      <c r="N48" s="1">
        <f>16594*(1)</f>
        <v>16594</v>
      </c>
      <c r="O48" s="1" t="s">
        <v>925</v>
      </c>
      <c r="P48" s="1">
        <f>0.043*(1)</f>
        <v>4.2999999999999997E-2</v>
      </c>
      <c r="Q48" s="1" t="s">
        <v>92</v>
      </c>
      <c r="R48" s="1">
        <f>991*(1)</f>
        <v>991</v>
      </c>
      <c r="S48" s="1" t="s">
        <v>762</v>
      </c>
      <c r="T48" s="1">
        <f>0.007*(1)</f>
        <v>7.0000000000000001E-3</v>
      </c>
      <c r="U48" s="1" t="s">
        <v>111</v>
      </c>
      <c r="V48" s="1">
        <f>2265*(1)</f>
        <v>2265</v>
      </c>
      <c r="W48" s="1" t="s">
        <v>414</v>
      </c>
      <c r="X48" s="1">
        <f>0.011*(1)</f>
        <v>1.0999999999999999E-2</v>
      </c>
      <c r="Y48" s="1" t="s">
        <v>92</v>
      </c>
      <c r="Z48" s="1">
        <f>211*(1)</f>
        <v>211</v>
      </c>
      <c r="AA48" s="1" t="s">
        <v>926</v>
      </c>
      <c r="AB48" s="1">
        <f>0.002*(1)</f>
        <v>2E-3</v>
      </c>
      <c r="AC48" s="1" t="s">
        <v>111</v>
      </c>
      <c r="AD48" s="1">
        <f>40500*(1)</f>
        <v>40500</v>
      </c>
      <c r="AE48" s="1" t="s">
        <v>927</v>
      </c>
      <c r="AF48" s="1">
        <f>0.032*(1)</f>
        <v>3.2000000000000001E-2</v>
      </c>
      <c r="AG48" s="1" t="s">
        <v>111</v>
      </c>
      <c r="AH48" s="1">
        <f>16259*(1)</f>
        <v>16259</v>
      </c>
      <c r="AI48" s="1" t="s">
        <v>928</v>
      </c>
      <c r="AJ48" s="1">
        <f>0.074*(1)</f>
        <v>7.3999999999999996E-2</v>
      </c>
      <c r="AK48" s="1" t="s">
        <v>90</v>
      </c>
      <c r="AL48" s="1">
        <f>618*(1)</f>
        <v>618</v>
      </c>
      <c r="AM48" s="1" t="s">
        <v>929</v>
      </c>
      <c r="AN48" s="1">
        <f>0.008*(1)</f>
        <v>8.0000000000000002E-3</v>
      </c>
      <c r="AO48" s="1" t="s">
        <v>111</v>
      </c>
      <c r="AP48" s="1">
        <f>3887*(1)</f>
        <v>3887</v>
      </c>
      <c r="AQ48" s="1" t="s">
        <v>930</v>
      </c>
      <c r="AR48" s="1">
        <f>0.024*(1)</f>
        <v>2.4E-2</v>
      </c>
      <c r="AS48" s="1" t="s">
        <v>90</v>
      </c>
      <c r="AT48" s="1">
        <f>69283*(1)</f>
        <v>69283</v>
      </c>
      <c r="AU48" s="1" t="s">
        <v>931</v>
      </c>
      <c r="AV48" s="1">
        <f>0.052*(1)</f>
        <v>5.1999999999999998E-2</v>
      </c>
      <c r="AW48" s="1" t="s">
        <v>111</v>
      </c>
      <c r="AX48" s="1">
        <f>262*(1)</f>
        <v>262</v>
      </c>
      <c r="AY48" s="1" t="s">
        <v>373</v>
      </c>
      <c r="AZ48" s="1">
        <f>0.003*(1)</f>
        <v>3.0000000000000001E-3</v>
      </c>
      <c r="BA48" s="1" t="s">
        <v>92</v>
      </c>
      <c r="BB48" s="1">
        <f>5417*(1)</f>
        <v>5417</v>
      </c>
      <c r="BC48" s="1" t="s">
        <v>932</v>
      </c>
      <c r="BD48" s="1">
        <f>0.032*(1)</f>
        <v>3.2000000000000001E-2</v>
      </c>
      <c r="BE48" s="1" t="s">
        <v>92</v>
      </c>
      <c r="BF48" s="1">
        <f>22824*(1)</f>
        <v>22824</v>
      </c>
      <c r="BG48" s="1" t="s">
        <v>933</v>
      </c>
      <c r="BH48" s="1">
        <f>0.028*(1)</f>
        <v>2.8000000000000001E-2</v>
      </c>
      <c r="BI48" s="1" t="s">
        <v>111</v>
      </c>
      <c r="BJ48" s="1">
        <f>1273*(1)</f>
        <v>1273</v>
      </c>
      <c r="BK48" s="1" t="s">
        <v>526</v>
      </c>
      <c r="BL48" s="1">
        <f>0.017*(1)</f>
        <v>1.7000000000000001E-2</v>
      </c>
      <c r="BM48" s="1" t="s">
        <v>120</v>
      </c>
      <c r="BN48" s="1">
        <f>3455*(1)</f>
        <v>3455</v>
      </c>
      <c r="BO48" s="1" t="s">
        <v>934</v>
      </c>
      <c r="BP48" s="1">
        <f>0.015*(1)</f>
        <v>1.4999999999999999E-2</v>
      </c>
      <c r="BQ48" s="1" t="s">
        <v>111</v>
      </c>
      <c r="BR48" s="1">
        <f>5905*(1)</f>
        <v>5905</v>
      </c>
      <c r="BS48" s="1" t="s">
        <v>726</v>
      </c>
      <c r="BT48" s="1">
        <f>0.033*(1)</f>
        <v>3.3000000000000002E-2</v>
      </c>
      <c r="BU48" s="1" t="s">
        <v>92</v>
      </c>
      <c r="BV48" s="1">
        <f>4089*(1)</f>
        <v>4089</v>
      </c>
      <c r="BW48" s="1" t="s">
        <v>935</v>
      </c>
      <c r="BX48" s="1">
        <f>0.013*(1)</f>
        <v>1.2999999999999999E-2</v>
      </c>
      <c r="BY48" s="1" t="s">
        <v>92</v>
      </c>
      <c r="BZ48" s="1">
        <f>6998*(1)</f>
        <v>6998</v>
      </c>
      <c r="CA48" s="1" t="s">
        <v>936</v>
      </c>
      <c r="CB48" s="1">
        <f>0.016*(1)</f>
        <v>1.6E-2</v>
      </c>
      <c r="CC48" s="1" t="s">
        <v>111</v>
      </c>
      <c r="CD48" s="1">
        <f>1991*(1)</f>
        <v>1991</v>
      </c>
      <c r="CE48" s="1" t="s">
        <v>289</v>
      </c>
      <c r="CF48" s="1">
        <f>0.009*(1)</f>
        <v>8.9999999999999993E-3</v>
      </c>
      <c r="CG48" s="1" t="s">
        <v>92</v>
      </c>
      <c r="CH48" s="1">
        <f>373*(1)</f>
        <v>373</v>
      </c>
      <c r="CI48" s="1" t="s">
        <v>573</v>
      </c>
      <c r="CJ48" s="1">
        <f>0.006*(1)</f>
        <v>6.0000000000000001E-3</v>
      </c>
      <c r="CK48" s="1" t="s">
        <v>111</v>
      </c>
      <c r="CL48" s="1">
        <f>2832*(1)</f>
        <v>2832</v>
      </c>
      <c r="CM48" s="1" t="s">
        <v>306</v>
      </c>
      <c r="CN48" s="1">
        <f>0.015*(1)</f>
        <v>1.4999999999999999E-2</v>
      </c>
      <c r="CO48" s="1" t="s">
        <v>92</v>
      </c>
      <c r="CP48" s="1">
        <f>1880*(1)</f>
        <v>1880</v>
      </c>
      <c r="CQ48" s="1" t="s">
        <v>416</v>
      </c>
      <c r="CR48" s="1">
        <f>0.017*(1)</f>
        <v>1.7000000000000001E-2</v>
      </c>
      <c r="CS48" s="1" t="s">
        <v>94</v>
      </c>
      <c r="CT48" s="1">
        <f>12233*(1)</f>
        <v>12233</v>
      </c>
      <c r="CU48" s="1" t="s">
        <v>937</v>
      </c>
      <c r="CV48" s="1">
        <f>0.023*(1)</f>
        <v>2.3E-2</v>
      </c>
      <c r="CW48" s="1" t="s">
        <v>96</v>
      </c>
      <c r="CX48" s="1">
        <f>0*(1)</f>
        <v>0</v>
      </c>
      <c r="CY48" s="1" t="s">
        <v>723</v>
      </c>
      <c r="CZ48" s="1">
        <f>0*(1)</f>
        <v>0</v>
      </c>
      <c r="DA48" s="1" t="s">
        <v>111</v>
      </c>
      <c r="DB48" s="1">
        <f>2755*(1)</f>
        <v>2755</v>
      </c>
      <c r="DC48" s="1" t="s">
        <v>274</v>
      </c>
      <c r="DD48" s="1">
        <f>0.017*(1)</f>
        <v>1.7000000000000001E-2</v>
      </c>
      <c r="DE48" s="1" t="s">
        <v>94</v>
      </c>
      <c r="DF48" s="1">
        <f>1320*(1)</f>
        <v>1320</v>
      </c>
      <c r="DG48" s="1" t="s">
        <v>938</v>
      </c>
      <c r="DH48" s="1">
        <f>0.011*(1)</f>
        <v>1.0999999999999999E-2</v>
      </c>
      <c r="DI48" s="1" t="s">
        <v>96</v>
      </c>
      <c r="DJ48" s="1">
        <f>398*(1)</f>
        <v>398</v>
      </c>
      <c r="DK48" s="1" t="s">
        <v>939</v>
      </c>
      <c r="DL48" s="1">
        <f>0.005*(1)</f>
        <v>5.0000000000000001E-3</v>
      </c>
      <c r="DM48" s="1" t="s">
        <v>120</v>
      </c>
      <c r="DN48" s="1">
        <f>262*(1)</f>
        <v>262</v>
      </c>
      <c r="DO48" s="1" t="s">
        <v>940</v>
      </c>
      <c r="DP48" s="1">
        <f>0.004*(1)</f>
        <v>4.0000000000000001E-3</v>
      </c>
      <c r="DQ48" s="1" t="s">
        <v>96</v>
      </c>
      <c r="DR48" s="1">
        <f>3046*(1)</f>
        <v>3046</v>
      </c>
      <c r="DS48" s="1" t="s">
        <v>420</v>
      </c>
      <c r="DT48" s="1">
        <f>0.008*(1)</f>
        <v>8.0000000000000002E-3</v>
      </c>
      <c r="DU48" s="1" t="s">
        <v>111</v>
      </c>
      <c r="DV48" s="1">
        <f>22096*(1)</f>
        <v>22096</v>
      </c>
      <c r="DW48" s="1" t="s">
        <v>941</v>
      </c>
      <c r="DX48" s="1">
        <f>0.041*(1)</f>
        <v>4.1000000000000002E-2</v>
      </c>
      <c r="DY48" s="1" t="s">
        <v>92</v>
      </c>
      <c r="DZ48" s="1">
        <f>1283*(1)</f>
        <v>1283</v>
      </c>
      <c r="EA48" s="1" t="s">
        <v>942</v>
      </c>
      <c r="EB48" s="1">
        <f>0.006*(1)</f>
        <v>6.0000000000000001E-3</v>
      </c>
      <c r="EC48" s="1" t="s">
        <v>111</v>
      </c>
      <c r="ED48" s="1">
        <f>174*(1)</f>
        <v>174</v>
      </c>
      <c r="EE48" s="1" t="s">
        <v>943</v>
      </c>
      <c r="EF48" s="1">
        <f>0.002*(1)</f>
        <v>2E-3</v>
      </c>
      <c r="EG48" s="1" t="s">
        <v>99</v>
      </c>
      <c r="EH48" s="1">
        <f>15235*(1)</f>
        <v>15235</v>
      </c>
      <c r="EI48" s="1" t="s">
        <v>550</v>
      </c>
      <c r="EJ48" s="1">
        <f>0.062*(1)</f>
        <v>6.2E-2</v>
      </c>
      <c r="EK48" s="1" t="s">
        <v>120</v>
      </c>
      <c r="EL48" s="1">
        <f>1421*(1)</f>
        <v>1421</v>
      </c>
      <c r="EM48" s="1" t="s">
        <v>778</v>
      </c>
      <c r="EN48" s="1">
        <f>0.012*(1)</f>
        <v>1.2E-2</v>
      </c>
      <c r="EO48" s="1" t="s">
        <v>99</v>
      </c>
      <c r="EP48" s="1">
        <f>2798*(1)</f>
        <v>2798</v>
      </c>
      <c r="EQ48" s="1" t="s">
        <v>944</v>
      </c>
      <c r="ER48" s="1">
        <f>0.021*(1)</f>
        <v>2.1000000000000001E-2</v>
      </c>
      <c r="ES48" s="1" t="s">
        <v>111</v>
      </c>
    </row>
    <row r="49" spans="1:149" x14ac:dyDescent="0.3">
      <c r="A49" s="9" t="s">
        <v>945</v>
      </c>
      <c r="B49" s="1" t="s">
        <v>918</v>
      </c>
      <c r="C49" s="1" t="s">
        <v>918</v>
      </c>
      <c r="D49" s="1" t="s">
        <v>918</v>
      </c>
      <c r="E49" s="1" t="s">
        <v>918</v>
      </c>
      <c r="F49" s="1" t="s">
        <v>918</v>
      </c>
      <c r="G49" s="1" t="s">
        <v>918</v>
      </c>
      <c r="H49" s="1" t="s">
        <v>918</v>
      </c>
      <c r="I49" s="1" t="s">
        <v>918</v>
      </c>
      <c r="J49" s="1" t="s">
        <v>918</v>
      </c>
      <c r="K49" s="1" t="s">
        <v>918</v>
      </c>
      <c r="L49" s="1" t="s">
        <v>918</v>
      </c>
      <c r="M49" s="1" t="s">
        <v>918</v>
      </c>
      <c r="N49" s="1">
        <f>2784*(1)</f>
        <v>2784</v>
      </c>
      <c r="O49" s="1" t="s">
        <v>946</v>
      </c>
      <c r="P49" s="1">
        <f>0.007*(1)</f>
        <v>7.0000000000000001E-3</v>
      </c>
      <c r="Q49" s="1" t="s">
        <v>96</v>
      </c>
      <c r="R49" s="1" t="s">
        <v>918</v>
      </c>
      <c r="S49" s="1" t="s">
        <v>918</v>
      </c>
      <c r="T49" s="1" t="s">
        <v>918</v>
      </c>
      <c r="U49" s="1" t="s">
        <v>918</v>
      </c>
      <c r="V49" s="1" t="s">
        <v>918</v>
      </c>
      <c r="W49" s="1" t="s">
        <v>918</v>
      </c>
      <c r="X49" s="1" t="s">
        <v>918</v>
      </c>
      <c r="Y49" s="1" t="s">
        <v>918</v>
      </c>
      <c r="Z49" s="1" t="s">
        <v>918</v>
      </c>
      <c r="AA49" s="1" t="s">
        <v>918</v>
      </c>
      <c r="AB49" s="1" t="s">
        <v>918</v>
      </c>
      <c r="AC49" s="1" t="s">
        <v>918</v>
      </c>
      <c r="AD49" s="1">
        <f>15087*(1)</f>
        <v>15087</v>
      </c>
      <c r="AE49" s="1" t="s">
        <v>947</v>
      </c>
      <c r="AF49" s="1">
        <f>0.012*(1)</f>
        <v>1.2E-2</v>
      </c>
      <c r="AG49" s="1" t="s">
        <v>111</v>
      </c>
      <c r="AH49" s="1">
        <f>8004*(1)</f>
        <v>8004</v>
      </c>
      <c r="AI49" s="1" t="s">
        <v>948</v>
      </c>
      <c r="AJ49" s="1">
        <f>0.036*(1)</f>
        <v>3.5999999999999997E-2</v>
      </c>
      <c r="AK49" s="1" t="s">
        <v>109</v>
      </c>
      <c r="AL49" s="1" t="s">
        <v>918</v>
      </c>
      <c r="AM49" s="1" t="s">
        <v>918</v>
      </c>
      <c r="AN49" s="1" t="s">
        <v>918</v>
      </c>
      <c r="AO49" s="1" t="s">
        <v>918</v>
      </c>
      <c r="AP49" s="1" t="s">
        <v>918</v>
      </c>
      <c r="AQ49" s="1" t="s">
        <v>918</v>
      </c>
      <c r="AR49" s="1" t="s">
        <v>918</v>
      </c>
      <c r="AS49" s="1" t="s">
        <v>918</v>
      </c>
      <c r="AT49" s="1">
        <f>21765*(1)</f>
        <v>21765</v>
      </c>
      <c r="AU49" s="1" t="s">
        <v>949</v>
      </c>
      <c r="AV49" s="1">
        <f>0.016*(1)</f>
        <v>1.6E-2</v>
      </c>
      <c r="AW49" s="1" t="s">
        <v>92</v>
      </c>
      <c r="AX49" s="1" t="s">
        <v>918</v>
      </c>
      <c r="AY49" s="1" t="s">
        <v>918</v>
      </c>
      <c r="AZ49" s="1" t="s">
        <v>918</v>
      </c>
      <c r="BA49" s="1" t="s">
        <v>918</v>
      </c>
      <c r="BB49" s="1">
        <f>2177*(1)</f>
        <v>2177</v>
      </c>
      <c r="BC49" s="1" t="s">
        <v>950</v>
      </c>
      <c r="BD49" s="1">
        <f>0.013*(1)</f>
        <v>1.2999999999999999E-2</v>
      </c>
      <c r="BE49" s="1" t="s">
        <v>90</v>
      </c>
      <c r="BF49" s="1">
        <f>6198*(1)</f>
        <v>6198</v>
      </c>
      <c r="BG49" s="1" t="s">
        <v>951</v>
      </c>
      <c r="BH49" s="1">
        <f>0.008*(1)</f>
        <v>8.0000000000000002E-3</v>
      </c>
      <c r="BI49" s="1" t="s">
        <v>111</v>
      </c>
      <c r="BJ49" s="1" t="s">
        <v>918</v>
      </c>
      <c r="BK49" s="1" t="s">
        <v>918</v>
      </c>
      <c r="BL49" s="1" t="s">
        <v>918</v>
      </c>
      <c r="BM49" s="1" t="s">
        <v>918</v>
      </c>
      <c r="BN49" s="1" t="s">
        <v>918</v>
      </c>
      <c r="BO49" s="1" t="s">
        <v>918</v>
      </c>
      <c r="BP49" s="1" t="s">
        <v>918</v>
      </c>
      <c r="BQ49" s="1" t="s">
        <v>918</v>
      </c>
      <c r="BR49" s="1">
        <f>1789*(1)</f>
        <v>1789</v>
      </c>
      <c r="BS49" s="1" t="s">
        <v>952</v>
      </c>
      <c r="BT49" s="1">
        <f>0.01*(1)</f>
        <v>0.01</v>
      </c>
      <c r="BU49" s="1" t="s">
        <v>87</v>
      </c>
      <c r="BV49" s="1">
        <f>1467*(1)</f>
        <v>1467</v>
      </c>
      <c r="BW49" s="1" t="s">
        <v>953</v>
      </c>
      <c r="BX49" s="1">
        <f>0.005*(1)</f>
        <v>5.0000000000000001E-3</v>
      </c>
      <c r="BY49" s="1" t="s">
        <v>92</v>
      </c>
      <c r="BZ49" s="1">
        <f>2164*(1)</f>
        <v>2164</v>
      </c>
      <c r="CA49" s="1" t="s">
        <v>954</v>
      </c>
      <c r="CB49" s="1">
        <f>0.005*(1)</f>
        <v>5.0000000000000001E-3</v>
      </c>
      <c r="CC49" s="1" t="s">
        <v>111</v>
      </c>
      <c r="CD49" s="1" t="s">
        <v>918</v>
      </c>
      <c r="CE49" s="1" t="s">
        <v>918</v>
      </c>
      <c r="CF49" s="1" t="s">
        <v>918</v>
      </c>
      <c r="CG49" s="1" t="s">
        <v>918</v>
      </c>
      <c r="CH49" s="1" t="s">
        <v>918</v>
      </c>
      <c r="CI49" s="1" t="s">
        <v>918</v>
      </c>
      <c r="CJ49" s="1" t="s">
        <v>918</v>
      </c>
      <c r="CK49" s="1" t="s">
        <v>918</v>
      </c>
      <c r="CL49" s="1">
        <f>1533*(1)</f>
        <v>1533</v>
      </c>
      <c r="CM49" s="1" t="s">
        <v>955</v>
      </c>
      <c r="CN49" s="1">
        <f>0.008*(1)</f>
        <v>8.0000000000000002E-3</v>
      </c>
      <c r="CO49" s="1" t="s">
        <v>96</v>
      </c>
      <c r="CP49" s="1" t="s">
        <v>918</v>
      </c>
      <c r="CQ49" s="1" t="s">
        <v>918</v>
      </c>
      <c r="CR49" s="1" t="s">
        <v>918</v>
      </c>
      <c r="CS49" s="1" t="s">
        <v>918</v>
      </c>
      <c r="CT49" s="1">
        <f>3836*(1)</f>
        <v>3836</v>
      </c>
      <c r="CU49" s="1" t="s">
        <v>952</v>
      </c>
      <c r="CV49" s="1">
        <f>0.007*(1)</f>
        <v>7.0000000000000001E-3</v>
      </c>
      <c r="CW49" s="1" t="s">
        <v>92</v>
      </c>
      <c r="CX49" s="1" t="s">
        <v>918</v>
      </c>
      <c r="CY49" s="1" t="s">
        <v>918</v>
      </c>
      <c r="CZ49" s="1" t="s">
        <v>918</v>
      </c>
      <c r="DA49" s="1" t="s">
        <v>918</v>
      </c>
      <c r="DB49" s="1" t="s">
        <v>918</v>
      </c>
      <c r="DC49" s="1" t="s">
        <v>918</v>
      </c>
      <c r="DD49" s="1" t="s">
        <v>918</v>
      </c>
      <c r="DE49" s="1" t="s">
        <v>918</v>
      </c>
      <c r="DF49" s="1" t="s">
        <v>918</v>
      </c>
      <c r="DG49" s="1" t="s">
        <v>918</v>
      </c>
      <c r="DH49" s="1" t="s">
        <v>918</v>
      </c>
      <c r="DI49" s="1" t="s">
        <v>918</v>
      </c>
      <c r="DJ49" s="1" t="s">
        <v>918</v>
      </c>
      <c r="DK49" s="1" t="s">
        <v>918</v>
      </c>
      <c r="DL49" s="1" t="s">
        <v>918</v>
      </c>
      <c r="DM49" s="1" t="s">
        <v>918</v>
      </c>
      <c r="DN49" s="1" t="s">
        <v>918</v>
      </c>
      <c r="DO49" s="1" t="s">
        <v>918</v>
      </c>
      <c r="DP49" s="1" t="s">
        <v>918</v>
      </c>
      <c r="DQ49" s="1" t="s">
        <v>918</v>
      </c>
      <c r="DR49" s="1" t="s">
        <v>918</v>
      </c>
      <c r="DS49" s="1" t="s">
        <v>918</v>
      </c>
      <c r="DT49" s="1" t="s">
        <v>918</v>
      </c>
      <c r="DU49" s="1" t="s">
        <v>918</v>
      </c>
      <c r="DV49" s="1">
        <f>5605*(1)</f>
        <v>5605</v>
      </c>
      <c r="DW49" s="1" t="s">
        <v>956</v>
      </c>
      <c r="DX49" s="1">
        <f>0.01*(1)</f>
        <v>0.01</v>
      </c>
      <c r="DY49" s="1" t="s">
        <v>96</v>
      </c>
      <c r="DZ49" s="1" t="s">
        <v>918</v>
      </c>
      <c r="EA49" s="1" t="s">
        <v>918</v>
      </c>
      <c r="EB49" s="1" t="s">
        <v>918</v>
      </c>
      <c r="EC49" s="1" t="s">
        <v>918</v>
      </c>
      <c r="ED49" s="1" t="s">
        <v>918</v>
      </c>
      <c r="EE49" s="1" t="s">
        <v>918</v>
      </c>
      <c r="EF49" s="1" t="s">
        <v>918</v>
      </c>
      <c r="EG49" s="1" t="s">
        <v>918</v>
      </c>
      <c r="EH49" s="1">
        <f>8208*(1)</f>
        <v>8208</v>
      </c>
      <c r="EI49" s="1" t="s">
        <v>957</v>
      </c>
      <c r="EJ49" s="1">
        <f>0.033*(1)</f>
        <v>3.3000000000000002E-2</v>
      </c>
      <c r="EK49" s="1" t="s">
        <v>87</v>
      </c>
      <c r="EL49" s="1" t="s">
        <v>918</v>
      </c>
      <c r="EM49" s="1" t="s">
        <v>918</v>
      </c>
      <c r="EN49" s="1" t="s">
        <v>918</v>
      </c>
      <c r="EO49" s="1" t="s">
        <v>918</v>
      </c>
      <c r="EP49" s="1" t="s">
        <v>918</v>
      </c>
      <c r="EQ49" s="1" t="s">
        <v>918</v>
      </c>
      <c r="ER49" s="1" t="s">
        <v>918</v>
      </c>
      <c r="ES49" s="1" t="s">
        <v>918</v>
      </c>
    </row>
    <row r="50" spans="1:149" x14ac:dyDescent="0.3">
      <c r="A50" s="9" t="s">
        <v>958</v>
      </c>
      <c r="B50" s="1" t="s">
        <v>918</v>
      </c>
      <c r="C50" s="1" t="s">
        <v>918</v>
      </c>
      <c r="D50" s="1" t="s">
        <v>918</v>
      </c>
      <c r="E50" s="1" t="s">
        <v>918</v>
      </c>
      <c r="F50" s="1" t="s">
        <v>918</v>
      </c>
      <c r="G50" s="1" t="s">
        <v>918</v>
      </c>
      <c r="H50" s="1" t="s">
        <v>918</v>
      </c>
      <c r="I50" s="1" t="s">
        <v>918</v>
      </c>
      <c r="J50" s="1" t="s">
        <v>918</v>
      </c>
      <c r="K50" s="1" t="s">
        <v>918</v>
      </c>
      <c r="L50" s="1" t="s">
        <v>918</v>
      </c>
      <c r="M50" s="1" t="s">
        <v>918</v>
      </c>
      <c r="N50" s="1">
        <f>2888*(1)</f>
        <v>2888</v>
      </c>
      <c r="O50" s="1" t="s">
        <v>404</v>
      </c>
      <c r="P50" s="1">
        <f>0.007*(1)</f>
        <v>7.0000000000000001E-3</v>
      </c>
      <c r="Q50" s="1" t="s">
        <v>92</v>
      </c>
      <c r="R50" s="1" t="s">
        <v>918</v>
      </c>
      <c r="S50" s="1" t="s">
        <v>918</v>
      </c>
      <c r="T50" s="1" t="s">
        <v>918</v>
      </c>
      <c r="U50" s="1" t="s">
        <v>918</v>
      </c>
      <c r="V50" s="1" t="s">
        <v>918</v>
      </c>
      <c r="W50" s="1" t="s">
        <v>918</v>
      </c>
      <c r="X50" s="1" t="s">
        <v>918</v>
      </c>
      <c r="Y50" s="1" t="s">
        <v>918</v>
      </c>
      <c r="Z50" s="1" t="s">
        <v>918</v>
      </c>
      <c r="AA50" s="1" t="s">
        <v>918</v>
      </c>
      <c r="AB50" s="1" t="s">
        <v>918</v>
      </c>
      <c r="AC50" s="1" t="s">
        <v>918</v>
      </c>
      <c r="AD50" s="1">
        <f>11769*(1)</f>
        <v>11769</v>
      </c>
      <c r="AE50" s="1" t="s">
        <v>959</v>
      </c>
      <c r="AF50" s="1">
        <f>0.009*(1)</f>
        <v>8.9999999999999993E-3</v>
      </c>
      <c r="AG50" s="1" t="s">
        <v>111</v>
      </c>
      <c r="AH50" s="1">
        <f>2272*(1)</f>
        <v>2272</v>
      </c>
      <c r="AI50" s="1" t="s">
        <v>960</v>
      </c>
      <c r="AJ50" s="1">
        <f>0.01*(1)</f>
        <v>0.01</v>
      </c>
      <c r="AK50" s="1" t="s">
        <v>90</v>
      </c>
      <c r="AL50" s="1" t="s">
        <v>918</v>
      </c>
      <c r="AM50" s="1" t="s">
        <v>918</v>
      </c>
      <c r="AN50" s="1" t="s">
        <v>918</v>
      </c>
      <c r="AO50" s="1" t="s">
        <v>918</v>
      </c>
      <c r="AP50" s="1" t="s">
        <v>918</v>
      </c>
      <c r="AQ50" s="1" t="s">
        <v>918</v>
      </c>
      <c r="AR50" s="1" t="s">
        <v>918</v>
      </c>
      <c r="AS50" s="1" t="s">
        <v>918</v>
      </c>
      <c r="AT50" s="1">
        <f>13921*(1)</f>
        <v>13921</v>
      </c>
      <c r="AU50" s="1" t="s">
        <v>961</v>
      </c>
      <c r="AV50" s="1">
        <f>0.011*(1)</f>
        <v>1.0999999999999999E-2</v>
      </c>
      <c r="AW50" s="1" t="s">
        <v>111</v>
      </c>
      <c r="AX50" s="1" t="s">
        <v>918</v>
      </c>
      <c r="AY50" s="1" t="s">
        <v>918</v>
      </c>
      <c r="AZ50" s="1" t="s">
        <v>918</v>
      </c>
      <c r="BA50" s="1" t="s">
        <v>918</v>
      </c>
      <c r="BB50" s="1">
        <f>291*(1)</f>
        <v>291</v>
      </c>
      <c r="BC50" s="1" t="s">
        <v>962</v>
      </c>
      <c r="BD50" s="1">
        <f>0.002*(1)</f>
        <v>2E-3</v>
      </c>
      <c r="BE50" s="1" t="s">
        <v>111</v>
      </c>
      <c r="BF50" s="1">
        <f>4317*(1)</f>
        <v>4317</v>
      </c>
      <c r="BG50" s="1" t="s">
        <v>963</v>
      </c>
      <c r="BH50" s="1">
        <f>0.005*(1)</f>
        <v>5.0000000000000001E-3</v>
      </c>
      <c r="BI50" s="1" t="s">
        <v>111</v>
      </c>
      <c r="BJ50" s="1" t="s">
        <v>918</v>
      </c>
      <c r="BK50" s="1" t="s">
        <v>918</v>
      </c>
      <c r="BL50" s="1" t="s">
        <v>918</v>
      </c>
      <c r="BM50" s="1" t="s">
        <v>918</v>
      </c>
      <c r="BN50" s="1" t="s">
        <v>918</v>
      </c>
      <c r="BO50" s="1" t="s">
        <v>918</v>
      </c>
      <c r="BP50" s="1" t="s">
        <v>918</v>
      </c>
      <c r="BQ50" s="1" t="s">
        <v>918</v>
      </c>
      <c r="BR50" s="1">
        <f>165*(1)</f>
        <v>165</v>
      </c>
      <c r="BS50" s="1" t="s">
        <v>486</v>
      </c>
      <c r="BT50" s="1">
        <f>0.001*(1)</f>
        <v>1E-3</v>
      </c>
      <c r="BU50" s="1" t="s">
        <v>99</v>
      </c>
      <c r="BV50" s="1">
        <f>759*(1)</f>
        <v>759</v>
      </c>
      <c r="BW50" s="1" t="s">
        <v>964</v>
      </c>
      <c r="BX50" s="1">
        <f>0.002*(1)</f>
        <v>2E-3</v>
      </c>
      <c r="BY50" s="1" t="s">
        <v>92</v>
      </c>
      <c r="BZ50" s="1">
        <f>1678*(1)</f>
        <v>1678</v>
      </c>
      <c r="CA50" s="1" t="s">
        <v>478</v>
      </c>
      <c r="CB50" s="1">
        <f>0.004*(1)</f>
        <v>4.0000000000000001E-3</v>
      </c>
      <c r="CC50" s="1" t="s">
        <v>111</v>
      </c>
      <c r="CD50" s="1" t="s">
        <v>918</v>
      </c>
      <c r="CE50" s="1" t="s">
        <v>918</v>
      </c>
      <c r="CF50" s="1" t="s">
        <v>918</v>
      </c>
      <c r="CG50" s="1" t="s">
        <v>918</v>
      </c>
      <c r="CH50" s="1" t="s">
        <v>918</v>
      </c>
      <c r="CI50" s="1" t="s">
        <v>918</v>
      </c>
      <c r="CJ50" s="1" t="s">
        <v>918</v>
      </c>
      <c r="CK50" s="1" t="s">
        <v>918</v>
      </c>
      <c r="CL50" s="1">
        <f>301*(1)</f>
        <v>301</v>
      </c>
      <c r="CM50" s="1" t="s">
        <v>731</v>
      </c>
      <c r="CN50" s="1">
        <f>0.002*(1)</f>
        <v>2E-3</v>
      </c>
      <c r="CO50" s="1" t="s">
        <v>111</v>
      </c>
      <c r="CP50" s="1" t="s">
        <v>918</v>
      </c>
      <c r="CQ50" s="1" t="s">
        <v>918</v>
      </c>
      <c r="CR50" s="1" t="s">
        <v>918</v>
      </c>
      <c r="CS50" s="1" t="s">
        <v>918</v>
      </c>
      <c r="CT50" s="1">
        <f>2160*(1)</f>
        <v>2160</v>
      </c>
      <c r="CU50" s="1" t="s">
        <v>965</v>
      </c>
      <c r="CV50" s="1">
        <f>0.004*(1)</f>
        <v>4.0000000000000001E-3</v>
      </c>
      <c r="CW50" s="1" t="s">
        <v>111</v>
      </c>
      <c r="CX50" s="1" t="s">
        <v>918</v>
      </c>
      <c r="CY50" s="1" t="s">
        <v>918</v>
      </c>
      <c r="CZ50" s="1" t="s">
        <v>918</v>
      </c>
      <c r="DA50" s="1" t="s">
        <v>918</v>
      </c>
      <c r="DB50" s="1" t="s">
        <v>918</v>
      </c>
      <c r="DC50" s="1" t="s">
        <v>918</v>
      </c>
      <c r="DD50" s="1" t="s">
        <v>918</v>
      </c>
      <c r="DE50" s="1" t="s">
        <v>918</v>
      </c>
      <c r="DF50" s="1" t="s">
        <v>918</v>
      </c>
      <c r="DG50" s="1" t="s">
        <v>918</v>
      </c>
      <c r="DH50" s="1" t="s">
        <v>918</v>
      </c>
      <c r="DI50" s="1" t="s">
        <v>918</v>
      </c>
      <c r="DJ50" s="1" t="s">
        <v>918</v>
      </c>
      <c r="DK50" s="1" t="s">
        <v>918</v>
      </c>
      <c r="DL50" s="1" t="s">
        <v>918</v>
      </c>
      <c r="DM50" s="1" t="s">
        <v>918</v>
      </c>
      <c r="DN50" s="1" t="s">
        <v>918</v>
      </c>
      <c r="DO50" s="1" t="s">
        <v>918</v>
      </c>
      <c r="DP50" s="1" t="s">
        <v>918</v>
      </c>
      <c r="DQ50" s="1" t="s">
        <v>918</v>
      </c>
      <c r="DR50" s="1" t="s">
        <v>918</v>
      </c>
      <c r="DS50" s="1" t="s">
        <v>918</v>
      </c>
      <c r="DT50" s="1" t="s">
        <v>918</v>
      </c>
      <c r="DU50" s="1" t="s">
        <v>918</v>
      </c>
      <c r="DV50" s="1">
        <f>3109*(1)</f>
        <v>3109</v>
      </c>
      <c r="DW50" s="1" t="s">
        <v>811</v>
      </c>
      <c r="DX50" s="1">
        <f>0.006*(1)</f>
        <v>6.0000000000000001E-3</v>
      </c>
      <c r="DY50" s="1" t="s">
        <v>92</v>
      </c>
      <c r="DZ50" s="1" t="s">
        <v>918</v>
      </c>
      <c r="EA50" s="1" t="s">
        <v>918</v>
      </c>
      <c r="EB50" s="1" t="s">
        <v>918</v>
      </c>
      <c r="EC50" s="1" t="s">
        <v>918</v>
      </c>
      <c r="ED50" s="1" t="s">
        <v>918</v>
      </c>
      <c r="EE50" s="1" t="s">
        <v>918</v>
      </c>
      <c r="EF50" s="1" t="s">
        <v>918</v>
      </c>
      <c r="EG50" s="1" t="s">
        <v>918</v>
      </c>
      <c r="EH50" s="1">
        <f>2113*(1)</f>
        <v>2113</v>
      </c>
      <c r="EI50" s="1" t="s">
        <v>637</v>
      </c>
      <c r="EJ50" s="1">
        <f>0.009*(1)</f>
        <v>8.9999999999999993E-3</v>
      </c>
      <c r="EK50" s="1" t="s">
        <v>96</v>
      </c>
      <c r="EL50" s="1" t="s">
        <v>918</v>
      </c>
      <c r="EM50" s="1" t="s">
        <v>918</v>
      </c>
      <c r="EN50" s="1" t="s">
        <v>918</v>
      </c>
      <c r="EO50" s="1" t="s">
        <v>918</v>
      </c>
      <c r="EP50" s="1" t="s">
        <v>918</v>
      </c>
      <c r="EQ50" s="1" t="s">
        <v>918</v>
      </c>
      <c r="ER50" s="1" t="s">
        <v>918</v>
      </c>
      <c r="ES50" s="1" t="s">
        <v>918</v>
      </c>
    </row>
    <row r="51" spans="1:149" x14ac:dyDescent="0.3">
      <c r="A51" s="9" t="s">
        <v>966</v>
      </c>
      <c r="B51" s="1" t="s">
        <v>918</v>
      </c>
      <c r="C51" s="1" t="s">
        <v>918</v>
      </c>
      <c r="D51" s="1" t="s">
        <v>918</v>
      </c>
      <c r="E51" s="1" t="s">
        <v>918</v>
      </c>
      <c r="F51" s="1" t="s">
        <v>918</v>
      </c>
      <c r="G51" s="1" t="s">
        <v>918</v>
      </c>
      <c r="H51" s="1" t="s">
        <v>918</v>
      </c>
      <c r="I51" s="1" t="s">
        <v>918</v>
      </c>
      <c r="J51" s="1" t="s">
        <v>918</v>
      </c>
      <c r="K51" s="1" t="s">
        <v>918</v>
      </c>
      <c r="L51" s="1" t="s">
        <v>918</v>
      </c>
      <c r="M51" s="1" t="s">
        <v>918</v>
      </c>
      <c r="N51" s="1">
        <f>1621*(1)</f>
        <v>1621</v>
      </c>
      <c r="O51" s="1" t="s">
        <v>967</v>
      </c>
      <c r="P51" s="1">
        <f>0.004*(1)</f>
        <v>4.0000000000000001E-3</v>
      </c>
      <c r="Q51" s="1" t="s">
        <v>92</v>
      </c>
      <c r="R51" s="1" t="s">
        <v>918</v>
      </c>
      <c r="S51" s="1" t="s">
        <v>918</v>
      </c>
      <c r="T51" s="1" t="s">
        <v>918</v>
      </c>
      <c r="U51" s="1" t="s">
        <v>918</v>
      </c>
      <c r="V51" s="1" t="s">
        <v>918</v>
      </c>
      <c r="W51" s="1" t="s">
        <v>918</v>
      </c>
      <c r="X51" s="1" t="s">
        <v>918</v>
      </c>
      <c r="Y51" s="1" t="s">
        <v>918</v>
      </c>
      <c r="Z51" s="1" t="s">
        <v>918</v>
      </c>
      <c r="AA51" s="1" t="s">
        <v>918</v>
      </c>
      <c r="AB51" s="1" t="s">
        <v>918</v>
      </c>
      <c r="AC51" s="1" t="s">
        <v>918</v>
      </c>
      <c r="AD51" s="1">
        <f>4006*(1)</f>
        <v>4006</v>
      </c>
      <c r="AE51" s="1" t="s">
        <v>968</v>
      </c>
      <c r="AF51" s="1">
        <f>0.003*(1)</f>
        <v>3.0000000000000001E-3</v>
      </c>
      <c r="AG51" s="1" t="s">
        <v>99</v>
      </c>
      <c r="AH51" s="1">
        <f>316*(1)</f>
        <v>316</v>
      </c>
      <c r="AI51" s="1" t="s">
        <v>682</v>
      </c>
      <c r="AJ51" s="1">
        <f>0.001*(1)</f>
        <v>1E-3</v>
      </c>
      <c r="AK51" s="1" t="s">
        <v>99</v>
      </c>
      <c r="AL51" s="1" t="s">
        <v>918</v>
      </c>
      <c r="AM51" s="1" t="s">
        <v>918</v>
      </c>
      <c r="AN51" s="1" t="s">
        <v>918</v>
      </c>
      <c r="AO51" s="1" t="s">
        <v>918</v>
      </c>
      <c r="AP51" s="1" t="s">
        <v>918</v>
      </c>
      <c r="AQ51" s="1" t="s">
        <v>918</v>
      </c>
      <c r="AR51" s="1" t="s">
        <v>918</v>
      </c>
      <c r="AS51" s="1" t="s">
        <v>918</v>
      </c>
      <c r="AT51" s="1">
        <f>4584*(1)</f>
        <v>4584</v>
      </c>
      <c r="AU51" s="1" t="s">
        <v>969</v>
      </c>
      <c r="AV51" s="1">
        <f>0.003*(1)</f>
        <v>3.0000000000000001E-3</v>
      </c>
      <c r="AW51" s="1" t="s">
        <v>111</v>
      </c>
      <c r="AX51" s="1" t="s">
        <v>918</v>
      </c>
      <c r="AY51" s="1" t="s">
        <v>918</v>
      </c>
      <c r="AZ51" s="1" t="s">
        <v>918</v>
      </c>
      <c r="BA51" s="1" t="s">
        <v>918</v>
      </c>
      <c r="BB51" s="1">
        <f>570*(1)</f>
        <v>570</v>
      </c>
      <c r="BC51" s="1" t="s">
        <v>781</v>
      </c>
      <c r="BD51" s="1">
        <f>0.003*(1)</f>
        <v>3.0000000000000001E-3</v>
      </c>
      <c r="BE51" s="1" t="s">
        <v>92</v>
      </c>
      <c r="BF51" s="1">
        <f>3171*(1)</f>
        <v>3171</v>
      </c>
      <c r="BG51" s="1" t="s">
        <v>229</v>
      </c>
      <c r="BH51" s="1">
        <f>0.004*(1)</f>
        <v>4.0000000000000001E-3</v>
      </c>
      <c r="BI51" s="1" t="s">
        <v>99</v>
      </c>
      <c r="BJ51" s="1" t="s">
        <v>918</v>
      </c>
      <c r="BK51" s="1" t="s">
        <v>918</v>
      </c>
      <c r="BL51" s="1" t="s">
        <v>918</v>
      </c>
      <c r="BM51" s="1" t="s">
        <v>918</v>
      </c>
      <c r="BN51" s="1" t="s">
        <v>918</v>
      </c>
      <c r="BO51" s="1" t="s">
        <v>918</v>
      </c>
      <c r="BP51" s="1" t="s">
        <v>918</v>
      </c>
      <c r="BQ51" s="1" t="s">
        <v>918</v>
      </c>
      <c r="BR51" s="1">
        <f>104*(1)</f>
        <v>104</v>
      </c>
      <c r="BS51" s="1" t="s">
        <v>970</v>
      </c>
      <c r="BT51" s="1">
        <f>0.001*(1)</f>
        <v>1E-3</v>
      </c>
      <c r="BU51" s="1" t="s">
        <v>99</v>
      </c>
      <c r="BV51" s="1">
        <f>471*(1)</f>
        <v>471</v>
      </c>
      <c r="BW51" s="1" t="s">
        <v>483</v>
      </c>
      <c r="BX51" s="1">
        <f>0.001*(1)</f>
        <v>1E-3</v>
      </c>
      <c r="BY51" s="1" t="s">
        <v>99</v>
      </c>
      <c r="BZ51" s="1">
        <f>499*(1)</f>
        <v>499</v>
      </c>
      <c r="CA51" s="1" t="s">
        <v>971</v>
      </c>
      <c r="CB51" s="1">
        <f>0.001*(1)</f>
        <v>1E-3</v>
      </c>
      <c r="CC51" s="1" t="s">
        <v>99</v>
      </c>
      <c r="CD51" s="1" t="s">
        <v>918</v>
      </c>
      <c r="CE51" s="1" t="s">
        <v>918</v>
      </c>
      <c r="CF51" s="1" t="s">
        <v>918</v>
      </c>
      <c r="CG51" s="1" t="s">
        <v>918</v>
      </c>
      <c r="CH51" s="1" t="s">
        <v>918</v>
      </c>
      <c r="CI51" s="1" t="s">
        <v>918</v>
      </c>
      <c r="CJ51" s="1" t="s">
        <v>918</v>
      </c>
      <c r="CK51" s="1" t="s">
        <v>918</v>
      </c>
      <c r="CL51" s="1">
        <f>734*(1)</f>
        <v>734</v>
      </c>
      <c r="CM51" s="1" t="s">
        <v>401</v>
      </c>
      <c r="CN51" s="1">
        <f>0.004*(1)</f>
        <v>4.0000000000000001E-3</v>
      </c>
      <c r="CO51" s="1" t="s">
        <v>92</v>
      </c>
      <c r="CP51" s="1" t="s">
        <v>918</v>
      </c>
      <c r="CQ51" s="1" t="s">
        <v>918</v>
      </c>
      <c r="CR51" s="1" t="s">
        <v>918</v>
      </c>
      <c r="CS51" s="1" t="s">
        <v>918</v>
      </c>
      <c r="CT51" s="1">
        <f>2384*(1)</f>
        <v>2384</v>
      </c>
      <c r="CU51" s="1" t="s">
        <v>101</v>
      </c>
      <c r="CV51" s="1">
        <f>0.004*(1)</f>
        <v>4.0000000000000001E-3</v>
      </c>
      <c r="CW51" s="1" t="s">
        <v>111</v>
      </c>
      <c r="CX51" s="1" t="s">
        <v>918</v>
      </c>
      <c r="CY51" s="1" t="s">
        <v>918</v>
      </c>
      <c r="CZ51" s="1" t="s">
        <v>918</v>
      </c>
      <c r="DA51" s="1" t="s">
        <v>918</v>
      </c>
      <c r="DB51" s="1" t="s">
        <v>918</v>
      </c>
      <c r="DC51" s="1" t="s">
        <v>918</v>
      </c>
      <c r="DD51" s="1" t="s">
        <v>918</v>
      </c>
      <c r="DE51" s="1" t="s">
        <v>918</v>
      </c>
      <c r="DF51" s="1" t="s">
        <v>918</v>
      </c>
      <c r="DG51" s="1" t="s">
        <v>918</v>
      </c>
      <c r="DH51" s="1" t="s">
        <v>918</v>
      </c>
      <c r="DI51" s="1" t="s">
        <v>918</v>
      </c>
      <c r="DJ51" s="1" t="s">
        <v>918</v>
      </c>
      <c r="DK51" s="1" t="s">
        <v>918</v>
      </c>
      <c r="DL51" s="1" t="s">
        <v>918</v>
      </c>
      <c r="DM51" s="1" t="s">
        <v>918</v>
      </c>
      <c r="DN51" s="1" t="s">
        <v>918</v>
      </c>
      <c r="DO51" s="1" t="s">
        <v>918</v>
      </c>
      <c r="DP51" s="1" t="s">
        <v>918</v>
      </c>
      <c r="DQ51" s="1" t="s">
        <v>918</v>
      </c>
      <c r="DR51" s="1" t="s">
        <v>918</v>
      </c>
      <c r="DS51" s="1" t="s">
        <v>918</v>
      </c>
      <c r="DT51" s="1" t="s">
        <v>918</v>
      </c>
      <c r="DU51" s="1" t="s">
        <v>918</v>
      </c>
      <c r="DV51" s="1">
        <f>900*(1)</f>
        <v>900</v>
      </c>
      <c r="DW51" s="1" t="s">
        <v>820</v>
      </c>
      <c r="DX51" s="1">
        <f>0.002*(1)</f>
        <v>2E-3</v>
      </c>
      <c r="DY51" s="1" t="s">
        <v>111</v>
      </c>
      <c r="DZ51" s="1" t="s">
        <v>918</v>
      </c>
      <c r="EA51" s="1" t="s">
        <v>918</v>
      </c>
      <c r="EB51" s="1" t="s">
        <v>918</v>
      </c>
      <c r="EC51" s="1" t="s">
        <v>918</v>
      </c>
      <c r="ED51" s="1" t="s">
        <v>918</v>
      </c>
      <c r="EE51" s="1" t="s">
        <v>918</v>
      </c>
      <c r="EF51" s="1" t="s">
        <v>918</v>
      </c>
      <c r="EG51" s="1" t="s">
        <v>918</v>
      </c>
      <c r="EH51" s="1">
        <f>503*(1)</f>
        <v>503</v>
      </c>
      <c r="EI51" s="1" t="s">
        <v>972</v>
      </c>
      <c r="EJ51" s="1">
        <f>0.002*(1)</f>
        <v>2E-3</v>
      </c>
      <c r="EK51" s="1" t="s">
        <v>92</v>
      </c>
      <c r="EL51" s="1" t="s">
        <v>918</v>
      </c>
      <c r="EM51" s="1" t="s">
        <v>918</v>
      </c>
      <c r="EN51" s="1" t="s">
        <v>918</v>
      </c>
      <c r="EO51" s="1" t="s">
        <v>918</v>
      </c>
      <c r="EP51" s="1" t="s">
        <v>918</v>
      </c>
      <c r="EQ51" s="1" t="s">
        <v>918</v>
      </c>
      <c r="ER51" s="1" t="s">
        <v>918</v>
      </c>
      <c r="ES51" s="1" t="s">
        <v>918</v>
      </c>
    </row>
    <row r="52" spans="1:149" x14ac:dyDescent="0.3">
      <c r="A52" s="9" t="s">
        <v>973</v>
      </c>
      <c r="B52" s="1" t="s">
        <v>918</v>
      </c>
      <c r="C52" s="1" t="s">
        <v>918</v>
      </c>
      <c r="D52" s="1" t="s">
        <v>918</v>
      </c>
      <c r="E52" s="1" t="s">
        <v>918</v>
      </c>
      <c r="F52" s="1" t="s">
        <v>918</v>
      </c>
      <c r="G52" s="1" t="s">
        <v>918</v>
      </c>
      <c r="H52" s="1" t="s">
        <v>918</v>
      </c>
      <c r="I52" s="1" t="s">
        <v>918</v>
      </c>
      <c r="J52" s="1" t="s">
        <v>918</v>
      </c>
      <c r="K52" s="1" t="s">
        <v>918</v>
      </c>
      <c r="L52" s="1" t="s">
        <v>918</v>
      </c>
      <c r="M52" s="1" t="s">
        <v>918</v>
      </c>
      <c r="N52" s="1">
        <f>303*(1)</f>
        <v>303</v>
      </c>
      <c r="O52" s="1" t="s">
        <v>775</v>
      </c>
      <c r="P52" s="1">
        <f>0.001*(1)</f>
        <v>1E-3</v>
      </c>
      <c r="Q52" s="1" t="s">
        <v>99</v>
      </c>
      <c r="R52" s="1" t="s">
        <v>918</v>
      </c>
      <c r="S52" s="1" t="s">
        <v>918</v>
      </c>
      <c r="T52" s="1" t="s">
        <v>918</v>
      </c>
      <c r="U52" s="1" t="s">
        <v>918</v>
      </c>
      <c r="V52" s="1" t="s">
        <v>918</v>
      </c>
      <c r="W52" s="1" t="s">
        <v>918</v>
      </c>
      <c r="X52" s="1" t="s">
        <v>918</v>
      </c>
      <c r="Y52" s="1" t="s">
        <v>918</v>
      </c>
      <c r="Z52" s="1" t="s">
        <v>918</v>
      </c>
      <c r="AA52" s="1" t="s">
        <v>918</v>
      </c>
      <c r="AB52" s="1" t="s">
        <v>918</v>
      </c>
      <c r="AC52" s="1" t="s">
        <v>918</v>
      </c>
      <c r="AD52" s="1">
        <f>528*(1)</f>
        <v>528</v>
      </c>
      <c r="AE52" s="1" t="s">
        <v>756</v>
      </c>
      <c r="AF52" s="1">
        <f>0*(1)</f>
        <v>0</v>
      </c>
      <c r="AG52" s="1" t="s">
        <v>99</v>
      </c>
      <c r="AH52" s="1">
        <f>70*(1)</f>
        <v>70</v>
      </c>
      <c r="AI52" s="1" t="s">
        <v>974</v>
      </c>
      <c r="AJ52" s="1">
        <f>0*(1)</f>
        <v>0</v>
      </c>
      <c r="AK52" s="1" t="s">
        <v>99</v>
      </c>
      <c r="AL52" s="1" t="s">
        <v>918</v>
      </c>
      <c r="AM52" s="1" t="s">
        <v>918</v>
      </c>
      <c r="AN52" s="1" t="s">
        <v>918</v>
      </c>
      <c r="AO52" s="1" t="s">
        <v>918</v>
      </c>
      <c r="AP52" s="1" t="s">
        <v>918</v>
      </c>
      <c r="AQ52" s="1" t="s">
        <v>918</v>
      </c>
      <c r="AR52" s="1" t="s">
        <v>918</v>
      </c>
      <c r="AS52" s="1" t="s">
        <v>918</v>
      </c>
      <c r="AT52" s="1">
        <f>2639*(1)</f>
        <v>2639</v>
      </c>
      <c r="AU52" s="1" t="s">
        <v>975</v>
      </c>
      <c r="AV52" s="1">
        <f>0.002*(1)</f>
        <v>2E-3</v>
      </c>
      <c r="AW52" s="1" t="s">
        <v>99</v>
      </c>
      <c r="AX52" s="1" t="s">
        <v>918</v>
      </c>
      <c r="AY52" s="1" t="s">
        <v>918</v>
      </c>
      <c r="AZ52" s="1" t="s">
        <v>918</v>
      </c>
      <c r="BA52" s="1" t="s">
        <v>918</v>
      </c>
      <c r="BB52" s="1">
        <f>41*(1)</f>
        <v>41</v>
      </c>
      <c r="BC52" s="1" t="s">
        <v>976</v>
      </c>
      <c r="BD52" s="1">
        <f>0*(1)</f>
        <v>0</v>
      </c>
      <c r="BE52" s="1" t="s">
        <v>99</v>
      </c>
      <c r="BF52" s="1">
        <f>1330*(1)</f>
        <v>1330</v>
      </c>
      <c r="BG52" s="1" t="s">
        <v>977</v>
      </c>
      <c r="BH52" s="1">
        <f>0.002*(1)</f>
        <v>2E-3</v>
      </c>
      <c r="BI52" s="1" t="s">
        <v>99</v>
      </c>
      <c r="BJ52" s="1" t="s">
        <v>918</v>
      </c>
      <c r="BK52" s="1" t="s">
        <v>918</v>
      </c>
      <c r="BL52" s="1" t="s">
        <v>918</v>
      </c>
      <c r="BM52" s="1" t="s">
        <v>918</v>
      </c>
      <c r="BN52" s="1" t="s">
        <v>918</v>
      </c>
      <c r="BO52" s="1" t="s">
        <v>918</v>
      </c>
      <c r="BP52" s="1" t="s">
        <v>918</v>
      </c>
      <c r="BQ52" s="1" t="s">
        <v>918</v>
      </c>
      <c r="BR52" s="1">
        <f>131*(1)</f>
        <v>131</v>
      </c>
      <c r="BS52" s="1" t="s">
        <v>978</v>
      </c>
      <c r="BT52" s="1">
        <f>0.001*(1)</f>
        <v>1E-3</v>
      </c>
      <c r="BU52" s="1" t="s">
        <v>99</v>
      </c>
      <c r="BV52" s="1">
        <f>60*(1)</f>
        <v>60</v>
      </c>
      <c r="BW52" s="1" t="s">
        <v>979</v>
      </c>
      <c r="BX52" s="1">
        <f>0*(1)</f>
        <v>0</v>
      </c>
      <c r="BY52" s="1" t="s">
        <v>99</v>
      </c>
      <c r="BZ52" s="1">
        <f>132*(1)</f>
        <v>132</v>
      </c>
      <c r="CA52" s="1" t="s">
        <v>980</v>
      </c>
      <c r="CB52" s="1">
        <f>0*(1)</f>
        <v>0</v>
      </c>
      <c r="CC52" s="1" t="s">
        <v>99</v>
      </c>
      <c r="CD52" s="1" t="s">
        <v>918</v>
      </c>
      <c r="CE52" s="1" t="s">
        <v>918</v>
      </c>
      <c r="CF52" s="1" t="s">
        <v>918</v>
      </c>
      <c r="CG52" s="1" t="s">
        <v>918</v>
      </c>
      <c r="CH52" s="1" t="s">
        <v>918</v>
      </c>
      <c r="CI52" s="1" t="s">
        <v>918</v>
      </c>
      <c r="CJ52" s="1" t="s">
        <v>918</v>
      </c>
      <c r="CK52" s="1" t="s">
        <v>918</v>
      </c>
      <c r="CL52" s="1">
        <f>0*(1)</f>
        <v>0</v>
      </c>
      <c r="CM52" s="1" t="s">
        <v>723</v>
      </c>
      <c r="CN52" s="1">
        <f>0*(1)</f>
        <v>0</v>
      </c>
      <c r="CO52" s="1" t="s">
        <v>99</v>
      </c>
      <c r="CP52" s="1" t="s">
        <v>918</v>
      </c>
      <c r="CQ52" s="1" t="s">
        <v>918</v>
      </c>
      <c r="CR52" s="1" t="s">
        <v>918</v>
      </c>
      <c r="CS52" s="1" t="s">
        <v>918</v>
      </c>
      <c r="CT52" s="1">
        <f>262*(1)</f>
        <v>262</v>
      </c>
      <c r="CU52" s="1" t="s">
        <v>373</v>
      </c>
      <c r="CV52" s="1">
        <f>0*(1)</f>
        <v>0</v>
      </c>
      <c r="CW52" s="1" t="s">
        <v>99</v>
      </c>
      <c r="CX52" s="1" t="s">
        <v>918</v>
      </c>
      <c r="CY52" s="1" t="s">
        <v>918</v>
      </c>
      <c r="CZ52" s="1" t="s">
        <v>918</v>
      </c>
      <c r="DA52" s="1" t="s">
        <v>918</v>
      </c>
      <c r="DB52" s="1" t="s">
        <v>918</v>
      </c>
      <c r="DC52" s="1" t="s">
        <v>918</v>
      </c>
      <c r="DD52" s="1" t="s">
        <v>918</v>
      </c>
      <c r="DE52" s="1" t="s">
        <v>918</v>
      </c>
      <c r="DF52" s="1" t="s">
        <v>918</v>
      </c>
      <c r="DG52" s="1" t="s">
        <v>918</v>
      </c>
      <c r="DH52" s="1" t="s">
        <v>918</v>
      </c>
      <c r="DI52" s="1" t="s">
        <v>918</v>
      </c>
      <c r="DJ52" s="1" t="s">
        <v>918</v>
      </c>
      <c r="DK52" s="1" t="s">
        <v>918</v>
      </c>
      <c r="DL52" s="1" t="s">
        <v>918</v>
      </c>
      <c r="DM52" s="1" t="s">
        <v>918</v>
      </c>
      <c r="DN52" s="1" t="s">
        <v>918</v>
      </c>
      <c r="DO52" s="1" t="s">
        <v>918</v>
      </c>
      <c r="DP52" s="1" t="s">
        <v>918</v>
      </c>
      <c r="DQ52" s="1" t="s">
        <v>918</v>
      </c>
      <c r="DR52" s="1" t="s">
        <v>918</v>
      </c>
      <c r="DS52" s="1" t="s">
        <v>918</v>
      </c>
      <c r="DT52" s="1" t="s">
        <v>918</v>
      </c>
      <c r="DU52" s="1" t="s">
        <v>918</v>
      </c>
      <c r="DV52" s="1">
        <f>170*(1)</f>
        <v>170</v>
      </c>
      <c r="DW52" s="1" t="s">
        <v>981</v>
      </c>
      <c r="DX52" s="1">
        <f>0*(1)</f>
        <v>0</v>
      </c>
      <c r="DY52" s="1" t="s">
        <v>99</v>
      </c>
      <c r="DZ52" s="1" t="s">
        <v>918</v>
      </c>
      <c r="EA52" s="1" t="s">
        <v>918</v>
      </c>
      <c r="EB52" s="1" t="s">
        <v>918</v>
      </c>
      <c r="EC52" s="1" t="s">
        <v>918</v>
      </c>
      <c r="ED52" s="1" t="s">
        <v>918</v>
      </c>
      <c r="EE52" s="1" t="s">
        <v>918</v>
      </c>
      <c r="EF52" s="1" t="s">
        <v>918</v>
      </c>
      <c r="EG52" s="1" t="s">
        <v>918</v>
      </c>
      <c r="EH52" s="1">
        <f>990*(1)</f>
        <v>990</v>
      </c>
      <c r="EI52" s="1" t="s">
        <v>644</v>
      </c>
      <c r="EJ52" s="1">
        <f>0.004*(1)</f>
        <v>4.0000000000000001E-3</v>
      </c>
      <c r="EK52" s="1" t="s">
        <v>96</v>
      </c>
      <c r="EL52" s="1" t="s">
        <v>918</v>
      </c>
      <c r="EM52" s="1" t="s">
        <v>918</v>
      </c>
      <c r="EN52" s="1" t="s">
        <v>918</v>
      </c>
      <c r="EO52" s="1" t="s">
        <v>918</v>
      </c>
      <c r="EP52" s="1" t="s">
        <v>918</v>
      </c>
      <c r="EQ52" s="1" t="s">
        <v>918</v>
      </c>
      <c r="ER52" s="1" t="s">
        <v>918</v>
      </c>
      <c r="ES52" s="1" t="s">
        <v>918</v>
      </c>
    </row>
    <row r="53" spans="1:149" x14ac:dyDescent="0.3">
      <c r="A53" s="9" t="s">
        <v>982</v>
      </c>
      <c r="B53" s="1" t="s">
        <v>918</v>
      </c>
      <c r="C53" s="1" t="s">
        <v>918</v>
      </c>
      <c r="D53" s="1" t="s">
        <v>918</v>
      </c>
      <c r="E53" s="1" t="s">
        <v>918</v>
      </c>
      <c r="F53" s="1" t="s">
        <v>918</v>
      </c>
      <c r="G53" s="1" t="s">
        <v>918</v>
      </c>
      <c r="H53" s="1" t="s">
        <v>918</v>
      </c>
      <c r="I53" s="1" t="s">
        <v>918</v>
      </c>
      <c r="J53" s="1" t="s">
        <v>918</v>
      </c>
      <c r="K53" s="1" t="s">
        <v>918</v>
      </c>
      <c r="L53" s="1" t="s">
        <v>918</v>
      </c>
      <c r="M53" s="1" t="s">
        <v>918</v>
      </c>
      <c r="N53" s="1">
        <f>1082*(1)</f>
        <v>1082</v>
      </c>
      <c r="O53" s="1" t="s">
        <v>983</v>
      </c>
      <c r="P53" s="1">
        <f>0.003*(1)</f>
        <v>3.0000000000000001E-3</v>
      </c>
      <c r="Q53" s="1" t="s">
        <v>92</v>
      </c>
      <c r="R53" s="1" t="s">
        <v>918</v>
      </c>
      <c r="S53" s="1" t="s">
        <v>918</v>
      </c>
      <c r="T53" s="1" t="s">
        <v>918</v>
      </c>
      <c r="U53" s="1" t="s">
        <v>918</v>
      </c>
      <c r="V53" s="1" t="s">
        <v>918</v>
      </c>
      <c r="W53" s="1" t="s">
        <v>918</v>
      </c>
      <c r="X53" s="1" t="s">
        <v>918</v>
      </c>
      <c r="Y53" s="1" t="s">
        <v>918</v>
      </c>
      <c r="Z53" s="1" t="s">
        <v>918</v>
      </c>
      <c r="AA53" s="1" t="s">
        <v>918</v>
      </c>
      <c r="AB53" s="1" t="s">
        <v>918</v>
      </c>
      <c r="AC53" s="1" t="s">
        <v>918</v>
      </c>
      <c r="AD53" s="1">
        <f>1028*(1)</f>
        <v>1028</v>
      </c>
      <c r="AE53" s="1" t="s">
        <v>984</v>
      </c>
      <c r="AF53" s="1">
        <f>0.001*(1)</f>
        <v>1E-3</v>
      </c>
      <c r="AG53" s="1" t="s">
        <v>99</v>
      </c>
      <c r="AH53" s="1">
        <f>817*(1)</f>
        <v>817</v>
      </c>
      <c r="AI53" s="1" t="s">
        <v>313</v>
      </c>
      <c r="AJ53" s="1">
        <f>0.004*(1)</f>
        <v>4.0000000000000001E-3</v>
      </c>
      <c r="AK53" s="1" t="s">
        <v>92</v>
      </c>
      <c r="AL53" s="1" t="s">
        <v>918</v>
      </c>
      <c r="AM53" s="1" t="s">
        <v>918</v>
      </c>
      <c r="AN53" s="1" t="s">
        <v>918</v>
      </c>
      <c r="AO53" s="1" t="s">
        <v>918</v>
      </c>
      <c r="AP53" s="1" t="s">
        <v>918</v>
      </c>
      <c r="AQ53" s="1" t="s">
        <v>918</v>
      </c>
      <c r="AR53" s="1" t="s">
        <v>918</v>
      </c>
      <c r="AS53" s="1" t="s">
        <v>918</v>
      </c>
      <c r="AT53" s="1">
        <f>3093*(1)</f>
        <v>3093</v>
      </c>
      <c r="AU53" s="1" t="s">
        <v>985</v>
      </c>
      <c r="AV53" s="1">
        <f>0.002*(1)</f>
        <v>2E-3</v>
      </c>
      <c r="AW53" s="1" t="s">
        <v>99</v>
      </c>
      <c r="AX53" s="1" t="s">
        <v>918</v>
      </c>
      <c r="AY53" s="1" t="s">
        <v>918</v>
      </c>
      <c r="AZ53" s="1" t="s">
        <v>918</v>
      </c>
      <c r="BA53" s="1" t="s">
        <v>918</v>
      </c>
      <c r="BB53" s="1">
        <f>401*(1)</f>
        <v>401</v>
      </c>
      <c r="BC53" s="1" t="s">
        <v>756</v>
      </c>
      <c r="BD53" s="1">
        <f>0.002*(1)</f>
        <v>2E-3</v>
      </c>
      <c r="BE53" s="1" t="s">
        <v>111</v>
      </c>
      <c r="BF53" s="1">
        <f>907*(1)</f>
        <v>907</v>
      </c>
      <c r="BG53" s="1" t="s">
        <v>986</v>
      </c>
      <c r="BH53" s="1">
        <f>0.001*(1)</f>
        <v>1E-3</v>
      </c>
      <c r="BI53" s="1" t="s">
        <v>99</v>
      </c>
      <c r="BJ53" s="1" t="s">
        <v>918</v>
      </c>
      <c r="BK53" s="1" t="s">
        <v>918</v>
      </c>
      <c r="BL53" s="1" t="s">
        <v>918</v>
      </c>
      <c r="BM53" s="1" t="s">
        <v>918</v>
      </c>
      <c r="BN53" s="1" t="s">
        <v>918</v>
      </c>
      <c r="BO53" s="1" t="s">
        <v>918</v>
      </c>
      <c r="BP53" s="1" t="s">
        <v>918</v>
      </c>
      <c r="BQ53" s="1" t="s">
        <v>918</v>
      </c>
      <c r="BR53" s="1">
        <f>409*(1)</f>
        <v>409</v>
      </c>
      <c r="BS53" s="1" t="s">
        <v>158</v>
      </c>
      <c r="BT53" s="1">
        <f>0.002*(1)</f>
        <v>2E-3</v>
      </c>
      <c r="BU53" s="1" t="s">
        <v>111</v>
      </c>
      <c r="BV53" s="1">
        <f>723*(1)</f>
        <v>723</v>
      </c>
      <c r="BW53" s="1" t="s">
        <v>490</v>
      </c>
      <c r="BX53" s="1">
        <f>0.002*(1)</f>
        <v>2E-3</v>
      </c>
      <c r="BY53" s="1" t="s">
        <v>111</v>
      </c>
      <c r="BZ53" s="1">
        <f>324*(1)</f>
        <v>324</v>
      </c>
      <c r="CA53" s="1" t="s">
        <v>173</v>
      </c>
      <c r="CB53" s="1">
        <f>0.001*(1)</f>
        <v>1E-3</v>
      </c>
      <c r="CC53" s="1" t="s">
        <v>99</v>
      </c>
      <c r="CD53" s="1" t="s">
        <v>918</v>
      </c>
      <c r="CE53" s="1" t="s">
        <v>918</v>
      </c>
      <c r="CF53" s="1" t="s">
        <v>918</v>
      </c>
      <c r="CG53" s="1" t="s">
        <v>918</v>
      </c>
      <c r="CH53" s="1" t="s">
        <v>918</v>
      </c>
      <c r="CI53" s="1" t="s">
        <v>918</v>
      </c>
      <c r="CJ53" s="1" t="s">
        <v>918</v>
      </c>
      <c r="CK53" s="1" t="s">
        <v>918</v>
      </c>
      <c r="CL53" s="1">
        <f>0*(1)</f>
        <v>0</v>
      </c>
      <c r="CM53" s="1" t="s">
        <v>723</v>
      </c>
      <c r="CN53" s="1">
        <f>0*(1)</f>
        <v>0</v>
      </c>
      <c r="CO53" s="1" t="s">
        <v>99</v>
      </c>
      <c r="CP53" s="1" t="s">
        <v>918</v>
      </c>
      <c r="CQ53" s="1" t="s">
        <v>918</v>
      </c>
      <c r="CR53" s="1" t="s">
        <v>918</v>
      </c>
      <c r="CS53" s="1" t="s">
        <v>918</v>
      </c>
      <c r="CT53" s="1">
        <f>813*(1)</f>
        <v>813</v>
      </c>
      <c r="CU53" s="1" t="s">
        <v>353</v>
      </c>
      <c r="CV53" s="1">
        <f>0.002*(1)</f>
        <v>2E-3</v>
      </c>
      <c r="CW53" s="1" t="s">
        <v>99</v>
      </c>
      <c r="CX53" s="1" t="s">
        <v>918</v>
      </c>
      <c r="CY53" s="1" t="s">
        <v>918</v>
      </c>
      <c r="CZ53" s="1" t="s">
        <v>918</v>
      </c>
      <c r="DA53" s="1" t="s">
        <v>918</v>
      </c>
      <c r="DB53" s="1" t="s">
        <v>918</v>
      </c>
      <c r="DC53" s="1" t="s">
        <v>918</v>
      </c>
      <c r="DD53" s="1" t="s">
        <v>918</v>
      </c>
      <c r="DE53" s="1" t="s">
        <v>918</v>
      </c>
      <c r="DF53" s="1" t="s">
        <v>918</v>
      </c>
      <c r="DG53" s="1" t="s">
        <v>918</v>
      </c>
      <c r="DH53" s="1" t="s">
        <v>918</v>
      </c>
      <c r="DI53" s="1" t="s">
        <v>918</v>
      </c>
      <c r="DJ53" s="1" t="s">
        <v>918</v>
      </c>
      <c r="DK53" s="1" t="s">
        <v>918</v>
      </c>
      <c r="DL53" s="1" t="s">
        <v>918</v>
      </c>
      <c r="DM53" s="1" t="s">
        <v>918</v>
      </c>
      <c r="DN53" s="1" t="s">
        <v>918</v>
      </c>
      <c r="DO53" s="1" t="s">
        <v>918</v>
      </c>
      <c r="DP53" s="1" t="s">
        <v>918</v>
      </c>
      <c r="DQ53" s="1" t="s">
        <v>918</v>
      </c>
      <c r="DR53" s="1" t="s">
        <v>918</v>
      </c>
      <c r="DS53" s="1" t="s">
        <v>918</v>
      </c>
      <c r="DT53" s="1" t="s">
        <v>918</v>
      </c>
      <c r="DU53" s="1" t="s">
        <v>918</v>
      </c>
      <c r="DV53" s="1">
        <f>110*(1)</f>
        <v>110</v>
      </c>
      <c r="DW53" s="1" t="s">
        <v>987</v>
      </c>
      <c r="DX53" s="1">
        <f>0*(1)</f>
        <v>0</v>
      </c>
      <c r="DY53" s="1" t="s">
        <v>99</v>
      </c>
      <c r="DZ53" s="1" t="s">
        <v>918</v>
      </c>
      <c r="EA53" s="1" t="s">
        <v>918</v>
      </c>
      <c r="EB53" s="1" t="s">
        <v>918</v>
      </c>
      <c r="EC53" s="1" t="s">
        <v>918</v>
      </c>
      <c r="ED53" s="1" t="s">
        <v>918</v>
      </c>
      <c r="EE53" s="1" t="s">
        <v>918</v>
      </c>
      <c r="EF53" s="1" t="s">
        <v>918</v>
      </c>
      <c r="EG53" s="1" t="s">
        <v>918</v>
      </c>
      <c r="EH53" s="1">
        <f>710*(1)</f>
        <v>710</v>
      </c>
      <c r="EI53" s="1" t="s">
        <v>988</v>
      </c>
      <c r="EJ53" s="1">
        <f>0.003*(1)</f>
        <v>3.0000000000000001E-3</v>
      </c>
      <c r="EK53" s="1" t="s">
        <v>92</v>
      </c>
      <c r="EL53" s="1" t="s">
        <v>918</v>
      </c>
      <c r="EM53" s="1" t="s">
        <v>918</v>
      </c>
      <c r="EN53" s="1" t="s">
        <v>918</v>
      </c>
      <c r="EO53" s="1" t="s">
        <v>918</v>
      </c>
      <c r="EP53" s="1" t="s">
        <v>918</v>
      </c>
      <c r="EQ53" s="1" t="s">
        <v>918</v>
      </c>
      <c r="ER53" s="1" t="s">
        <v>918</v>
      </c>
      <c r="ES53" s="1" t="s">
        <v>918</v>
      </c>
    </row>
    <row r="54" spans="1:149" x14ac:dyDescent="0.3">
      <c r="A54" s="9" t="s">
        <v>989</v>
      </c>
      <c r="B54" s="1" t="s">
        <v>918</v>
      </c>
      <c r="C54" s="1" t="s">
        <v>918</v>
      </c>
      <c r="D54" s="1" t="s">
        <v>918</v>
      </c>
      <c r="E54" s="1" t="s">
        <v>918</v>
      </c>
      <c r="F54" s="1" t="s">
        <v>918</v>
      </c>
      <c r="G54" s="1" t="s">
        <v>918</v>
      </c>
      <c r="H54" s="1" t="s">
        <v>918</v>
      </c>
      <c r="I54" s="1" t="s">
        <v>918</v>
      </c>
      <c r="J54" s="1" t="s">
        <v>918</v>
      </c>
      <c r="K54" s="1" t="s">
        <v>918</v>
      </c>
      <c r="L54" s="1" t="s">
        <v>918</v>
      </c>
      <c r="M54" s="1" t="s">
        <v>918</v>
      </c>
      <c r="N54" s="1">
        <f>941*(1)</f>
        <v>941</v>
      </c>
      <c r="O54" s="1" t="s">
        <v>990</v>
      </c>
      <c r="P54" s="1">
        <f>0.002*(1)</f>
        <v>2E-3</v>
      </c>
      <c r="Q54" s="1" t="s">
        <v>111</v>
      </c>
      <c r="R54" s="1" t="s">
        <v>918</v>
      </c>
      <c r="S54" s="1" t="s">
        <v>918</v>
      </c>
      <c r="T54" s="1" t="s">
        <v>918</v>
      </c>
      <c r="U54" s="1" t="s">
        <v>918</v>
      </c>
      <c r="V54" s="1" t="s">
        <v>918</v>
      </c>
      <c r="W54" s="1" t="s">
        <v>918</v>
      </c>
      <c r="X54" s="1" t="s">
        <v>918</v>
      </c>
      <c r="Y54" s="1" t="s">
        <v>918</v>
      </c>
      <c r="Z54" s="1" t="s">
        <v>918</v>
      </c>
      <c r="AA54" s="1" t="s">
        <v>918</v>
      </c>
      <c r="AB54" s="1" t="s">
        <v>918</v>
      </c>
      <c r="AC54" s="1" t="s">
        <v>918</v>
      </c>
      <c r="AD54" s="1">
        <f>1641*(1)</f>
        <v>1641</v>
      </c>
      <c r="AE54" s="1" t="s">
        <v>991</v>
      </c>
      <c r="AF54" s="1">
        <f>0.001*(1)</f>
        <v>1E-3</v>
      </c>
      <c r="AG54" s="1" t="s">
        <v>99</v>
      </c>
      <c r="AH54" s="1">
        <f>2016*(1)</f>
        <v>2016</v>
      </c>
      <c r="AI54" s="1" t="s">
        <v>992</v>
      </c>
      <c r="AJ54" s="1">
        <f>0.009*(1)</f>
        <v>8.9999999999999993E-3</v>
      </c>
      <c r="AK54" s="1" t="s">
        <v>120</v>
      </c>
      <c r="AL54" s="1" t="s">
        <v>918</v>
      </c>
      <c r="AM54" s="1" t="s">
        <v>918</v>
      </c>
      <c r="AN54" s="1" t="s">
        <v>918</v>
      </c>
      <c r="AO54" s="1" t="s">
        <v>918</v>
      </c>
      <c r="AP54" s="1" t="s">
        <v>918</v>
      </c>
      <c r="AQ54" s="1" t="s">
        <v>918</v>
      </c>
      <c r="AR54" s="1" t="s">
        <v>918</v>
      </c>
      <c r="AS54" s="1" t="s">
        <v>918</v>
      </c>
      <c r="AT54" s="1">
        <f>2510*(1)</f>
        <v>2510</v>
      </c>
      <c r="AU54" s="1" t="s">
        <v>993</v>
      </c>
      <c r="AV54" s="1">
        <f>0.002*(1)</f>
        <v>2E-3</v>
      </c>
      <c r="AW54" s="1" t="s">
        <v>99</v>
      </c>
      <c r="AX54" s="1" t="s">
        <v>918</v>
      </c>
      <c r="AY54" s="1" t="s">
        <v>918</v>
      </c>
      <c r="AZ54" s="1" t="s">
        <v>918</v>
      </c>
      <c r="BA54" s="1" t="s">
        <v>918</v>
      </c>
      <c r="BB54" s="1">
        <f>610*(1)</f>
        <v>610</v>
      </c>
      <c r="BC54" s="1" t="s">
        <v>547</v>
      </c>
      <c r="BD54" s="1">
        <f>0.004*(1)</f>
        <v>4.0000000000000001E-3</v>
      </c>
      <c r="BE54" s="1" t="s">
        <v>96</v>
      </c>
      <c r="BF54" s="1">
        <f>793*(1)</f>
        <v>793</v>
      </c>
      <c r="BG54" s="1" t="s">
        <v>315</v>
      </c>
      <c r="BH54" s="1">
        <f>0.001*(1)</f>
        <v>1E-3</v>
      </c>
      <c r="BI54" s="1" t="s">
        <v>99</v>
      </c>
      <c r="BJ54" s="1" t="s">
        <v>918</v>
      </c>
      <c r="BK54" s="1" t="s">
        <v>918</v>
      </c>
      <c r="BL54" s="1" t="s">
        <v>918</v>
      </c>
      <c r="BM54" s="1" t="s">
        <v>918</v>
      </c>
      <c r="BN54" s="1" t="s">
        <v>918</v>
      </c>
      <c r="BO54" s="1" t="s">
        <v>918</v>
      </c>
      <c r="BP54" s="1" t="s">
        <v>918</v>
      </c>
      <c r="BQ54" s="1" t="s">
        <v>918</v>
      </c>
      <c r="BR54" s="1">
        <f>533*(1)</f>
        <v>533</v>
      </c>
      <c r="BS54" s="1" t="s">
        <v>765</v>
      </c>
      <c r="BT54" s="1">
        <f>0.003*(1)</f>
        <v>3.0000000000000001E-3</v>
      </c>
      <c r="BU54" s="1" t="s">
        <v>99</v>
      </c>
      <c r="BV54" s="1">
        <f>175*(1)</f>
        <v>175</v>
      </c>
      <c r="BW54" s="1" t="s">
        <v>994</v>
      </c>
      <c r="BX54" s="1">
        <f>0.001*(1)</f>
        <v>1E-3</v>
      </c>
      <c r="BY54" s="1" t="s">
        <v>99</v>
      </c>
      <c r="BZ54" s="1">
        <f>600*(1)</f>
        <v>600</v>
      </c>
      <c r="CA54" s="1" t="s">
        <v>176</v>
      </c>
      <c r="CB54" s="1">
        <f>0.001*(1)</f>
        <v>1E-3</v>
      </c>
      <c r="CC54" s="1" t="s">
        <v>99</v>
      </c>
      <c r="CD54" s="1" t="s">
        <v>918</v>
      </c>
      <c r="CE54" s="1" t="s">
        <v>918</v>
      </c>
      <c r="CF54" s="1" t="s">
        <v>918</v>
      </c>
      <c r="CG54" s="1" t="s">
        <v>918</v>
      </c>
      <c r="CH54" s="1" t="s">
        <v>918</v>
      </c>
      <c r="CI54" s="1" t="s">
        <v>918</v>
      </c>
      <c r="CJ54" s="1" t="s">
        <v>918</v>
      </c>
      <c r="CK54" s="1" t="s">
        <v>918</v>
      </c>
      <c r="CL54" s="1">
        <f>0*(1)</f>
        <v>0</v>
      </c>
      <c r="CM54" s="1" t="s">
        <v>723</v>
      </c>
      <c r="CN54" s="1">
        <f>0*(1)</f>
        <v>0</v>
      </c>
      <c r="CO54" s="1" t="s">
        <v>99</v>
      </c>
      <c r="CP54" s="1" t="s">
        <v>918</v>
      </c>
      <c r="CQ54" s="1" t="s">
        <v>918</v>
      </c>
      <c r="CR54" s="1" t="s">
        <v>918</v>
      </c>
      <c r="CS54" s="1" t="s">
        <v>918</v>
      </c>
      <c r="CT54" s="1">
        <f>852*(1)</f>
        <v>852</v>
      </c>
      <c r="CU54" s="1" t="s">
        <v>995</v>
      </c>
      <c r="CV54" s="1">
        <f>0.002*(1)</f>
        <v>2E-3</v>
      </c>
      <c r="CW54" s="1" t="s">
        <v>99</v>
      </c>
      <c r="CX54" s="1" t="s">
        <v>918</v>
      </c>
      <c r="CY54" s="1" t="s">
        <v>918</v>
      </c>
      <c r="CZ54" s="1" t="s">
        <v>918</v>
      </c>
      <c r="DA54" s="1" t="s">
        <v>918</v>
      </c>
      <c r="DB54" s="1" t="s">
        <v>918</v>
      </c>
      <c r="DC54" s="1" t="s">
        <v>918</v>
      </c>
      <c r="DD54" s="1" t="s">
        <v>918</v>
      </c>
      <c r="DE54" s="1" t="s">
        <v>918</v>
      </c>
      <c r="DF54" s="1" t="s">
        <v>918</v>
      </c>
      <c r="DG54" s="1" t="s">
        <v>918</v>
      </c>
      <c r="DH54" s="1" t="s">
        <v>918</v>
      </c>
      <c r="DI54" s="1" t="s">
        <v>918</v>
      </c>
      <c r="DJ54" s="1" t="s">
        <v>918</v>
      </c>
      <c r="DK54" s="1" t="s">
        <v>918</v>
      </c>
      <c r="DL54" s="1" t="s">
        <v>918</v>
      </c>
      <c r="DM54" s="1" t="s">
        <v>918</v>
      </c>
      <c r="DN54" s="1" t="s">
        <v>918</v>
      </c>
      <c r="DO54" s="1" t="s">
        <v>918</v>
      </c>
      <c r="DP54" s="1" t="s">
        <v>918</v>
      </c>
      <c r="DQ54" s="1" t="s">
        <v>918</v>
      </c>
      <c r="DR54" s="1" t="s">
        <v>918</v>
      </c>
      <c r="DS54" s="1" t="s">
        <v>918</v>
      </c>
      <c r="DT54" s="1" t="s">
        <v>918</v>
      </c>
      <c r="DU54" s="1" t="s">
        <v>918</v>
      </c>
      <c r="DV54" s="1">
        <f>1324*(1)</f>
        <v>1324</v>
      </c>
      <c r="DW54" s="1" t="s">
        <v>996</v>
      </c>
      <c r="DX54" s="1">
        <f>0.002*(1)</f>
        <v>2E-3</v>
      </c>
      <c r="DY54" s="1" t="s">
        <v>92</v>
      </c>
      <c r="DZ54" s="1" t="s">
        <v>918</v>
      </c>
      <c r="EA54" s="1" t="s">
        <v>918</v>
      </c>
      <c r="EB54" s="1" t="s">
        <v>918</v>
      </c>
      <c r="EC54" s="1" t="s">
        <v>918</v>
      </c>
      <c r="ED54" s="1" t="s">
        <v>918</v>
      </c>
      <c r="EE54" s="1" t="s">
        <v>918</v>
      </c>
      <c r="EF54" s="1" t="s">
        <v>918</v>
      </c>
      <c r="EG54" s="1" t="s">
        <v>918</v>
      </c>
      <c r="EH54" s="1">
        <f>40*(1)</f>
        <v>40</v>
      </c>
      <c r="EI54" s="1" t="s">
        <v>997</v>
      </c>
      <c r="EJ54" s="1">
        <f>0*(1)</f>
        <v>0</v>
      </c>
      <c r="EK54" s="1" t="s">
        <v>99</v>
      </c>
      <c r="EL54" s="1" t="s">
        <v>918</v>
      </c>
      <c r="EM54" s="1" t="s">
        <v>918</v>
      </c>
      <c r="EN54" s="1" t="s">
        <v>918</v>
      </c>
      <c r="EO54" s="1" t="s">
        <v>918</v>
      </c>
      <c r="EP54" s="1" t="s">
        <v>918</v>
      </c>
      <c r="EQ54" s="1" t="s">
        <v>918</v>
      </c>
      <c r="ER54" s="1" t="s">
        <v>918</v>
      </c>
      <c r="ES54" s="1" t="s">
        <v>918</v>
      </c>
    </row>
    <row r="55" spans="1:149" x14ac:dyDescent="0.3">
      <c r="A55" s="9" t="s">
        <v>998</v>
      </c>
      <c r="B55" s="1" t="s">
        <v>918</v>
      </c>
      <c r="C55" s="1" t="s">
        <v>918</v>
      </c>
      <c r="D55" s="1" t="s">
        <v>918</v>
      </c>
      <c r="E55" s="1" t="s">
        <v>918</v>
      </c>
      <c r="F55" s="1" t="s">
        <v>918</v>
      </c>
      <c r="G55" s="1" t="s">
        <v>918</v>
      </c>
      <c r="H55" s="1" t="s">
        <v>918</v>
      </c>
      <c r="I55" s="1" t="s">
        <v>918</v>
      </c>
      <c r="J55" s="1" t="s">
        <v>918</v>
      </c>
      <c r="K55" s="1" t="s">
        <v>918</v>
      </c>
      <c r="L55" s="1" t="s">
        <v>918</v>
      </c>
      <c r="M55" s="1" t="s">
        <v>918</v>
      </c>
      <c r="N55" s="1">
        <f>6975*(1)</f>
        <v>6975</v>
      </c>
      <c r="O55" s="1" t="s">
        <v>999</v>
      </c>
      <c r="P55" s="1">
        <f>0.018*(1)</f>
        <v>1.7999999999999999E-2</v>
      </c>
      <c r="Q55" s="1" t="s">
        <v>120</v>
      </c>
      <c r="R55" s="1" t="s">
        <v>918</v>
      </c>
      <c r="S55" s="1" t="s">
        <v>918</v>
      </c>
      <c r="T55" s="1" t="s">
        <v>918</v>
      </c>
      <c r="U55" s="1" t="s">
        <v>918</v>
      </c>
      <c r="V55" s="1" t="s">
        <v>918</v>
      </c>
      <c r="W55" s="1" t="s">
        <v>918</v>
      </c>
      <c r="X55" s="1" t="s">
        <v>918</v>
      </c>
      <c r="Y55" s="1" t="s">
        <v>918</v>
      </c>
      <c r="Z55" s="1" t="s">
        <v>918</v>
      </c>
      <c r="AA55" s="1" t="s">
        <v>918</v>
      </c>
      <c r="AB55" s="1" t="s">
        <v>918</v>
      </c>
      <c r="AC55" s="1" t="s">
        <v>918</v>
      </c>
      <c r="AD55" s="1">
        <f>6441*(1)</f>
        <v>6441</v>
      </c>
      <c r="AE55" s="1" t="s">
        <v>1000</v>
      </c>
      <c r="AF55" s="1">
        <f>0.005*(1)</f>
        <v>5.0000000000000001E-3</v>
      </c>
      <c r="AG55" s="1" t="s">
        <v>111</v>
      </c>
      <c r="AH55" s="1">
        <f>2764*(1)</f>
        <v>2764</v>
      </c>
      <c r="AI55" s="1" t="s">
        <v>1001</v>
      </c>
      <c r="AJ55" s="1">
        <f>0.013*(1)</f>
        <v>1.2999999999999999E-2</v>
      </c>
      <c r="AK55" s="1" t="s">
        <v>94</v>
      </c>
      <c r="AL55" s="1" t="s">
        <v>918</v>
      </c>
      <c r="AM55" s="1" t="s">
        <v>918</v>
      </c>
      <c r="AN55" s="1" t="s">
        <v>918</v>
      </c>
      <c r="AO55" s="1" t="s">
        <v>918</v>
      </c>
      <c r="AP55" s="1" t="s">
        <v>918</v>
      </c>
      <c r="AQ55" s="1" t="s">
        <v>918</v>
      </c>
      <c r="AR55" s="1" t="s">
        <v>918</v>
      </c>
      <c r="AS55" s="1" t="s">
        <v>918</v>
      </c>
      <c r="AT55" s="1">
        <f>20771*(1)</f>
        <v>20771</v>
      </c>
      <c r="AU55" s="1" t="s">
        <v>1002</v>
      </c>
      <c r="AV55" s="1">
        <f>0.016*(1)</f>
        <v>1.6E-2</v>
      </c>
      <c r="AW55" s="1" t="s">
        <v>96</v>
      </c>
      <c r="AX55" s="1" t="s">
        <v>918</v>
      </c>
      <c r="AY55" s="1" t="s">
        <v>918</v>
      </c>
      <c r="AZ55" s="1" t="s">
        <v>918</v>
      </c>
      <c r="BA55" s="1" t="s">
        <v>918</v>
      </c>
      <c r="BB55" s="1">
        <f>1327*(1)</f>
        <v>1327</v>
      </c>
      <c r="BC55" s="1" t="s">
        <v>1003</v>
      </c>
      <c r="BD55" s="1">
        <f>0.008*(1)</f>
        <v>8.0000000000000002E-3</v>
      </c>
      <c r="BE55" s="1" t="s">
        <v>90</v>
      </c>
      <c r="BF55" s="1">
        <f>6108*(1)</f>
        <v>6108</v>
      </c>
      <c r="BG55" s="1" t="s">
        <v>1004</v>
      </c>
      <c r="BH55" s="1">
        <f>0.007*(1)</f>
        <v>7.0000000000000001E-3</v>
      </c>
      <c r="BI55" s="1" t="s">
        <v>92</v>
      </c>
      <c r="BJ55" s="1" t="s">
        <v>918</v>
      </c>
      <c r="BK55" s="1" t="s">
        <v>918</v>
      </c>
      <c r="BL55" s="1" t="s">
        <v>918</v>
      </c>
      <c r="BM55" s="1" t="s">
        <v>918</v>
      </c>
      <c r="BN55" s="1" t="s">
        <v>918</v>
      </c>
      <c r="BO55" s="1" t="s">
        <v>918</v>
      </c>
      <c r="BP55" s="1" t="s">
        <v>918</v>
      </c>
      <c r="BQ55" s="1" t="s">
        <v>918</v>
      </c>
      <c r="BR55" s="1">
        <f>2774*(1)</f>
        <v>2774</v>
      </c>
      <c r="BS55" s="1" t="s">
        <v>1005</v>
      </c>
      <c r="BT55" s="1">
        <f>0.015*(1)</f>
        <v>1.4999999999999999E-2</v>
      </c>
      <c r="BU55" s="1" t="s">
        <v>87</v>
      </c>
      <c r="BV55" s="1">
        <f>434*(1)</f>
        <v>434</v>
      </c>
      <c r="BW55" s="1" t="s">
        <v>501</v>
      </c>
      <c r="BX55" s="1">
        <f>0.001*(1)</f>
        <v>1E-3</v>
      </c>
      <c r="BY55" s="1" t="s">
        <v>99</v>
      </c>
      <c r="BZ55" s="1">
        <f>1601*(1)</f>
        <v>1601</v>
      </c>
      <c r="CA55" s="1" t="s">
        <v>1006</v>
      </c>
      <c r="CB55" s="1">
        <f>0.004*(1)</f>
        <v>4.0000000000000001E-3</v>
      </c>
      <c r="CC55" s="1" t="s">
        <v>111</v>
      </c>
      <c r="CD55" s="1" t="s">
        <v>918</v>
      </c>
      <c r="CE55" s="1" t="s">
        <v>918</v>
      </c>
      <c r="CF55" s="1" t="s">
        <v>918</v>
      </c>
      <c r="CG55" s="1" t="s">
        <v>918</v>
      </c>
      <c r="CH55" s="1" t="s">
        <v>918</v>
      </c>
      <c r="CI55" s="1" t="s">
        <v>918</v>
      </c>
      <c r="CJ55" s="1" t="s">
        <v>918</v>
      </c>
      <c r="CK55" s="1" t="s">
        <v>918</v>
      </c>
      <c r="CL55" s="1">
        <f>264*(1)</f>
        <v>264</v>
      </c>
      <c r="CM55" s="1" t="s">
        <v>1007</v>
      </c>
      <c r="CN55" s="1">
        <f>0.001*(1)</f>
        <v>1E-3</v>
      </c>
      <c r="CO55" s="1" t="s">
        <v>99</v>
      </c>
      <c r="CP55" s="1" t="s">
        <v>918</v>
      </c>
      <c r="CQ55" s="1" t="s">
        <v>918</v>
      </c>
      <c r="CR55" s="1" t="s">
        <v>918</v>
      </c>
      <c r="CS55" s="1" t="s">
        <v>918</v>
      </c>
      <c r="CT55" s="1">
        <f>1926*(1)</f>
        <v>1926</v>
      </c>
      <c r="CU55" s="1" t="s">
        <v>225</v>
      </c>
      <c r="CV55" s="1">
        <f>0.004*(1)</f>
        <v>4.0000000000000001E-3</v>
      </c>
      <c r="CW55" s="1" t="s">
        <v>111</v>
      </c>
      <c r="CX55" s="1" t="s">
        <v>918</v>
      </c>
      <c r="CY55" s="1" t="s">
        <v>918</v>
      </c>
      <c r="CZ55" s="1" t="s">
        <v>918</v>
      </c>
      <c r="DA55" s="1" t="s">
        <v>918</v>
      </c>
      <c r="DB55" s="1" t="s">
        <v>918</v>
      </c>
      <c r="DC55" s="1" t="s">
        <v>918</v>
      </c>
      <c r="DD55" s="1" t="s">
        <v>918</v>
      </c>
      <c r="DE55" s="1" t="s">
        <v>918</v>
      </c>
      <c r="DF55" s="1" t="s">
        <v>918</v>
      </c>
      <c r="DG55" s="1" t="s">
        <v>918</v>
      </c>
      <c r="DH55" s="1" t="s">
        <v>918</v>
      </c>
      <c r="DI55" s="1" t="s">
        <v>918</v>
      </c>
      <c r="DJ55" s="1" t="s">
        <v>918</v>
      </c>
      <c r="DK55" s="1" t="s">
        <v>918</v>
      </c>
      <c r="DL55" s="1" t="s">
        <v>918</v>
      </c>
      <c r="DM55" s="1" t="s">
        <v>918</v>
      </c>
      <c r="DN55" s="1" t="s">
        <v>918</v>
      </c>
      <c r="DO55" s="1" t="s">
        <v>918</v>
      </c>
      <c r="DP55" s="1" t="s">
        <v>918</v>
      </c>
      <c r="DQ55" s="1" t="s">
        <v>918</v>
      </c>
      <c r="DR55" s="1" t="s">
        <v>918</v>
      </c>
      <c r="DS55" s="1" t="s">
        <v>918</v>
      </c>
      <c r="DT55" s="1" t="s">
        <v>918</v>
      </c>
      <c r="DU55" s="1" t="s">
        <v>918</v>
      </c>
      <c r="DV55" s="1">
        <f>10878*(1)</f>
        <v>10878</v>
      </c>
      <c r="DW55" s="1" t="s">
        <v>1008</v>
      </c>
      <c r="DX55" s="1">
        <f>0.02*(1)</f>
        <v>0.02</v>
      </c>
      <c r="DY55" s="1" t="s">
        <v>120</v>
      </c>
      <c r="DZ55" s="1" t="s">
        <v>918</v>
      </c>
      <c r="EA55" s="1" t="s">
        <v>918</v>
      </c>
      <c r="EB55" s="1" t="s">
        <v>918</v>
      </c>
      <c r="EC55" s="1" t="s">
        <v>918</v>
      </c>
      <c r="ED55" s="1" t="s">
        <v>918</v>
      </c>
      <c r="EE55" s="1" t="s">
        <v>918</v>
      </c>
      <c r="EF55" s="1" t="s">
        <v>918</v>
      </c>
      <c r="EG55" s="1" t="s">
        <v>918</v>
      </c>
      <c r="EH55" s="1">
        <f>2671*(1)</f>
        <v>2671</v>
      </c>
      <c r="EI55" s="1" t="s">
        <v>1009</v>
      </c>
      <c r="EJ55" s="1">
        <f>0.011*(1)</f>
        <v>1.0999999999999999E-2</v>
      </c>
      <c r="EK55" s="1" t="s">
        <v>87</v>
      </c>
      <c r="EL55" s="1" t="s">
        <v>918</v>
      </c>
      <c r="EM55" s="1" t="s">
        <v>918</v>
      </c>
      <c r="EN55" s="1" t="s">
        <v>918</v>
      </c>
      <c r="EO55" s="1" t="s">
        <v>918</v>
      </c>
      <c r="EP55" s="1" t="s">
        <v>918</v>
      </c>
      <c r="EQ55" s="1" t="s">
        <v>918</v>
      </c>
      <c r="ER55" s="1" t="s">
        <v>918</v>
      </c>
      <c r="ES55" s="1" t="s">
        <v>918</v>
      </c>
    </row>
    <row r="56" spans="1:149" ht="28.8" x14ac:dyDescent="0.3">
      <c r="A56" s="8" t="s">
        <v>1010</v>
      </c>
      <c r="B56" s="1">
        <f>23*(1)</f>
        <v>23</v>
      </c>
      <c r="C56" s="1" t="s">
        <v>1011</v>
      </c>
      <c r="D56" s="1">
        <f>0*(1)</f>
        <v>0</v>
      </c>
      <c r="E56" s="1" t="s">
        <v>99</v>
      </c>
      <c r="F56" s="1">
        <f>32*(1)</f>
        <v>32</v>
      </c>
      <c r="G56" s="1" t="s">
        <v>1012</v>
      </c>
      <c r="H56" s="1">
        <f>0*(1)</f>
        <v>0</v>
      </c>
      <c r="I56" s="1" t="s">
        <v>99</v>
      </c>
      <c r="J56" s="1">
        <f>44*(1)</f>
        <v>44</v>
      </c>
      <c r="K56" s="1" t="s">
        <v>1013</v>
      </c>
      <c r="L56" s="1">
        <f>0.001*(1)</f>
        <v>1E-3</v>
      </c>
      <c r="M56" s="1" t="s">
        <v>99</v>
      </c>
      <c r="N56" s="1">
        <f>951*(1)</f>
        <v>951</v>
      </c>
      <c r="O56" s="1" t="s">
        <v>1014</v>
      </c>
      <c r="P56" s="1">
        <f>0.002*(1)</f>
        <v>2E-3</v>
      </c>
      <c r="Q56" s="1" t="s">
        <v>96</v>
      </c>
      <c r="R56" s="1">
        <f>0*(1)</f>
        <v>0</v>
      </c>
      <c r="S56" s="1" t="s">
        <v>723</v>
      </c>
      <c r="T56" s="1">
        <f>0*(1)</f>
        <v>0</v>
      </c>
      <c r="U56" s="1" t="s">
        <v>99</v>
      </c>
      <c r="V56" s="1">
        <f>0*(1)</f>
        <v>0</v>
      </c>
      <c r="W56" s="1" t="s">
        <v>723</v>
      </c>
      <c r="X56" s="1">
        <f>0*(1)</f>
        <v>0</v>
      </c>
      <c r="Y56" s="1" t="s">
        <v>99</v>
      </c>
      <c r="Z56" s="1">
        <f>0*(1)</f>
        <v>0</v>
      </c>
      <c r="AA56" s="1" t="s">
        <v>723</v>
      </c>
      <c r="AB56" s="1">
        <f>0*(1)</f>
        <v>0</v>
      </c>
      <c r="AC56" s="1" t="s">
        <v>111</v>
      </c>
      <c r="AD56" s="1">
        <f>1636*(1)</f>
        <v>1636</v>
      </c>
      <c r="AE56" s="1" t="s">
        <v>1015</v>
      </c>
      <c r="AF56" s="1">
        <f>0.001*(1)</f>
        <v>1E-3</v>
      </c>
      <c r="AG56" s="1" t="s">
        <v>99</v>
      </c>
      <c r="AH56" s="1">
        <f>0*(1)</f>
        <v>0</v>
      </c>
      <c r="AI56" s="1" t="s">
        <v>723</v>
      </c>
      <c r="AJ56" s="1">
        <f>0*(1)</f>
        <v>0</v>
      </c>
      <c r="AK56" s="1" t="s">
        <v>99</v>
      </c>
      <c r="AL56" s="1">
        <f>77*(1)</f>
        <v>77</v>
      </c>
      <c r="AM56" s="1" t="s">
        <v>1016</v>
      </c>
      <c r="AN56" s="1">
        <f>0.001*(1)</f>
        <v>1E-3</v>
      </c>
      <c r="AO56" s="1" t="s">
        <v>111</v>
      </c>
      <c r="AP56" s="1">
        <f>375*(1)</f>
        <v>375</v>
      </c>
      <c r="AQ56" s="1" t="s">
        <v>269</v>
      </c>
      <c r="AR56" s="1">
        <f>0.002*(1)</f>
        <v>2E-3</v>
      </c>
      <c r="AS56" s="1" t="s">
        <v>92</v>
      </c>
      <c r="AT56" s="1">
        <f>199*(1)</f>
        <v>199</v>
      </c>
      <c r="AU56" s="1" t="s">
        <v>768</v>
      </c>
      <c r="AV56" s="1">
        <f>0*(1)</f>
        <v>0</v>
      </c>
      <c r="AW56" s="1" t="s">
        <v>99</v>
      </c>
      <c r="AX56" s="1">
        <f>96*(1)</f>
        <v>96</v>
      </c>
      <c r="AY56" s="1" t="s">
        <v>924</v>
      </c>
      <c r="AZ56" s="1">
        <f>0.001*(1)</f>
        <v>1E-3</v>
      </c>
      <c r="BA56" s="1" t="s">
        <v>111</v>
      </c>
      <c r="BB56" s="1">
        <f>28*(1)</f>
        <v>28</v>
      </c>
      <c r="BC56" s="1" t="s">
        <v>719</v>
      </c>
      <c r="BD56" s="1">
        <f>0*(1)</f>
        <v>0</v>
      </c>
      <c r="BE56" s="1" t="s">
        <v>99</v>
      </c>
      <c r="BF56" s="1">
        <f>157*(1)</f>
        <v>157</v>
      </c>
      <c r="BG56" s="1" t="s">
        <v>751</v>
      </c>
      <c r="BH56" s="1">
        <f>0*(1)</f>
        <v>0</v>
      </c>
      <c r="BI56" s="1" t="s">
        <v>99</v>
      </c>
      <c r="BJ56" s="1">
        <f>25*(1)</f>
        <v>25</v>
      </c>
      <c r="BK56" s="1" t="s">
        <v>581</v>
      </c>
      <c r="BL56" s="1">
        <f>0*(1)</f>
        <v>0</v>
      </c>
      <c r="BM56" s="1" t="s">
        <v>99</v>
      </c>
      <c r="BN56" s="1">
        <f>380*(1)</f>
        <v>380</v>
      </c>
      <c r="BO56" s="1" t="s">
        <v>1017</v>
      </c>
      <c r="BP56" s="1">
        <f>0.002*(1)</f>
        <v>2E-3</v>
      </c>
      <c r="BQ56" s="1" t="s">
        <v>92</v>
      </c>
      <c r="BR56" s="1">
        <f>0*(1)</f>
        <v>0</v>
      </c>
      <c r="BS56" s="1" t="s">
        <v>723</v>
      </c>
      <c r="BT56" s="1">
        <f>0*(1)</f>
        <v>0</v>
      </c>
      <c r="BU56" s="1" t="s">
        <v>99</v>
      </c>
      <c r="BV56" s="1">
        <f>0*(1)</f>
        <v>0</v>
      </c>
      <c r="BW56" s="1" t="s">
        <v>723</v>
      </c>
      <c r="BX56" s="1">
        <f>0*(1)</f>
        <v>0</v>
      </c>
      <c r="BY56" s="1" t="s">
        <v>99</v>
      </c>
      <c r="BZ56" s="1">
        <f>1658*(1)</f>
        <v>1658</v>
      </c>
      <c r="CA56" s="1" t="s">
        <v>1018</v>
      </c>
      <c r="CB56" s="1">
        <f>0.004*(1)</f>
        <v>4.0000000000000001E-3</v>
      </c>
      <c r="CC56" s="1" t="s">
        <v>92</v>
      </c>
      <c r="CD56" s="1">
        <f>22*(1)</f>
        <v>22</v>
      </c>
      <c r="CE56" s="1" t="s">
        <v>1019</v>
      </c>
      <c r="CF56" s="1">
        <f>0*(1)</f>
        <v>0</v>
      </c>
      <c r="CG56" s="1" t="s">
        <v>99</v>
      </c>
      <c r="CH56" s="1">
        <f>0*(1)</f>
        <v>0</v>
      </c>
      <c r="CI56" s="1" t="s">
        <v>723</v>
      </c>
      <c r="CJ56" s="1">
        <f>0*(1)</f>
        <v>0</v>
      </c>
      <c r="CK56" s="1" t="s">
        <v>92</v>
      </c>
      <c r="CL56" s="1">
        <f>0*(1)</f>
        <v>0</v>
      </c>
      <c r="CM56" s="1" t="s">
        <v>723</v>
      </c>
      <c r="CN56" s="1">
        <f>0*(1)</f>
        <v>0</v>
      </c>
      <c r="CO56" s="1" t="s">
        <v>99</v>
      </c>
      <c r="CP56" s="1">
        <f>0*(1)</f>
        <v>0</v>
      </c>
      <c r="CQ56" s="1" t="s">
        <v>723</v>
      </c>
      <c r="CR56" s="1">
        <f>0*(1)</f>
        <v>0</v>
      </c>
      <c r="CS56" s="1" t="s">
        <v>111</v>
      </c>
      <c r="CT56" s="1">
        <f>172*(1)</f>
        <v>172</v>
      </c>
      <c r="CU56" s="1" t="s">
        <v>901</v>
      </c>
      <c r="CV56" s="1">
        <f>0*(1)</f>
        <v>0</v>
      </c>
      <c r="CW56" s="1" t="s">
        <v>99</v>
      </c>
      <c r="CX56" s="1">
        <f>0*(1)</f>
        <v>0</v>
      </c>
      <c r="CY56" s="1" t="s">
        <v>723</v>
      </c>
      <c r="CZ56" s="1">
        <f>0*(1)</f>
        <v>0</v>
      </c>
      <c r="DA56" s="1" t="s">
        <v>111</v>
      </c>
      <c r="DB56" s="1">
        <f>0*(1)</f>
        <v>0</v>
      </c>
      <c r="DC56" s="1" t="s">
        <v>723</v>
      </c>
      <c r="DD56" s="1">
        <f>0*(1)</f>
        <v>0</v>
      </c>
      <c r="DE56" s="1" t="s">
        <v>99</v>
      </c>
      <c r="DF56" s="1">
        <f>77*(1)</f>
        <v>77</v>
      </c>
      <c r="DG56" s="1" t="s">
        <v>1020</v>
      </c>
      <c r="DH56" s="1">
        <f>0.001*(1)</f>
        <v>1E-3</v>
      </c>
      <c r="DI56" s="1" t="s">
        <v>99</v>
      </c>
      <c r="DJ56" s="1">
        <f>0*(1)</f>
        <v>0</v>
      </c>
      <c r="DK56" s="1" t="s">
        <v>723</v>
      </c>
      <c r="DL56" s="1">
        <f>0*(1)</f>
        <v>0</v>
      </c>
      <c r="DM56" s="1" t="s">
        <v>111</v>
      </c>
      <c r="DN56" s="1">
        <f>0*(1)</f>
        <v>0</v>
      </c>
      <c r="DO56" s="1" t="s">
        <v>723</v>
      </c>
      <c r="DP56" s="1">
        <f>0*(1)</f>
        <v>0</v>
      </c>
      <c r="DQ56" s="1" t="s">
        <v>111</v>
      </c>
      <c r="DR56" s="1">
        <f>59*(1)</f>
        <v>59</v>
      </c>
      <c r="DS56" s="1" t="s">
        <v>1021</v>
      </c>
      <c r="DT56" s="1">
        <f>0*(1)</f>
        <v>0</v>
      </c>
      <c r="DU56" s="1" t="s">
        <v>99</v>
      </c>
      <c r="DV56" s="1">
        <f>79*(1)</f>
        <v>79</v>
      </c>
      <c r="DW56" s="1" t="s">
        <v>1022</v>
      </c>
      <c r="DX56" s="1">
        <f>0*(1)</f>
        <v>0</v>
      </c>
      <c r="DY56" s="1" t="s">
        <v>99</v>
      </c>
      <c r="DZ56" s="1">
        <f>45*(1)</f>
        <v>45</v>
      </c>
      <c r="EA56" s="1" t="s">
        <v>1013</v>
      </c>
      <c r="EB56" s="1">
        <f>0*(1)</f>
        <v>0</v>
      </c>
      <c r="EC56" s="1" t="s">
        <v>99</v>
      </c>
      <c r="ED56" s="1">
        <f>0*(1)</f>
        <v>0</v>
      </c>
      <c r="EE56" s="1" t="s">
        <v>723</v>
      </c>
      <c r="EF56" s="1">
        <f>0*(1)</f>
        <v>0</v>
      </c>
      <c r="EG56" s="1" t="s">
        <v>111</v>
      </c>
      <c r="EH56" s="1">
        <f>0*(1)</f>
        <v>0</v>
      </c>
      <c r="EI56" s="1" t="s">
        <v>723</v>
      </c>
      <c r="EJ56" s="1">
        <f>0*(1)</f>
        <v>0</v>
      </c>
      <c r="EK56" s="1" t="s">
        <v>99</v>
      </c>
      <c r="EL56" s="1">
        <f>0*(1)</f>
        <v>0</v>
      </c>
      <c r="EM56" s="1" t="s">
        <v>723</v>
      </c>
      <c r="EN56" s="1">
        <f>0*(1)</f>
        <v>0</v>
      </c>
      <c r="EO56" s="1" t="s">
        <v>99</v>
      </c>
      <c r="EP56" s="1">
        <f>216*(1)</f>
        <v>216</v>
      </c>
      <c r="EQ56" s="1" t="s">
        <v>1023</v>
      </c>
      <c r="ER56" s="1">
        <f>0.002*(1)</f>
        <v>2E-3</v>
      </c>
      <c r="ES56" s="1" t="s">
        <v>111</v>
      </c>
    </row>
    <row r="57" spans="1:149" x14ac:dyDescent="0.3">
      <c r="A57" s="9" t="s">
        <v>1024</v>
      </c>
      <c r="B57" s="1" t="s">
        <v>918</v>
      </c>
      <c r="C57" s="1" t="s">
        <v>918</v>
      </c>
      <c r="D57" s="1" t="s">
        <v>918</v>
      </c>
      <c r="E57" s="1" t="s">
        <v>918</v>
      </c>
      <c r="F57" s="1" t="s">
        <v>918</v>
      </c>
      <c r="G57" s="1" t="s">
        <v>918</v>
      </c>
      <c r="H57" s="1" t="s">
        <v>918</v>
      </c>
      <c r="I57" s="1" t="s">
        <v>918</v>
      </c>
      <c r="J57" s="1" t="s">
        <v>918</v>
      </c>
      <c r="K57" s="1" t="s">
        <v>918</v>
      </c>
      <c r="L57" s="1" t="s">
        <v>918</v>
      </c>
      <c r="M57" s="1" t="s">
        <v>918</v>
      </c>
      <c r="N57" s="1" t="s">
        <v>918</v>
      </c>
      <c r="O57" s="1" t="s">
        <v>918</v>
      </c>
      <c r="P57" s="1" t="s">
        <v>918</v>
      </c>
      <c r="Q57" s="1" t="s">
        <v>918</v>
      </c>
      <c r="R57" s="1" t="s">
        <v>918</v>
      </c>
      <c r="S57" s="1" t="s">
        <v>918</v>
      </c>
      <c r="T57" s="1" t="s">
        <v>918</v>
      </c>
      <c r="U57" s="1" t="s">
        <v>918</v>
      </c>
      <c r="V57" s="1" t="s">
        <v>918</v>
      </c>
      <c r="W57" s="1" t="s">
        <v>918</v>
      </c>
      <c r="X57" s="1" t="s">
        <v>918</v>
      </c>
      <c r="Y57" s="1" t="s">
        <v>918</v>
      </c>
      <c r="Z57" s="1" t="s">
        <v>918</v>
      </c>
      <c r="AA57" s="1" t="s">
        <v>918</v>
      </c>
      <c r="AB57" s="1" t="s">
        <v>918</v>
      </c>
      <c r="AC57" s="1" t="s">
        <v>918</v>
      </c>
      <c r="AD57" s="1" t="s">
        <v>918</v>
      </c>
      <c r="AE57" s="1" t="s">
        <v>918</v>
      </c>
      <c r="AF57" s="1" t="s">
        <v>918</v>
      </c>
      <c r="AG57" s="1" t="s">
        <v>918</v>
      </c>
      <c r="AH57" s="1" t="s">
        <v>918</v>
      </c>
      <c r="AI57" s="1" t="s">
        <v>918</v>
      </c>
      <c r="AJ57" s="1" t="s">
        <v>918</v>
      </c>
      <c r="AK57" s="1" t="s">
        <v>918</v>
      </c>
      <c r="AL57" s="1" t="s">
        <v>918</v>
      </c>
      <c r="AM57" s="1" t="s">
        <v>918</v>
      </c>
      <c r="AN57" s="1" t="s">
        <v>918</v>
      </c>
      <c r="AO57" s="1" t="s">
        <v>918</v>
      </c>
      <c r="AP57" s="1" t="s">
        <v>918</v>
      </c>
      <c r="AQ57" s="1" t="s">
        <v>918</v>
      </c>
      <c r="AR57" s="1" t="s">
        <v>918</v>
      </c>
      <c r="AS57" s="1" t="s">
        <v>918</v>
      </c>
      <c r="AT57" s="1" t="s">
        <v>918</v>
      </c>
      <c r="AU57" s="1" t="s">
        <v>918</v>
      </c>
      <c r="AV57" s="1" t="s">
        <v>918</v>
      </c>
      <c r="AW57" s="1" t="s">
        <v>918</v>
      </c>
      <c r="AX57" s="1" t="s">
        <v>918</v>
      </c>
      <c r="AY57" s="1" t="s">
        <v>918</v>
      </c>
      <c r="AZ57" s="1" t="s">
        <v>918</v>
      </c>
      <c r="BA57" s="1" t="s">
        <v>918</v>
      </c>
      <c r="BB57" s="1" t="s">
        <v>918</v>
      </c>
      <c r="BC57" s="1" t="s">
        <v>918</v>
      </c>
      <c r="BD57" s="1" t="s">
        <v>918</v>
      </c>
      <c r="BE57" s="1" t="s">
        <v>918</v>
      </c>
      <c r="BF57" s="1" t="s">
        <v>918</v>
      </c>
      <c r="BG57" s="1" t="s">
        <v>918</v>
      </c>
      <c r="BH57" s="1" t="s">
        <v>918</v>
      </c>
      <c r="BI57" s="1" t="s">
        <v>918</v>
      </c>
      <c r="BJ57" s="1" t="s">
        <v>918</v>
      </c>
      <c r="BK57" s="1" t="s">
        <v>918</v>
      </c>
      <c r="BL57" s="1" t="s">
        <v>918</v>
      </c>
      <c r="BM57" s="1" t="s">
        <v>918</v>
      </c>
      <c r="BN57" s="1" t="s">
        <v>918</v>
      </c>
      <c r="BO57" s="1" t="s">
        <v>918</v>
      </c>
      <c r="BP57" s="1" t="s">
        <v>918</v>
      </c>
      <c r="BQ57" s="1" t="s">
        <v>918</v>
      </c>
      <c r="BR57" s="1" t="s">
        <v>918</v>
      </c>
      <c r="BS57" s="1" t="s">
        <v>918</v>
      </c>
      <c r="BT57" s="1" t="s">
        <v>918</v>
      </c>
      <c r="BU57" s="1" t="s">
        <v>918</v>
      </c>
      <c r="BV57" s="1" t="s">
        <v>918</v>
      </c>
      <c r="BW57" s="1" t="s">
        <v>918</v>
      </c>
      <c r="BX57" s="1" t="s">
        <v>918</v>
      </c>
      <c r="BY57" s="1" t="s">
        <v>918</v>
      </c>
      <c r="BZ57" s="1" t="s">
        <v>918</v>
      </c>
      <c r="CA57" s="1" t="s">
        <v>918</v>
      </c>
      <c r="CB57" s="1" t="s">
        <v>918</v>
      </c>
      <c r="CC57" s="1" t="s">
        <v>918</v>
      </c>
      <c r="CD57" s="1" t="s">
        <v>918</v>
      </c>
      <c r="CE57" s="1" t="s">
        <v>918</v>
      </c>
      <c r="CF57" s="1" t="s">
        <v>918</v>
      </c>
      <c r="CG57" s="1" t="s">
        <v>918</v>
      </c>
      <c r="CH57" s="1" t="s">
        <v>918</v>
      </c>
      <c r="CI57" s="1" t="s">
        <v>918</v>
      </c>
      <c r="CJ57" s="1" t="s">
        <v>918</v>
      </c>
      <c r="CK57" s="1" t="s">
        <v>918</v>
      </c>
      <c r="CL57" s="1" t="s">
        <v>918</v>
      </c>
      <c r="CM57" s="1" t="s">
        <v>918</v>
      </c>
      <c r="CN57" s="1" t="s">
        <v>918</v>
      </c>
      <c r="CO57" s="1" t="s">
        <v>918</v>
      </c>
      <c r="CP57" s="1" t="s">
        <v>918</v>
      </c>
      <c r="CQ57" s="1" t="s">
        <v>918</v>
      </c>
      <c r="CR57" s="1" t="s">
        <v>918</v>
      </c>
      <c r="CS57" s="1" t="s">
        <v>918</v>
      </c>
      <c r="CT57" s="1" t="s">
        <v>918</v>
      </c>
      <c r="CU57" s="1" t="s">
        <v>918</v>
      </c>
      <c r="CV57" s="1" t="s">
        <v>918</v>
      </c>
      <c r="CW57" s="1" t="s">
        <v>918</v>
      </c>
      <c r="CX57" s="1" t="s">
        <v>918</v>
      </c>
      <c r="CY57" s="1" t="s">
        <v>918</v>
      </c>
      <c r="CZ57" s="1" t="s">
        <v>918</v>
      </c>
      <c r="DA57" s="1" t="s">
        <v>918</v>
      </c>
      <c r="DB57" s="1" t="s">
        <v>918</v>
      </c>
      <c r="DC57" s="1" t="s">
        <v>918</v>
      </c>
      <c r="DD57" s="1" t="s">
        <v>918</v>
      </c>
      <c r="DE57" s="1" t="s">
        <v>918</v>
      </c>
      <c r="DF57" s="1" t="s">
        <v>918</v>
      </c>
      <c r="DG57" s="1" t="s">
        <v>918</v>
      </c>
      <c r="DH57" s="1" t="s">
        <v>918</v>
      </c>
      <c r="DI57" s="1" t="s">
        <v>918</v>
      </c>
      <c r="DJ57" s="1" t="s">
        <v>918</v>
      </c>
      <c r="DK57" s="1" t="s">
        <v>918</v>
      </c>
      <c r="DL57" s="1" t="s">
        <v>918</v>
      </c>
      <c r="DM57" s="1" t="s">
        <v>918</v>
      </c>
      <c r="DN57" s="1" t="s">
        <v>918</v>
      </c>
      <c r="DO57" s="1" t="s">
        <v>918</v>
      </c>
      <c r="DP57" s="1" t="s">
        <v>918</v>
      </c>
      <c r="DQ57" s="1" t="s">
        <v>918</v>
      </c>
      <c r="DR57" s="1" t="s">
        <v>918</v>
      </c>
      <c r="DS57" s="1" t="s">
        <v>918</v>
      </c>
      <c r="DT57" s="1" t="s">
        <v>918</v>
      </c>
      <c r="DU57" s="1" t="s">
        <v>918</v>
      </c>
      <c r="DV57" s="1" t="s">
        <v>918</v>
      </c>
      <c r="DW57" s="1" t="s">
        <v>918</v>
      </c>
      <c r="DX57" s="1" t="s">
        <v>918</v>
      </c>
      <c r="DY57" s="1" t="s">
        <v>918</v>
      </c>
      <c r="DZ57" s="1" t="s">
        <v>918</v>
      </c>
      <c r="EA57" s="1" t="s">
        <v>918</v>
      </c>
      <c r="EB57" s="1" t="s">
        <v>918</v>
      </c>
      <c r="EC57" s="1" t="s">
        <v>918</v>
      </c>
      <c r="ED57" s="1" t="s">
        <v>918</v>
      </c>
      <c r="EE57" s="1" t="s">
        <v>918</v>
      </c>
      <c r="EF57" s="1" t="s">
        <v>918</v>
      </c>
      <c r="EG57" s="1" t="s">
        <v>918</v>
      </c>
      <c r="EH57" s="1" t="s">
        <v>918</v>
      </c>
      <c r="EI57" s="1" t="s">
        <v>918</v>
      </c>
      <c r="EJ57" s="1" t="s">
        <v>918</v>
      </c>
      <c r="EK57" s="1" t="s">
        <v>918</v>
      </c>
      <c r="EL57" s="1" t="s">
        <v>918</v>
      </c>
      <c r="EM57" s="1" t="s">
        <v>918</v>
      </c>
      <c r="EN57" s="1" t="s">
        <v>918</v>
      </c>
      <c r="EO57" s="1" t="s">
        <v>918</v>
      </c>
      <c r="EP57" s="1" t="s">
        <v>918</v>
      </c>
      <c r="EQ57" s="1" t="s">
        <v>918</v>
      </c>
      <c r="ER57" s="1" t="s">
        <v>918</v>
      </c>
      <c r="ES57" s="1" t="s">
        <v>918</v>
      </c>
    </row>
    <row r="58" spans="1:149" x14ac:dyDescent="0.3">
      <c r="A58" s="9" t="s">
        <v>1025</v>
      </c>
      <c r="B58" s="1" t="s">
        <v>918</v>
      </c>
      <c r="C58" s="1" t="s">
        <v>918</v>
      </c>
      <c r="D58" s="1" t="s">
        <v>918</v>
      </c>
      <c r="E58" s="1" t="s">
        <v>918</v>
      </c>
      <c r="F58" s="1" t="s">
        <v>918</v>
      </c>
      <c r="G58" s="1" t="s">
        <v>918</v>
      </c>
      <c r="H58" s="1" t="s">
        <v>918</v>
      </c>
      <c r="I58" s="1" t="s">
        <v>918</v>
      </c>
      <c r="J58" s="1" t="s">
        <v>918</v>
      </c>
      <c r="K58" s="1" t="s">
        <v>918</v>
      </c>
      <c r="L58" s="1" t="s">
        <v>918</v>
      </c>
      <c r="M58" s="1" t="s">
        <v>918</v>
      </c>
      <c r="N58" s="1" t="s">
        <v>918</v>
      </c>
      <c r="O58" s="1" t="s">
        <v>918</v>
      </c>
      <c r="P58" s="1" t="s">
        <v>918</v>
      </c>
      <c r="Q58" s="1" t="s">
        <v>918</v>
      </c>
      <c r="R58" s="1" t="s">
        <v>918</v>
      </c>
      <c r="S58" s="1" t="s">
        <v>918</v>
      </c>
      <c r="T58" s="1" t="s">
        <v>918</v>
      </c>
      <c r="U58" s="1" t="s">
        <v>918</v>
      </c>
      <c r="V58" s="1" t="s">
        <v>918</v>
      </c>
      <c r="W58" s="1" t="s">
        <v>918</v>
      </c>
      <c r="X58" s="1" t="s">
        <v>918</v>
      </c>
      <c r="Y58" s="1" t="s">
        <v>918</v>
      </c>
      <c r="Z58" s="1" t="s">
        <v>918</v>
      </c>
      <c r="AA58" s="1" t="s">
        <v>918</v>
      </c>
      <c r="AB58" s="1" t="s">
        <v>918</v>
      </c>
      <c r="AC58" s="1" t="s">
        <v>918</v>
      </c>
      <c r="AD58" s="1" t="s">
        <v>918</v>
      </c>
      <c r="AE58" s="1" t="s">
        <v>918</v>
      </c>
      <c r="AF58" s="1" t="s">
        <v>918</v>
      </c>
      <c r="AG58" s="1" t="s">
        <v>918</v>
      </c>
      <c r="AH58" s="1" t="s">
        <v>918</v>
      </c>
      <c r="AI58" s="1" t="s">
        <v>918</v>
      </c>
      <c r="AJ58" s="1" t="s">
        <v>918</v>
      </c>
      <c r="AK58" s="1" t="s">
        <v>918</v>
      </c>
      <c r="AL58" s="1" t="s">
        <v>918</v>
      </c>
      <c r="AM58" s="1" t="s">
        <v>918</v>
      </c>
      <c r="AN58" s="1" t="s">
        <v>918</v>
      </c>
      <c r="AO58" s="1" t="s">
        <v>918</v>
      </c>
      <c r="AP58" s="1" t="s">
        <v>918</v>
      </c>
      <c r="AQ58" s="1" t="s">
        <v>918</v>
      </c>
      <c r="AR58" s="1" t="s">
        <v>918</v>
      </c>
      <c r="AS58" s="1" t="s">
        <v>918</v>
      </c>
      <c r="AT58" s="1" t="s">
        <v>918</v>
      </c>
      <c r="AU58" s="1" t="s">
        <v>918</v>
      </c>
      <c r="AV58" s="1" t="s">
        <v>918</v>
      </c>
      <c r="AW58" s="1" t="s">
        <v>918</v>
      </c>
      <c r="AX58" s="1" t="s">
        <v>918</v>
      </c>
      <c r="AY58" s="1" t="s">
        <v>918</v>
      </c>
      <c r="AZ58" s="1" t="s">
        <v>918</v>
      </c>
      <c r="BA58" s="1" t="s">
        <v>918</v>
      </c>
      <c r="BB58" s="1" t="s">
        <v>918</v>
      </c>
      <c r="BC58" s="1" t="s">
        <v>918</v>
      </c>
      <c r="BD58" s="1" t="s">
        <v>918</v>
      </c>
      <c r="BE58" s="1" t="s">
        <v>918</v>
      </c>
      <c r="BF58" s="1" t="s">
        <v>918</v>
      </c>
      <c r="BG58" s="1" t="s">
        <v>918</v>
      </c>
      <c r="BH58" s="1" t="s">
        <v>918</v>
      </c>
      <c r="BI58" s="1" t="s">
        <v>918</v>
      </c>
      <c r="BJ58" s="1" t="s">
        <v>918</v>
      </c>
      <c r="BK58" s="1" t="s">
        <v>918</v>
      </c>
      <c r="BL58" s="1" t="s">
        <v>918</v>
      </c>
      <c r="BM58" s="1" t="s">
        <v>918</v>
      </c>
      <c r="BN58" s="1" t="s">
        <v>918</v>
      </c>
      <c r="BO58" s="1" t="s">
        <v>918</v>
      </c>
      <c r="BP58" s="1" t="s">
        <v>918</v>
      </c>
      <c r="BQ58" s="1" t="s">
        <v>918</v>
      </c>
      <c r="BR58" s="1" t="s">
        <v>918</v>
      </c>
      <c r="BS58" s="1" t="s">
        <v>918</v>
      </c>
      <c r="BT58" s="1" t="s">
        <v>918</v>
      </c>
      <c r="BU58" s="1" t="s">
        <v>918</v>
      </c>
      <c r="BV58" s="1" t="s">
        <v>918</v>
      </c>
      <c r="BW58" s="1" t="s">
        <v>918</v>
      </c>
      <c r="BX58" s="1" t="s">
        <v>918</v>
      </c>
      <c r="BY58" s="1" t="s">
        <v>918</v>
      </c>
      <c r="BZ58" s="1" t="s">
        <v>918</v>
      </c>
      <c r="CA58" s="1" t="s">
        <v>918</v>
      </c>
      <c r="CB58" s="1" t="s">
        <v>918</v>
      </c>
      <c r="CC58" s="1" t="s">
        <v>918</v>
      </c>
      <c r="CD58" s="1" t="s">
        <v>918</v>
      </c>
      <c r="CE58" s="1" t="s">
        <v>918</v>
      </c>
      <c r="CF58" s="1" t="s">
        <v>918</v>
      </c>
      <c r="CG58" s="1" t="s">
        <v>918</v>
      </c>
      <c r="CH58" s="1" t="s">
        <v>918</v>
      </c>
      <c r="CI58" s="1" t="s">
        <v>918</v>
      </c>
      <c r="CJ58" s="1" t="s">
        <v>918</v>
      </c>
      <c r="CK58" s="1" t="s">
        <v>918</v>
      </c>
      <c r="CL58" s="1" t="s">
        <v>918</v>
      </c>
      <c r="CM58" s="1" t="s">
        <v>918</v>
      </c>
      <c r="CN58" s="1" t="s">
        <v>918</v>
      </c>
      <c r="CO58" s="1" t="s">
        <v>918</v>
      </c>
      <c r="CP58" s="1" t="s">
        <v>918</v>
      </c>
      <c r="CQ58" s="1" t="s">
        <v>918</v>
      </c>
      <c r="CR58" s="1" t="s">
        <v>918</v>
      </c>
      <c r="CS58" s="1" t="s">
        <v>918</v>
      </c>
      <c r="CT58" s="1" t="s">
        <v>918</v>
      </c>
      <c r="CU58" s="1" t="s">
        <v>918</v>
      </c>
      <c r="CV58" s="1" t="s">
        <v>918</v>
      </c>
      <c r="CW58" s="1" t="s">
        <v>918</v>
      </c>
      <c r="CX58" s="1" t="s">
        <v>918</v>
      </c>
      <c r="CY58" s="1" t="s">
        <v>918</v>
      </c>
      <c r="CZ58" s="1" t="s">
        <v>918</v>
      </c>
      <c r="DA58" s="1" t="s">
        <v>918</v>
      </c>
      <c r="DB58" s="1" t="s">
        <v>918</v>
      </c>
      <c r="DC58" s="1" t="s">
        <v>918</v>
      </c>
      <c r="DD58" s="1" t="s">
        <v>918</v>
      </c>
      <c r="DE58" s="1" t="s">
        <v>918</v>
      </c>
      <c r="DF58" s="1" t="s">
        <v>918</v>
      </c>
      <c r="DG58" s="1" t="s">
        <v>918</v>
      </c>
      <c r="DH58" s="1" t="s">
        <v>918</v>
      </c>
      <c r="DI58" s="1" t="s">
        <v>918</v>
      </c>
      <c r="DJ58" s="1" t="s">
        <v>918</v>
      </c>
      <c r="DK58" s="1" t="s">
        <v>918</v>
      </c>
      <c r="DL58" s="1" t="s">
        <v>918</v>
      </c>
      <c r="DM58" s="1" t="s">
        <v>918</v>
      </c>
      <c r="DN58" s="1" t="s">
        <v>918</v>
      </c>
      <c r="DO58" s="1" t="s">
        <v>918</v>
      </c>
      <c r="DP58" s="1" t="s">
        <v>918</v>
      </c>
      <c r="DQ58" s="1" t="s">
        <v>918</v>
      </c>
      <c r="DR58" s="1" t="s">
        <v>918</v>
      </c>
      <c r="DS58" s="1" t="s">
        <v>918</v>
      </c>
      <c r="DT58" s="1" t="s">
        <v>918</v>
      </c>
      <c r="DU58" s="1" t="s">
        <v>918</v>
      </c>
      <c r="DV58" s="1" t="s">
        <v>918</v>
      </c>
      <c r="DW58" s="1" t="s">
        <v>918</v>
      </c>
      <c r="DX58" s="1" t="s">
        <v>918</v>
      </c>
      <c r="DY58" s="1" t="s">
        <v>918</v>
      </c>
      <c r="DZ58" s="1" t="s">
        <v>918</v>
      </c>
      <c r="EA58" s="1" t="s">
        <v>918</v>
      </c>
      <c r="EB58" s="1" t="s">
        <v>918</v>
      </c>
      <c r="EC58" s="1" t="s">
        <v>918</v>
      </c>
      <c r="ED58" s="1" t="s">
        <v>918</v>
      </c>
      <c r="EE58" s="1" t="s">
        <v>918</v>
      </c>
      <c r="EF58" s="1" t="s">
        <v>918</v>
      </c>
      <c r="EG58" s="1" t="s">
        <v>918</v>
      </c>
      <c r="EH58" s="1" t="s">
        <v>918</v>
      </c>
      <c r="EI58" s="1" t="s">
        <v>918</v>
      </c>
      <c r="EJ58" s="1" t="s">
        <v>918</v>
      </c>
      <c r="EK58" s="1" t="s">
        <v>918</v>
      </c>
      <c r="EL58" s="1" t="s">
        <v>918</v>
      </c>
      <c r="EM58" s="1" t="s">
        <v>918</v>
      </c>
      <c r="EN58" s="1" t="s">
        <v>918</v>
      </c>
      <c r="EO58" s="1" t="s">
        <v>918</v>
      </c>
      <c r="EP58" s="1" t="s">
        <v>918</v>
      </c>
      <c r="EQ58" s="1" t="s">
        <v>918</v>
      </c>
      <c r="ER58" s="1" t="s">
        <v>918</v>
      </c>
      <c r="ES58" s="1" t="s">
        <v>918</v>
      </c>
    </row>
    <row r="59" spans="1:149" x14ac:dyDescent="0.3">
      <c r="A59" s="9" t="s">
        <v>1026</v>
      </c>
      <c r="B59" s="1" t="s">
        <v>918</v>
      </c>
      <c r="C59" s="1" t="s">
        <v>918</v>
      </c>
      <c r="D59" s="1" t="s">
        <v>918</v>
      </c>
      <c r="E59" s="1" t="s">
        <v>918</v>
      </c>
      <c r="F59" s="1" t="s">
        <v>918</v>
      </c>
      <c r="G59" s="1" t="s">
        <v>918</v>
      </c>
      <c r="H59" s="1" t="s">
        <v>918</v>
      </c>
      <c r="I59" s="1" t="s">
        <v>918</v>
      </c>
      <c r="J59" s="1" t="s">
        <v>918</v>
      </c>
      <c r="K59" s="1" t="s">
        <v>918</v>
      </c>
      <c r="L59" s="1" t="s">
        <v>918</v>
      </c>
      <c r="M59" s="1" t="s">
        <v>918</v>
      </c>
      <c r="N59" s="1" t="s">
        <v>918</v>
      </c>
      <c r="O59" s="1" t="s">
        <v>918</v>
      </c>
      <c r="P59" s="1" t="s">
        <v>918</v>
      </c>
      <c r="Q59" s="1" t="s">
        <v>918</v>
      </c>
      <c r="R59" s="1" t="s">
        <v>918</v>
      </c>
      <c r="S59" s="1" t="s">
        <v>918</v>
      </c>
      <c r="T59" s="1" t="s">
        <v>918</v>
      </c>
      <c r="U59" s="1" t="s">
        <v>918</v>
      </c>
      <c r="V59" s="1" t="s">
        <v>918</v>
      </c>
      <c r="W59" s="1" t="s">
        <v>918</v>
      </c>
      <c r="X59" s="1" t="s">
        <v>918</v>
      </c>
      <c r="Y59" s="1" t="s">
        <v>918</v>
      </c>
      <c r="Z59" s="1" t="s">
        <v>918</v>
      </c>
      <c r="AA59" s="1" t="s">
        <v>918</v>
      </c>
      <c r="AB59" s="1" t="s">
        <v>918</v>
      </c>
      <c r="AC59" s="1" t="s">
        <v>918</v>
      </c>
      <c r="AD59" s="1" t="s">
        <v>918</v>
      </c>
      <c r="AE59" s="1" t="s">
        <v>918</v>
      </c>
      <c r="AF59" s="1" t="s">
        <v>918</v>
      </c>
      <c r="AG59" s="1" t="s">
        <v>918</v>
      </c>
      <c r="AH59" s="1" t="s">
        <v>918</v>
      </c>
      <c r="AI59" s="1" t="s">
        <v>918</v>
      </c>
      <c r="AJ59" s="1" t="s">
        <v>918</v>
      </c>
      <c r="AK59" s="1" t="s">
        <v>918</v>
      </c>
      <c r="AL59" s="1" t="s">
        <v>918</v>
      </c>
      <c r="AM59" s="1" t="s">
        <v>918</v>
      </c>
      <c r="AN59" s="1" t="s">
        <v>918</v>
      </c>
      <c r="AO59" s="1" t="s">
        <v>918</v>
      </c>
      <c r="AP59" s="1" t="s">
        <v>918</v>
      </c>
      <c r="AQ59" s="1" t="s">
        <v>918</v>
      </c>
      <c r="AR59" s="1" t="s">
        <v>918</v>
      </c>
      <c r="AS59" s="1" t="s">
        <v>918</v>
      </c>
      <c r="AT59" s="1" t="s">
        <v>918</v>
      </c>
      <c r="AU59" s="1" t="s">
        <v>918</v>
      </c>
      <c r="AV59" s="1" t="s">
        <v>918</v>
      </c>
      <c r="AW59" s="1" t="s">
        <v>918</v>
      </c>
      <c r="AX59" s="1" t="s">
        <v>918</v>
      </c>
      <c r="AY59" s="1" t="s">
        <v>918</v>
      </c>
      <c r="AZ59" s="1" t="s">
        <v>918</v>
      </c>
      <c r="BA59" s="1" t="s">
        <v>918</v>
      </c>
      <c r="BB59" s="1" t="s">
        <v>918</v>
      </c>
      <c r="BC59" s="1" t="s">
        <v>918</v>
      </c>
      <c r="BD59" s="1" t="s">
        <v>918</v>
      </c>
      <c r="BE59" s="1" t="s">
        <v>918</v>
      </c>
      <c r="BF59" s="1" t="s">
        <v>918</v>
      </c>
      <c r="BG59" s="1" t="s">
        <v>918</v>
      </c>
      <c r="BH59" s="1" t="s">
        <v>918</v>
      </c>
      <c r="BI59" s="1" t="s">
        <v>918</v>
      </c>
      <c r="BJ59" s="1" t="s">
        <v>918</v>
      </c>
      <c r="BK59" s="1" t="s">
        <v>918</v>
      </c>
      <c r="BL59" s="1" t="s">
        <v>918</v>
      </c>
      <c r="BM59" s="1" t="s">
        <v>918</v>
      </c>
      <c r="BN59" s="1" t="s">
        <v>918</v>
      </c>
      <c r="BO59" s="1" t="s">
        <v>918</v>
      </c>
      <c r="BP59" s="1" t="s">
        <v>918</v>
      </c>
      <c r="BQ59" s="1" t="s">
        <v>918</v>
      </c>
      <c r="BR59" s="1" t="s">
        <v>918</v>
      </c>
      <c r="BS59" s="1" t="s">
        <v>918</v>
      </c>
      <c r="BT59" s="1" t="s">
        <v>918</v>
      </c>
      <c r="BU59" s="1" t="s">
        <v>918</v>
      </c>
      <c r="BV59" s="1" t="s">
        <v>918</v>
      </c>
      <c r="BW59" s="1" t="s">
        <v>918</v>
      </c>
      <c r="BX59" s="1" t="s">
        <v>918</v>
      </c>
      <c r="BY59" s="1" t="s">
        <v>918</v>
      </c>
      <c r="BZ59" s="1" t="s">
        <v>918</v>
      </c>
      <c r="CA59" s="1" t="s">
        <v>918</v>
      </c>
      <c r="CB59" s="1" t="s">
        <v>918</v>
      </c>
      <c r="CC59" s="1" t="s">
        <v>918</v>
      </c>
      <c r="CD59" s="1" t="s">
        <v>918</v>
      </c>
      <c r="CE59" s="1" t="s">
        <v>918</v>
      </c>
      <c r="CF59" s="1" t="s">
        <v>918</v>
      </c>
      <c r="CG59" s="1" t="s">
        <v>918</v>
      </c>
      <c r="CH59" s="1" t="s">
        <v>918</v>
      </c>
      <c r="CI59" s="1" t="s">
        <v>918</v>
      </c>
      <c r="CJ59" s="1" t="s">
        <v>918</v>
      </c>
      <c r="CK59" s="1" t="s">
        <v>918</v>
      </c>
      <c r="CL59" s="1" t="s">
        <v>918</v>
      </c>
      <c r="CM59" s="1" t="s">
        <v>918</v>
      </c>
      <c r="CN59" s="1" t="s">
        <v>918</v>
      </c>
      <c r="CO59" s="1" t="s">
        <v>918</v>
      </c>
      <c r="CP59" s="1" t="s">
        <v>918</v>
      </c>
      <c r="CQ59" s="1" t="s">
        <v>918</v>
      </c>
      <c r="CR59" s="1" t="s">
        <v>918</v>
      </c>
      <c r="CS59" s="1" t="s">
        <v>918</v>
      </c>
      <c r="CT59" s="1" t="s">
        <v>918</v>
      </c>
      <c r="CU59" s="1" t="s">
        <v>918</v>
      </c>
      <c r="CV59" s="1" t="s">
        <v>918</v>
      </c>
      <c r="CW59" s="1" t="s">
        <v>918</v>
      </c>
      <c r="CX59" s="1" t="s">
        <v>918</v>
      </c>
      <c r="CY59" s="1" t="s">
        <v>918</v>
      </c>
      <c r="CZ59" s="1" t="s">
        <v>918</v>
      </c>
      <c r="DA59" s="1" t="s">
        <v>918</v>
      </c>
      <c r="DB59" s="1" t="s">
        <v>918</v>
      </c>
      <c r="DC59" s="1" t="s">
        <v>918</v>
      </c>
      <c r="DD59" s="1" t="s">
        <v>918</v>
      </c>
      <c r="DE59" s="1" t="s">
        <v>918</v>
      </c>
      <c r="DF59" s="1" t="s">
        <v>918</v>
      </c>
      <c r="DG59" s="1" t="s">
        <v>918</v>
      </c>
      <c r="DH59" s="1" t="s">
        <v>918</v>
      </c>
      <c r="DI59" s="1" t="s">
        <v>918</v>
      </c>
      <c r="DJ59" s="1" t="s">
        <v>918</v>
      </c>
      <c r="DK59" s="1" t="s">
        <v>918</v>
      </c>
      <c r="DL59" s="1" t="s">
        <v>918</v>
      </c>
      <c r="DM59" s="1" t="s">
        <v>918</v>
      </c>
      <c r="DN59" s="1" t="s">
        <v>918</v>
      </c>
      <c r="DO59" s="1" t="s">
        <v>918</v>
      </c>
      <c r="DP59" s="1" t="s">
        <v>918</v>
      </c>
      <c r="DQ59" s="1" t="s">
        <v>918</v>
      </c>
      <c r="DR59" s="1" t="s">
        <v>918</v>
      </c>
      <c r="DS59" s="1" t="s">
        <v>918</v>
      </c>
      <c r="DT59" s="1" t="s">
        <v>918</v>
      </c>
      <c r="DU59" s="1" t="s">
        <v>918</v>
      </c>
      <c r="DV59" s="1" t="s">
        <v>918</v>
      </c>
      <c r="DW59" s="1" t="s">
        <v>918</v>
      </c>
      <c r="DX59" s="1" t="s">
        <v>918</v>
      </c>
      <c r="DY59" s="1" t="s">
        <v>918</v>
      </c>
      <c r="DZ59" s="1" t="s">
        <v>918</v>
      </c>
      <c r="EA59" s="1" t="s">
        <v>918</v>
      </c>
      <c r="EB59" s="1" t="s">
        <v>918</v>
      </c>
      <c r="EC59" s="1" t="s">
        <v>918</v>
      </c>
      <c r="ED59" s="1" t="s">
        <v>918</v>
      </c>
      <c r="EE59" s="1" t="s">
        <v>918</v>
      </c>
      <c r="EF59" s="1" t="s">
        <v>918</v>
      </c>
      <c r="EG59" s="1" t="s">
        <v>918</v>
      </c>
      <c r="EH59" s="1" t="s">
        <v>918</v>
      </c>
      <c r="EI59" s="1" t="s">
        <v>918</v>
      </c>
      <c r="EJ59" s="1" t="s">
        <v>918</v>
      </c>
      <c r="EK59" s="1" t="s">
        <v>918</v>
      </c>
      <c r="EL59" s="1" t="s">
        <v>918</v>
      </c>
      <c r="EM59" s="1" t="s">
        <v>918</v>
      </c>
      <c r="EN59" s="1" t="s">
        <v>918</v>
      </c>
      <c r="EO59" s="1" t="s">
        <v>918</v>
      </c>
      <c r="EP59" s="1" t="s">
        <v>918</v>
      </c>
      <c r="EQ59" s="1" t="s">
        <v>918</v>
      </c>
      <c r="ER59" s="1" t="s">
        <v>918</v>
      </c>
      <c r="ES59" s="1" t="s">
        <v>918</v>
      </c>
    </row>
    <row r="60" spans="1:149" x14ac:dyDescent="0.3">
      <c r="A60" s="9" t="s">
        <v>1027</v>
      </c>
      <c r="B60" s="1" t="s">
        <v>918</v>
      </c>
      <c r="C60" s="1" t="s">
        <v>918</v>
      </c>
      <c r="D60" s="1" t="s">
        <v>918</v>
      </c>
      <c r="E60" s="1" t="s">
        <v>918</v>
      </c>
      <c r="F60" s="1" t="s">
        <v>918</v>
      </c>
      <c r="G60" s="1" t="s">
        <v>918</v>
      </c>
      <c r="H60" s="1" t="s">
        <v>918</v>
      </c>
      <c r="I60" s="1" t="s">
        <v>918</v>
      </c>
      <c r="J60" s="1" t="s">
        <v>918</v>
      </c>
      <c r="K60" s="1" t="s">
        <v>918</v>
      </c>
      <c r="L60" s="1" t="s">
        <v>918</v>
      </c>
      <c r="M60" s="1" t="s">
        <v>918</v>
      </c>
      <c r="N60" s="1" t="s">
        <v>918</v>
      </c>
      <c r="O60" s="1" t="s">
        <v>918</v>
      </c>
      <c r="P60" s="1" t="s">
        <v>918</v>
      </c>
      <c r="Q60" s="1" t="s">
        <v>918</v>
      </c>
      <c r="R60" s="1" t="s">
        <v>918</v>
      </c>
      <c r="S60" s="1" t="s">
        <v>918</v>
      </c>
      <c r="T60" s="1" t="s">
        <v>918</v>
      </c>
      <c r="U60" s="1" t="s">
        <v>918</v>
      </c>
      <c r="V60" s="1" t="s">
        <v>918</v>
      </c>
      <c r="W60" s="1" t="s">
        <v>918</v>
      </c>
      <c r="X60" s="1" t="s">
        <v>918</v>
      </c>
      <c r="Y60" s="1" t="s">
        <v>918</v>
      </c>
      <c r="Z60" s="1" t="s">
        <v>918</v>
      </c>
      <c r="AA60" s="1" t="s">
        <v>918</v>
      </c>
      <c r="AB60" s="1" t="s">
        <v>918</v>
      </c>
      <c r="AC60" s="1" t="s">
        <v>918</v>
      </c>
      <c r="AD60" s="1" t="s">
        <v>918</v>
      </c>
      <c r="AE60" s="1" t="s">
        <v>918</v>
      </c>
      <c r="AF60" s="1" t="s">
        <v>918</v>
      </c>
      <c r="AG60" s="1" t="s">
        <v>918</v>
      </c>
      <c r="AH60" s="1" t="s">
        <v>918</v>
      </c>
      <c r="AI60" s="1" t="s">
        <v>918</v>
      </c>
      <c r="AJ60" s="1" t="s">
        <v>918</v>
      </c>
      <c r="AK60" s="1" t="s">
        <v>918</v>
      </c>
      <c r="AL60" s="1" t="s">
        <v>918</v>
      </c>
      <c r="AM60" s="1" t="s">
        <v>918</v>
      </c>
      <c r="AN60" s="1" t="s">
        <v>918</v>
      </c>
      <c r="AO60" s="1" t="s">
        <v>918</v>
      </c>
      <c r="AP60" s="1" t="s">
        <v>918</v>
      </c>
      <c r="AQ60" s="1" t="s">
        <v>918</v>
      </c>
      <c r="AR60" s="1" t="s">
        <v>918</v>
      </c>
      <c r="AS60" s="1" t="s">
        <v>918</v>
      </c>
      <c r="AT60" s="1" t="s">
        <v>918</v>
      </c>
      <c r="AU60" s="1" t="s">
        <v>918</v>
      </c>
      <c r="AV60" s="1" t="s">
        <v>918</v>
      </c>
      <c r="AW60" s="1" t="s">
        <v>918</v>
      </c>
      <c r="AX60" s="1" t="s">
        <v>918</v>
      </c>
      <c r="AY60" s="1" t="s">
        <v>918</v>
      </c>
      <c r="AZ60" s="1" t="s">
        <v>918</v>
      </c>
      <c r="BA60" s="1" t="s">
        <v>918</v>
      </c>
      <c r="BB60" s="1" t="s">
        <v>918</v>
      </c>
      <c r="BC60" s="1" t="s">
        <v>918</v>
      </c>
      <c r="BD60" s="1" t="s">
        <v>918</v>
      </c>
      <c r="BE60" s="1" t="s">
        <v>918</v>
      </c>
      <c r="BF60" s="1" t="s">
        <v>918</v>
      </c>
      <c r="BG60" s="1" t="s">
        <v>918</v>
      </c>
      <c r="BH60" s="1" t="s">
        <v>918</v>
      </c>
      <c r="BI60" s="1" t="s">
        <v>918</v>
      </c>
      <c r="BJ60" s="1" t="s">
        <v>918</v>
      </c>
      <c r="BK60" s="1" t="s">
        <v>918</v>
      </c>
      <c r="BL60" s="1" t="s">
        <v>918</v>
      </c>
      <c r="BM60" s="1" t="s">
        <v>918</v>
      </c>
      <c r="BN60" s="1" t="s">
        <v>918</v>
      </c>
      <c r="BO60" s="1" t="s">
        <v>918</v>
      </c>
      <c r="BP60" s="1" t="s">
        <v>918</v>
      </c>
      <c r="BQ60" s="1" t="s">
        <v>918</v>
      </c>
      <c r="BR60" s="1" t="s">
        <v>918</v>
      </c>
      <c r="BS60" s="1" t="s">
        <v>918</v>
      </c>
      <c r="BT60" s="1" t="s">
        <v>918</v>
      </c>
      <c r="BU60" s="1" t="s">
        <v>918</v>
      </c>
      <c r="BV60" s="1" t="s">
        <v>918</v>
      </c>
      <c r="BW60" s="1" t="s">
        <v>918</v>
      </c>
      <c r="BX60" s="1" t="s">
        <v>918</v>
      </c>
      <c r="BY60" s="1" t="s">
        <v>918</v>
      </c>
      <c r="BZ60" s="1" t="s">
        <v>918</v>
      </c>
      <c r="CA60" s="1" t="s">
        <v>918</v>
      </c>
      <c r="CB60" s="1" t="s">
        <v>918</v>
      </c>
      <c r="CC60" s="1" t="s">
        <v>918</v>
      </c>
      <c r="CD60" s="1" t="s">
        <v>918</v>
      </c>
      <c r="CE60" s="1" t="s">
        <v>918</v>
      </c>
      <c r="CF60" s="1" t="s">
        <v>918</v>
      </c>
      <c r="CG60" s="1" t="s">
        <v>918</v>
      </c>
      <c r="CH60" s="1" t="s">
        <v>918</v>
      </c>
      <c r="CI60" s="1" t="s">
        <v>918</v>
      </c>
      <c r="CJ60" s="1" t="s">
        <v>918</v>
      </c>
      <c r="CK60" s="1" t="s">
        <v>918</v>
      </c>
      <c r="CL60" s="1" t="s">
        <v>918</v>
      </c>
      <c r="CM60" s="1" t="s">
        <v>918</v>
      </c>
      <c r="CN60" s="1" t="s">
        <v>918</v>
      </c>
      <c r="CO60" s="1" t="s">
        <v>918</v>
      </c>
      <c r="CP60" s="1" t="s">
        <v>918</v>
      </c>
      <c r="CQ60" s="1" t="s">
        <v>918</v>
      </c>
      <c r="CR60" s="1" t="s">
        <v>918</v>
      </c>
      <c r="CS60" s="1" t="s">
        <v>918</v>
      </c>
      <c r="CT60" s="1" t="s">
        <v>918</v>
      </c>
      <c r="CU60" s="1" t="s">
        <v>918</v>
      </c>
      <c r="CV60" s="1" t="s">
        <v>918</v>
      </c>
      <c r="CW60" s="1" t="s">
        <v>918</v>
      </c>
      <c r="CX60" s="1" t="s">
        <v>918</v>
      </c>
      <c r="CY60" s="1" t="s">
        <v>918</v>
      </c>
      <c r="CZ60" s="1" t="s">
        <v>918</v>
      </c>
      <c r="DA60" s="1" t="s">
        <v>918</v>
      </c>
      <c r="DB60" s="1" t="s">
        <v>918</v>
      </c>
      <c r="DC60" s="1" t="s">
        <v>918</v>
      </c>
      <c r="DD60" s="1" t="s">
        <v>918</v>
      </c>
      <c r="DE60" s="1" t="s">
        <v>918</v>
      </c>
      <c r="DF60" s="1" t="s">
        <v>918</v>
      </c>
      <c r="DG60" s="1" t="s">
        <v>918</v>
      </c>
      <c r="DH60" s="1" t="s">
        <v>918</v>
      </c>
      <c r="DI60" s="1" t="s">
        <v>918</v>
      </c>
      <c r="DJ60" s="1" t="s">
        <v>918</v>
      </c>
      <c r="DK60" s="1" t="s">
        <v>918</v>
      </c>
      <c r="DL60" s="1" t="s">
        <v>918</v>
      </c>
      <c r="DM60" s="1" t="s">
        <v>918</v>
      </c>
      <c r="DN60" s="1" t="s">
        <v>918</v>
      </c>
      <c r="DO60" s="1" t="s">
        <v>918</v>
      </c>
      <c r="DP60" s="1" t="s">
        <v>918</v>
      </c>
      <c r="DQ60" s="1" t="s">
        <v>918</v>
      </c>
      <c r="DR60" s="1" t="s">
        <v>918</v>
      </c>
      <c r="DS60" s="1" t="s">
        <v>918</v>
      </c>
      <c r="DT60" s="1" t="s">
        <v>918</v>
      </c>
      <c r="DU60" s="1" t="s">
        <v>918</v>
      </c>
      <c r="DV60" s="1" t="s">
        <v>918</v>
      </c>
      <c r="DW60" s="1" t="s">
        <v>918</v>
      </c>
      <c r="DX60" s="1" t="s">
        <v>918</v>
      </c>
      <c r="DY60" s="1" t="s">
        <v>918</v>
      </c>
      <c r="DZ60" s="1" t="s">
        <v>918</v>
      </c>
      <c r="EA60" s="1" t="s">
        <v>918</v>
      </c>
      <c r="EB60" s="1" t="s">
        <v>918</v>
      </c>
      <c r="EC60" s="1" t="s">
        <v>918</v>
      </c>
      <c r="ED60" s="1" t="s">
        <v>918</v>
      </c>
      <c r="EE60" s="1" t="s">
        <v>918</v>
      </c>
      <c r="EF60" s="1" t="s">
        <v>918</v>
      </c>
      <c r="EG60" s="1" t="s">
        <v>918</v>
      </c>
      <c r="EH60" s="1" t="s">
        <v>918</v>
      </c>
      <c r="EI60" s="1" t="s">
        <v>918</v>
      </c>
      <c r="EJ60" s="1" t="s">
        <v>918</v>
      </c>
      <c r="EK60" s="1" t="s">
        <v>918</v>
      </c>
      <c r="EL60" s="1" t="s">
        <v>918</v>
      </c>
      <c r="EM60" s="1" t="s">
        <v>918</v>
      </c>
      <c r="EN60" s="1" t="s">
        <v>918</v>
      </c>
      <c r="EO60" s="1" t="s">
        <v>918</v>
      </c>
      <c r="EP60" s="1" t="s">
        <v>918</v>
      </c>
      <c r="EQ60" s="1" t="s">
        <v>918</v>
      </c>
      <c r="ER60" s="1" t="s">
        <v>918</v>
      </c>
      <c r="ES60" s="1" t="s">
        <v>918</v>
      </c>
    </row>
    <row r="61" spans="1:149" x14ac:dyDescent="0.3">
      <c r="A61" s="8" t="s">
        <v>1028</v>
      </c>
      <c r="B61" s="1">
        <f>2419*(1)</f>
        <v>2419</v>
      </c>
      <c r="C61" s="1" t="s">
        <v>694</v>
      </c>
      <c r="D61" s="1">
        <f>0.024*(1)</f>
        <v>2.4E-2</v>
      </c>
      <c r="E61" s="1" t="s">
        <v>109</v>
      </c>
      <c r="F61" s="1">
        <f>1842*(1)</f>
        <v>1842</v>
      </c>
      <c r="G61" s="1" t="s">
        <v>635</v>
      </c>
      <c r="H61" s="1">
        <f>0.019*(1)</f>
        <v>1.9E-2</v>
      </c>
      <c r="I61" s="1" t="s">
        <v>129</v>
      </c>
      <c r="J61" s="1">
        <f>452*(1)</f>
        <v>452</v>
      </c>
      <c r="K61" s="1" t="s">
        <v>1029</v>
      </c>
      <c r="L61" s="1">
        <f>0.007*(1)</f>
        <v>7.0000000000000001E-3</v>
      </c>
      <c r="M61" s="1" t="s">
        <v>94</v>
      </c>
      <c r="N61" s="1">
        <f>8472*(1)</f>
        <v>8472</v>
      </c>
      <c r="O61" s="1" t="s">
        <v>1030</v>
      </c>
      <c r="P61" s="1">
        <f>0.022*(1)</f>
        <v>2.1999999999999999E-2</v>
      </c>
      <c r="Q61" s="1" t="s">
        <v>120</v>
      </c>
      <c r="R61" s="1">
        <f>1721*(1)</f>
        <v>1721</v>
      </c>
      <c r="S61" s="1" t="s">
        <v>1031</v>
      </c>
      <c r="T61" s="1">
        <f>0.013*(1)</f>
        <v>1.2999999999999999E-2</v>
      </c>
      <c r="U61" s="1" t="s">
        <v>120</v>
      </c>
      <c r="V61" s="1">
        <f>2360*(1)</f>
        <v>2360</v>
      </c>
      <c r="W61" s="1" t="s">
        <v>1032</v>
      </c>
      <c r="X61" s="1">
        <f>0.011*(1)</f>
        <v>1.0999999999999999E-2</v>
      </c>
      <c r="Y61" s="1" t="s">
        <v>94</v>
      </c>
      <c r="Z61" s="1">
        <f>502*(1)</f>
        <v>502</v>
      </c>
      <c r="AA61" s="1" t="s">
        <v>122</v>
      </c>
      <c r="AB61" s="1">
        <f>0.005*(1)</f>
        <v>5.0000000000000001E-3</v>
      </c>
      <c r="AC61" s="1" t="s">
        <v>120</v>
      </c>
      <c r="AD61" s="1">
        <f>31427*(1)</f>
        <v>31427</v>
      </c>
      <c r="AE61" s="1" t="s">
        <v>1033</v>
      </c>
      <c r="AF61" s="1">
        <f>0.025*(1)</f>
        <v>2.5000000000000001E-2</v>
      </c>
      <c r="AG61" s="1" t="s">
        <v>96</v>
      </c>
      <c r="AH61" s="1">
        <f>2396*(1)</f>
        <v>2396</v>
      </c>
      <c r="AI61" s="1" t="s">
        <v>1034</v>
      </c>
      <c r="AJ61" s="1">
        <f>0.011*(1)</f>
        <v>1.0999999999999999E-2</v>
      </c>
      <c r="AK61" s="1" t="s">
        <v>94</v>
      </c>
      <c r="AL61" s="1">
        <f>1326*(1)</f>
        <v>1326</v>
      </c>
      <c r="AM61" s="1" t="s">
        <v>1035</v>
      </c>
      <c r="AN61" s="1">
        <f>0.018*(1)</f>
        <v>1.7999999999999999E-2</v>
      </c>
      <c r="AO61" s="1" t="s">
        <v>102</v>
      </c>
      <c r="AP61" s="1">
        <f>2306*(1)</f>
        <v>2306</v>
      </c>
      <c r="AQ61" s="1" t="s">
        <v>1036</v>
      </c>
      <c r="AR61" s="1">
        <f>0.014*(1)</f>
        <v>1.4E-2</v>
      </c>
      <c r="AS61" s="1" t="s">
        <v>94</v>
      </c>
      <c r="AT61" s="1">
        <f>38348*(1)</f>
        <v>38348</v>
      </c>
      <c r="AU61" s="1" t="s">
        <v>1037</v>
      </c>
      <c r="AV61" s="1">
        <f>0.029*(1)</f>
        <v>2.9000000000000001E-2</v>
      </c>
      <c r="AW61" s="1" t="s">
        <v>96</v>
      </c>
      <c r="AX61" s="1">
        <f>820*(1)</f>
        <v>820</v>
      </c>
      <c r="AY61" s="1" t="s">
        <v>1038</v>
      </c>
      <c r="AZ61" s="1">
        <f>0.009*(1)</f>
        <v>8.9999999999999993E-3</v>
      </c>
      <c r="BA61" s="1" t="s">
        <v>87</v>
      </c>
      <c r="BB61" s="1">
        <f>3140*(1)</f>
        <v>3140</v>
      </c>
      <c r="BC61" s="1" t="s">
        <v>1039</v>
      </c>
      <c r="BD61" s="1">
        <f>0.019*(1)</f>
        <v>1.9E-2</v>
      </c>
      <c r="BE61" s="1" t="s">
        <v>145</v>
      </c>
      <c r="BF61" s="1">
        <f>13162*(1)</f>
        <v>13162</v>
      </c>
      <c r="BG61" s="1" t="s">
        <v>1040</v>
      </c>
      <c r="BH61" s="1">
        <f>0.016*(1)</f>
        <v>1.6E-2</v>
      </c>
      <c r="BI61" s="1" t="s">
        <v>96</v>
      </c>
      <c r="BJ61" s="1">
        <f>2492*(1)</f>
        <v>2492</v>
      </c>
      <c r="BK61" s="1" t="s">
        <v>351</v>
      </c>
      <c r="BL61" s="1">
        <f>0.033*(1)</f>
        <v>3.3000000000000002E-2</v>
      </c>
      <c r="BM61" s="1" t="s">
        <v>145</v>
      </c>
      <c r="BN61" s="1">
        <f>1673*(1)</f>
        <v>1673</v>
      </c>
      <c r="BO61" s="1" t="s">
        <v>278</v>
      </c>
      <c r="BP61" s="1">
        <f>0.007*(1)</f>
        <v>7.0000000000000001E-3</v>
      </c>
      <c r="BQ61" s="1" t="s">
        <v>92</v>
      </c>
      <c r="BR61" s="1">
        <f>1664*(1)</f>
        <v>1664</v>
      </c>
      <c r="BS61" s="1" t="s">
        <v>1041</v>
      </c>
      <c r="BT61" s="1">
        <f>0.009*(1)</f>
        <v>8.9999999999999993E-3</v>
      </c>
      <c r="BU61" s="1" t="s">
        <v>94</v>
      </c>
      <c r="BV61" s="1">
        <f>9893*(1)</f>
        <v>9893</v>
      </c>
      <c r="BW61" s="1" t="s">
        <v>1042</v>
      </c>
      <c r="BX61" s="1">
        <f>0.031*(1)</f>
        <v>3.1E-2</v>
      </c>
      <c r="BY61" s="1" t="s">
        <v>109</v>
      </c>
      <c r="BZ61" s="1">
        <f>11591*(1)</f>
        <v>11591</v>
      </c>
      <c r="CA61" s="1" t="s">
        <v>1043</v>
      </c>
      <c r="CB61" s="1">
        <f>0.027*(1)</f>
        <v>2.7E-2</v>
      </c>
      <c r="CC61" s="1" t="s">
        <v>90</v>
      </c>
      <c r="CD61" s="1">
        <f>4821*(1)</f>
        <v>4821</v>
      </c>
      <c r="CE61" s="1" t="s">
        <v>1044</v>
      </c>
      <c r="CF61" s="1">
        <f>0.021*(1)</f>
        <v>2.1000000000000001E-2</v>
      </c>
      <c r="CG61" s="1" t="s">
        <v>87</v>
      </c>
      <c r="CH61" s="1">
        <f>636*(1)</f>
        <v>636</v>
      </c>
      <c r="CI61" s="1" t="s">
        <v>1045</v>
      </c>
      <c r="CJ61" s="1">
        <f>0.01*(1)</f>
        <v>0.01</v>
      </c>
      <c r="CK61" s="1" t="s">
        <v>120</v>
      </c>
      <c r="CL61" s="1">
        <f>699*(1)</f>
        <v>699</v>
      </c>
      <c r="CM61" s="1" t="s">
        <v>1046</v>
      </c>
      <c r="CN61" s="1">
        <f>0.004*(1)</f>
        <v>4.0000000000000001E-3</v>
      </c>
      <c r="CO61" s="1" t="s">
        <v>92</v>
      </c>
      <c r="CP61" s="1">
        <f>1304*(1)</f>
        <v>1304</v>
      </c>
      <c r="CQ61" s="1" t="s">
        <v>1047</v>
      </c>
      <c r="CR61" s="1">
        <f>0.012*(1)</f>
        <v>1.2E-2</v>
      </c>
      <c r="CS61" s="1" t="s">
        <v>87</v>
      </c>
      <c r="CT61" s="1">
        <f>6768*(1)</f>
        <v>6768</v>
      </c>
      <c r="CU61" s="1" t="s">
        <v>550</v>
      </c>
      <c r="CV61" s="1">
        <f>0.013*(1)</f>
        <v>1.2999999999999999E-2</v>
      </c>
      <c r="CW61" s="1" t="s">
        <v>92</v>
      </c>
      <c r="CX61" s="1">
        <f>733*(1)</f>
        <v>733</v>
      </c>
      <c r="CY61" s="1" t="s">
        <v>413</v>
      </c>
      <c r="CZ61" s="1">
        <f>0.008*(1)</f>
        <v>8.0000000000000002E-3</v>
      </c>
      <c r="DA61" s="1" t="s">
        <v>90</v>
      </c>
      <c r="DB61" s="1">
        <f>1901*(1)</f>
        <v>1901</v>
      </c>
      <c r="DC61" s="1" t="s">
        <v>1048</v>
      </c>
      <c r="DD61" s="1">
        <f>0.012*(1)</f>
        <v>1.2E-2</v>
      </c>
      <c r="DE61" s="1" t="s">
        <v>120</v>
      </c>
      <c r="DF61" s="1">
        <f>2131*(1)</f>
        <v>2131</v>
      </c>
      <c r="DG61" s="1" t="s">
        <v>235</v>
      </c>
      <c r="DH61" s="1">
        <f>0.017*(1)</f>
        <v>1.7000000000000001E-2</v>
      </c>
      <c r="DI61" s="1" t="s">
        <v>141</v>
      </c>
      <c r="DJ61" s="1">
        <f>18*(1)</f>
        <v>18</v>
      </c>
      <c r="DK61" s="1" t="s">
        <v>1049</v>
      </c>
      <c r="DL61" s="1">
        <f>0*(1)</f>
        <v>0</v>
      </c>
      <c r="DM61" s="1" t="s">
        <v>99</v>
      </c>
      <c r="DN61" s="1">
        <f>0*(1)</f>
        <v>0</v>
      </c>
      <c r="DO61" s="1" t="s">
        <v>723</v>
      </c>
      <c r="DP61" s="1">
        <f>0*(1)</f>
        <v>0</v>
      </c>
      <c r="DQ61" s="1" t="s">
        <v>111</v>
      </c>
      <c r="DR61" s="1">
        <f>2173*(1)</f>
        <v>2173</v>
      </c>
      <c r="DS61" s="1" t="s">
        <v>953</v>
      </c>
      <c r="DT61" s="1">
        <f>0.006*(1)</f>
        <v>6.0000000000000001E-3</v>
      </c>
      <c r="DU61" s="1" t="s">
        <v>92</v>
      </c>
      <c r="DV61" s="1">
        <f>5594*(1)</f>
        <v>5594</v>
      </c>
      <c r="DW61" s="1" t="s">
        <v>1050</v>
      </c>
      <c r="DX61" s="1">
        <f>0.01*(1)</f>
        <v>0.01</v>
      </c>
      <c r="DY61" s="1" t="s">
        <v>92</v>
      </c>
      <c r="DZ61" s="1">
        <f>768*(1)</f>
        <v>768</v>
      </c>
      <c r="EA61" s="1" t="s">
        <v>365</v>
      </c>
      <c r="EB61" s="1">
        <f>0.004*(1)</f>
        <v>4.0000000000000001E-3</v>
      </c>
      <c r="EC61" s="1" t="s">
        <v>96</v>
      </c>
      <c r="ED61" s="1">
        <f>193*(1)</f>
        <v>193</v>
      </c>
      <c r="EE61" s="1" t="s">
        <v>749</v>
      </c>
      <c r="EF61" s="1">
        <f>0.002*(1)</f>
        <v>2E-3</v>
      </c>
      <c r="EG61" s="1" t="s">
        <v>111</v>
      </c>
      <c r="EH61" s="1">
        <f>5085*(1)</f>
        <v>5085</v>
      </c>
      <c r="EI61" s="1" t="s">
        <v>1051</v>
      </c>
      <c r="EJ61" s="1">
        <f>0.021*(1)</f>
        <v>2.1000000000000001E-2</v>
      </c>
      <c r="EK61" s="1" t="s">
        <v>129</v>
      </c>
      <c r="EL61" s="1">
        <f>855*(1)</f>
        <v>855</v>
      </c>
      <c r="EM61" s="1" t="s">
        <v>1052</v>
      </c>
      <c r="EN61" s="1">
        <f>0.007*(1)</f>
        <v>7.0000000000000001E-3</v>
      </c>
      <c r="EO61" s="1" t="s">
        <v>90</v>
      </c>
      <c r="EP61" s="1">
        <f>2326*(1)</f>
        <v>2326</v>
      </c>
      <c r="EQ61" s="1" t="s">
        <v>1053</v>
      </c>
      <c r="ER61" s="1">
        <f>0.018*(1)</f>
        <v>1.7999999999999999E-2</v>
      </c>
      <c r="ES61" s="1" t="s">
        <v>87</v>
      </c>
    </row>
    <row r="62" spans="1:149" x14ac:dyDescent="0.3">
      <c r="A62" s="7" t="s">
        <v>834</v>
      </c>
      <c r="B62" s="1">
        <f>6912*(1)</f>
        <v>6912</v>
      </c>
      <c r="C62" s="1" t="s">
        <v>800</v>
      </c>
      <c r="D62" s="1">
        <f>0.068*(1)</f>
        <v>6.8000000000000005E-2</v>
      </c>
      <c r="E62" s="1" t="s">
        <v>329</v>
      </c>
      <c r="F62" s="1">
        <f>6739*(1)</f>
        <v>6739</v>
      </c>
      <c r="G62" s="1" t="s">
        <v>801</v>
      </c>
      <c r="H62" s="1">
        <f>0.069*(1)</f>
        <v>6.9000000000000006E-2</v>
      </c>
      <c r="I62" s="1" t="s">
        <v>148</v>
      </c>
      <c r="J62" s="1">
        <f>2478*(1)</f>
        <v>2478</v>
      </c>
      <c r="K62" s="1" t="s">
        <v>802</v>
      </c>
      <c r="L62" s="1">
        <f>0.038*(1)</f>
        <v>3.7999999999999999E-2</v>
      </c>
      <c r="M62" s="1" t="s">
        <v>145</v>
      </c>
      <c r="N62" s="1">
        <f>30737*(1)</f>
        <v>30737</v>
      </c>
      <c r="O62" s="1" t="s">
        <v>803</v>
      </c>
      <c r="P62" s="1">
        <f>0.079*(1)</f>
        <v>7.9000000000000001E-2</v>
      </c>
      <c r="Q62" s="1" t="s">
        <v>141</v>
      </c>
      <c r="R62" s="1">
        <f>9237*(1)</f>
        <v>9237</v>
      </c>
      <c r="S62" s="1" t="s">
        <v>804</v>
      </c>
      <c r="T62" s="1">
        <f>0.068*(1)</f>
        <v>6.8000000000000005E-2</v>
      </c>
      <c r="U62" s="1" t="s">
        <v>141</v>
      </c>
      <c r="V62" s="1">
        <f>8145*(1)</f>
        <v>8145</v>
      </c>
      <c r="W62" s="1" t="s">
        <v>805</v>
      </c>
      <c r="X62" s="1">
        <f>0.039*(1)</f>
        <v>3.9E-2</v>
      </c>
      <c r="Y62" s="1" t="s">
        <v>109</v>
      </c>
      <c r="Z62" s="1">
        <f>5292*(1)</f>
        <v>5292</v>
      </c>
      <c r="AA62" s="1" t="s">
        <v>528</v>
      </c>
      <c r="AB62" s="1">
        <f>0.052*(1)</f>
        <v>5.1999999999999998E-2</v>
      </c>
      <c r="AC62" s="1" t="s">
        <v>129</v>
      </c>
      <c r="AD62" s="1">
        <f>89824*(1)</f>
        <v>89824</v>
      </c>
      <c r="AE62" s="1" t="s">
        <v>806</v>
      </c>
      <c r="AF62" s="1">
        <f>0.072*(1)</f>
        <v>7.1999999999999995E-2</v>
      </c>
      <c r="AG62" s="1" t="s">
        <v>94</v>
      </c>
      <c r="AH62" s="1">
        <f>12667*(1)</f>
        <v>12667</v>
      </c>
      <c r="AI62" s="1" t="s">
        <v>807</v>
      </c>
      <c r="AJ62" s="1">
        <f>0.057*(1)</f>
        <v>5.7000000000000002E-2</v>
      </c>
      <c r="AK62" s="1" t="s">
        <v>87</v>
      </c>
      <c r="AL62" s="1">
        <f>7100*(1)</f>
        <v>7100</v>
      </c>
      <c r="AM62" s="1" t="s">
        <v>808</v>
      </c>
      <c r="AN62" s="1">
        <f>0.095*(1)</f>
        <v>9.5000000000000001E-2</v>
      </c>
      <c r="AO62" s="1" t="s">
        <v>147</v>
      </c>
      <c r="AP62" s="1">
        <f>11264*(1)</f>
        <v>11264</v>
      </c>
      <c r="AQ62" s="1" t="s">
        <v>809</v>
      </c>
      <c r="AR62" s="1">
        <f>0.07*(1)</f>
        <v>7.0000000000000007E-2</v>
      </c>
      <c r="AS62" s="1" t="s">
        <v>329</v>
      </c>
      <c r="AT62" s="1">
        <f>108580*(1)</f>
        <v>108580</v>
      </c>
      <c r="AU62" s="1" t="s">
        <v>810</v>
      </c>
      <c r="AV62" s="1">
        <f>0.082*(1)</f>
        <v>8.2000000000000003E-2</v>
      </c>
      <c r="AW62" s="1" t="s">
        <v>120</v>
      </c>
      <c r="AX62" s="1">
        <f>5665*(1)</f>
        <v>5665</v>
      </c>
      <c r="AY62" s="1" t="s">
        <v>811</v>
      </c>
      <c r="AZ62" s="1">
        <f>0.059*(1)</f>
        <v>5.8999999999999997E-2</v>
      </c>
      <c r="BA62" s="1" t="s">
        <v>139</v>
      </c>
      <c r="BB62" s="1">
        <f>10728*(1)</f>
        <v>10728</v>
      </c>
      <c r="BC62" s="1" t="s">
        <v>812</v>
      </c>
      <c r="BD62" s="1">
        <f>0.064*(1)</f>
        <v>6.4000000000000001E-2</v>
      </c>
      <c r="BE62" s="1" t="s">
        <v>132</v>
      </c>
      <c r="BF62" s="1">
        <f>49667*(1)</f>
        <v>49667</v>
      </c>
      <c r="BG62" s="1" t="s">
        <v>813</v>
      </c>
      <c r="BH62" s="1">
        <f>0.06*(1)</f>
        <v>0.06</v>
      </c>
      <c r="BI62" s="1" t="s">
        <v>87</v>
      </c>
      <c r="BJ62" s="1">
        <f>3667*(1)</f>
        <v>3667</v>
      </c>
      <c r="BK62" s="1" t="s">
        <v>814</v>
      </c>
      <c r="BL62" s="1">
        <f>0.049*(1)</f>
        <v>4.9000000000000002E-2</v>
      </c>
      <c r="BM62" s="1" t="s">
        <v>329</v>
      </c>
      <c r="BN62" s="1">
        <f>14447*(1)</f>
        <v>14447</v>
      </c>
      <c r="BO62" s="1" t="s">
        <v>815</v>
      </c>
      <c r="BP62" s="1">
        <f>0.062*(1)</f>
        <v>6.2E-2</v>
      </c>
      <c r="BQ62" s="1" t="s">
        <v>132</v>
      </c>
      <c r="BR62" s="1">
        <f>8243*(1)</f>
        <v>8243</v>
      </c>
      <c r="BS62" s="1" t="s">
        <v>816</v>
      </c>
      <c r="BT62" s="1">
        <f>0.046*(1)</f>
        <v>4.5999999999999999E-2</v>
      </c>
      <c r="BU62" s="1" t="s">
        <v>145</v>
      </c>
      <c r="BV62" s="1">
        <f>34294*(1)</f>
        <v>34294</v>
      </c>
      <c r="BW62" s="1" t="s">
        <v>817</v>
      </c>
      <c r="BX62" s="1">
        <f>0.109*(1)</f>
        <v>0.109</v>
      </c>
      <c r="BY62" s="1" t="s">
        <v>129</v>
      </c>
      <c r="BZ62" s="1">
        <f>38033*(1)</f>
        <v>38033</v>
      </c>
      <c r="CA62" s="1" t="s">
        <v>818</v>
      </c>
      <c r="CB62" s="1">
        <f>0.089*(1)</f>
        <v>8.8999999999999996E-2</v>
      </c>
      <c r="CC62" s="1" t="s">
        <v>145</v>
      </c>
      <c r="CD62" s="1">
        <f>16395*(1)</f>
        <v>16395</v>
      </c>
      <c r="CE62" s="1" t="s">
        <v>819</v>
      </c>
      <c r="CF62" s="1">
        <f>0.072*(1)</f>
        <v>7.1999999999999995E-2</v>
      </c>
      <c r="CG62" s="1" t="s">
        <v>132</v>
      </c>
      <c r="CH62" s="1">
        <f>4066*(1)</f>
        <v>4066</v>
      </c>
      <c r="CI62" s="1" t="s">
        <v>820</v>
      </c>
      <c r="CJ62" s="1">
        <f>0.062*(1)</f>
        <v>6.2E-2</v>
      </c>
      <c r="CK62" s="1" t="s">
        <v>141</v>
      </c>
      <c r="CL62" s="1">
        <f>8165*(1)</f>
        <v>8165</v>
      </c>
      <c r="CM62" s="1" t="s">
        <v>821</v>
      </c>
      <c r="CN62" s="1">
        <f>0.045*(1)</f>
        <v>4.4999999999999998E-2</v>
      </c>
      <c r="CO62" s="1" t="s">
        <v>109</v>
      </c>
      <c r="CP62" s="1">
        <f>4790*(1)</f>
        <v>4790</v>
      </c>
      <c r="CQ62" s="1" t="s">
        <v>597</v>
      </c>
      <c r="CR62" s="1">
        <f>0.044*(1)</f>
        <v>4.3999999999999997E-2</v>
      </c>
      <c r="CS62" s="1" t="s">
        <v>109</v>
      </c>
      <c r="CT62" s="1">
        <f>33344*(1)</f>
        <v>33344</v>
      </c>
      <c r="CU62" s="1" t="s">
        <v>822</v>
      </c>
      <c r="CV62" s="1">
        <f>0.062*(1)</f>
        <v>6.2E-2</v>
      </c>
      <c r="CW62" s="1" t="s">
        <v>87</v>
      </c>
      <c r="CX62" s="1">
        <f>4778*(1)</f>
        <v>4778</v>
      </c>
      <c r="CY62" s="1" t="s">
        <v>823</v>
      </c>
      <c r="CZ62" s="1">
        <f>0.055*(1)</f>
        <v>5.5E-2</v>
      </c>
      <c r="DA62" s="1" t="s">
        <v>87</v>
      </c>
      <c r="DB62" s="1">
        <f>9910*(1)</f>
        <v>9910</v>
      </c>
      <c r="DC62" s="1" t="s">
        <v>824</v>
      </c>
      <c r="DD62" s="1">
        <f>0.061*(1)</f>
        <v>6.0999999999999999E-2</v>
      </c>
      <c r="DE62" s="1" t="s">
        <v>145</v>
      </c>
      <c r="DF62" s="1">
        <f>9176*(1)</f>
        <v>9176</v>
      </c>
      <c r="DG62" s="1" t="s">
        <v>825</v>
      </c>
      <c r="DH62" s="1">
        <f>0.073*(1)</f>
        <v>7.2999999999999995E-2</v>
      </c>
      <c r="DI62" s="1" t="s">
        <v>141</v>
      </c>
      <c r="DJ62" s="1">
        <f>4666*(1)</f>
        <v>4666</v>
      </c>
      <c r="DK62" s="1" t="s">
        <v>317</v>
      </c>
      <c r="DL62" s="1">
        <f>0.061*(1)</f>
        <v>6.0999999999999999E-2</v>
      </c>
      <c r="DM62" s="1" t="s">
        <v>145</v>
      </c>
      <c r="DN62" s="1">
        <f>3784*(1)</f>
        <v>3784</v>
      </c>
      <c r="DO62" s="1" t="s">
        <v>826</v>
      </c>
      <c r="DP62" s="1">
        <f>0.052*(1)</f>
        <v>5.1999999999999998E-2</v>
      </c>
      <c r="DQ62" s="1" t="s">
        <v>129</v>
      </c>
      <c r="DR62" s="1">
        <f>26122*(1)</f>
        <v>26122</v>
      </c>
      <c r="DS62" s="1" t="s">
        <v>827</v>
      </c>
      <c r="DT62" s="1">
        <f>0.07*(1)</f>
        <v>7.0000000000000007E-2</v>
      </c>
      <c r="DU62" s="1" t="s">
        <v>132</v>
      </c>
      <c r="DV62" s="1">
        <f>43755*(1)</f>
        <v>43755</v>
      </c>
      <c r="DW62" s="1" t="s">
        <v>828</v>
      </c>
      <c r="DX62" s="1">
        <f>0.081*(1)</f>
        <v>8.1000000000000003E-2</v>
      </c>
      <c r="DY62" s="1" t="s">
        <v>109</v>
      </c>
      <c r="DZ62" s="1">
        <f>11852*(1)</f>
        <v>11852</v>
      </c>
      <c r="EA62" s="1" t="s">
        <v>829</v>
      </c>
      <c r="EB62" s="1">
        <f>0.059*(1)</f>
        <v>5.8999999999999997E-2</v>
      </c>
      <c r="EC62" s="1" t="s">
        <v>102</v>
      </c>
      <c r="ED62" s="1">
        <f>4381*(1)</f>
        <v>4381</v>
      </c>
      <c r="EE62" s="1" t="s">
        <v>830</v>
      </c>
      <c r="EF62" s="1">
        <f>0.047*(1)</f>
        <v>4.7E-2</v>
      </c>
      <c r="EG62" s="1" t="s">
        <v>139</v>
      </c>
      <c r="EH62" s="1">
        <f>11264*(1)</f>
        <v>11264</v>
      </c>
      <c r="EI62" s="1" t="s">
        <v>831</v>
      </c>
      <c r="EJ62" s="1">
        <f>0.046*(1)</f>
        <v>4.5999999999999999E-2</v>
      </c>
      <c r="EK62" s="1" t="s">
        <v>129</v>
      </c>
      <c r="EL62" s="1">
        <f>3386*(1)</f>
        <v>3386</v>
      </c>
      <c r="EM62" s="1" t="s">
        <v>832</v>
      </c>
      <c r="EN62" s="1">
        <f>0.029*(1)</f>
        <v>2.9000000000000001E-2</v>
      </c>
      <c r="EO62" s="1" t="s">
        <v>109</v>
      </c>
      <c r="EP62" s="1">
        <f>9034*(1)</f>
        <v>9034</v>
      </c>
      <c r="EQ62" s="1" t="s">
        <v>833</v>
      </c>
      <c r="ER62" s="1">
        <f>0.068*(1)</f>
        <v>6.8000000000000005E-2</v>
      </c>
      <c r="ES62" s="1" t="s">
        <v>132</v>
      </c>
    </row>
    <row r="63" spans="1:149" ht="28.8" x14ac:dyDescent="0.3">
      <c r="A63" s="8" t="s">
        <v>1054</v>
      </c>
      <c r="B63" s="1">
        <f>2563*(1)</f>
        <v>2563</v>
      </c>
      <c r="C63" s="1" t="s">
        <v>1055</v>
      </c>
      <c r="D63" s="1">
        <f>0.025*(1)</f>
        <v>2.5000000000000001E-2</v>
      </c>
      <c r="E63" s="1" t="s">
        <v>132</v>
      </c>
      <c r="F63" s="1">
        <f>1575*(1)</f>
        <v>1575</v>
      </c>
      <c r="G63" s="1" t="s">
        <v>161</v>
      </c>
      <c r="H63" s="1">
        <f>0.016*(1)</f>
        <v>1.6E-2</v>
      </c>
      <c r="I63" s="1" t="s">
        <v>87</v>
      </c>
      <c r="J63" s="1" t="s">
        <v>918</v>
      </c>
      <c r="K63" s="1" t="s">
        <v>918</v>
      </c>
      <c r="L63" s="1" t="s">
        <v>918</v>
      </c>
      <c r="M63" s="1" t="s">
        <v>918</v>
      </c>
      <c r="N63" s="1">
        <f>6639*(1)</f>
        <v>6639</v>
      </c>
      <c r="O63" s="1" t="s">
        <v>550</v>
      </c>
      <c r="P63" s="1">
        <f>0.017*(1)</f>
        <v>1.7000000000000001E-2</v>
      </c>
      <c r="Q63" s="1" t="s">
        <v>96</v>
      </c>
      <c r="R63" s="1">
        <f>4111*(1)</f>
        <v>4111</v>
      </c>
      <c r="S63" s="1" t="s">
        <v>1056</v>
      </c>
      <c r="T63" s="1">
        <f>0.03*(1)</f>
        <v>0.03</v>
      </c>
      <c r="U63" s="1" t="s">
        <v>132</v>
      </c>
      <c r="V63" s="1">
        <f>1688*(1)</f>
        <v>1688</v>
      </c>
      <c r="W63" s="1" t="s">
        <v>391</v>
      </c>
      <c r="X63" s="1">
        <f>0.008*(1)</f>
        <v>8.0000000000000002E-3</v>
      </c>
      <c r="Y63" s="1" t="s">
        <v>92</v>
      </c>
      <c r="Z63" s="1" t="s">
        <v>918</v>
      </c>
      <c r="AA63" s="1" t="s">
        <v>918</v>
      </c>
      <c r="AB63" s="1" t="s">
        <v>918</v>
      </c>
      <c r="AC63" s="1" t="s">
        <v>918</v>
      </c>
      <c r="AD63" s="1">
        <f>21766*(1)</f>
        <v>21766</v>
      </c>
      <c r="AE63" s="1" t="s">
        <v>1057</v>
      </c>
      <c r="AF63" s="1">
        <f>0.017*(1)</f>
        <v>1.7000000000000001E-2</v>
      </c>
      <c r="AG63" s="1" t="s">
        <v>92</v>
      </c>
      <c r="AH63" s="1">
        <f>1559*(1)</f>
        <v>1559</v>
      </c>
      <c r="AI63" s="1" t="s">
        <v>1058</v>
      </c>
      <c r="AJ63" s="1">
        <f>0.007*(1)</f>
        <v>7.0000000000000001E-3</v>
      </c>
      <c r="AK63" s="1" t="s">
        <v>92</v>
      </c>
      <c r="AL63" s="1">
        <f>1335*(1)</f>
        <v>1335</v>
      </c>
      <c r="AM63" s="1" t="s">
        <v>668</v>
      </c>
      <c r="AN63" s="1">
        <f>0.018*(1)</f>
        <v>1.7999999999999999E-2</v>
      </c>
      <c r="AO63" s="1" t="s">
        <v>129</v>
      </c>
      <c r="AP63" s="1">
        <f>2284*(1)</f>
        <v>2284</v>
      </c>
      <c r="AQ63" s="1" t="s">
        <v>1059</v>
      </c>
      <c r="AR63" s="1">
        <f>0.014*(1)</f>
        <v>1.4E-2</v>
      </c>
      <c r="AS63" s="1" t="s">
        <v>87</v>
      </c>
      <c r="AT63" s="1">
        <f>28277*(1)</f>
        <v>28277</v>
      </c>
      <c r="AU63" s="1" t="s">
        <v>1060</v>
      </c>
      <c r="AV63" s="1">
        <f>0.021*(1)</f>
        <v>2.1000000000000001E-2</v>
      </c>
      <c r="AW63" s="1" t="s">
        <v>96</v>
      </c>
      <c r="AX63" s="1">
        <f>445*(1)</f>
        <v>445</v>
      </c>
      <c r="AY63" s="1" t="s">
        <v>105</v>
      </c>
      <c r="AZ63" s="1">
        <f>0.005*(1)</f>
        <v>5.0000000000000001E-3</v>
      </c>
      <c r="BA63" s="1" t="s">
        <v>92</v>
      </c>
      <c r="BB63" s="1">
        <f>3215*(1)</f>
        <v>3215</v>
      </c>
      <c r="BC63" s="1" t="s">
        <v>1061</v>
      </c>
      <c r="BD63" s="1">
        <f>0.019*(1)</f>
        <v>1.9E-2</v>
      </c>
      <c r="BE63" s="1" t="s">
        <v>120</v>
      </c>
      <c r="BF63" s="1">
        <f>16980*(1)</f>
        <v>16980</v>
      </c>
      <c r="BG63" s="1" t="s">
        <v>646</v>
      </c>
      <c r="BH63" s="1">
        <f>0.021*(1)</f>
        <v>2.1000000000000001E-2</v>
      </c>
      <c r="BI63" s="1" t="s">
        <v>96</v>
      </c>
      <c r="BJ63" s="1">
        <f>376*(1)</f>
        <v>376</v>
      </c>
      <c r="BK63" s="1" t="s">
        <v>1062</v>
      </c>
      <c r="BL63" s="1">
        <f>0.005*(1)</f>
        <v>5.0000000000000001E-3</v>
      </c>
      <c r="BM63" s="1" t="s">
        <v>96</v>
      </c>
      <c r="BN63" s="1">
        <f>2171*(1)</f>
        <v>2171</v>
      </c>
      <c r="BO63" s="1" t="s">
        <v>1063</v>
      </c>
      <c r="BP63" s="1">
        <f>0.009*(1)</f>
        <v>8.9999999999999993E-3</v>
      </c>
      <c r="BQ63" s="1" t="s">
        <v>90</v>
      </c>
      <c r="BR63" s="1">
        <f>3338*(1)</f>
        <v>3338</v>
      </c>
      <c r="BS63" s="1" t="s">
        <v>1064</v>
      </c>
      <c r="BT63" s="1">
        <f>0.019*(1)</f>
        <v>1.9E-2</v>
      </c>
      <c r="BU63" s="1" t="s">
        <v>120</v>
      </c>
      <c r="BV63" s="1">
        <f>6623*(1)</f>
        <v>6623</v>
      </c>
      <c r="BW63" s="1" t="s">
        <v>1065</v>
      </c>
      <c r="BX63" s="1">
        <f>0.021*(1)</f>
        <v>2.1000000000000001E-2</v>
      </c>
      <c r="BY63" s="1" t="s">
        <v>90</v>
      </c>
      <c r="BZ63" s="1">
        <f>10753*(1)</f>
        <v>10753</v>
      </c>
      <c r="CA63" s="1" t="s">
        <v>245</v>
      </c>
      <c r="CB63" s="1">
        <f>0.025*(1)</f>
        <v>2.5000000000000001E-2</v>
      </c>
      <c r="CC63" s="1" t="s">
        <v>90</v>
      </c>
      <c r="CD63" s="1">
        <f>3914*(1)</f>
        <v>3914</v>
      </c>
      <c r="CE63" s="1" t="s">
        <v>1066</v>
      </c>
      <c r="CF63" s="1">
        <f>0.017*(1)</f>
        <v>1.7000000000000001E-2</v>
      </c>
      <c r="CG63" s="1" t="s">
        <v>90</v>
      </c>
      <c r="CH63" s="1">
        <f>1147*(1)</f>
        <v>1147</v>
      </c>
      <c r="CI63" s="1" t="s">
        <v>1067</v>
      </c>
      <c r="CJ63" s="1">
        <f>0.018*(1)</f>
        <v>1.7999999999999999E-2</v>
      </c>
      <c r="CK63" s="1" t="s">
        <v>87</v>
      </c>
      <c r="CL63" s="1">
        <f>1464*(1)</f>
        <v>1464</v>
      </c>
      <c r="CM63" s="1" t="s">
        <v>692</v>
      </c>
      <c r="CN63" s="1">
        <f>0.008*(1)</f>
        <v>8.0000000000000002E-3</v>
      </c>
      <c r="CO63" s="1" t="s">
        <v>96</v>
      </c>
      <c r="CP63" s="1">
        <f>1891*(1)</f>
        <v>1891</v>
      </c>
      <c r="CQ63" s="1" t="s">
        <v>882</v>
      </c>
      <c r="CR63" s="1">
        <f>0.017*(1)</f>
        <v>1.7000000000000001E-2</v>
      </c>
      <c r="CS63" s="1" t="s">
        <v>90</v>
      </c>
      <c r="CT63" s="1">
        <f>9965*(1)</f>
        <v>9965</v>
      </c>
      <c r="CU63" s="1" t="s">
        <v>850</v>
      </c>
      <c r="CV63" s="1">
        <f>0.019*(1)</f>
        <v>1.9E-2</v>
      </c>
      <c r="CW63" s="1" t="s">
        <v>94</v>
      </c>
      <c r="CX63" s="1" t="s">
        <v>918</v>
      </c>
      <c r="CY63" s="1" t="s">
        <v>918</v>
      </c>
      <c r="CZ63" s="1" t="s">
        <v>918</v>
      </c>
      <c r="DA63" s="1" t="s">
        <v>918</v>
      </c>
      <c r="DB63" s="1">
        <f>2125*(1)</f>
        <v>2125</v>
      </c>
      <c r="DC63" s="1" t="s">
        <v>955</v>
      </c>
      <c r="DD63" s="1">
        <f>0.013*(1)</f>
        <v>1.2999999999999999E-2</v>
      </c>
      <c r="DE63" s="1" t="s">
        <v>94</v>
      </c>
      <c r="DF63" s="1">
        <f>2825*(1)</f>
        <v>2825</v>
      </c>
      <c r="DG63" s="1" t="s">
        <v>985</v>
      </c>
      <c r="DH63" s="1">
        <f>0.023*(1)</f>
        <v>2.3E-2</v>
      </c>
      <c r="DI63" s="1" t="s">
        <v>87</v>
      </c>
      <c r="DJ63" s="1" t="s">
        <v>918</v>
      </c>
      <c r="DK63" s="1" t="s">
        <v>918</v>
      </c>
      <c r="DL63" s="1" t="s">
        <v>918</v>
      </c>
      <c r="DM63" s="1" t="s">
        <v>918</v>
      </c>
      <c r="DN63" s="1" t="s">
        <v>918</v>
      </c>
      <c r="DO63" s="1" t="s">
        <v>918</v>
      </c>
      <c r="DP63" s="1" t="s">
        <v>918</v>
      </c>
      <c r="DQ63" s="1" t="s">
        <v>918</v>
      </c>
      <c r="DR63" s="1">
        <f>11185*(1)</f>
        <v>11185</v>
      </c>
      <c r="DS63" s="1" t="s">
        <v>842</v>
      </c>
      <c r="DT63" s="1">
        <f>0.03*(1)</f>
        <v>0.03</v>
      </c>
      <c r="DU63" s="1" t="s">
        <v>120</v>
      </c>
      <c r="DV63" s="1">
        <f>10845*(1)</f>
        <v>10845</v>
      </c>
      <c r="DW63" s="1" t="s">
        <v>1068</v>
      </c>
      <c r="DX63" s="1">
        <f>0.02*(1)</f>
        <v>0.02</v>
      </c>
      <c r="DY63" s="1" t="s">
        <v>94</v>
      </c>
      <c r="DZ63" s="1">
        <f>4125*(1)</f>
        <v>4125</v>
      </c>
      <c r="EA63" s="1" t="s">
        <v>1069</v>
      </c>
      <c r="EB63" s="1">
        <f>0.02*(1)</f>
        <v>0.02</v>
      </c>
      <c r="EC63" s="1" t="s">
        <v>109</v>
      </c>
      <c r="ED63" s="1">
        <f>654*(1)</f>
        <v>654</v>
      </c>
      <c r="EE63" s="1" t="s">
        <v>755</v>
      </c>
      <c r="EF63" s="1">
        <f>0.007*(1)</f>
        <v>7.0000000000000001E-3</v>
      </c>
      <c r="EG63" s="1" t="s">
        <v>96</v>
      </c>
      <c r="EH63" s="1">
        <f>1734*(1)</f>
        <v>1734</v>
      </c>
      <c r="EI63" s="1" t="s">
        <v>1070</v>
      </c>
      <c r="EJ63" s="1">
        <f>0.007*(1)</f>
        <v>7.0000000000000001E-3</v>
      </c>
      <c r="EK63" s="1" t="s">
        <v>94</v>
      </c>
      <c r="EL63" s="1" t="s">
        <v>918</v>
      </c>
      <c r="EM63" s="1" t="s">
        <v>918</v>
      </c>
      <c r="EN63" s="1" t="s">
        <v>918</v>
      </c>
      <c r="EO63" s="1" t="s">
        <v>918</v>
      </c>
      <c r="EP63" s="1">
        <f>1264*(1)</f>
        <v>1264</v>
      </c>
      <c r="EQ63" s="1" t="s">
        <v>1071</v>
      </c>
      <c r="ER63" s="1">
        <f>0.01*(1)</f>
        <v>0.01</v>
      </c>
      <c r="ES63" s="1" t="s">
        <v>90</v>
      </c>
    </row>
    <row r="64" spans="1:149" ht="28.8" x14ac:dyDescent="0.3">
      <c r="A64" s="8" t="s">
        <v>1072</v>
      </c>
      <c r="B64" s="1">
        <f>2023*(1)</f>
        <v>2023</v>
      </c>
      <c r="C64" s="1" t="s">
        <v>1073</v>
      </c>
      <c r="D64" s="1">
        <f>0.02*(1)</f>
        <v>0.02</v>
      </c>
      <c r="E64" s="1" t="s">
        <v>87</v>
      </c>
      <c r="F64" s="1">
        <f>678*(1)</f>
        <v>678</v>
      </c>
      <c r="G64" s="1" t="s">
        <v>894</v>
      </c>
      <c r="H64" s="1">
        <f>0.007*(1)</f>
        <v>7.0000000000000001E-3</v>
      </c>
      <c r="I64" s="1" t="s">
        <v>99</v>
      </c>
      <c r="J64" s="1" t="s">
        <v>918</v>
      </c>
      <c r="K64" s="1" t="s">
        <v>918</v>
      </c>
      <c r="L64" s="1" t="s">
        <v>918</v>
      </c>
      <c r="M64" s="1" t="s">
        <v>918</v>
      </c>
      <c r="N64" s="1">
        <f>7036*(1)</f>
        <v>7036</v>
      </c>
      <c r="O64" s="1" t="s">
        <v>1074</v>
      </c>
      <c r="P64" s="1">
        <f>0.018*(1)</f>
        <v>1.7999999999999999E-2</v>
      </c>
      <c r="Q64" s="1" t="s">
        <v>94</v>
      </c>
      <c r="R64" s="1">
        <f>1210*(1)</f>
        <v>1210</v>
      </c>
      <c r="S64" s="1" t="s">
        <v>582</v>
      </c>
      <c r="T64" s="1">
        <f>0.009*(1)</f>
        <v>8.9999999999999993E-3</v>
      </c>
      <c r="U64" s="1" t="s">
        <v>92</v>
      </c>
      <c r="V64" s="1">
        <f>1168*(1)</f>
        <v>1168</v>
      </c>
      <c r="W64" s="1" t="s">
        <v>719</v>
      </c>
      <c r="X64" s="1">
        <f>0.006*(1)</f>
        <v>6.0000000000000001E-3</v>
      </c>
      <c r="Y64" s="1" t="s">
        <v>99</v>
      </c>
      <c r="Z64" s="1" t="s">
        <v>918</v>
      </c>
      <c r="AA64" s="1" t="s">
        <v>918</v>
      </c>
      <c r="AB64" s="1" t="s">
        <v>918</v>
      </c>
      <c r="AC64" s="1" t="s">
        <v>918</v>
      </c>
      <c r="AD64" s="1">
        <f>5328*(1)</f>
        <v>5328</v>
      </c>
      <c r="AE64" s="1" t="s">
        <v>237</v>
      </c>
      <c r="AF64" s="1">
        <f>0.004*(1)</f>
        <v>4.0000000000000001E-3</v>
      </c>
      <c r="AG64" s="1" t="s">
        <v>99</v>
      </c>
      <c r="AH64" s="1">
        <f>1114*(1)</f>
        <v>1114</v>
      </c>
      <c r="AI64" s="1" t="s">
        <v>712</v>
      </c>
      <c r="AJ64" s="1">
        <f>0.005*(1)</f>
        <v>5.0000000000000001E-3</v>
      </c>
      <c r="AK64" s="1" t="s">
        <v>111</v>
      </c>
      <c r="AL64" s="1">
        <f>576*(1)</f>
        <v>576</v>
      </c>
      <c r="AM64" s="1" t="s">
        <v>501</v>
      </c>
      <c r="AN64" s="1">
        <f>0.008*(1)</f>
        <v>8.0000000000000002E-3</v>
      </c>
      <c r="AO64" s="1" t="s">
        <v>94</v>
      </c>
      <c r="AP64" s="1">
        <f>4370*(1)</f>
        <v>4370</v>
      </c>
      <c r="AQ64" s="1" t="s">
        <v>1075</v>
      </c>
      <c r="AR64" s="1">
        <f>0.027*(1)</f>
        <v>2.7E-2</v>
      </c>
      <c r="AS64" s="1" t="s">
        <v>109</v>
      </c>
      <c r="AT64" s="1">
        <f>6432*(1)</f>
        <v>6432</v>
      </c>
      <c r="AU64" s="1" t="s">
        <v>740</v>
      </c>
      <c r="AV64" s="1">
        <f>0.005*(1)</f>
        <v>5.0000000000000001E-3</v>
      </c>
      <c r="AW64" s="1" t="s">
        <v>99</v>
      </c>
      <c r="AX64" s="1">
        <f>1151*(1)</f>
        <v>1151</v>
      </c>
      <c r="AY64" s="1" t="s">
        <v>559</v>
      </c>
      <c r="AZ64" s="1">
        <f>0.012*(1)</f>
        <v>1.2E-2</v>
      </c>
      <c r="BA64" s="1" t="s">
        <v>90</v>
      </c>
      <c r="BB64" s="1">
        <f>1064*(1)</f>
        <v>1064</v>
      </c>
      <c r="BC64" s="1" t="s">
        <v>903</v>
      </c>
      <c r="BD64" s="1">
        <f>0.006*(1)</f>
        <v>6.0000000000000001E-3</v>
      </c>
      <c r="BE64" s="1" t="s">
        <v>99</v>
      </c>
      <c r="BF64" s="1">
        <f>3425*(1)</f>
        <v>3425</v>
      </c>
      <c r="BG64" s="1" t="s">
        <v>726</v>
      </c>
      <c r="BH64" s="1">
        <f>0.004*(1)</f>
        <v>4.0000000000000001E-3</v>
      </c>
      <c r="BI64" s="1" t="s">
        <v>99</v>
      </c>
      <c r="BJ64" s="1">
        <f>737*(1)</f>
        <v>737</v>
      </c>
      <c r="BK64" s="1" t="s">
        <v>1076</v>
      </c>
      <c r="BL64" s="1">
        <f>0.01*(1)</f>
        <v>0.01</v>
      </c>
      <c r="BM64" s="1" t="s">
        <v>94</v>
      </c>
      <c r="BN64" s="1">
        <f>857*(1)</f>
        <v>857</v>
      </c>
      <c r="BO64" s="1" t="s">
        <v>178</v>
      </c>
      <c r="BP64" s="1">
        <f>0.004*(1)</f>
        <v>4.0000000000000001E-3</v>
      </c>
      <c r="BQ64" s="1" t="s">
        <v>99</v>
      </c>
      <c r="BR64" s="1">
        <f>1193*(1)</f>
        <v>1193</v>
      </c>
      <c r="BS64" s="1" t="s">
        <v>767</v>
      </c>
      <c r="BT64" s="1">
        <f>0.007*(1)</f>
        <v>7.0000000000000001E-3</v>
      </c>
      <c r="BU64" s="1" t="s">
        <v>99</v>
      </c>
      <c r="BV64" s="1">
        <f>1797*(1)</f>
        <v>1797</v>
      </c>
      <c r="BW64" s="1" t="s">
        <v>1077</v>
      </c>
      <c r="BX64" s="1">
        <f>0.006*(1)</f>
        <v>6.0000000000000001E-3</v>
      </c>
      <c r="BY64" s="1" t="s">
        <v>99</v>
      </c>
      <c r="BZ64" s="1">
        <f>10435*(1)</f>
        <v>10435</v>
      </c>
      <c r="CA64" s="1" t="s">
        <v>1078</v>
      </c>
      <c r="CB64" s="1">
        <f>0.024*(1)</f>
        <v>2.4E-2</v>
      </c>
      <c r="CC64" s="1" t="s">
        <v>109</v>
      </c>
      <c r="CD64" s="1">
        <f>1011*(1)</f>
        <v>1011</v>
      </c>
      <c r="CE64" s="1" t="s">
        <v>1079</v>
      </c>
      <c r="CF64" s="1">
        <f>0.004*(1)</f>
        <v>4.0000000000000001E-3</v>
      </c>
      <c r="CG64" s="1" t="s">
        <v>99</v>
      </c>
      <c r="CH64" s="1">
        <f>1207*(1)</f>
        <v>1207</v>
      </c>
      <c r="CI64" s="1" t="s">
        <v>1080</v>
      </c>
      <c r="CJ64" s="1">
        <f>0.018*(1)</f>
        <v>1.7999999999999999E-2</v>
      </c>
      <c r="CK64" s="1" t="s">
        <v>90</v>
      </c>
      <c r="CL64" s="1">
        <f>782*(1)</f>
        <v>782</v>
      </c>
      <c r="CM64" s="1" t="s">
        <v>1081</v>
      </c>
      <c r="CN64" s="1">
        <f>0.004*(1)</f>
        <v>4.0000000000000001E-3</v>
      </c>
      <c r="CO64" s="1" t="s">
        <v>99</v>
      </c>
      <c r="CP64" s="1">
        <f>562*(1)</f>
        <v>562</v>
      </c>
      <c r="CQ64" s="1" t="s">
        <v>1082</v>
      </c>
      <c r="CR64" s="1">
        <f>0.005*(1)</f>
        <v>5.0000000000000001E-3</v>
      </c>
      <c r="CS64" s="1" t="s">
        <v>99</v>
      </c>
      <c r="CT64" s="1">
        <f>2669*(1)</f>
        <v>2669</v>
      </c>
      <c r="CU64" s="1" t="s">
        <v>180</v>
      </c>
      <c r="CV64" s="1">
        <f>0.005*(1)</f>
        <v>5.0000000000000001E-3</v>
      </c>
      <c r="CW64" s="1" t="s">
        <v>99</v>
      </c>
      <c r="CX64" s="1" t="s">
        <v>918</v>
      </c>
      <c r="CY64" s="1" t="s">
        <v>918</v>
      </c>
      <c r="CZ64" s="1" t="s">
        <v>918</v>
      </c>
      <c r="DA64" s="1" t="s">
        <v>918</v>
      </c>
      <c r="DB64" s="1">
        <f>2419*(1)</f>
        <v>2419</v>
      </c>
      <c r="DC64" s="1" t="s">
        <v>290</v>
      </c>
      <c r="DD64" s="1">
        <f>0.015*(1)</f>
        <v>1.4999999999999999E-2</v>
      </c>
      <c r="DE64" s="1" t="s">
        <v>94</v>
      </c>
      <c r="DF64" s="1">
        <f>3329*(1)</f>
        <v>3329</v>
      </c>
      <c r="DG64" s="1" t="s">
        <v>1083</v>
      </c>
      <c r="DH64" s="1">
        <f>0.027*(1)</f>
        <v>2.7E-2</v>
      </c>
      <c r="DI64" s="1" t="s">
        <v>141</v>
      </c>
      <c r="DJ64" s="1" t="s">
        <v>918</v>
      </c>
      <c r="DK64" s="1" t="s">
        <v>918</v>
      </c>
      <c r="DL64" s="1" t="s">
        <v>918</v>
      </c>
      <c r="DM64" s="1" t="s">
        <v>918</v>
      </c>
      <c r="DN64" s="1" t="s">
        <v>918</v>
      </c>
      <c r="DO64" s="1" t="s">
        <v>918</v>
      </c>
      <c r="DP64" s="1" t="s">
        <v>918</v>
      </c>
      <c r="DQ64" s="1" t="s">
        <v>918</v>
      </c>
      <c r="DR64" s="1">
        <f>2342*(1)</f>
        <v>2342</v>
      </c>
      <c r="DS64" s="1" t="s">
        <v>97</v>
      </c>
      <c r="DT64" s="1">
        <f>0.006*(1)</f>
        <v>6.0000000000000001E-3</v>
      </c>
      <c r="DU64" s="1" t="s">
        <v>99</v>
      </c>
      <c r="DV64" s="1">
        <f>10360*(1)</f>
        <v>10360</v>
      </c>
      <c r="DW64" s="1" t="s">
        <v>1084</v>
      </c>
      <c r="DX64" s="1">
        <f>0.019*(1)</f>
        <v>1.9E-2</v>
      </c>
      <c r="DY64" s="1" t="s">
        <v>90</v>
      </c>
      <c r="DZ64" s="1">
        <f>1203*(1)</f>
        <v>1203</v>
      </c>
      <c r="EA64" s="1" t="s">
        <v>723</v>
      </c>
      <c r="EB64" s="1">
        <f>0.006*(1)</f>
        <v>6.0000000000000001E-3</v>
      </c>
      <c r="EC64" s="1" t="s">
        <v>99</v>
      </c>
      <c r="ED64" s="1">
        <f>449*(1)</f>
        <v>449</v>
      </c>
      <c r="EE64" s="1" t="s">
        <v>915</v>
      </c>
      <c r="EF64" s="1">
        <f>0.005*(1)</f>
        <v>5.0000000000000001E-3</v>
      </c>
      <c r="EG64" s="1" t="s">
        <v>99</v>
      </c>
      <c r="EH64" s="1">
        <f>3323*(1)</f>
        <v>3323</v>
      </c>
      <c r="EI64" s="1" t="s">
        <v>1085</v>
      </c>
      <c r="EJ64" s="1">
        <f>0.013*(1)</f>
        <v>1.2999999999999999E-2</v>
      </c>
      <c r="EK64" s="1" t="s">
        <v>94</v>
      </c>
      <c r="EL64" s="1" t="s">
        <v>918</v>
      </c>
      <c r="EM64" s="1" t="s">
        <v>918</v>
      </c>
      <c r="EN64" s="1" t="s">
        <v>918</v>
      </c>
      <c r="EO64" s="1" t="s">
        <v>918</v>
      </c>
      <c r="EP64" s="1">
        <f>1674*(1)</f>
        <v>1674</v>
      </c>
      <c r="EQ64" s="1" t="s">
        <v>665</v>
      </c>
      <c r="ER64" s="1">
        <f>0.013*(1)</f>
        <v>1.2999999999999999E-2</v>
      </c>
      <c r="ES64" s="1" t="s">
        <v>90</v>
      </c>
    </row>
    <row r="65" spans="1:149" x14ac:dyDescent="0.3">
      <c r="A65" s="8" t="s">
        <v>1086</v>
      </c>
      <c r="B65" s="1">
        <f>234*(1)</f>
        <v>234</v>
      </c>
      <c r="C65" s="1" t="s">
        <v>923</v>
      </c>
      <c r="D65" s="1">
        <f>0.002*(1)</f>
        <v>2E-3</v>
      </c>
      <c r="E65" s="1" t="s">
        <v>111</v>
      </c>
      <c r="F65" s="1">
        <f>158*(1)</f>
        <v>158</v>
      </c>
      <c r="G65" s="1" t="s">
        <v>1087</v>
      </c>
      <c r="H65" s="1">
        <f>0.002*(1)</f>
        <v>2E-3</v>
      </c>
      <c r="I65" s="1" t="s">
        <v>111</v>
      </c>
      <c r="J65" s="1" t="s">
        <v>918</v>
      </c>
      <c r="K65" s="1" t="s">
        <v>918</v>
      </c>
      <c r="L65" s="1" t="s">
        <v>918</v>
      </c>
      <c r="M65" s="1" t="s">
        <v>918</v>
      </c>
      <c r="N65" s="1">
        <f>2222*(1)</f>
        <v>2222</v>
      </c>
      <c r="O65" s="1" t="s">
        <v>925</v>
      </c>
      <c r="P65" s="1">
        <f>0.006*(1)</f>
        <v>6.0000000000000001E-3</v>
      </c>
      <c r="Q65" s="1" t="s">
        <v>92</v>
      </c>
      <c r="R65" s="1">
        <f>380*(1)</f>
        <v>380</v>
      </c>
      <c r="S65" s="1" t="s">
        <v>1088</v>
      </c>
      <c r="T65" s="1">
        <f>0.003*(1)</f>
        <v>3.0000000000000001E-3</v>
      </c>
      <c r="U65" s="1" t="s">
        <v>111</v>
      </c>
      <c r="V65" s="1">
        <f>1412*(1)</f>
        <v>1412</v>
      </c>
      <c r="W65" s="1" t="s">
        <v>1089</v>
      </c>
      <c r="X65" s="1">
        <f>0.007*(1)</f>
        <v>7.0000000000000001E-3</v>
      </c>
      <c r="Y65" s="1" t="s">
        <v>92</v>
      </c>
      <c r="Z65" s="1" t="s">
        <v>918</v>
      </c>
      <c r="AA65" s="1" t="s">
        <v>918</v>
      </c>
      <c r="AB65" s="1" t="s">
        <v>918</v>
      </c>
      <c r="AC65" s="1" t="s">
        <v>918</v>
      </c>
      <c r="AD65" s="1">
        <f>6962*(1)</f>
        <v>6962</v>
      </c>
      <c r="AE65" s="1" t="s">
        <v>1090</v>
      </c>
      <c r="AF65" s="1">
        <f>0.006*(1)</f>
        <v>6.0000000000000001E-3</v>
      </c>
      <c r="AG65" s="1" t="s">
        <v>99</v>
      </c>
      <c r="AH65" s="1">
        <f>3945*(1)</f>
        <v>3945</v>
      </c>
      <c r="AI65" s="1" t="s">
        <v>1091</v>
      </c>
      <c r="AJ65" s="1">
        <f>0.018*(1)</f>
        <v>1.7999999999999999E-2</v>
      </c>
      <c r="AK65" s="1" t="s">
        <v>90</v>
      </c>
      <c r="AL65" s="1">
        <f>114*(1)</f>
        <v>114</v>
      </c>
      <c r="AM65" s="1" t="s">
        <v>929</v>
      </c>
      <c r="AN65" s="1">
        <f>0.002*(1)</f>
        <v>2E-3</v>
      </c>
      <c r="AO65" s="1" t="s">
        <v>111</v>
      </c>
      <c r="AP65" s="1">
        <f>739*(1)</f>
        <v>739</v>
      </c>
      <c r="AQ65" s="1" t="s">
        <v>930</v>
      </c>
      <c r="AR65" s="1">
        <f>0.005*(1)</f>
        <v>5.0000000000000001E-3</v>
      </c>
      <c r="AS65" s="1" t="s">
        <v>90</v>
      </c>
      <c r="AT65" s="1">
        <f>14109*(1)</f>
        <v>14109</v>
      </c>
      <c r="AU65" s="1" t="s">
        <v>947</v>
      </c>
      <c r="AV65" s="1">
        <f>0.011*(1)</f>
        <v>1.0999999999999999E-2</v>
      </c>
      <c r="AW65" s="1" t="s">
        <v>111</v>
      </c>
      <c r="AX65" s="1">
        <f>82*(1)</f>
        <v>82</v>
      </c>
      <c r="AY65" s="1" t="s">
        <v>579</v>
      </c>
      <c r="AZ65" s="1">
        <f>0.001*(1)</f>
        <v>1E-3</v>
      </c>
      <c r="BA65" s="1" t="s">
        <v>99</v>
      </c>
      <c r="BB65" s="1">
        <f>1412*(1)</f>
        <v>1412</v>
      </c>
      <c r="BC65" s="1" t="s">
        <v>482</v>
      </c>
      <c r="BD65" s="1">
        <f>0.008*(1)</f>
        <v>8.0000000000000002E-3</v>
      </c>
      <c r="BE65" s="1" t="s">
        <v>92</v>
      </c>
      <c r="BF65" s="1">
        <f>5176*(1)</f>
        <v>5176</v>
      </c>
      <c r="BG65" s="1" t="s">
        <v>1092</v>
      </c>
      <c r="BH65" s="1">
        <f>0.006*(1)</f>
        <v>6.0000000000000001E-3</v>
      </c>
      <c r="BI65" s="1" t="s">
        <v>111</v>
      </c>
      <c r="BJ65" s="1">
        <f>639*(1)</f>
        <v>639</v>
      </c>
      <c r="BK65" s="1" t="s">
        <v>1093</v>
      </c>
      <c r="BL65" s="1">
        <f>0.009*(1)</f>
        <v>8.9999999999999993E-3</v>
      </c>
      <c r="BM65" s="1" t="s">
        <v>120</v>
      </c>
      <c r="BN65" s="1">
        <f>761*(1)</f>
        <v>761</v>
      </c>
      <c r="BO65" s="1" t="s">
        <v>1094</v>
      </c>
      <c r="BP65" s="1">
        <f>0.003*(1)</f>
        <v>3.0000000000000001E-3</v>
      </c>
      <c r="BQ65" s="1" t="s">
        <v>111</v>
      </c>
      <c r="BR65" s="1">
        <f>718*(1)</f>
        <v>718</v>
      </c>
      <c r="BS65" s="1" t="s">
        <v>1095</v>
      </c>
      <c r="BT65" s="1">
        <f>0.004*(1)</f>
        <v>4.0000000000000001E-3</v>
      </c>
      <c r="BU65" s="1" t="s">
        <v>92</v>
      </c>
      <c r="BV65" s="1">
        <f>1249*(1)</f>
        <v>1249</v>
      </c>
      <c r="BW65" s="1" t="s">
        <v>494</v>
      </c>
      <c r="BX65" s="1">
        <f>0.004*(1)</f>
        <v>4.0000000000000001E-3</v>
      </c>
      <c r="BY65" s="1" t="s">
        <v>111</v>
      </c>
      <c r="BZ65" s="1">
        <f>2238*(1)</f>
        <v>2238</v>
      </c>
      <c r="CA65" s="1" t="s">
        <v>1096</v>
      </c>
      <c r="CB65" s="1">
        <f>0.005*(1)</f>
        <v>5.0000000000000001E-3</v>
      </c>
      <c r="CC65" s="1" t="s">
        <v>111</v>
      </c>
      <c r="CD65" s="1">
        <f>707*(1)</f>
        <v>707</v>
      </c>
      <c r="CE65" s="1" t="s">
        <v>289</v>
      </c>
      <c r="CF65" s="1">
        <f>0.003*(1)</f>
        <v>3.0000000000000001E-3</v>
      </c>
      <c r="CG65" s="1" t="s">
        <v>92</v>
      </c>
      <c r="CH65" s="1">
        <f>134*(1)</f>
        <v>134</v>
      </c>
      <c r="CI65" s="1" t="s">
        <v>573</v>
      </c>
      <c r="CJ65" s="1">
        <f>0.002*(1)</f>
        <v>2E-3</v>
      </c>
      <c r="CK65" s="1" t="s">
        <v>111</v>
      </c>
      <c r="CL65" s="1">
        <f>501*(1)</f>
        <v>501</v>
      </c>
      <c r="CM65" s="1" t="s">
        <v>715</v>
      </c>
      <c r="CN65" s="1">
        <f>0.003*(1)</f>
        <v>3.0000000000000001E-3</v>
      </c>
      <c r="CO65" s="1" t="s">
        <v>111</v>
      </c>
      <c r="CP65" s="1">
        <f>413*(1)</f>
        <v>413</v>
      </c>
      <c r="CQ65" s="1" t="s">
        <v>416</v>
      </c>
      <c r="CR65" s="1">
        <f>0.004*(1)</f>
        <v>4.0000000000000001E-3</v>
      </c>
      <c r="CS65" s="1" t="s">
        <v>94</v>
      </c>
      <c r="CT65" s="1">
        <f>3693*(1)</f>
        <v>3693</v>
      </c>
      <c r="CU65" s="1" t="s">
        <v>1097</v>
      </c>
      <c r="CV65" s="1">
        <f>0.007*(1)</f>
        <v>7.0000000000000001E-3</v>
      </c>
      <c r="CW65" s="1" t="s">
        <v>111</v>
      </c>
      <c r="CX65" s="1" t="s">
        <v>918</v>
      </c>
      <c r="CY65" s="1" t="s">
        <v>918</v>
      </c>
      <c r="CZ65" s="1" t="s">
        <v>918</v>
      </c>
      <c r="DA65" s="1" t="s">
        <v>918</v>
      </c>
      <c r="DB65" s="1">
        <f>1420*(1)</f>
        <v>1420</v>
      </c>
      <c r="DC65" s="1" t="s">
        <v>274</v>
      </c>
      <c r="DD65" s="1">
        <f>0.009*(1)</f>
        <v>8.9999999999999993E-3</v>
      </c>
      <c r="DE65" s="1" t="s">
        <v>94</v>
      </c>
      <c r="DF65" s="1">
        <f>260*(1)</f>
        <v>260</v>
      </c>
      <c r="DG65" s="1" t="s">
        <v>1098</v>
      </c>
      <c r="DH65" s="1">
        <f>0.002*(1)</f>
        <v>2E-3</v>
      </c>
      <c r="DI65" s="1" t="s">
        <v>92</v>
      </c>
      <c r="DJ65" s="1" t="s">
        <v>918</v>
      </c>
      <c r="DK65" s="1" t="s">
        <v>918</v>
      </c>
      <c r="DL65" s="1" t="s">
        <v>918</v>
      </c>
      <c r="DM65" s="1" t="s">
        <v>918</v>
      </c>
      <c r="DN65" s="1" t="s">
        <v>918</v>
      </c>
      <c r="DO65" s="1" t="s">
        <v>918</v>
      </c>
      <c r="DP65" s="1" t="s">
        <v>918</v>
      </c>
      <c r="DQ65" s="1" t="s">
        <v>918</v>
      </c>
      <c r="DR65" s="1">
        <f>1656*(1)</f>
        <v>1656</v>
      </c>
      <c r="DS65" s="1" t="s">
        <v>1006</v>
      </c>
      <c r="DT65" s="1">
        <f>0.004*(1)</f>
        <v>4.0000000000000001E-3</v>
      </c>
      <c r="DU65" s="1" t="s">
        <v>111</v>
      </c>
      <c r="DV65" s="1">
        <f>3419*(1)</f>
        <v>3419</v>
      </c>
      <c r="DW65" s="1" t="s">
        <v>1099</v>
      </c>
      <c r="DX65" s="1">
        <f>0.006*(1)</f>
        <v>6.0000000000000001E-3</v>
      </c>
      <c r="DY65" s="1" t="s">
        <v>92</v>
      </c>
      <c r="DZ65" s="1">
        <f>425*(1)</f>
        <v>425</v>
      </c>
      <c r="EA65" s="1" t="s">
        <v>786</v>
      </c>
      <c r="EB65" s="1">
        <f>0.002*(1)</f>
        <v>2E-3</v>
      </c>
      <c r="EC65" s="1" t="s">
        <v>111</v>
      </c>
      <c r="ED65" s="1">
        <f>326*(1)</f>
        <v>326</v>
      </c>
      <c r="EE65" s="1" t="s">
        <v>943</v>
      </c>
      <c r="EF65" s="1">
        <f>0.004*(1)</f>
        <v>4.0000000000000001E-3</v>
      </c>
      <c r="EG65" s="1" t="s">
        <v>99</v>
      </c>
      <c r="EH65" s="1">
        <f>1099*(1)</f>
        <v>1099</v>
      </c>
      <c r="EI65" s="1" t="s">
        <v>1100</v>
      </c>
      <c r="EJ65" s="1">
        <f>0.004*(1)</f>
        <v>4.0000000000000001E-3</v>
      </c>
      <c r="EK65" s="1" t="s">
        <v>96</v>
      </c>
      <c r="EL65" s="1" t="s">
        <v>918</v>
      </c>
      <c r="EM65" s="1" t="s">
        <v>918</v>
      </c>
      <c r="EN65" s="1" t="s">
        <v>918</v>
      </c>
      <c r="EO65" s="1" t="s">
        <v>918</v>
      </c>
      <c r="EP65" s="1">
        <f>373*(1)</f>
        <v>373</v>
      </c>
      <c r="EQ65" s="1" t="s">
        <v>944</v>
      </c>
      <c r="ER65" s="1">
        <f>0.003*(1)</f>
        <v>3.0000000000000001E-3</v>
      </c>
      <c r="ES65" s="1" t="s">
        <v>111</v>
      </c>
    </row>
    <row r="66" spans="1:149" ht="43.2" x14ac:dyDescent="0.3">
      <c r="A66" s="8" t="s">
        <v>1101</v>
      </c>
      <c r="B66" s="1">
        <f>914*(1)</f>
        <v>914</v>
      </c>
      <c r="C66" s="1" t="s">
        <v>1102</v>
      </c>
      <c r="D66" s="1">
        <f>0.009*(1)</f>
        <v>8.9999999999999993E-3</v>
      </c>
      <c r="E66" s="1" t="s">
        <v>129</v>
      </c>
      <c r="F66" s="1">
        <f>110*(1)</f>
        <v>110</v>
      </c>
      <c r="G66" s="1" t="s">
        <v>1103</v>
      </c>
      <c r="H66" s="1">
        <f>0.001*(1)</f>
        <v>1E-3</v>
      </c>
      <c r="I66" s="1" t="s">
        <v>111</v>
      </c>
      <c r="J66" s="1" t="s">
        <v>918</v>
      </c>
      <c r="K66" s="1" t="s">
        <v>918</v>
      </c>
      <c r="L66" s="1" t="s">
        <v>918</v>
      </c>
      <c r="M66" s="1" t="s">
        <v>918</v>
      </c>
      <c r="N66" s="1">
        <f>174*(1)</f>
        <v>174</v>
      </c>
      <c r="O66" s="1" t="s">
        <v>574</v>
      </c>
      <c r="P66" s="1">
        <f>0*(1)</f>
        <v>0</v>
      </c>
      <c r="Q66" s="1" t="s">
        <v>99</v>
      </c>
      <c r="R66" s="1">
        <f>613*(1)</f>
        <v>613</v>
      </c>
      <c r="S66" s="1" t="s">
        <v>278</v>
      </c>
      <c r="T66" s="1">
        <f>0.005*(1)</f>
        <v>5.0000000000000001E-3</v>
      </c>
      <c r="U66" s="1" t="s">
        <v>90</v>
      </c>
      <c r="V66" s="1">
        <f>42*(1)</f>
        <v>42</v>
      </c>
      <c r="W66" s="1" t="s">
        <v>1104</v>
      </c>
      <c r="X66" s="1">
        <f>0*(1)</f>
        <v>0</v>
      </c>
      <c r="Y66" s="1" t="s">
        <v>99</v>
      </c>
      <c r="Z66" s="1" t="s">
        <v>918</v>
      </c>
      <c r="AA66" s="1" t="s">
        <v>918</v>
      </c>
      <c r="AB66" s="1" t="s">
        <v>918</v>
      </c>
      <c r="AC66" s="1" t="s">
        <v>918</v>
      </c>
      <c r="AD66" s="1">
        <f>2064*(1)</f>
        <v>2064</v>
      </c>
      <c r="AE66" s="1" t="s">
        <v>1105</v>
      </c>
      <c r="AF66" s="1">
        <f>0.002*(1)</f>
        <v>2E-3</v>
      </c>
      <c r="AG66" s="1" t="s">
        <v>99</v>
      </c>
      <c r="AH66" s="1">
        <f>157*(1)</f>
        <v>157</v>
      </c>
      <c r="AI66" s="1" t="s">
        <v>1106</v>
      </c>
      <c r="AJ66" s="1">
        <f>0.001*(1)</f>
        <v>1E-3</v>
      </c>
      <c r="AK66" s="1" t="s">
        <v>99</v>
      </c>
      <c r="AL66" s="1">
        <f>0*(1)</f>
        <v>0</v>
      </c>
      <c r="AM66" s="1" t="s">
        <v>723</v>
      </c>
      <c r="AN66" s="1">
        <f>0*(1)</f>
        <v>0</v>
      </c>
      <c r="AO66" s="1" t="s">
        <v>111</v>
      </c>
      <c r="AP66" s="1">
        <f>229*(1)</f>
        <v>229</v>
      </c>
      <c r="AQ66" s="1" t="s">
        <v>1107</v>
      </c>
      <c r="AR66" s="1">
        <f>0.001*(1)</f>
        <v>1E-3</v>
      </c>
      <c r="AS66" s="1" t="s">
        <v>111</v>
      </c>
      <c r="AT66" s="1">
        <f>1908*(1)</f>
        <v>1908</v>
      </c>
      <c r="AU66" s="1" t="s">
        <v>1108</v>
      </c>
      <c r="AV66" s="1">
        <f>0.001*(1)</f>
        <v>1E-3</v>
      </c>
      <c r="AW66" s="1" t="s">
        <v>99</v>
      </c>
      <c r="AX66" s="1">
        <f>0*(1)</f>
        <v>0</v>
      </c>
      <c r="AY66" s="1" t="s">
        <v>723</v>
      </c>
      <c r="AZ66" s="1">
        <f>0*(1)</f>
        <v>0</v>
      </c>
      <c r="BA66" s="1" t="s">
        <v>111</v>
      </c>
      <c r="BB66" s="1">
        <f>227*(1)</f>
        <v>227</v>
      </c>
      <c r="BC66" s="1" t="s">
        <v>308</v>
      </c>
      <c r="BD66" s="1">
        <f>0.001*(1)</f>
        <v>1E-3</v>
      </c>
      <c r="BE66" s="1" t="s">
        <v>111</v>
      </c>
      <c r="BF66" s="1">
        <f>2922*(1)</f>
        <v>2922</v>
      </c>
      <c r="BG66" s="1" t="s">
        <v>1109</v>
      </c>
      <c r="BH66" s="1">
        <f>0.004*(1)</f>
        <v>4.0000000000000001E-3</v>
      </c>
      <c r="BI66" s="1" t="s">
        <v>111</v>
      </c>
      <c r="BJ66" s="1">
        <f>11*(1)</f>
        <v>11</v>
      </c>
      <c r="BK66" s="1" t="s">
        <v>1110</v>
      </c>
      <c r="BL66" s="1">
        <f>0*(1)</f>
        <v>0</v>
      </c>
      <c r="BM66" s="1" t="s">
        <v>99</v>
      </c>
      <c r="BN66" s="1">
        <f>0*(1)</f>
        <v>0</v>
      </c>
      <c r="BO66" s="1" t="s">
        <v>723</v>
      </c>
      <c r="BP66" s="1">
        <f>0*(1)</f>
        <v>0</v>
      </c>
      <c r="BQ66" s="1" t="s">
        <v>99</v>
      </c>
      <c r="BR66" s="1">
        <f>441*(1)</f>
        <v>441</v>
      </c>
      <c r="BS66" s="1" t="s">
        <v>1111</v>
      </c>
      <c r="BT66" s="1">
        <f>0.002*(1)</f>
        <v>2E-3</v>
      </c>
      <c r="BU66" s="1" t="s">
        <v>111</v>
      </c>
      <c r="BV66" s="1">
        <f>1572*(1)</f>
        <v>1572</v>
      </c>
      <c r="BW66" s="1" t="s">
        <v>1112</v>
      </c>
      <c r="BX66" s="1">
        <f>0.005*(1)</f>
        <v>5.0000000000000001E-3</v>
      </c>
      <c r="BY66" s="1" t="s">
        <v>96</v>
      </c>
      <c r="BZ66" s="1">
        <f>239*(1)</f>
        <v>239</v>
      </c>
      <c r="CA66" s="1" t="s">
        <v>903</v>
      </c>
      <c r="CB66" s="1">
        <f>0.001*(1)</f>
        <v>1E-3</v>
      </c>
      <c r="CC66" s="1" t="s">
        <v>99</v>
      </c>
      <c r="CD66" s="1">
        <f>275*(1)</f>
        <v>275</v>
      </c>
      <c r="CE66" s="1" t="s">
        <v>1113</v>
      </c>
      <c r="CF66" s="1">
        <f>0.001*(1)</f>
        <v>1E-3</v>
      </c>
      <c r="CG66" s="1" t="s">
        <v>99</v>
      </c>
      <c r="CH66" s="1">
        <f>25*(1)</f>
        <v>25</v>
      </c>
      <c r="CI66" s="1" t="s">
        <v>571</v>
      </c>
      <c r="CJ66" s="1">
        <f>0*(1)</f>
        <v>0</v>
      </c>
      <c r="CK66" s="1" t="s">
        <v>99</v>
      </c>
      <c r="CL66" s="1">
        <f>0*(1)</f>
        <v>0</v>
      </c>
      <c r="CM66" s="1" t="s">
        <v>723</v>
      </c>
      <c r="CN66" s="1">
        <f>0*(1)</f>
        <v>0</v>
      </c>
      <c r="CO66" s="1" t="s">
        <v>99</v>
      </c>
      <c r="CP66" s="1">
        <f>0*(1)</f>
        <v>0</v>
      </c>
      <c r="CQ66" s="1" t="s">
        <v>723</v>
      </c>
      <c r="CR66" s="1">
        <f>0*(1)</f>
        <v>0</v>
      </c>
      <c r="CS66" s="1" t="s">
        <v>111</v>
      </c>
      <c r="CT66" s="1">
        <f>619*(1)</f>
        <v>619</v>
      </c>
      <c r="CU66" s="1" t="s">
        <v>916</v>
      </c>
      <c r="CV66" s="1">
        <f>0.001*(1)</f>
        <v>1E-3</v>
      </c>
      <c r="CW66" s="1" t="s">
        <v>99</v>
      </c>
      <c r="CX66" s="1" t="s">
        <v>918</v>
      </c>
      <c r="CY66" s="1" t="s">
        <v>918</v>
      </c>
      <c r="CZ66" s="1" t="s">
        <v>918</v>
      </c>
      <c r="DA66" s="1" t="s">
        <v>918</v>
      </c>
      <c r="DB66" s="1">
        <f>126*(1)</f>
        <v>126</v>
      </c>
      <c r="DC66" s="1" t="s">
        <v>1114</v>
      </c>
      <c r="DD66" s="1">
        <f>0.001*(1)</f>
        <v>1E-3</v>
      </c>
      <c r="DE66" s="1" t="s">
        <v>99</v>
      </c>
      <c r="DF66" s="1">
        <f>432*(1)</f>
        <v>432</v>
      </c>
      <c r="DG66" s="1" t="s">
        <v>1115</v>
      </c>
      <c r="DH66" s="1">
        <f>0.003*(1)</f>
        <v>3.0000000000000001E-3</v>
      </c>
      <c r="DI66" s="1" t="s">
        <v>94</v>
      </c>
      <c r="DJ66" s="1" t="s">
        <v>918</v>
      </c>
      <c r="DK66" s="1" t="s">
        <v>918</v>
      </c>
      <c r="DL66" s="1" t="s">
        <v>918</v>
      </c>
      <c r="DM66" s="1" t="s">
        <v>918</v>
      </c>
      <c r="DN66" s="1" t="s">
        <v>918</v>
      </c>
      <c r="DO66" s="1" t="s">
        <v>918</v>
      </c>
      <c r="DP66" s="1" t="s">
        <v>918</v>
      </c>
      <c r="DQ66" s="1" t="s">
        <v>918</v>
      </c>
      <c r="DR66" s="1">
        <f>1667*(1)</f>
        <v>1667</v>
      </c>
      <c r="DS66" s="1" t="s">
        <v>1116</v>
      </c>
      <c r="DT66" s="1">
        <f>0.004*(1)</f>
        <v>4.0000000000000001E-3</v>
      </c>
      <c r="DU66" s="1" t="s">
        <v>92</v>
      </c>
      <c r="DV66" s="1">
        <f>1752*(1)</f>
        <v>1752</v>
      </c>
      <c r="DW66" s="1" t="s">
        <v>514</v>
      </c>
      <c r="DX66" s="1">
        <f>0.003*(1)</f>
        <v>3.0000000000000001E-3</v>
      </c>
      <c r="DY66" s="1" t="s">
        <v>111</v>
      </c>
      <c r="DZ66" s="1">
        <f>78*(1)</f>
        <v>78</v>
      </c>
      <c r="EA66" s="1" t="s">
        <v>1117</v>
      </c>
      <c r="EB66" s="1">
        <f>0*(1)</f>
        <v>0</v>
      </c>
      <c r="EC66" s="1" t="s">
        <v>99</v>
      </c>
      <c r="ED66" s="1">
        <f>0*(1)</f>
        <v>0</v>
      </c>
      <c r="EE66" s="1" t="s">
        <v>723</v>
      </c>
      <c r="EF66" s="1">
        <f>0*(1)</f>
        <v>0</v>
      </c>
      <c r="EG66" s="1" t="s">
        <v>111</v>
      </c>
      <c r="EH66" s="1">
        <f>0*(1)</f>
        <v>0</v>
      </c>
      <c r="EI66" s="1" t="s">
        <v>723</v>
      </c>
      <c r="EJ66" s="1">
        <f>0*(1)</f>
        <v>0</v>
      </c>
      <c r="EK66" s="1" t="s">
        <v>99</v>
      </c>
      <c r="EL66" s="1" t="s">
        <v>918</v>
      </c>
      <c r="EM66" s="1" t="s">
        <v>918</v>
      </c>
      <c r="EN66" s="1" t="s">
        <v>918</v>
      </c>
      <c r="EO66" s="1" t="s">
        <v>918</v>
      </c>
      <c r="EP66" s="1">
        <f>41*(1)</f>
        <v>41</v>
      </c>
      <c r="EQ66" s="1" t="s">
        <v>1118</v>
      </c>
      <c r="ER66" s="1">
        <f>0*(1)</f>
        <v>0</v>
      </c>
      <c r="ES66" s="1" t="s">
        <v>99</v>
      </c>
    </row>
    <row r="67" spans="1:149" ht="28.8" x14ac:dyDescent="0.3">
      <c r="A67" s="4" t="s">
        <v>1119</v>
      </c>
      <c r="B67" s="1">
        <f>0*(1)</f>
        <v>0</v>
      </c>
      <c r="C67" s="1">
        <f>0*(1)</f>
        <v>0</v>
      </c>
      <c r="D67" s="1">
        <f>0*(1)</f>
        <v>0</v>
      </c>
      <c r="E67" s="1">
        <f>0*(1)</f>
        <v>0</v>
      </c>
      <c r="F67" s="1">
        <f>0*(1)</f>
        <v>0</v>
      </c>
      <c r="G67" s="1">
        <f>0*(1)</f>
        <v>0</v>
      </c>
      <c r="H67" s="1">
        <f>0*(1)</f>
        <v>0</v>
      </c>
      <c r="I67" s="1">
        <f>0*(1)</f>
        <v>0</v>
      </c>
      <c r="J67" s="1">
        <f>0*(1)</f>
        <v>0</v>
      </c>
      <c r="K67" s="1">
        <f>0*(1)</f>
        <v>0</v>
      </c>
      <c r="L67" s="1">
        <f>0*(1)</f>
        <v>0</v>
      </c>
      <c r="M67" s="1">
        <f>0*(1)</f>
        <v>0</v>
      </c>
      <c r="N67" s="1">
        <f>0*(1)</f>
        <v>0</v>
      </c>
      <c r="O67" s="1">
        <f>0*(1)</f>
        <v>0</v>
      </c>
      <c r="P67" s="1">
        <f>0*(1)</f>
        <v>0</v>
      </c>
      <c r="Q67" s="1">
        <f>0*(1)</f>
        <v>0</v>
      </c>
      <c r="R67" s="1">
        <f>0*(1)</f>
        <v>0</v>
      </c>
      <c r="S67" s="1">
        <f>0*(1)</f>
        <v>0</v>
      </c>
      <c r="T67" s="1">
        <f>0*(1)</f>
        <v>0</v>
      </c>
      <c r="U67" s="1">
        <f>0*(1)</f>
        <v>0</v>
      </c>
      <c r="V67" s="1">
        <f>0*(1)</f>
        <v>0</v>
      </c>
      <c r="W67" s="1">
        <f>0*(1)</f>
        <v>0</v>
      </c>
      <c r="X67" s="1">
        <f>0*(1)</f>
        <v>0</v>
      </c>
      <c r="Y67" s="1">
        <f>0*(1)</f>
        <v>0</v>
      </c>
      <c r="Z67" s="1">
        <f>0*(1)</f>
        <v>0</v>
      </c>
      <c r="AA67" s="1">
        <f>0*(1)</f>
        <v>0</v>
      </c>
      <c r="AB67" s="1">
        <f>0*(1)</f>
        <v>0</v>
      </c>
      <c r="AC67" s="1">
        <f>0*(1)</f>
        <v>0</v>
      </c>
      <c r="AD67" s="1">
        <f>0*(1)</f>
        <v>0</v>
      </c>
      <c r="AE67" s="1">
        <f>0*(1)</f>
        <v>0</v>
      </c>
      <c r="AF67" s="1">
        <f>0*(1)</f>
        <v>0</v>
      </c>
      <c r="AG67" s="1">
        <f>0*(1)</f>
        <v>0</v>
      </c>
      <c r="AH67" s="1">
        <f>0*(1)</f>
        <v>0</v>
      </c>
      <c r="AI67" s="1">
        <f>0*(1)</f>
        <v>0</v>
      </c>
      <c r="AJ67" s="1">
        <f>0*(1)</f>
        <v>0</v>
      </c>
      <c r="AK67" s="1">
        <f>0*(1)</f>
        <v>0</v>
      </c>
      <c r="AL67" s="1">
        <f>0*(1)</f>
        <v>0</v>
      </c>
      <c r="AM67" s="1">
        <f>0*(1)</f>
        <v>0</v>
      </c>
      <c r="AN67" s="1">
        <f>0*(1)</f>
        <v>0</v>
      </c>
      <c r="AO67" s="1">
        <f>0*(1)</f>
        <v>0</v>
      </c>
      <c r="AP67" s="1">
        <f>0*(1)</f>
        <v>0</v>
      </c>
      <c r="AQ67" s="1">
        <f>0*(1)</f>
        <v>0</v>
      </c>
      <c r="AR67" s="1">
        <f>0*(1)</f>
        <v>0</v>
      </c>
      <c r="AS67" s="1">
        <f>0*(1)</f>
        <v>0</v>
      </c>
      <c r="AT67" s="1">
        <f>0*(1)</f>
        <v>0</v>
      </c>
      <c r="AU67" s="1">
        <f>0*(1)</f>
        <v>0</v>
      </c>
      <c r="AV67" s="1">
        <f>0*(1)</f>
        <v>0</v>
      </c>
      <c r="AW67" s="1">
        <f>0*(1)</f>
        <v>0</v>
      </c>
      <c r="AX67" s="1">
        <f>0*(1)</f>
        <v>0</v>
      </c>
      <c r="AY67" s="1">
        <f>0*(1)</f>
        <v>0</v>
      </c>
      <c r="AZ67" s="1">
        <f>0*(1)</f>
        <v>0</v>
      </c>
      <c r="BA67" s="1">
        <f>0*(1)</f>
        <v>0</v>
      </c>
      <c r="BB67" s="1">
        <f>0*(1)</f>
        <v>0</v>
      </c>
      <c r="BC67" s="1">
        <f>0*(1)</f>
        <v>0</v>
      </c>
      <c r="BD67" s="1">
        <f>0*(1)</f>
        <v>0</v>
      </c>
      <c r="BE67" s="1">
        <f>0*(1)</f>
        <v>0</v>
      </c>
      <c r="BF67" s="1">
        <f>0*(1)</f>
        <v>0</v>
      </c>
      <c r="BG67" s="1">
        <f>0*(1)</f>
        <v>0</v>
      </c>
      <c r="BH67" s="1">
        <f>0*(1)</f>
        <v>0</v>
      </c>
      <c r="BI67" s="1">
        <f>0*(1)</f>
        <v>0</v>
      </c>
      <c r="BJ67" s="1">
        <f>0*(1)</f>
        <v>0</v>
      </c>
      <c r="BK67" s="1">
        <f>0*(1)</f>
        <v>0</v>
      </c>
      <c r="BL67" s="1">
        <f>0*(1)</f>
        <v>0</v>
      </c>
      <c r="BM67" s="1">
        <f>0*(1)</f>
        <v>0</v>
      </c>
      <c r="BN67" s="1">
        <f>0*(1)</f>
        <v>0</v>
      </c>
      <c r="BO67" s="1">
        <f>0*(1)</f>
        <v>0</v>
      </c>
      <c r="BP67" s="1">
        <f>0*(1)</f>
        <v>0</v>
      </c>
      <c r="BQ67" s="1">
        <f>0*(1)</f>
        <v>0</v>
      </c>
      <c r="BR67" s="1">
        <f>0*(1)</f>
        <v>0</v>
      </c>
      <c r="BS67" s="1">
        <f>0*(1)</f>
        <v>0</v>
      </c>
      <c r="BT67" s="1">
        <f>0*(1)</f>
        <v>0</v>
      </c>
      <c r="BU67" s="1">
        <f>0*(1)</f>
        <v>0</v>
      </c>
      <c r="BV67" s="1">
        <f>0*(1)</f>
        <v>0</v>
      </c>
      <c r="BW67" s="1">
        <f>0*(1)</f>
        <v>0</v>
      </c>
      <c r="BX67" s="1">
        <f>0*(1)</f>
        <v>0</v>
      </c>
      <c r="BY67" s="1">
        <f>0*(1)</f>
        <v>0</v>
      </c>
      <c r="BZ67" s="1">
        <f>0*(1)</f>
        <v>0</v>
      </c>
      <c r="CA67" s="1">
        <f>0*(1)</f>
        <v>0</v>
      </c>
      <c r="CB67" s="1">
        <f>0*(1)</f>
        <v>0</v>
      </c>
      <c r="CC67" s="1">
        <f>0*(1)</f>
        <v>0</v>
      </c>
      <c r="CD67" s="1">
        <f>0*(1)</f>
        <v>0</v>
      </c>
      <c r="CE67" s="1">
        <f>0*(1)</f>
        <v>0</v>
      </c>
      <c r="CF67" s="1">
        <f>0*(1)</f>
        <v>0</v>
      </c>
      <c r="CG67" s="1">
        <f>0*(1)</f>
        <v>0</v>
      </c>
      <c r="CH67" s="1">
        <f>0*(1)</f>
        <v>0</v>
      </c>
      <c r="CI67" s="1">
        <f>0*(1)</f>
        <v>0</v>
      </c>
      <c r="CJ67" s="1">
        <f>0*(1)</f>
        <v>0</v>
      </c>
      <c r="CK67" s="1">
        <f>0*(1)</f>
        <v>0</v>
      </c>
      <c r="CL67" s="1">
        <f>0*(1)</f>
        <v>0</v>
      </c>
      <c r="CM67" s="1">
        <f>0*(1)</f>
        <v>0</v>
      </c>
      <c r="CN67" s="1">
        <f>0*(1)</f>
        <v>0</v>
      </c>
      <c r="CO67" s="1">
        <f>0*(1)</f>
        <v>0</v>
      </c>
      <c r="CP67" s="1">
        <f>0*(1)</f>
        <v>0</v>
      </c>
      <c r="CQ67" s="1">
        <f>0*(1)</f>
        <v>0</v>
      </c>
      <c r="CR67" s="1">
        <f>0*(1)</f>
        <v>0</v>
      </c>
      <c r="CS67" s="1">
        <f>0*(1)</f>
        <v>0</v>
      </c>
      <c r="CT67" s="1">
        <f>0*(1)</f>
        <v>0</v>
      </c>
      <c r="CU67" s="1">
        <f>0*(1)</f>
        <v>0</v>
      </c>
      <c r="CV67" s="1">
        <f>0*(1)</f>
        <v>0</v>
      </c>
      <c r="CW67" s="1">
        <f>0*(1)</f>
        <v>0</v>
      </c>
      <c r="CX67" s="1">
        <f>0*(1)</f>
        <v>0</v>
      </c>
      <c r="CY67" s="1">
        <f>0*(1)</f>
        <v>0</v>
      </c>
      <c r="CZ67" s="1">
        <f>0*(1)</f>
        <v>0</v>
      </c>
      <c r="DA67" s="1">
        <f>0*(1)</f>
        <v>0</v>
      </c>
      <c r="DB67" s="1">
        <f>0*(1)</f>
        <v>0</v>
      </c>
      <c r="DC67" s="1">
        <f>0*(1)</f>
        <v>0</v>
      </c>
      <c r="DD67" s="1">
        <f>0*(1)</f>
        <v>0</v>
      </c>
      <c r="DE67" s="1">
        <f>0*(1)</f>
        <v>0</v>
      </c>
      <c r="DF67" s="1">
        <f>0*(1)</f>
        <v>0</v>
      </c>
      <c r="DG67" s="1">
        <f>0*(1)</f>
        <v>0</v>
      </c>
      <c r="DH67" s="1">
        <f>0*(1)</f>
        <v>0</v>
      </c>
      <c r="DI67" s="1">
        <f>0*(1)</f>
        <v>0</v>
      </c>
      <c r="DJ67" s="1">
        <f>0*(1)</f>
        <v>0</v>
      </c>
      <c r="DK67" s="1">
        <f>0*(1)</f>
        <v>0</v>
      </c>
      <c r="DL67" s="1">
        <f>0*(1)</f>
        <v>0</v>
      </c>
      <c r="DM67" s="1">
        <f>0*(1)</f>
        <v>0</v>
      </c>
      <c r="DN67" s="1">
        <f>0*(1)</f>
        <v>0</v>
      </c>
      <c r="DO67" s="1">
        <f>0*(1)</f>
        <v>0</v>
      </c>
      <c r="DP67" s="1">
        <f>0*(1)</f>
        <v>0</v>
      </c>
      <c r="DQ67" s="1">
        <f>0*(1)</f>
        <v>0</v>
      </c>
      <c r="DR67" s="1">
        <f>0*(1)</f>
        <v>0</v>
      </c>
      <c r="DS67" s="1">
        <f>0*(1)</f>
        <v>0</v>
      </c>
      <c r="DT67" s="1">
        <f>0*(1)</f>
        <v>0</v>
      </c>
      <c r="DU67" s="1">
        <f>0*(1)</f>
        <v>0</v>
      </c>
      <c r="DV67" s="1">
        <f>0*(1)</f>
        <v>0</v>
      </c>
      <c r="DW67" s="1">
        <f>0*(1)</f>
        <v>0</v>
      </c>
      <c r="DX67" s="1">
        <f>0*(1)</f>
        <v>0</v>
      </c>
      <c r="DY67" s="1">
        <f>0*(1)</f>
        <v>0</v>
      </c>
      <c r="DZ67" s="1">
        <f>0*(1)</f>
        <v>0</v>
      </c>
      <c r="EA67" s="1">
        <f>0*(1)</f>
        <v>0</v>
      </c>
      <c r="EB67" s="1">
        <f>0*(1)</f>
        <v>0</v>
      </c>
      <c r="EC67" s="1">
        <f>0*(1)</f>
        <v>0</v>
      </c>
      <c r="ED67" s="1">
        <f>0*(1)</f>
        <v>0</v>
      </c>
      <c r="EE67" s="1">
        <f>0*(1)</f>
        <v>0</v>
      </c>
      <c r="EF67" s="1">
        <f>0*(1)</f>
        <v>0</v>
      </c>
      <c r="EG67" s="1">
        <f>0*(1)</f>
        <v>0</v>
      </c>
      <c r="EH67" s="1">
        <f>0*(1)</f>
        <v>0</v>
      </c>
      <c r="EI67" s="1">
        <f>0*(1)</f>
        <v>0</v>
      </c>
      <c r="EJ67" s="1">
        <f>0*(1)</f>
        <v>0</v>
      </c>
      <c r="EK67" s="1">
        <f>0*(1)</f>
        <v>0</v>
      </c>
      <c r="EL67" s="1">
        <f>0*(1)</f>
        <v>0</v>
      </c>
      <c r="EM67" s="1">
        <f>0*(1)</f>
        <v>0</v>
      </c>
      <c r="EN67" s="1">
        <f>0*(1)</f>
        <v>0</v>
      </c>
      <c r="EO67" s="1">
        <f>0*(1)</f>
        <v>0</v>
      </c>
      <c r="EP67" s="1">
        <f>0*(1)</f>
        <v>0</v>
      </c>
      <c r="EQ67" s="1">
        <f>0*(1)</f>
        <v>0</v>
      </c>
      <c r="ER67" s="1">
        <f>0*(1)</f>
        <v>0</v>
      </c>
      <c r="ES67" s="1">
        <f>0*(1)</f>
        <v>0</v>
      </c>
    </row>
    <row r="68" spans="1:149" x14ac:dyDescent="0.3">
      <c r="A68" s="6" t="s">
        <v>82</v>
      </c>
      <c r="B68" s="1">
        <f>101670*(1)</f>
        <v>101670</v>
      </c>
      <c r="C68" s="1" t="s">
        <v>83</v>
      </c>
      <c r="D68" s="1">
        <f>101670*(1)</f>
        <v>101670</v>
      </c>
      <c r="E68" s="1" t="s">
        <v>84</v>
      </c>
      <c r="F68" s="1">
        <f>97337*(1)</f>
        <v>97337</v>
      </c>
      <c r="G68" s="1" t="s">
        <v>83</v>
      </c>
      <c r="H68" s="1">
        <f>97337*(1)</f>
        <v>97337</v>
      </c>
      <c r="I68" s="1" t="s">
        <v>84</v>
      </c>
      <c r="J68" s="1">
        <f>65849*(1)</f>
        <v>65849</v>
      </c>
      <c r="K68" s="1" t="s">
        <v>83</v>
      </c>
      <c r="L68" s="1">
        <f>65849*(1)</f>
        <v>65849</v>
      </c>
      <c r="M68" s="1" t="s">
        <v>84</v>
      </c>
      <c r="N68" s="1">
        <f>390234*(1)</f>
        <v>390234</v>
      </c>
      <c r="O68" s="1" t="s">
        <v>83</v>
      </c>
      <c r="P68" s="1">
        <f>390234*(1)</f>
        <v>390234</v>
      </c>
      <c r="Q68" s="1" t="s">
        <v>84</v>
      </c>
      <c r="R68" s="1">
        <f>135633*(1)</f>
        <v>135633</v>
      </c>
      <c r="S68" s="1" t="s">
        <v>83</v>
      </c>
      <c r="T68" s="1">
        <f>135633*(1)</f>
        <v>135633</v>
      </c>
      <c r="U68" s="1" t="s">
        <v>84</v>
      </c>
      <c r="V68" s="1">
        <f>209642*(1)</f>
        <v>209642</v>
      </c>
      <c r="W68" s="1" t="s">
        <v>83</v>
      </c>
      <c r="X68" s="1">
        <f>209642*(1)</f>
        <v>209642</v>
      </c>
      <c r="Y68" s="1" t="s">
        <v>84</v>
      </c>
      <c r="Z68" s="1">
        <f>101310*(1)</f>
        <v>101310</v>
      </c>
      <c r="AA68" s="1" t="s">
        <v>83</v>
      </c>
      <c r="AB68" s="1">
        <f>101310*(1)</f>
        <v>101310</v>
      </c>
      <c r="AC68" s="1" t="s">
        <v>84</v>
      </c>
      <c r="AD68" s="1">
        <f>1249387*(1)</f>
        <v>1249387</v>
      </c>
      <c r="AE68" s="1" t="s">
        <v>83</v>
      </c>
      <c r="AF68" s="1">
        <f>1249387*(1)</f>
        <v>1249387</v>
      </c>
      <c r="AG68" s="1" t="s">
        <v>84</v>
      </c>
      <c r="AH68" s="1">
        <f>220740*(1)</f>
        <v>220740</v>
      </c>
      <c r="AI68" s="1" t="s">
        <v>83</v>
      </c>
      <c r="AJ68" s="1">
        <f>220740*(1)</f>
        <v>220740</v>
      </c>
      <c r="AK68" s="1" t="s">
        <v>84</v>
      </c>
      <c r="AL68" s="1">
        <f>74852*(1)</f>
        <v>74852</v>
      </c>
      <c r="AM68" s="1" t="s">
        <v>83</v>
      </c>
      <c r="AN68" s="1">
        <f>74852*(1)</f>
        <v>74852</v>
      </c>
      <c r="AO68" s="1" t="s">
        <v>84</v>
      </c>
      <c r="AP68" s="1">
        <f>161064*(1)</f>
        <v>161064</v>
      </c>
      <c r="AQ68" s="1" t="s">
        <v>83</v>
      </c>
      <c r="AR68" s="1">
        <f>161064*(1)</f>
        <v>161064</v>
      </c>
      <c r="AS68" s="1" t="s">
        <v>84</v>
      </c>
      <c r="AT68" s="1">
        <f>1321414*(1)</f>
        <v>1321414</v>
      </c>
      <c r="AU68" s="1" t="s">
        <v>83</v>
      </c>
      <c r="AV68" s="1">
        <f>1321414*(1)</f>
        <v>1321414</v>
      </c>
      <c r="AW68" s="1" t="s">
        <v>84</v>
      </c>
      <c r="AX68" s="1">
        <f>95565*(1)</f>
        <v>95565</v>
      </c>
      <c r="AY68" s="1" t="s">
        <v>83</v>
      </c>
      <c r="AZ68" s="1">
        <f>95565*(1)</f>
        <v>95565</v>
      </c>
      <c r="BA68" s="1" t="s">
        <v>84</v>
      </c>
      <c r="BB68" s="1">
        <f>168412*(1)</f>
        <v>168412</v>
      </c>
      <c r="BC68" s="1" t="s">
        <v>83</v>
      </c>
      <c r="BD68" s="1">
        <f>168412*(1)</f>
        <v>168412</v>
      </c>
      <c r="BE68" s="1" t="s">
        <v>84</v>
      </c>
      <c r="BF68" s="1">
        <f>826139*(1)</f>
        <v>826139</v>
      </c>
      <c r="BG68" s="1" t="s">
        <v>83</v>
      </c>
      <c r="BH68" s="1">
        <f>826139*(1)</f>
        <v>826139</v>
      </c>
      <c r="BI68" s="1" t="s">
        <v>84</v>
      </c>
      <c r="BJ68" s="1">
        <f>74656*(1)</f>
        <v>74656</v>
      </c>
      <c r="BK68" s="1" t="s">
        <v>83</v>
      </c>
      <c r="BL68" s="1">
        <f>74656*(1)</f>
        <v>74656</v>
      </c>
      <c r="BM68" s="1" t="s">
        <v>84</v>
      </c>
      <c r="BN68" s="1">
        <f>232023*(1)</f>
        <v>232023</v>
      </c>
      <c r="BO68" s="1" t="s">
        <v>83</v>
      </c>
      <c r="BP68" s="1">
        <f>232023*(1)</f>
        <v>232023</v>
      </c>
      <c r="BQ68" s="1" t="s">
        <v>84</v>
      </c>
      <c r="BR68" s="1">
        <f>180401*(1)</f>
        <v>180401</v>
      </c>
      <c r="BS68" s="1" t="s">
        <v>83</v>
      </c>
      <c r="BT68" s="1">
        <f>180401*(1)</f>
        <v>180401</v>
      </c>
      <c r="BU68" s="1" t="s">
        <v>84</v>
      </c>
      <c r="BV68" s="1">
        <f>315595*(1)</f>
        <v>315595</v>
      </c>
      <c r="BW68" s="1" t="s">
        <v>83</v>
      </c>
      <c r="BX68" s="1">
        <f>315595*(1)</f>
        <v>315595</v>
      </c>
      <c r="BY68" s="1" t="s">
        <v>84</v>
      </c>
      <c r="BZ68" s="1">
        <f>429191*(1)</f>
        <v>429191</v>
      </c>
      <c r="CA68" s="1" t="s">
        <v>83</v>
      </c>
      <c r="CB68" s="1">
        <f>429191*(1)</f>
        <v>429191</v>
      </c>
      <c r="CC68" s="1" t="s">
        <v>84</v>
      </c>
      <c r="CD68" s="1">
        <f>226762*(1)</f>
        <v>226762</v>
      </c>
      <c r="CE68" s="1" t="s">
        <v>83</v>
      </c>
      <c r="CF68" s="1">
        <f>226762*(1)</f>
        <v>226762</v>
      </c>
      <c r="CG68" s="1" t="s">
        <v>84</v>
      </c>
      <c r="CH68" s="1">
        <f>65291*(1)</f>
        <v>65291</v>
      </c>
      <c r="CI68" s="1" t="s">
        <v>83</v>
      </c>
      <c r="CJ68" s="1">
        <f>65291*(1)</f>
        <v>65291</v>
      </c>
      <c r="CK68" s="1" t="s">
        <v>84</v>
      </c>
      <c r="CL68" s="1">
        <f>183092*(1)</f>
        <v>183092</v>
      </c>
      <c r="CM68" s="1" t="s">
        <v>83</v>
      </c>
      <c r="CN68" s="1">
        <f>183092*(1)</f>
        <v>183092</v>
      </c>
      <c r="CO68" s="1" t="s">
        <v>84</v>
      </c>
      <c r="CP68" s="1">
        <f>109264*(1)</f>
        <v>109264</v>
      </c>
      <c r="CQ68" s="1" t="s">
        <v>83</v>
      </c>
      <c r="CR68" s="1">
        <f>109264*(1)</f>
        <v>109264</v>
      </c>
      <c r="CS68" s="1" t="s">
        <v>84</v>
      </c>
      <c r="CT68" s="1">
        <f>535840*(1)</f>
        <v>535840</v>
      </c>
      <c r="CU68" s="1" t="s">
        <v>83</v>
      </c>
      <c r="CV68" s="1">
        <f>535840*(1)</f>
        <v>535840</v>
      </c>
      <c r="CW68" s="1" t="s">
        <v>84</v>
      </c>
      <c r="CX68" s="1">
        <f>86408*(1)</f>
        <v>86408</v>
      </c>
      <c r="CY68" s="1" t="s">
        <v>83</v>
      </c>
      <c r="CZ68" s="1">
        <f>86408*(1)</f>
        <v>86408</v>
      </c>
      <c r="DA68" s="1" t="s">
        <v>84</v>
      </c>
      <c r="DB68" s="1">
        <f>162382*(1)</f>
        <v>162382</v>
      </c>
      <c r="DC68" s="1" t="s">
        <v>83</v>
      </c>
      <c r="DD68" s="1">
        <f>162382*(1)</f>
        <v>162382</v>
      </c>
      <c r="DE68" s="1" t="s">
        <v>84</v>
      </c>
      <c r="DF68" s="1">
        <f>125195*(1)</f>
        <v>125195</v>
      </c>
      <c r="DG68" s="1" t="s">
        <v>83</v>
      </c>
      <c r="DH68" s="1">
        <f>125195*(1)</f>
        <v>125195</v>
      </c>
      <c r="DI68" s="1" t="s">
        <v>84</v>
      </c>
      <c r="DJ68" s="1">
        <f>76891*(1)</f>
        <v>76891</v>
      </c>
      <c r="DK68" s="1" t="s">
        <v>83</v>
      </c>
      <c r="DL68" s="1">
        <f>76891*(1)</f>
        <v>76891</v>
      </c>
      <c r="DM68" s="1" t="s">
        <v>84</v>
      </c>
      <c r="DN68" s="1">
        <f>73346*(1)</f>
        <v>73346</v>
      </c>
      <c r="DO68" s="1" t="s">
        <v>83</v>
      </c>
      <c r="DP68" s="1">
        <f>73346*(1)</f>
        <v>73346</v>
      </c>
      <c r="DQ68" s="1" t="s">
        <v>84</v>
      </c>
      <c r="DR68" s="1">
        <f>373834*(1)</f>
        <v>373834</v>
      </c>
      <c r="DS68" s="1" t="s">
        <v>83</v>
      </c>
      <c r="DT68" s="1">
        <f>373834*(1)</f>
        <v>373834</v>
      </c>
      <c r="DU68" s="1" t="s">
        <v>84</v>
      </c>
      <c r="DV68" s="1">
        <f>537633*(1)</f>
        <v>537633</v>
      </c>
      <c r="DW68" s="1" t="s">
        <v>83</v>
      </c>
      <c r="DX68" s="1">
        <f>537633*(1)</f>
        <v>537633</v>
      </c>
      <c r="DY68" s="1" t="s">
        <v>84</v>
      </c>
      <c r="DZ68" s="1">
        <f>201335*(1)</f>
        <v>201335</v>
      </c>
      <c r="EA68" s="1" t="s">
        <v>83</v>
      </c>
      <c r="EB68" s="1">
        <f>201335*(1)</f>
        <v>201335</v>
      </c>
      <c r="EC68" s="1" t="s">
        <v>84</v>
      </c>
      <c r="ED68" s="1">
        <f>92500*(1)</f>
        <v>92500</v>
      </c>
      <c r="EE68" s="1" t="s">
        <v>83</v>
      </c>
      <c r="EF68" s="1">
        <f>92500*(1)</f>
        <v>92500</v>
      </c>
      <c r="EG68" s="1" t="s">
        <v>84</v>
      </c>
      <c r="EH68" s="1">
        <f>246553*(1)</f>
        <v>246553</v>
      </c>
      <c r="EI68" s="1" t="s">
        <v>83</v>
      </c>
      <c r="EJ68" s="1">
        <f>246553*(1)</f>
        <v>246553</v>
      </c>
      <c r="EK68" s="1" t="s">
        <v>84</v>
      </c>
      <c r="EL68" s="1">
        <f>116710*(1)</f>
        <v>116710</v>
      </c>
      <c r="EM68" s="1" t="s">
        <v>83</v>
      </c>
      <c r="EN68" s="1">
        <f>116710*(1)</f>
        <v>116710</v>
      </c>
      <c r="EO68" s="1" t="s">
        <v>84</v>
      </c>
      <c r="EP68" s="1">
        <f>132472*(1)</f>
        <v>132472</v>
      </c>
      <c r="EQ68" s="1" t="s">
        <v>83</v>
      </c>
      <c r="ER68" s="1">
        <f>132472*(1)</f>
        <v>132472</v>
      </c>
      <c r="ES68" s="1" t="s">
        <v>84</v>
      </c>
    </row>
    <row r="69" spans="1:149" x14ac:dyDescent="0.3">
      <c r="A69" s="7" t="s">
        <v>835</v>
      </c>
      <c r="B69" s="1">
        <f>87055*(1)</f>
        <v>87055</v>
      </c>
      <c r="C69" s="1" t="s">
        <v>1120</v>
      </c>
      <c r="D69" s="1">
        <f>0.856*(1)</f>
        <v>0.85599999999999998</v>
      </c>
      <c r="E69" s="1" t="s">
        <v>329</v>
      </c>
      <c r="F69" s="1">
        <f>91351*(1)</f>
        <v>91351</v>
      </c>
      <c r="G69" s="1" t="s">
        <v>1121</v>
      </c>
      <c r="H69" s="1">
        <f>0.939*(1)</f>
        <v>0.93899999999999995</v>
      </c>
      <c r="I69" s="1" t="s">
        <v>139</v>
      </c>
      <c r="J69" s="1">
        <f>62651*(1)</f>
        <v>62651</v>
      </c>
      <c r="K69" s="1" t="s">
        <v>517</v>
      </c>
      <c r="L69" s="1">
        <f>0.951*(1)</f>
        <v>0.95099999999999996</v>
      </c>
      <c r="M69" s="1" t="s">
        <v>145</v>
      </c>
      <c r="N69" s="1">
        <f>333247*(1)</f>
        <v>333247</v>
      </c>
      <c r="O69" s="1" t="s">
        <v>1122</v>
      </c>
      <c r="P69" s="1">
        <f>0.854*(1)</f>
        <v>0.85399999999999998</v>
      </c>
      <c r="Q69" s="1" t="s">
        <v>132</v>
      </c>
      <c r="R69" s="1">
        <f>122175*(1)</f>
        <v>122175</v>
      </c>
      <c r="S69" s="1" t="s">
        <v>1123</v>
      </c>
      <c r="T69" s="1">
        <f>0.901*(1)</f>
        <v>0.90100000000000002</v>
      </c>
      <c r="U69" s="1" t="s">
        <v>145</v>
      </c>
      <c r="V69" s="1">
        <f>201522*(1)</f>
        <v>201522</v>
      </c>
      <c r="W69" s="1" t="s">
        <v>1124</v>
      </c>
      <c r="X69" s="1">
        <f>0.961*(1)</f>
        <v>0.96099999999999997</v>
      </c>
      <c r="Y69" s="1" t="s">
        <v>120</v>
      </c>
      <c r="Z69" s="1">
        <f>98465*(1)</f>
        <v>98465</v>
      </c>
      <c r="AA69" s="1" t="s">
        <v>1125</v>
      </c>
      <c r="AB69" s="1">
        <f>0.972*(1)</f>
        <v>0.97199999999999998</v>
      </c>
      <c r="AC69" s="1" t="s">
        <v>141</v>
      </c>
      <c r="AD69" s="1">
        <f>801427*(1)</f>
        <v>801427</v>
      </c>
      <c r="AE69" s="1" t="s">
        <v>1126</v>
      </c>
      <c r="AF69" s="1">
        <f>0.641*(1)</f>
        <v>0.64100000000000001</v>
      </c>
      <c r="AG69" s="1" t="s">
        <v>94</v>
      </c>
      <c r="AH69" s="1">
        <f>192577*(1)</f>
        <v>192577</v>
      </c>
      <c r="AI69" s="1" t="s">
        <v>207</v>
      </c>
      <c r="AJ69" s="1">
        <f>0.872*(1)</f>
        <v>0.872</v>
      </c>
      <c r="AK69" s="1" t="s">
        <v>87</v>
      </c>
      <c r="AL69" s="1">
        <f>65575*(1)</f>
        <v>65575</v>
      </c>
      <c r="AM69" s="1" t="s">
        <v>1075</v>
      </c>
      <c r="AN69" s="1">
        <f>0.876*(1)</f>
        <v>0.876</v>
      </c>
      <c r="AO69" s="1" t="s">
        <v>153</v>
      </c>
      <c r="AP69" s="1">
        <f>143450*(1)</f>
        <v>143450</v>
      </c>
      <c r="AQ69" s="1" t="s">
        <v>1127</v>
      </c>
      <c r="AR69" s="1">
        <f>0.891*(1)</f>
        <v>0.89100000000000001</v>
      </c>
      <c r="AS69" s="1" t="s">
        <v>129</v>
      </c>
      <c r="AT69" s="1">
        <f>894800*(1)</f>
        <v>894800</v>
      </c>
      <c r="AU69" s="1" t="s">
        <v>1128</v>
      </c>
      <c r="AV69" s="1">
        <f>0.677*(1)</f>
        <v>0.67700000000000005</v>
      </c>
      <c r="AW69" s="1" t="s">
        <v>90</v>
      </c>
      <c r="AX69" s="1">
        <f>93696*(1)</f>
        <v>93696</v>
      </c>
      <c r="AY69" s="1" t="s">
        <v>840</v>
      </c>
      <c r="AZ69" s="1">
        <f>0.98*(1)</f>
        <v>0.98</v>
      </c>
      <c r="BA69" s="1" t="s">
        <v>109</v>
      </c>
      <c r="BB69" s="1">
        <f>148117*(1)</f>
        <v>148117</v>
      </c>
      <c r="BC69" s="1" t="s">
        <v>1129</v>
      </c>
      <c r="BD69" s="1">
        <f>0.879*(1)</f>
        <v>0.879</v>
      </c>
      <c r="BE69" s="1" t="s">
        <v>141</v>
      </c>
      <c r="BF69" s="1">
        <f>576370*(1)</f>
        <v>576370</v>
      </c>
      <c r="BG69" s="1" t="s">
        <v>1130</v>
      </c>
      <c r="BH69" s="1">
        <f>0.698*(1)</f>
        <v>0.69799999999999995</v>
      </c>
      <c r="BI69" s="1" t="s">
        <v>90</v>
      </c>
      <c r="BJ69" s="1">
        <f>69442*(1)</f>
        <v>69442</v>
      </c>
      <c r="BK69" s="1" t="s">
        <v>1035</v>
      </c>
      <c r="BL69" s="1">
        <f>0.93*(1)</f>
        <v>0.93</v>
      </c>
      <c r="BM69" s="1" t="s">
        <v>102</v>
      </c>
      <c r="BN69" s="1">
        <f>214259*(1)</f>
        <v>214259</v>
      </c>
      <c r="BO69" s="1" t="s">
        <v>1131</v>
      </c>
      <c r="BP69" s="1">
        <f>0.923*(1)</f>
        <v>0.92300000000000004</v>
      </c>
      <c r="BQ69" s="1" t="s">
        <v>87</v>
      </c>
      <c r="BR69" s="1">
        <f>165664*(1)</f>
        <v>165664</v>
      </c>
      <c r="BS69" s="1" t="s">
        <v>1132</v>
      </c>
      <c r="BT69" s="1">
        <f>0.918*(1)</f>
        <v>0.91800000000000004</v>
      </c>
      <c r="BU69" s="1" t="s">
        <v>109</v>
      </c>
      <c r="BV69" s="1">
        <f>275898*(1)</f>
        <v>275898</v>
      </c>
      <c r="BW69" s="1" t="s">
        <v>1133</v>
      </c>
      <c r="BX69" s="1">
        <f>0.874*(1)</f>
        <v>0.874</v>
      </c>
      <c r="BY69" s="1" t="s">
        <v>145</v>
      </c>
      <c r="BZ69" s="1">
        <f>331658*(1)</f>
        <v>331658</v>
      </c>
      <c r="CA69" s="1" t="s">
        <v>1134</v>
      </c>
      <c r="CB69" s="1">
        <f>0.773*(1)</f>
        <v>0.77300000000000002</v>
      </c>
      <c r="CC69" s="1" t="s">
        <v>129</v>
      </c>
      <c r="CD69" s="1">
        <f>185382*(1)</f>
        <v>185382</v>
      </c>
      <c r="CE69" s="1" t="s">
        <v>1135</v>
      </c>
      <c r="CF69" s="1">
        <f>0.818*(1)</f>
        <v>0.81799999999999995</v>
      </c>
      <c r="CG69" s="1" t="s">
        <v>132</v>
      </c>
      <c r="CH69" s="1">
        <f>61031*(1)</f>
        <v>61031</v>
      </c>
      <c r="CI69" s="1" t="s">
        <v>1071</v>
      </c>
      <c r="CJ69" s="1">
        <f>0.935*(1)</f>
        <v>0.93500000000000005</v>
      </c>
      <c r="CK69" s="1" t="s">
        <v>129</v>
      </c>
      <c r="CL69" s="1">
        <f>176709*(1)</f>
        <v>176709</v>
      </c>
      <c r="CM69" s="1" t="s">
        <v>1136</v>
      </c>
      <c r="CN69" s="1">
        <f>0.965*(1)</f>
        <v>0.96499999999999997</v>
      </c>
      <c r="CO69" s="1" t="s">
        <v>94</v>
      </c>
      <c r="CP69" s="1">
        <f>102956*(1)</f>
        <v>102956</v>
      </c>
      <c r="CQ69" s="1" t="s">
        <v>458</v>
      </c>
      <c r="CR69" s="1">
        <f>0.942*(1)</f>
        <v>0.94199999999999995</v>
      </c>
      <c r="CS69" s="1" t="s">
        <v>129</v>
      </c>
      <c r="CT69" s="1">
        <f>403248*(1)</f>
        <v>403248</v>
      </c>
      <c r="CU69" s="1" t="s">
        <v>1137</v>
      </c>
      <c r="CV69" s="1">
        <f>0.753*(1)</f>
        <v>0.753</v>
      </c>
      <c r="CW69" s="1" t="s">
        <v>120</v>
      </c>
      <c r="CX69" s="1">
        <f>83260*(1)</f>
        <v>83260</v>
      </c>
      <c r="CY69" s="1" t="s">
        <v>322</v>
      </c>
      <c r="CZ69" s="1">
        <f>0.964*(1)</f>
        <v>0.96399999999999997</v>
      </c>
      <c r="DA69" s="1" t="s">
        <v>109</v>
      </c>
      <c r="DB69" s="1">
        <f>151269*(1)</f>
        <v>151269</v>
      </c>
      <c r="DC69" s="1" t="s">
        <v>1138</v>
      </c>
      <c r="DD69" s="1">
        <f>0.932*(1)</f>
        <v>0.93200000000000005</v>
      </c>
      <c r="DE69" s="1" t="s">
        <v>132</v>
      </c>
      <c r="DF69" s="1">
        <f>113149*(1)</f>
        <v>113149</v>
      </c>
      <c r="DG69" s="1" t="s">
        <v>1139</v>
      </c>
      <c r="DH69" s="1">
        <f>0.904*(1)</f>
        <v>0.90400000000000003</v>
      </c>
      <c r="DI69" s="1" t="s">
        <v>144</v>
      </c>
      <c r="DJ69" s="1">
        <f>73087*(1)</f>
        <v>73087</v>
      </c>
      <c r="DK69" s="1" t="s">
        <v>375</v>
      </c>
      <c r="DL69" s="1">
        <f>0.951*(1)</f>
        <v>0.95099999999999996</v>
      </c>
      <c r="DM69" s="1" t="s">
        <v>132</v>
      </c>
      <c r="DN69" s="1">
        <f>71608*(1)</f>
        <v>71608</v>
      </c>
      <c r="DO69" s="1" t="s">
        <v>395</v>
      </c>
      <c r="DP69" s="1">
        <f>0.976*(1)</f>
        <v>0.97599999999999998</v>
      </c>
      <c r="DQ69" s="1" t="s">
        <v>94</v>
      </c>
      <c r="DR69" s="1">
        <f>342247*(1)</f>
        <v>342247</v>
      </c>
      <c r="DS69" s="1" t="s">
        <v>1140</v>
      </c>
      <c r="DT69" s="1">
        <f>0.916*(1)</f>
        <v>0.91600000000000004</v>
      </c>
      <c r="DU69" s="1" t="s">
        <v>87</v>
      </c>
      <c r="DV69" s="1">
        <f>439326*(1)</f>
        <v>439326</v>
      </c>
      <c r="DW69" s="1" t="s">
        <v>1141</v>
      </c>
      <c r="DX69" s="1">
        <f>0.817*(1)</f>
        <v>0.81699999999999995</v>
      </c>
      <c r="DY69" s="1" t="s">
        <v>109</v>
      </c>
      <c r="DZ69" s="1">
        <f>183173*(1)</f>
        <v>183173</v>
      </c>
      <c r="EA69" s="1" t="s">
        <v>1142</v>
      </c>
      <c r="EB69" s="1">
        <f>0.91*(1)</f>
        <v>0.91</v>
      </c>
      <c r="EC69" s="1" t="s">
        <v>132</v>
      </c>
      <c r="ED69" s="1">
        <f>91152*(1)</f>
        <v>91152</v>
      </c>
      <c r="EE69" s="1" t="s">
        <v>909</v>
      </c>
      <c r="EF69" s="1">
        <f>0.985*(1)</f>
        <v>0.98499999999999999</v>
      </c>
      <c r="EG69" s="1" t="s">
        <v>94</v>
      </c>
      <c r="EH69" s="1">
        <f>217222*(1)</f>
        <v>217222</v>
      </c>
      <c r="EI69" s="1" t="s">
        <v>1143</v>
      </c>
      <c r="EJ69" s="1">
        <f>0.881*(1)</f>
        <v>0.88100000000000001</v>
      </c>
      <c r="EK69" s="1" t="s">
        <v>102</v>
      </c>
      <c r="EL69" s="1">
        <f>112455*(1)</f>
        <v>112455</v>
      </c>
      <c r="EM69" s="1" t="s">
        <v>1144</v>
      </c>
      <c r="EN69" s="1">
        <f>0.964*(1)</f>
        <v>0.96399999999999997</v>
      </c>
      <c r="EO69" s="1" t="s">
        <v>120</v>
      </c>
      <c r="EP69" s="1">
        <f>123542*(1)</f>
        <v>123542</v>
      </c>
      <c r="EQ69" s="1" t="s">
        <v>1145</v>
      </c>
      <c r="ER69" s="1">
        <f>0.933*(1)</f>
        <v>0.93300000000000005</v>
      </c>
      <c r="ES69" s="1" t="s">
        <v>145</v>
      </c>
    </row>
    <row r="70" spans="1:149" x14ac:dyDescent="0.3">
      <c r="A70" s="7" t="s">
        <v>862</v>
      </c>
      <c r="B70" s="1">
        <f>13526*(1)</f>
        <v>13526</v>
      </c>
      <c r="C70" s="1" t="s">
        <v>131</v>
      </c>
      <c r="D70" s="1">
        <f>0.133*(1)</f>
        <v>0.13300000000000001</v>
      </c>
      <c r="E70" s="1" t="s">
        <v>145</v>
      </c>
      <c r="F70" s="1">
        <f>5217*(1)</f>
        <v>5217</v>
      </c>
      <c r="G70" s="1" t="s">
        <v>728</v>
      </c>
      <c r="H70" s="1">
        <f>0.054*(1)</f>
        <v>5.3999999999999999E-2</v>
      </c>
      <c r="I70" s="1" t="s">
        <v>96</v>
      </c>
      <c r="J70" s="1">
        <f>3614*(1)</f>
        <v>3614</v>
      </c>
      <c r="K70" s="1" t="s">
        <v>560</v>
      </c>
      <c r="L70" s="1">
        <f>0.055*(1)</f>
        <v>5.5E-2</v>
      </c>
      <c r="M70" s="1" t="s">
        <v>109</v>
      </c>
      <c r="N70" s="1">
        <f>37066*(1)</f>
        <v>37066</v>
      </c>
      <c r="O70" s="1" t="s">
        <v>1146</v>
      </c>
      <c r="P70" s="1">
        <f>0.095*(1)</f>
        <v>9.5000000000000001E-2</v>
      </c>
      <c r="Q70" s="1" t="s">
        <v>109</v>
      </c>
      <c r="R70" s="1">
        <f>15140*(1)</f>
        <v>15140</v>
      </c>
      <c r="S70" s="1" t="s">
        <v>1006</v>
      </c>
      <c r="T70" s="1">
        <f>0.112*(1)</f>
        <v>0.112</v>
      </c>
      <c r="U70" s="1" t="s">
        <v>90</v>
      </c>
      <c r="V70" s="1">
        <f>5743*(1)</f>
        <v>5743</v>
      </c>
      <c r="W70" s="1" t="s">
        <v>978</v>
      </c>
      <c r="X70" s="1">
        <f>0.027*(1)</f>
        <v>2.7E-2</v>
      </c>
      <c r="Y70" s="1" t="s">
        <v>99</v>
      </c>
      <c r="Z70" s="1">
        <f>2472*(1)</f>
        <v>2472</v>
      </c>
      <c r="AA70" s="1" t="s">
        <v>542</v>
      </c>
      <c r="AB70" s="1">
        <f>0.024*(1)</f>
        <v>2.4E-2</v>
      </c>
      <c r="AC70" s="1" t="s">
        <v>132</v>
      </c>
      <c r="AD70" s="1">
        <f>398120*(1)</f>
        <v>398120</v>
      </c>
      <c r="AE70" s="1" t="s">
        <v>1147</v>
      </c>
      <c r="AF70" s="1">
        <f>0.319*(1)</f>
        <v>0.31900000000000001</v>
      </c>
      <c r="AG70" s="1" t="s">
        <v>92</v>
      </c>
      <c r="AH70" s="1">
        <f>11674*(1)</f>
        <v>11674</v>
      </c>
      <c r="AI70" s="1" t="s">
        <v>1148</v>
      </c>
      <c r="AJ70" s="1">
        <f>0.053*(1)</f>
        <v>5.2999999999999999E-2</v>
      </c>
      <c r="AK70" s="1" t="s">
        <v>111</v>
      </c>
      <c r="AL70" s="1">
        <f>8504*(1)</f>
        <v>8504</v>
      </c>
      <c r="AM70" s="1" t="s">
        <v>758</v>
      </c>
      <c r="AN70" s="1">
        <f>0.114*(1)</f>
        <v>0.114</v>
      </c>
      <c r="AO70" s="1" t="s">
        <v>120</v>
      </c>
      <c r="AP70" s="1">
        <f>14164*(1)</f>
        <v>14164</v>
      </c>
      <c r="AQ70" s="1" t="s">
        <v>1149</v>
      </c>
      <c r="AR70" s="1">
        <f>0.088*(1)</f>
        <v>8.7999999999999995E-2</v>
      </c>
      <c r="AS70" s="1" t="s">
        <v>132</v>
      </c>
      <c r="AT70" s="1">
        <f>349543*(1)</f>
        <v>349543</v>
      </c>
      <c r="AU70" s="1" t="s">
        <v>1150</v>
      </c>
      <c r="AV70" s="1">
        <f>0.265*(1)</f>
        <v>0.26500000000000001</v>
      </c>
      <c r="AW70" s="1" t="s">
        <v>111</v>
      </c>
      <c r="AX70" s="1">
        <f>1274*(1)</f>
        <v>1274</v>
      </c>
      <c r="AY70" s="1" t="s">
        <v>758</v>
      </c>
      <c r="AZ70" s="1">
        <f>0.013*(1)</f>
        <v>1.2999999999999999E-2</v>
      </c>
      <c r="BA70" s="1" t="s">
        <v>90</v>
      </c>
      <c r="BB70" s="1">
        <f>15326*(1)</f>
        <v>15326</v>
      </c>
      <c r="BC70" s="1" t="s">
        <v>1151</v>
      </c>
      <c r="BD70" s="1">
        <f>0.091*(1)</f>
        <v>9.0999999999999998E-2</v>
      </c>
      <c r="BE70" s="1" t="s">
        <v>94</v>
      </c>
      <c r="BF70" s="1">
        <f>232451*(1)</f>
        <v>232451</v>
      </c>
      <c r="BG70" s="1" t="s">
        <v>1152</v>
      </c>
      <c r="BH70" s="1">
        <f>0.281*(1)</f>
        <v>0.28100000000000003</v>
      </c>
      <c r="BI70" s="1" t="s">
        <v>92</v>
      </c>
      <c r="BJ70" s="1">
        <f>1806*(1)</f>
        <v>1806</v>
      </c>
      <c r="BK70" s="1" t="s">
        <v>376</v>
      </c>
      <c r="BL70" s="1">
        <f>0.024*(1)</f>
        <v>2.4E-2</v>
      </c>
      <c r="BM70" s="1" t="s">
        <v>94</v>
      </c>
      <c r="BN70" s="1">
        <f>15628*(1)</f>
        <v>15628</v>
      </c>
      <c r="BO70" s="1" t="s">
        <v>1153</v>
      </c>
      <c r="BP70" s="1">
        <f>0.067*(1)</f>
        <v>6.7000000000000004E-2</v>
      </c>
      <c r="BQ70" s="1" t="s">
        <v>120</v>
      </c>
      <c r="BR70" s="1">
        <f>10804*(1)</f>
        <v>10804</v>
      </c>
      <c r="BS70" s="1" t="s">
        <v>417</v>
      </c>
      <c r="BT70" s="1">
        <f>0.06*(1)</f>
        <v>0.06</v>
      </c>
      <c r="BU70" s="1" t="s">
        <v>92</v>
      </c>
      <c r="BV70" s="1">
        <f>31952*(1)</f>
        <v>31952</v>
      </c>
      <c r="BW70" s="1" t="s">
        <v>1154</v>
      </c>
      <c r="BX70" s="1">
        <f>0.101*(1)</f>
        <v>0.10100000000000001</v>
      </c>
      <c r="BY70" s="1" t="s">
        <v>96</v>
      </c>
      <c r="BZ70" s="1">
        <f>88926*(1)</f>
        <v>88926</v>
      </c>
      <c r="CA70" s="1" t="s">
        <v>1155</v>
      </c>
      <c r="CB70" s="1">
        <f>0.207*(1)</f>
        <v>0.20699999999999999</v>
      </c>
      <c r="CC70" s="1" t="s">
        <v>132</v>
      </c>
      <c r="CD70" s="1">
        <f>40165*(1)</f>
        <v>40165</v>
      </c>
      <c r="CE70" s="1" t="s">
        <v>1156</v>
      </c>
      <c r="CF70" s="1">
        <f>0.177*(1)</f>
        <v>0.17699999999999999</v>
      </c>
      <c r="CG70" s="1" t="s">
        <v>94</v>
      </c>
      <c r="CH70" s="1">
        <f>4336*(1)</f>
        <v>4336</v>
      </c>
      <c r="CI70" s="1" t="s">
        <v>1157</v>
      </c>
      <c r="CJ70" s="1">
        <f>0.066*(1)</f>
        <v>6.6000000000000003E-2</v>
      </c>
      <c r="CK70" s="1" t="s">
        <v>109</v>
      </c>
      <c r="CL70" s="1">
        <f>4150*(1)</f>
        <v>4150</v>
      </c>
      <c r="CM70" s="1" t="s">
        <v>1110</v>
      </c>
      <c r="CN70" s="1">
        <f>0.023*(1)</f>
        <v>2.3E-2</v>
      </c>
      <c r="CO70" s="1" t="s">
        <v>99</v>
      </c>
      <c r="CP70" s="1">
        <f>4758*(1)</f>
        <v>4758</v>
      </c>
      <c r="CQ70" s="1" t="s">
        <v>1111</v>
      </c>
      <c r="CR70" s="1">
        <f>0.044*(1)</f>
        <v>4.3999999999999997E-2</v>
      </c>
      <c r="CS70" s="1" t="s">
        <v>96</v>
      </c>
      <c r="CT70" s="1">
        <f>124953*(1)</f>
        <v>124953</v>
      </c>
      <c r="CU70" s="1" t="s">
        <v>960</v>
      </c>
      <c r="CV70" s="1">
        <f>0.233*(1)</f>
        <v>0.23300000000000001</v>
      </c>
      <c r="CW70" s="1" t="s">
        <v>92</v>
      </c>
      <c r="CX70" s="1">
        <f>5946*(1)</f>
        <v>5946</v>
      </c>
      <c r="CY70" s="1" t="s">
        <v>1158</v>
      </c>
      <c r="CZ70" s="1">
        <f>0.069*(1)</f>
        <v>6.9000000000000006E-2</v>
      </c>
      <c r="DA70" s="1" t="s">
        <v>96</v>
      </c>
      <c r="DB70" s="1">
        <f>8797*(1)</f>
        <v>8797</v>
      </c>
      <c r="DC70" s="1" t="s">
        <v>1159</v>
      </c>
      <c r="DD70" s="1">
        <f>0.054*(1)</f>
        <v>5.3999999999999999E-2</v>
      </c>
      <c r="DE70" s="1" t="s">
        <v>90</v>
      </c>
      <c r="DF70" s="1">
        <f>11475*(1)</f>
        <v>11475</v>
      </c>
      <c r="DG70" s="1" t="s">
        <v>1160</v>
      </c>
      <c r="DH70" s="1">
        <f>0.092*(1)</f>
        <v>9.1999999999999998E-2</v>
      </c>
      <c r="DI70" s="1" t="s">
        <v>139</v>
      </c>
      <c r="DJ70" s="1">
        <f>4460*(1)</f>
        <v>4460</v>
      </c>
      <c r="DK70" s="1" t="s">
        <v>1161</v>
      </c>
      <c r="DL70" s="1">
        <f>0.058*(1)</f>
        <v>5.8000000000000003E-2</v>
      </c>
      <c r="DM70" s="1" t="s">
        <v>139</v>
      </c>
      <c r="DN70" s="1">
        <f>2763*(1)</f>
        <v>2763</v>
      </c>
      <c r="DO70" s="1" t="s">
        <v>98</v>
      </c>
      <c r="DP70" s="1">
        <f>0.038*(1)</f>
        <v>3.7999999999999999E-2</v>
      </c>
      <c r="DQ70" s="1" t="s">
        <v>120</v>
      </c>
      <c r="DR70" s="1">
        <f>38020*(1)</f>
        <v>38020</v>
      </c>
      <c r="DS70" s="1" t="s">
        <v>1162</v>
      </c>
      <c r="DT70" s="1">
        <f>0.102*(1)</f>
        <v>0.10199999999999999</v>
      </c>
      <c r="DU70" s="1" t="s">
        <v>99</v>
      </c>
      <c r="DV70" s="1">
        <f>82985*(1)</f>
        <v>82985</v>
      </c>
      <c r="DW70" s="1" t="s">
        <v>1163</v>
      </c>
      <c r="DX70" s="1">
        <f>0.154*(1)</f>
        <v>0.154</v>
      </c>
      <c r="DY70" s="1" t="s">
        <v>90</v>
      </c>
      <c r="DZ70" s="1">
        <f>21138*(1)</f>
        <v>21138</v>
      </c>
      <c r="EA70" s="1" t="s">
        <v>668</v>
      </c>
      <c r="EB70" s="1">
        <f>0.105*(1)</f>
        <v>0.105</v>
      </c>
      <c r="EC70" s="1" t="s">
        <v>96</v>
      </c>
      <c r="ED70" s="1">
        <f>1561*(1)</f>
        <v>1561</v>
      </c>
      <c r="EE70" s="1" t="s">
        <v>723</v>
      </c>
      <c r="EF70" s="1">
        <f>0.017*(1)</f>
        <v>1.7000000000000001E-2</v>
      </c>
      <c r="EG70" s="1" t="s">
        <v>111</v>
      </c>
      <c r="EH70" s="1">
        <f>11232*(1)</f>
        <v>11232</v>
      </c>
      <c r="EI70" s="1" t="s">
        <v>1113</v>
      </c>
      <c r="EJ70" s="1">
        <f>0.046*(1)</f>
        <v>4.5999999999999999E-2</v>
      </c>
      <c r="EK70" s="1" t="s">
        <v>99</v>
      </c>
      <c r="EL70" s="1">
        <f>2139*(1)</f>
        <v>2139</v>
      </c>
      <c r="EM70" s="1" t="s">
        <v>1164</v>
      </c>
      <c r="EN70" s="1">
        <f>0.018*(1)</f>
        <v>1.7999999999999999E-2</v>
      </c>
      <c r="EO70" s="1" t="s">
        <v>96</v>
      </c>
      <c r="EP70" s="1">
        <f>4386*(1)</f>
        <v>4386</v>
      </c>
      <c r="EQ70" s="1" t="s">
        <v>437</v>
      </c>
      <c r="ER70" s="1">
        <f>0.033*(1)</f>
        <v>3.3000000000000002E-2</v>
      </c>
      <c r="ES70" s="1" t="s">
        <v>132</v>
      </c>
    </row>
    <row r="71" spans="1:149" ht="28.8" x14ac:dyDescent="0.3">
      <c r="A71" s="7" t="s">
        <v>893</v>
      </c>
      <c r="B71" s="1">
        <f>3806*(1)</f>
        <v>3806</v>
      </c>
      <c r="C71" s="1" t="s">
        <v>235</v>
      </c>
      <c r="D71" s="1">
        <f>0.037*(1)</f>
        <v>3.6999999999999998E-2</v>
      </c>
      <c r="E71" s="1" t="s">
        <v>329</v>
      </c>
      <c r="F71" s="1">
        <f>901*(1)</f>
        <v>901</v>
      </c>
      <c r="G71" s="1" t="s">
        <v>1165</v>
      </c>
      <c r="H71" s="1">
        <f>0.009*(1)</f>
        <v>8.9999999999999993E-3</v>
      </c>
      <c r="I71" s="1" t="s">
        <v>92</v>
      </c>
      <c r="J71" s="1">
        <f>404*(1)</f>
        <v>404</v>
      </c>
      <c r="K71" s="1" t="s">
        <v>1166</v>
      </c>
      <c r="L71" s="1">
        <f>0.006*(1)</f>
        <v>6.0000000000000001E-3</v>
      </c>
      <c r="M71" s="1" t="s">
        <v>99</v>
      </c>
      <c r="N71" s="1">
        <f>8698*(1)</f>
        <v>8698</v>
      </c>
      <c r="O71" s="1" t="s">
        <v>1167</v>
      </c>
      <c r="P71" s="1">
        <f>0.022*(1)</f>
        <v>2.1999999999999999E-2</v>
      </c>
      <c r="Q71" s="1" t="s">
        <v>94</v>
      </c>
      <c r="R71" s="1">
        <f>2342*(1)</f>
        <v>2342</v>
      </c>
      <c r="S71" s="1" t="s">
        <v>1168</v>
      </c>
      <c r="T71" s="1">
        <f>0.017*(1)</f>
        <v>1.7000000000000001E-2</v>
      </c>
      <c r="U71" s="1" t="s">
        <v>132</v>
      </c>
      <c r="V71" s="1">
        <f>1547*(1)</f>
        <v>1547</v>
      </c>
      <c r="W71" s="1" t="s">
        <v>172</v>
      </c>
      <c r="X71" s="1">
        <f>0.007*(1)</f>
        <v>7.0000000000000001E-3</v>
      </c>
      <c r="Y71" s="1" t="s">
        <v>111</v>
      </c>
      <c r="Z71" s="1">
        <f>2978*(1)</f>
        <v>2978</v>
      </c>
      <c r="AA71" s="1" t="s">
        <v>534</v>
      </c>
      <c r="AB71" s="1">
        <f>0.029*(1)</f>
        <v>2.9000000000000001E-2</v>
      </c>
      <c r="AC71" s="1" t="s">
        <v>129</v>
      </c>
      <c r="AD71" s="1">
        <f>15112*(1)</f>
        <v>15112</v>
      </c>
      <c r="AE71" s="1" t="s">
        <v>1169</v>
      </c>
      <c r="AF71" s="1">
        <f>0.012*(1)</f>
        <v>1.2E-2</v>
      </c>
      <c r="AG71" s="1" t="s">
        <v>92</v>
      </c>
      <c r="AH71" s="1">
        <f>1788*(1)</f>
        <v>1788</v>
      </c>
      <c r="AI71" s="1" t="s">
        <v>482</v>
      </c>
      <c r="AJ71" s="1">
        <f>0.008*(1)</f>
        <v>8.0000000000000002E-3</v>
      </c>
      <c r="AK71" s="1" t="s">
        <v>111</v>
      </c>
      <c r="AL71" s="1">
        <f>663*(1)</f>
        <v>663</v>
      </c>
      <c r="AM71" s="1" t="s">
        <v>1170</v>
      </c>
      <c r="AN71" s="1">
        <f>0.009*(1)</f>
        <v>8.9999999999999993E-3</v>
      </c>
      <c r="AO71" s="1" t="s">
        <v>90</v>
      </c>
      <c r="AP71" s="1">
        <f>5235*(1)</f>
        <v>5235</v>
      </c>
      <c r="AQ71" s="1" t="s">
        <v>1171</v>
      </c>
      <c r="AR71" s="1">
        <f>0.033*(1)</f>
        <v>3.3000000000000002E-2</v>
      </c>
      <c r="AS71" s="1" t="s">
        <v>132</v>
      </c>
      <c r="AT71" s="1">
        <f>18053*(1)</f>
        <v>18053</v>
      </c>
      <c r="AU71" s="1" t="s">
        <v>847</v>
      </c>
      <c r="AV71" s="1">
        <f>0.014*(1)</f>
        <v>1.4E-2</v>
      </c>
      <c r="AW71" s="1" t="s">
        <v>111</v>
      </c>
      <c r="AX71" s="1">
        <f>1289*(1)</f>
        <v>1289</v>
      </c>
      <c r="AY71" s="1" t="s">
        <v>1172</v>
      </c>
      <c r="AZ71" s="1">
        <f>0.013*(1)</f>
        <v>1.2999999999999999E-2</v>
      </c>
      <c r="BA71" s="1" t="s">
        <v>90</v>
      </c>
      <c r="BB71" s="1">
        <f>2113*(1)</f>
        <v>2113</v>
      </c>
      <c r="BC71" s="1" t="s">
        <v>1173</v>
      </c>
      <c r="BD71" s="1">
        <f>0.013*(1)</f>
        <v>1.2999999999999999E-2</v>
      </c>
      <c r="BE71" s="1" t="s">
        <v>96</v>
      </c>
      <c r="BF71" s="1">
        <f>10318*(1)</f>
        <v>10318</v>
      </c>
      <c r="BG71" s="1" t="s">
        <v>1174</v>
      </c>
      <c r="BH71" s="1">
        <f>0.012*(1)</f>
        <v>1.2E-2</v>
      </c>
      <c r="BI71" s="1" t="s">
        <v>92</v>
      </c>
      <c r="BJ71" s="1">
        <f>832*(1)</f>
        <v>832</v>
      </c>
      <c r="BK71" s="1" t="s">
        <v>1175</v>
      </c>
      <c r="BL71" s="1">
        <f>0.011*(1)</f>
        <v>1.0999999999999999E-2</v>
      </c>
      <c r="BM71" s="1" t="s">
        <v>94</v>
      </c>
      <c r="BN71" s="1">
        <f>2568*(1)</f>
        <v>2568</v>
      </c>
      <c r="BO71" s="1" t="s">
        <v>1176</v>
      </c>
      <c r="BP71" s="1">
        <f>0.011*(1)</f>
        <v>1.0999999999999999E-2</v>
      </c>
      <c r="BQ71" s="1" t="s">
        <v>90</v>
      </c>
      <c r="BR71" s="1">
        <f>2244*(1)</f>
        <v>2244</v>
      </c>
      <c r="BS71" s="1" t="s">
        <v>369</v>
      </c>
      <c r="BT71" s="1">
        <f>0.012*(1)</f>
        <v>1.2E-2</v>
      </c>
      <c r="BU71" s="1" t="s">
        <v>96</v>
      </c>
      <c r="BV71" s="1">
        <f>5283*(1)</f>
        <v>5283</v>
      </c>
      <c r="BW71" s="1" t="s">
        <v>1177</v>
      </c>
      <c r="BX71" s="1">
        <f>0.017*(1)</f>
        <v>1.7000000000000001E-2</v>
      </c>
      <c r="BY71" s="1" t="s">
        <v>120</v>
      </c>
      <c r="BZ71" s="1">
        <f>13718*(1)</f>
        <v>13718</v>
      </c>
      <c r="CA71" s="1" t="s">
        <v>1178</v>
      </c>
      <c r="CB71" s="1">
        <f>0.032*(1)</f>
        <v>3.2000000000000001E-2</v>
      </c>
      <c r="CC71" s="1" t="s">
        <v>109</v>
      </c>
      <c r="CD71" s="1">
        <f>2445*(1)</f>
        <v>2445</v>
      </c>
      <c r="CE71" s="1" t="s">
        <v>1179</v>
      </c>
      <c r="CF71" s="1">
        <f>0.011*(1)</f>
        <v>1.0999999999999999E-2</v>
      </c>
      <c r="CG71" s="1" t="s">
        <v>92</v>
      </c>
      <c r="CH71" s="1">
        <f>1987*(1)</f>
        <v>1987</v>
      </c>
      <c r="CI71" s="1" t="s">
        <v>1180</v>
      </c>
      <c r="CJ71" s="1">
        <f>0.03*(1)</f>
        <v>0.03</v>
      </c>
      <c r="CK71" s="1" t="s">
        <v>132</v>
      </c>
      <c r="CL71" s="1">
        <f>1114*(1)</f>
        <v>1114</v>
      </c>
      <c r="CM71" s="1" t="s">
        <v>173</v>
      </c>
      <c r="CN71" s="1">
        <f>0.006*(1)</f>
        <v>6.0000000000000001E-3</v>
      </c>
      <c r="CO71" s="1" t="s">
        <v>111</v>
      </c>
      <c r="CP71" s="1">
        <f>819*(1)</f>
        <v>819</v>
      </c>
      <c r="CQ71" s="1" t="s">
        <v>173</v>
      </c>
      <c r="CR71" s="1">
        <f>0.007*(1)</f>
        <v>7.0000000000000001E-3</v>
      </c>
      <c r="CS71" s="1" t="s">
        <v>92</v>
      </c>
      <c r="CT71" s="1">
        <f>5344*(1)</f>
        <v>5344</v>
      </c>
      <c r="CU71" s="1" t="s">
        <v>1181</v>
      </c>
      <c r="CV71" s="1">
        <f>0.01*(1)</f>
        <v>0.01</v>
      </c>
      <c r="CW71" s="1" t="s">
        <v>111</v>
      </c>
      <c r="CX71" s="1">
        <f>881*(1)</f>
        <v>881</v>
      </c>
      <c r="CY71" s="1" t="s">
        <v>380</v>
      </c>
      <c r="CZ71" s="1">
        <f>0.01*(1)</f>
        <v>0.01</v>
      </c>
      <c r="DA71" s="1" t="s">
        <v>96</v>
      </c>
      <c r="DB71" s="1">
        <f>3629*(1)</f>
        <v>3629</v>
      </c>
      <c r="DC71" s="1" t="s">
        <v>1182</v>
      </c>
      <c r="DD71" s="1">
        <f>0.022*(1)</f>
        <v>2.1999999999999999E-2</v>
      </c>
      <c r="DE71" s="1" t="s">
        <v>120</v>
      </c>
      <c r="DF71" s="1">
        <f>4517*(1)</f>
        <v>4517</v>
      </c>
      <c r="DG71" s="1" t="s">
        <v>1183</v>
      </c>
      <c r="DH71" s="1">
        <f>0.036*(1)</f>
        <v>3.5999999999999997E-2</v>
      </c>
      <c r="DI71" s="1" t="s">
        <v>129</v>
      </c>
      <c r="DJ71" s="1">
        <f>2381*(1)</f>
        <v>2381</v>
      </c>
      <c r="DK71" s="1" t="s">
        <v>1184</v>
      </c>
      <c r="DL71" s="1">
        <f>0.031*(1)</f>
        <v>3.1E-2</v>
      </c>
      <c r="DM71" s="1" t="s">
        <v>139</v>
      </c>
      <c r="DN71" s="1">
        <f>1112*(1)</f>
        <v>1112</v>
      </c>
      <c r="DO71" s="1" t="s">
        <v>1185</v>
      </c>
      <c r="DP71" s="1">
        <f>0.015*(1)</f>
        <v>1.4999999999999999E-2</v>
      </c>
      <c r="DQ71" s="1" t="s">
        <v>92</v>
      </c>
      <c r="DR71" s="1">
        <f>5451*(1)</f>
        <v>5451</v>
      </c>
      <c r="DS71" s="1" t="s">
        <v>1186</v>
      </c>
      <c r="DT71" s="1">
        <f>0.015*(1)</f>
        <v>1.4999999999999999E-2</v>
      </c>
      <c r="DU71" s="1" t="s">
        <v>96</v>
      </c>
      <c r="DV71" s="1">
        <f>15675*(1)</f>
        <v>15675</v>
      </c>
      <c r="DW71" s="1" t="s">
        <v>1187</v>
      </c>
      <c r="DX71" s="1">
        <f>0.029*(1)</f>
        <v>2.9000000000000001E-2</v>
      </c>
      <c r="DY71" s="1" t="s">
        <v>120</v>
      </c>
      <c r="DZ71" s="1">
        <f>2091*(1)</f>
        <v>2091</v>
      </c>
      <c r="EA71" s="1" t="s">
        <v>686</v>
      </c>
      <c r="EB71" s="1">
        <f>0.01*(1)</f>
        <v>0.01</v>
      </c>
      <c r="EC71" s="1" t="s">
        <v>92</v>
      </c>
      <c r="ED71" s="1">
        <f>523*(1)</f>
        <v>523</v>
      </c>
      <c r="EE71" s="1" t="s">
        <v>723</v>
      </c>
      <c r="EF71" s="1">
        <f>0.006*(1)</f>
        <v>6.0000000000000001E-3</v>
      </c>
      <c r="EG71" s="1" t="s">
        <v>111</v>
      </c>
      <c r="EH71" s="1">
        <f>4617*(1)</f>
        <v>4617</v>
      </c>
      <c r="EI71" s="1" t="s">
        <v>1188</v>
      </c>
      <c r="EJ71" s="1">
        <f>0.019*(1)</f>
        <v>1.9E-2</v>
      </c>
      <c r="EK71" s="1" t="s">
        <v>87</v>
      </c>
      <c r="EL71" s="1">
        <f>1201*(1)</f>
        <v>1201</v>
      </c>
      <c r="EM71" s="1" t="s">
        <v>332</v>
      </c>
      <c r="EN71" s="1">
        <f>0.01*(1)</f>
        <v>0.01</v>
      </c>
      <c r="EO71" s="1" t="s">
        <v>96</v>
      </c>
      <c r="EP71" s="1">
        <f>2381*(1)</f>
        <v>2381</v>
      </c>
      <c r="EQ71" s="1" t="s">
        <v>864</v>
      </c>
      <c r="ER71" s="1">
        <f>0.018*(1)</f>
        <v>1.7999999999999999E-2</v>
      </c>
      <c r="ES71" s="1" t="s">
        <v>90</v>
      </c>
    </row>
    <row r="72" spans="1:149" x14ac:dyDescent="0.3">
      <c r="A72" s="7" t="s">
        <v>922</v>
      </c>
      <c r="B72" s="1">
        <f>1176*(1)</f>
        <v>1176</v>
      </c>
      <c r="C72" s="1" t="s">
        <v>723</v>
      </c>
      <c r="D72" s="1">
        <f>0.012*(1)</f>
        <v>1.2E-2</v>
      </c>
      <c r="E72" s="1" t="s">
        <v>111</v>
      </c>
      <c r="F72" s="1">
        <f>705*(1)</f>
        <v>705</v>
      </c>
      <c r="G72" s="1" t="s">
        <v>723</v>
      </c>
      <c r="H72" s="1">
        <f>0.007*(1)</f>
        <v>7.0000000000000001E-3</v>
      </c>
      <c r="I72" s="1" t="s">
        <v>111</v>
      </c>
      <c r="J72" s="1" t="s">
        <v>918</v>
      </c>
      <c r="K72" s="1" t="s">
        <v>918</v>
      </c>
      <c r="L72" s="1" t="s">
        <v>918</v>
      </c>
      <c r="M72" s="1" t="s">
        <v>918</v>
      </c>
      <c r="N72" s="1">
        <f>18816*(1)</f>
        <v>18816</v>
      </c>
      <c r="O72" s="1" t="s">
        <v>723</v>
      </c>
      <c r="P72" s="1">
        <f>0.048*(1)</f>
        <v>4.8000000000000001E-2</v>
      </c>
      <c r="Q72" s="1" t="s">
        <v>99</v>
      </c>
      <c r="R72" s="1">
        <f>1457*(1)</f>
        <v>1457</v>
      </c>
      <c r="S72" s="1" t="s">
        <v>723</v>
      </c>
      <c r="T72" s="1">
        <f>0.011*(1)</f>
        <v>1.0999999999999999E-2</v>
      </c>
      <c r="U72" s="1" t="s">
        <v>99</v>
      </c>
      <c r="V72" s="1">
        <f>3938*(1)</f>
        <v>3938</v>
      </c>
      <c r="W72" s="1" t="s">
        <v>707</v>
      </c>
      <c r="X72" s="1">
        <f>0.019*(1)</f>
        <v>1.9E-2</v>
      </c>
      <c r="Y72" s="1" t="s">
        <v>99</v>
      </c>
      <c r="Z72" s="1">
        <f>368*(1)</f>
        <v>368</v>
      </c>
      <c r="AA72" s="1" t="s">
        <v>760</v>
      </c>
      <c r="AB72" s="1">
        <f>0.004*(1)</f>
        <v>4.0000000000000001E-3</v>
      </c>
      <c r="AC72" s="1" t="s">
        <v>92</v>
      </c>
      <c r="AD72" s="1">
        <f>51514*(1)</f>
        <v>51514</v>
      </c>
      <c r="AE72" s="1" t="s">
        <v>1189</v>
      </c>
      <c r="AF72" s="1">
        <f>0.041*(1)</f>
        <v>4.1000000000000002E-2</v>
      </c>
      <c r="AG72" s="1" t="s">
        <v>99</v>
      </c>
      <c r="AH72" s="1">
        <f>20391*(1)</f>
        <v>20391</v>
      </c>
      <c r="AI72" s="1" t="s">
        <v>586</v>
      </c>
      <c r="AJ72" s="1">
        <f>0.092*(1)</f>
        <v>9.1999999999999998E-2</v>
      </c>
      <c r="AK72" s="1" t="s">
        <v>111</v>
      </c>
      <c r="AL72" s="1">
        <f>732*(1)</f>
        <v>732</v>
      </c>
      <c r="AM72" s="1" t="s">
        <v>723</v>
      </c>
      <c r="AN72" s="1">
        <f>0.01*(1)</f>
        <v>0.01</v>
      </c>
      <c r="AO72" s="1" t="s">
        <v>111</v>
      </c>
      <c r="AP72" s="1">
        <f>4626*(1)</f>
        <v>4626</v>
      </c>
      <c r="AQ72" s="1" t="s">
        <v>723</v>
      </c>
      <c r="AR72" s="1">
        <f>0.029*(1)</f>
        <v>2.9000000000000001E-2</v>
      </c>
      <c r="AS72" s="1" t="s">
        <v>99</v>
      </c>
      <c r="AT72" s="1">
        <f>92061*(1)</f>
        <v>92061</v>
      </c>
      <c r="AU72" s="1" t="s">
        <v>1190</v>
      </c>
      <c r="AV72" s="1">
        <f>0.07*(1)</f>
        <v>7.0000000000000007E-2</v>
      </c>
      <c r="AW72" s="1" t="s">
        <v>111</v>
      </c>
      <c r="AX72" s="1">
        <f>470*(1)</f>
        <v>470</v>
      </c>
      <c r="AY72" s="1" t="s">
        <v>1191</v>
      </c>
      <c r="AZ72" s="1">
        <f>0.005*(1)</f>
        <v>5.0000000000000001E-3</v>
      </c>
      <c r="BA72" s="1" t="s">
        <v>92</v>
      </c>
      <c r="BB72" s="1">
        <f>6891*(1)</f>
        <v>6891</v>
      </c>
      <c r="BC72" s="1" t="s">
        <v>1192</v>
      </c>
      <c r="BD72" s="1">
        <f>0.041*(1)</f>
        <v>4.1000000000000002E-2</v>
      </c>
      <c r="BE72" s="1" t="s">
        <v>99</v>
      </c>
      <c r="BF72" s="1">
        <f>28983*(1)</f>
        <v>28983</v>
      </c>
      <c r="BG72" s="1" t="s">
        <v>1193</v>
      </c>
      <c r="BH72" s="1">
        <f>0.035*(1)</f>
        <v>3.5000000000000003E-2</v>
      </c>
      <c r="BI72" s="1" t="s">
        <v>99</v>
      </c>
      <c r="BJ72" s="1">
        <f>1912*(1)</f>
        <v>1912</v>
      </c>
      <c r="BK72" s="1" t="s">
        <v>678</v>
      </c>
      <c r="BL72" s="1">
        <f>0.026*(1)</f>
        <v>2.5999999999999999E-2</v>
      </c>
      <c r="BM72" s="1" t="s">
        <v>111</v>
      </c>
      <c r="BN72" s="1">
        <f>4873*(1)</f>
        <v>4873</v>
      </c>
      <c r="BO72" s="1" t="s">
        <v>680</v>
      </c>
      <c r="BP72" s="1">
        <f>0.021*(1)</f>
        <v>2.1000000000000001E-2</v>
      </c>
      <c r="BQ72" s="1" t="s">
        <v>111</v>
      </c>
      <c r="BR72" s="1">
        <f>6628*(1)</f>
        <v>6628</v>
      </c>
      <c r="BS72" s="1" t="s">
        <v>723</v>
      </c>
      <c r="BT72" s="1">
        <f>0.037*(1)</f>
        <v>3.6999999999999998E-2</v>
      </c>
      <c r="BU72" s="1" t="s">
        <v>99</v>
      </c>
      <c r="BV72" s="1">
        <f>6132*(1)</f>
        <v>6132</v>
      </c>
      <c r="BW72" s="1" t="s">
        <v>316</v>
      </c>
      <c r="BX72" s="1">
        <f>0.019*(1)</f>
        <v>1.9E-2</v>
      </c>
      <c r="BY72" s="1" t="s">
        <v>99</v>
      </c>
      <c r="BZ72" s="1">
        <f>10049*(1)</f>
        <v>10049</v>
      </c>
      <c r="CA72" s="1" t="s">
        <v>482</v>
      </c>
      <c r="CB72" s="1">
        <f>0.023*(1)</f>
        <v>2.3E-2</v>
      </c>
      <c r="CC72" s="1" t="s">
        <v>99</v>
      </c>
      <c r="CD72" s="1">
        <f>2738*(1)</f>
        <v>2738</v>
      </c>
      <c r="CE72" s="1" t="s">
        <v>1118</v>
      </c>
      <c r="CF72" s="1">
        <f>0.012*(1)</f>
        <v>1.2E-2</v>
      </c>
      <c r="CG72" s="1" t="s">
        <v>99</v>
      </c>
      <c r="CH72" s="1">
        <f>507*(1)</f>
        <v>507</v>
      </c>
      <c r="CI72" s="1" t="s">
        <v>723</v>
      </c>
      <c r="CJ72" s="1">
        <f>0.008*(1)</f>
        <v>8.0000000000000002E-3</v>
      </c>
      <c r="CK72" s="1" t="s">
        <v>92</v>
      </c>
      <c r="CL72" s="1">
        <f>3361*(1)</f>
        <v>3361</v>
      </c>
      <c r="CM72" s="1" t="s">
        <v>496</v>
      </c>
      <c r="CN72" s="1">
        <f>0.018*(1)</f>
        <v>1.7999999999999999E-2</v>
      </c>
      <c r="CO72" s="1" t="s">
        <v>111</v>
      </c>
      <c r="CP72" s="1">
        <f>2293*(1)</f>
        <v>2293</v>
      </c>
      <c r="CQ72" s="1" t="s">
        <v>723</v>
      </c>
      <c r="CR72" s="1">
        <f>0.021*(1)</f>
        <v>2.1000000000000001E-2</v>
      </c>
      <c r="CS72" s="1" t="s">
        <v>111</v>
      </c>
      <c r="CT72" s="1">
        <f>18103*(1)</f>
        <v>18103</v>
      </c>
      <c r="CU72" s="1" t="s">
        <v>655</v>
      </c>
      <c r="CV72" s="1">
        <f>0.034*(1)</f>
        <v>3.4000000000000002E-2</v>
      </c>
      <c r="CW72" s="1" t="s">
        <v>92</v>
      </c>
      <c r="CX72" s="1" t="s">
        <v>918</v>
      </c>
      <c r="CY72" s="1" t="s">
        <v>918</v>
      </c>
      <c r="CZ72" s="1" t="s">
        <v>918</v>
      </c>
      <c r="DA72" s="1" t="s">
        <v>918</v>
      </c>
      <c r="DB72" s="1">
        <f>4175*(1)</f>
        <v>4175</v>
      </c>
      <c r="DC72" s="1" t="s">
        <v>723</v>
      </c>
      <c r="DD72" s="1">
        <f>0.026*(1)</f>
        <v>2.5999999999999999E-2</v>
      </c>
      <c r="DE72" s="1" t="s">
        <v>99</v>
      </c>
      <c r="DF72" s="1">
        <f>1580*(1)</f>
        <v>1580</v>
      </c>
      <c r="DG72" s="1" t="s">
        <v>695</v>
      </c>
      <c r="DH72" s="1">
        <f>0.013*(1)</f>
        <v>1.2999999999999999E-2</v>
      </c>
      <c r="DI72" s="1" t="s">
        <v>111</v>
      </c>
      <c r="DJ72" s="1" t="s">
        <v>918</v>
      </c>
      <c r="DK72" s="1" t="s">
        <v>918</v>
      </c>
      <c r="DL72" s="1" t="s">
        <v>918</v>
      </c>
      <c r="DM72" s="1" t="s">
        <v>918</v>
      </c>
      <c r="DN72" s="1">
        <f>481*(1)</f>
        <v>481</v>
      </c>
      <c r="DO72" s="1" t="s">
        <v>1194</v>
      </c>
      <c r="DP72" s="1">
        <f>0.007*(1)</f>
        <v>7.0000000000000001E-3</v>
      </c>
      <c r="DQ72" s="1" t="s">
        <v>90</v>
      </c>
      <c r="DR72" s="1">
        <f>5476*(1)</f>
        <v>5476</v>
      </c>
      <c r="DS72" s="1" t="s">
        <v>176</v>
      </c>
      <c r="DT72" s="1">
        <f>0.015*(1)</f>
        <v>1.4999999999999999E-2</v>
      </c>
      <c r="DU72" s="1" t="s">
        <v>99</v>
      </c>
      <c r="DV72" s="1">
        <f>26562*(1)</f>
        <v>26562</v>
      </c>
      <c r="DW72" s="1" t="s">
        <v>337</v>
      </c>
      <c r="DX72" s="1">
        <f>0.049*(1)</f>
        <v>4.9000000000000002E-2</v>
      </c>
      <c r="DY72" s="1" t="s">
        <v>111</v>
      </c>
      <c r="DZ72" s="1">
        <f>1823*(1)</f>
        <v>1823</v>
      </c>
      <c r="EA72" s="1" t="s">
        <v>1195</v>
      </c>
      <c r="EB72" s="1">
        <f>0.009*(1)</f>
        <v>8.9999999999999993E-3</v>
      </c>
      <c r="EC72" s="1" t="s">
        <v>99</v>
      </c>
      <c r="ED72" s="1">
        <f>500*(1)</f>
        <v>500</v>
      </c>
      <c r="EE72" s="1" t="s">
        <v>723</v>
      </c>
      <c r="EF72" s="1">
        <f>0.005*(1)</f>
        <v>5.0000000000000001E-3</v>
      </c>
      <c r="EG72" s="1" t="s">
        <v>111</v>
      </c>
      <c r="EH72" s="1">
        <f>16537*(1)</f>
        <v>16537</v>
      </c>
      <c r="EI72" s="1" t="s">
        <v>1196</v>
      </c>
      <c r="EJ72" s="1">
        <f>0.067*(1)</f>
        <v>6.7000000000000004E-2</v>
      </c>
      <c r="EK72" s="1" t="s">
        <v>90</v>
      </c>
      <c r="EL72" s="1">
        <f>1538*(1)</f>
        <v>1538</v>
      </c>
      <c r="EM72" s="1" t="s">
        <v>723</v>
      </c>
      <c r="EN72" s="1">
        <f>0.013*(1)</f>
        <v>1.2999999999999999E-2</v>
      </c>
      <c r="EO72" s="1" t="s">
        <v>99</v>
      </c>
      <c r="EP72" s="1">
        <f>3267*(1)</f>
        <v>3267</v>
      </c>
      <c r="EQ72" s="1" t="s">
        <v>1197</v>
      </c>
      <c r="ER72" s="1">
        <f>0.025*(1)</f>
        <v>2.5000000000000001E-2</v>
      </c>
      <c r="ES72" s="1" t="s">
        <v>99</v>
      </c>
    </row>
    <row r="73" spans="1:149" ht="28.8" x14ac:dyDescent="0.3">
      <c r="A73" s="7" t="s">
        <v>1010</v>
      </c>
      <c r="B73" s="1" t="s">
        <v>918</v>
      </c>
      <c r="C73" s="1" t="s">
        <v>918</v>
      </c>
      <c r="D73" s="1" t="s">
        <v>918</v>
      </c>
      <c r="E73" s="1" t="s">
        <v>918</v>
      </c>
      <c r="F73" s="1" t="s">
        <v>918</v>
      </c>
      <c r="G73" s="1" t="s">
        <v>918</v>
      </c>
      <c r="H73" s="1" t="s">
        <v>918</v>
      </c>
      <c r="I73" s="1" t="s">
        <v>918</v>
      </c>
      <c r="J73" s="1" t="s">
        <v>918</v>
      </c>
      <c r="K73" s="1" t="s">
        <v>918</v>
      </c>
      <c r="L73" s="1" t="s">
        <v>918</v>
      </c>
      <c r="M73" s="1" t="s">
        <v>918</v>
      </c>
      <c r="N73" s="1" t="s">
        <v>918</v>
      </c>
      <c r="O73" s="1" t="s">
        <v>918</v>
      </c>
      <c r="P73" s="1" t="s">
        <v>918</v>
      </c>
      <c r="Q73" s="1" t="s">
        <v>918</v>
      </c>
      <c r="R73" s="1" t="s">
        <v>918</v>
      </c>
      <c r="S73" s="1" t="s">
        <v>918</v>
      </c>
      <c r="T73" s="1" t="s">
        <v>918</v>
      </c>
      <c r="U73" s="1" t="s">
        <v>918</v>
      </c>
      <c r="V73" s="1" t="s">
        <v>918</v>
      </c>
      <c r="W73" s="1" t="s">
        <v>918</v>
      </c>
      <c r="X73" s="1" t="s">
        <v>918</v>
      </c>
      <c r="Y73" s="1" t="s">
        <v>918</v>
      </c>
      <c r="Z73" s="1" t="s">
        <v>918</v>
      </c>
      <c r="AA73" s="1" t="s">
        <v>918</v>
      </c>
      <c r="AB73" s="1" t="s">
        <v>918</v>
      </c>
      <c r="AC73" s="1" t="s">
        <v>918</v>
      </c>
      <c r="AD73" s="1">
        <f>4076*(1)</f>
        <v>4076</v>
      </c>
      <c r="AE73" s="1" t="s">
        <v>1198</v>
      </c>
      <c r="AF73" s="1">
        <f>0.003*(1)</f>
        <v>3.0000000000000001E-3</v>
      </c>
      <c r="AG73" s="1" t="s">
        <v>99</v>
      </c>
      <c r="AH73" s="1" t="s">
        <v>918</v>
      </c>
      <c r="AI73" s="1" t="s">
        <v>918</v>
      </c>
      <c r="AJ73" s="1" t="s">
        <v>918</v>
      </c>
      <c r="AK73" s="1" t="s">
        <v>918</v>
      </c>
      <c r="AL73" s="1" t="s">
        <v>918</v>
      </c>
      <c r="AM73" s="1" t="s">
        <v>918</v>
      </c>
      <c r="AN73" s="1" t="s">
        <v>918</v>
      </c>
      <c r="AO73" s="1" t="s">
        <v>918</v>
      </c>
      <c r="AP73" s="1" t="s">
        <v>918</v>
      </c>
      <c r="AQ73" s="1" t="s">
        <v>918</v>
      </c>
      <c r="AR73" s="1" t="s">
        <v>918</v>
      </c>
      <c r="AS73" s="1" t="s">
        <v>918</v>
      </c>
      <c r="AT73" s="1">
        <f>3722*(1)</f>
        <v>3722</v>
      </c>
      <c r="AU73" s="1" t="s">
        <v>1199</v>
      </c>
      <c r="AV73" s="1">
        <f>0.003*(1)</f>
        <v>3.0000000000000001E-3</v>
      </c>
      <c r="AW73" s="1" t="s">
        <v>99</v>
      </c>
      <c r="AX73" s="1" t="s">
        <v>918</v>
      </c>
      <c r="AY73" s="1" t="s">
        <v>918</v>
      </c>
      <c r="AZ73" s="1" t="s">
        <v>918</v>
      </c>
      <c r="BA73" s="1" t="s">
        <v>918</v>
      </c>
      <c r="BB73" s="1" t="s">
        <v>918</v>
      </c>
      <c r="BC73" s="1" t="s">
        <v>918</v>
      </c>
      <c r="BD73" s="1" t="s">
        <v>918</v>
      </c>
      <c r="BE73" s="1" t="s">
        <v>918</v>
      </c>
      <c r="BF73" s="1">
        <f>1472*(1)</f>
        <v>1472</v>
      </c>
      <c r="BG73" s="1" t="s">
        <v>672</v>
      </c>
      <c r="BH73" s="1">
        <f>0.002*(1)</f>
        <v>2E-3</v>
      </c>
      <c r="BI73" s="1" t="s">
        <v>99</v>
      </c>
      <c r="BJ73" s="1" t="s">
        <v>918</v>
      </c>
      <c r="BK73" s="1" t="s">
        <v>918</v>
      </c>
      <c r="BL73" s="1" t="s">
        <v>918</v>
      </c>
      <c r="BM73" s="1" t="s">
        <v>918</v>
      </c>
      <c r="BN73" s="1" t="s">
        <v>918</v>
      </c>
      <c r="BO73" s="1" t="s">
        <v>918</v>
      </c>
      <c r="BP73" s="1" t="s">
        <v>918</v>
      </c>
      <c r="BQ73" s="1" t="s">
        <v>918</v>
      </c>
      <c r="BR73" s="1" t="s">
        <v>918</v>
      </c>
      <c r="BS73" s="1" t="s">
        <v>918</v>
      </c>
      <c r="BT73" s="1" t="s">
        <v>918</v>
      </c>
      <c r="BU73" s="1" t="s">
        <v>918</v>
      </c>
      <c r="BV73" s="1" t="s">
        <v>918</v>
      </c>
      <c r="BW73" s="1" t="s">
        <v>918</v>
      </c>
      <c r="BX73" s="1" t="s">
        <v>918</v>
      </c>
      <c r="BY73" s="1" t="s">
        <v>918</v>
      </c>
      <c r="BZ73" s="1">
        <f>1822*(1)</f>
        <v>1822</v>
      </c>
      <c r="CA73" s="1" t="s">
        <v>1075</v>
      </c>
      <c r="CB73" s="1">
        <f>0.004*(1)</f>
        <v>4.0000000000000001E-3</v>
      </c>
      <c r="CC73" s="1" t="s">
        <v>96</v>
      </c>
      <c r="CD73" s="1" t="s">
        <v>918</v>
      </c>
      <c r="CE73" s="1" t="s">
        <v>918</v>
      </c>
      <c r="CF73" s="1" t="s">
        <v>918</v>
      </c>
      <c r="CG73" s="1" t="s">
        <v>918</v>
      </c>
      <c r="CH73" s="1" t="s">
        <v>918</v>
      </c>
      <c r="CI73" s="1" t="s">
        <v>918</v>
      </c>
      <c r="CJ73" s="1" t="s">
        <v>918</v>
      </c>
      <c r="CK73" s="1" t="s">
        <v>918</v>
      </c>
      <c r="CL73" s="1" t="s">
        <v>918</v>
      </c>
      <c r="CM73" s="1" t="s">
        <v>918</v>
      </c>
      <c r="CN73" s="1" t="s">
        <v>918</v>
      </c>
      <c r="CO73" s="1" t="s">
        <v>918</v>
      </c>
      <c r="CP73" s="1" t="s">
        <v>918</v>
      </c>
      <c r="CQ73" s="1" t="s">
        <v>918</v>
      </c>
      <c r="CR73" s="1" t="s">
        <v>918</v>
      </c>
      <c r="CS73" s="1" t="s">
        <v>918</v>
      </c>
      <c r="CT73" s="1">
        <f>2087*(1)</f>
        <v>2087</v>
      </c>
      <c r="CU73" s="1" t="s">
        <v>1085</v>
      </c>
      <c r="CV73" s="1">
        <f>0.004*(1)</f>
        <v>4.0000000000000001E-3</v>
      </c>
      <c r="CW73" s="1" t="s">
        <v>111</v>
      </c>
      <c r="CX73" s="1" t="s">
        <v>918</v>
      </c>
      <c r="CY73" s="1" t="s">
        <v>918</v>
      </c>
      <c r="CZ73" s="1" t="s">
        <v>918</v>
      </c>
      <c r="DA73" s="1" t="s">
        <v>918</v>
      </c>
      <c r="DB73" s="1" t="s">
        <v>918</v>
      </c>
      <c r="DC73" s="1" t="s">
        <v>918</v>
      </c>
      <c r="DD73" s="1" t="s">
        <v>918</v>
      </c>
      <c r="DE73" s="1" t="s">
        <v>918</v>
      </c>
      <c r="DF73" s="1" t="s">
        <v>918</v>
      </c>
      <c r="DG73" s="1" t="s">
        <v>918</v>
      </c>
      <c r="DH73" s="1" t="s">
        <v>918</v>
      </c>
      <c r="DI73" s="1" t="s">
        <v>918</v>
      </c>
      <c r="DJ73" s="1" t="s">
        <v>918</v>
      </c>
      <c r="DK73" s="1" t="s">
        <v>918</v>
      </c>
      <c r="DL73" s="1" t="s">
        <v>918</v>
      </c>
      <c r="DM73" s="1" t="s">
        <v>918</v>
      </c>
      <c r="DN73" s="1" t="s">
        <v>918</v>
      </c>
      <c r="DO73" s="1" t="s">
        <v>918</v>
      </c>
      <c r="DP73" s="1" t="s">
        <v>918</v>
      </c>
      <c r="DQ73" s="1" t="s">
        <v>918</v>
      </c>
      <c r="DR73" s="1">
        <f>536*(1)</f>
        <v>536</v>
      </c>
      <c r="DS73" s="1" t="s">
        <v>286</v>
      </c>
      <c r="DT73" s="1">
        <f>0.001*(1)</f>
        <v>1E-3</v>
      </c>
      <c r="DU73" s="1" t="s">
        <v>99</v>
      </c>
      <c r="DV73" s="1">
        <f>394*(1)</f>
        <v>394</v>
      </c>
      <c r="DW73" s="1" t="s">
        <v>703</v>
      </c>
      <c r="DX73" s="1">
        <f>0.001*(1)</f>
        <v>1E-3</v>
      </c>
      <c r="DY73" s="1" t="s">
        <v>99</v>
      </c>
      <c r="DZ73" s="1" t="s">
        <v>918</v>
      </c>
      <c r="EA73" s="1" t="s">
        <v>918</v>
      </c>
      <c r="EB73" s="1" t="s">
        <v>918</v>
      </c>
      <c r="EC73" s="1" t="s">
        <v>918</v>
      </c>
      <c r="ED73" s="1" t="s">
        <v>918</v>
      </c>
      <c r="EE73" s="1" t="s">
        <v>918</v>
      </c>
      <c r="EF73" s="1" t="s">
        <v>918</v>
      </c>
      <c r="EG73" s="1" t="s">
        <v>918</v>
      </c>
      <c r="EH73" s="1">
        <f>153*(1)</f>
        <v>153</v>
      </c>
      <c r="EI73" s="1" t="s">
        <v>1200</v>
      </c>
      <c r="EJ73" s="1">
        <f>0.001*(1)</f>
        <v>1E-3</v>
      </c>
      <c r="EK73" s="1" t="s">
        <v>99</v>
      </c>
      <c r="EL73" s="1" t="s">
        <v>918</v>
      </c>
      <c r="EM73" s="1" t="s">
        <v>918</v>
      </c>
      <c r="EN73" s="1" t="s">
        <v>918</v>
      </c>
      <c r="EO73" s="1" t="s">
        <v>918</v>
      </c>
      <c r="EP73" s="1">
        <f>242*(1)</f>
        <v>242</v>
      </c>
      <c r="EQ73" s="1" t="s">
        <v>166</v>
      </c>
      <c r="ER73" s="1">
        <f>0.002*(1)</f>
        <v>2E-3</v>
      </c>
      <c r="ES73" s="1" t="s">
        <v>111</v>
      </c>
    </row>
    <row r="74" spans="1:149" x14ac:dyDescent="0.3">
      <c r="A74" s="7" t="s">
        <v>1028</v>
      </c>
      <c r="B74" s="1">
        <f>3353*(1)</f>
        <v>3353</v>
      </c>
      <c r="C74" s="1" t="s">
        <v>300</v>
      </c>
      <c r="D74" s="1">
        <f>0.033*(1)</f>
        <v>3.3000000000000002E-2</v>
      </c>
      <c r="E74" s="1" t="s">
        <v>132</v>
      </c>
      <c r="F74" s="1">
        <f>5780*(1)</f>
        <v>5780</v>
      </c>
      <c r="G74" s="1" t="s">
        <v>1201</v>
      </c>
      <c r="H74" s="1">
        <f>0.059*(1)</f>
        <v>5.8999999999999997E-2</v>
      </c>
      <c r="I74" s="1" t="s">
        <v>138</v>
      </c>
      <c r="J74" s="1">
        <f>1189*(1)</f>
        <v>1189</v>
      </c>
      <c r="K74" s="1" t="s">
        <v>532</v>
      </c>
      <c r="L74" s="1">
        <f>0.018*(1)</f>
        <v>1.7999999999999999E-2</v>
      </c>
      <c r="M74" s="1" t="s">
        <v>132</v>
      </c>
      <c r="N74" s="1">
        <f>22206*(1)</f>
        <v>22206</v>
      </c>
      <c r="O74" s="1" t="s">
        <v>1202</v>
      </c>
      <c r="P74" s="1">
        <f>0.057*(1)</f>
        <v>5.7000000000000002E-2</v>
      </c>
      <c r="Q74" s="1" t="s">
        <v>109</v>
      </c>
      <c r="R74" s="1">
        <f>4550*(1)</f>
        <v>4550</v>
      </c>
      <c r="S74" s="1" t="s">
        <v>233</v>
      </c>
      <c r="T74" s="1">
        <f>0.034*(1)</f>
        <v>3.4000000000000002E-2</v>
      </c>
      <c r="U74" s="1" t="s">
        <v>87</v>
      </c>
      <c r="V74" s="1">
        <f>5575*(1)</f>
        <v>5575</v>
      </c>
      <c r="W74" s="1" t="s">
        <v>839</v>
      </c>
      <c r="X74" s="1">
        <f>0.027*(1)</f>
        <v>2.7E-2</v>
      </c>
      <c r="Y74" s="1" t="s">
        <v>109</v>
      </c>
      <c r="Z74" s="1">
        <f>1905*(1)</f>
        <v>1905</v>
      </c>
      <c r="AA74" s="1" t="s">
        <v>1203</v>
      </c>
      <c r="AB74" s="1">
        <f>0.019*(1)</f>
        <v>1.9E-2</v>
      </c>
      <c r="AC74" s="1" t="s">
        <v>145</v>
      </c>
      <c r="AD74" s="1">
        <f>78523*(1)</f>
        <v>78523</v>
      </c>
      <c r="AE74" s="1" t="s">
        <v>1204</v>
      </c>
      <c r="AF74" s="1">
        <f>0.063*(1)</f>
        <v>6.3E-2</v>
      </c>
      <c r="AG74" s="1" t="s">
        <v>96</v>
      </c>
      <c r="AH74" s="1">
        <f>7455*(1)</f>
        <v>7455</v>
      </c>
      <c r="AI74" s="1" t="s">
        <v>1205</v>
      </c>
      <c r="AJ74" s="1">
        <f>0.034*(1)</f>
        <v>3.4000000000000002E-2</v>
      </c>
      <c r="AK74" s="1" t="s">
        <v>90</v>
      </c>
      <c r="AL74" s="1">
        <f>6401*(1)</f>
        <v>6401</v>
      </c>
      <c r="AM74" s="1" t="s">
        <v>1206</v>
      </c>
      <c r="AN74" s="1">
        <f>0.086*(1)</f>
        <v>8.5999999999999993E-2</v>
      </c>
      <c r="AO74" s="1" t="s">
        <v>136</v>
      </c>
      <c r="AP74" s="1">
        <f>5417*(1)</f>
        <v>5417</v>
      </c>
      <c r="AQ74" s="1" t="s">
        <v>1207</v>
      </c>
      <c r="AR74" s="1">
        <f>0.034*(1)</f>
        <v>3.4000000000000002E-2</v>
      </c>
      <c r="AS74" s="1" t="s">
        <v>109</v>
      </c>
      <c r="AT74" s="1">
        <f>86100*(1)</f>
        <v>86100</v>
      </c>
      <c r="AU74" s="1" t="s">
        <v>1208</v>
      </c>
      <c r="AV74" s="1">
        <f>0.065*(1)</f>
        <v>6.5000000000000002E-2</v>
      </c>
      <c r="AW74" s="1" t="s">
        <v>96</v>
      </c>
      <c r="AX74" s="1">
        <f>4626*(1)</f>
        <v>4626</v>
      </c>
      <c r="AY74" s="1" t="s">
        <v>1209</v>
      </c>
      <c r="AZ74" s="1">
        <f>0.048*(1)</f>
        <v>4.8000000000000001E-2</v>
      </c>
      <c r="BA74" s="1" t="s">
        <v>141</v>
      </c>
      <c r="BB74" s="1">
        <f>7136*(1)</f>
        <v>7136</v>
      </c>
      <c r="BC74" s="1" t="s">
        <v>1135</v>
      </c>
      <c r="BD74" s="1">
        <f>0.042*(1)</f>
        <v>4.2000000000000003E-2</v>
      </c>
      <c r="BE74" s="1" t="s">
        <v>139</v>
      </c>
      <c r="BF74" s="1">
        <f>30684*(1)</f>
        <v>30684</v>
      </c>
      <c r="BG74" s="1" t="s">
        <v>1210</v>
      </c>
      <c r="BH74" s="1">
        <f>0.037*(1)</f>
        <v>3.6999999999999998E-2</v>
      </c>
      <c r="BI74" s="1" t="s">
        <v>96</v>
      </c>
      <c r="BJ74" s="1">
        <f>4312*(1)</f>
        <v>4312</v>
      </c>
      <c r="BK74" s="1" t="s">
        <v>1211</v>
      </c>
      <c r="BL74" s="1">
        <f>0.058*(1)</f>
        <v>5.8000000000000003E-2</v>
      </c>
      <c r="BM74" s="1" t="s">
        <v>132</v>
      </c>
      <c r="BN74" s="1">
        <f>11196*(1)</f>
        <v>11196</v>
      </c>
      <c r="BO74" s="1" t="s">
        <v>1212</v>
      </c>
      <c r="BP74" s="1">
        <f>0.048*(1)</f>
        <v>4.8000000000000001E-2</v>
      </c>
      <c r="BQ74" s="1" t="s">
        <v>109</v>
      </c>
      <c r="BR74" s="1">
        <f>4023*(1)</f>
        <v>4023</v>
      </c>
      <c r="BS74" s="1" t="s">
        <v>849</v>
      </c>
      <c r="BT74" s="1">
        <f>0.022*(1)</f>
        <v>2.1999999999999999E-2</v>
      </c>
      <c r="BU74" s="1" t="s">
        <v>87</v>
      </c>
      <c r="BV74" s="1">
        <f>32105*(1)</f>
        <v>32105</v>
      </c>
      <c r="BW74" s="1" t="s">
        <v>1213</v>
      </c>
      <c r="BX74" s="1">
        <f>0.102*(1)</f>
        <v>0.10199999999999999</v>
      </c>
      <c r="BY74" s="1" t="s">
        <v>109</v>
      </c>
      <c r="BZ74" s="1">
        <f>24042*(1)</f>
        <v>24042</v>
      </c>
      <c r="CA74" s="1" t="s">
        <v>1214</v>
      </c>
      <c r="CB74" s="1">
        <f>0.056*(1)</f>
        <v>5.6000000000000001E-2</v>
      </c>
      <c r="CC74" s="1" t="s">
        <v>90</v>
      </c>
      <c r="CD74" s="1">
        <f>14351*(1)</f>
        <v>14351</v>
      </c>
      <c r="CE74" s="1" t="s">
        <v>1215</v>
      </c>
      <c r="CF74" s="1">
        <f>0.063*(1)</f>
        <v>6.3E-2</v>
      </c>
      <c r="CG74" s="1" t="s">
        <v>90</v>
      </c>
      <c r="CH74" s="1">
        <f>1964*(1)</f>
        <v>1964</v>
      </c>
      <c r="CI74" s="1" t="s">
        <v>1216</v>
      </c>
      <c r="CJ74" s="1">
        <f>0.03*(1)</f>
        <v>0.03</v>
      </c>
      <c r="CK74" s="1" t="s">
        <v>87</v>
      </c>
      <c r="CL74" s="1">
        <f>6094*(1)</f>
        <v>6094</v>
      </c>
      <c r="CM74" s="1" t="s">
        <v>1217</v>
      </c>
      <c r="CN74" s="1">
        <f>0.033*(1)</f>
        <v>3.3000000000000002E-2</v>
      </c>
      <c r="CO74" s="1" t="s">
        <v>87</v>
      </c>
      <c r="CP74" s="1">
        <f>3228*(1)</f>
        <v>3228</v>
      </c>
      <c r="CQ74" s="1" t="s">
        <v>622</v>
      </c>
      <c r="CR74" s="1">
        <f>0.03*(1)</f>
        <v>0.03</v>
      </c>
      <c r="CS74" s="1" t="s">
        <v>132</v>
      </c>
      <c r="CT74" s="1">
        <f>19109*(1)</f>
        <v>19109</v>
      </c>
      <c r="CU74" s="1" t="s">
        <v>1218</v>
      </c>
      <c r="CV74" s="1">
        <f>0.036*(1)</f>
        <v>3.5999999999999997E-2</v>
      </c>
      <c r="CW74" s="1" t="s">
        <v>90</v>
      </c>
      <c r="CX74" s="1">
        <f>1181*(1)</f>
        <v>1181</v>
      </c>
      <c r="CY74" s="1" t="s">
        <v>783</v>
      </c>
      <c r="CZ74" s="1">
        <f>0.014*(1)</f>
        <v>1.4E-2</v>
      </c>
      <c r="DA74" s="1" t="s">
        <v>111</v>
      </c>
      <c r="DB74" s="1">
        <f>5357*(1)</f>
        <v>5357</v>
      </c>
      <c r="DC74" s="1" t="s">
        <v>1219</v>
      </c>
      <c r="DD74" s="1">
        <f>0.033*(1)</f>
        <v>3.3000000000000002E-2</v>
      </c>
      <c r="DE74" s="1" t="s">
        <v>87</v>
      </c>
      <c r="DF74" s="1">
        <f>4000*(1)</f>
        <v>4000</v>
      </c>
      <c r="DG74" s="1" t="s">
        <v>1220</v>
      </c>
      <c r="DH74" s="1">
        <f>0.032*(1)</f>
        <v>3.2000000000000001E-2</v>
      </c>
      <c r="DI74" s="1" t="s">
        <v>102</v>
      </c>
      <c r="DJ74" s="1">
        <f>1343*(1)</f>
        <v>1343</v>
      </c>
      <c r="DK74" s="1" t="s">
        <v>1221</v>
      </c>
      <c r="DL74" s="1">
        <f>0.017*(1)</f>
        <v>1.7000000000000001E-2</v>
      </c>
      <c r="DM74" s="1" t="s">
        <v>141</v>
      </c>
      <c r="DN74" s="1">
        <f>1337*(1)</f>
        <v>1337</v>
      </c>
      <c r="DO74" s="1" t="s">
        <v>1222</v>
      </c>
      <c r="DP74" s="1">
        <f>0.018*(1)</f>
        <v>1.7999999999999999E-2</v>
      </c>
      <c r="DQ74" s="1" t="s">
        <v>129</v>
      </c>
      <c r="DR74" s="1">
        <f>10370*(1)</f>
        <v>10370</v>
      </c>
      <c r="DS74" s="1" t="s">
        <v>1223</v>
      </c>
      <c r="DT74" s="1">
        <f>0.028*(1)</f>
        <v>2.8000000000000001E-2</v>
      </c>
      <c r="DU74" s="1" t="s">
        <v>90</v>
      </c>
      <c r="DV74" s="1">
        <f>19795*(1)</f>
        <v>19795</v>
      </c>
      <c r="DW74" s="1" t="s">
        <v>1224</v>
      </c>
      <c r="DX74" s="1">
        <f>0.037*(1)</f>
        <v>3.6999999999999998E-2</v>
      </c>
      <c r="DY74" s="1" t="s">
        <v>90</v>
      </c>
      <c r="DZ74" s="1">
        <f>6193*(1)</f>
        <v>6193</v>
      </c>
      <c r="EA74" s="1" t="s">
        <v>1225</v>
      </c>
      <c r="EB74" s="1">
        <f>0.031*(1)</f>
        <v>3.1E-2</v>
      </c>
      <c r="EC74" s="1" t="s">
        <v>129</v>
      </c>
      <c r="ED74" s="1">
        <f>3145*(1)</f>
        <v>3145</v>
      </c>
      <c r="EE74" s="1" t="s">
        <v>1226</v>
      </c>
      <c r="EF74" s="1">
        <f>0.034*(1)</f>
        <v>3.4000000000000002E-2</v>
      </c>
      <c r="EG74" s="1" t="s">
        <v>129</v>
      </c>
      <c r="EH74" s="1">
        <f>9080*(1)</f>
        <v>9080</v>
      </c>
      <c r="EI74" s="1" t="s">
        <v>1227</v>
      </c>
      <c r="EJ74" s="1">
        <f>0.037*(1)</f>
        <v>3.6999999999999998E-2</v>
      </c>
      <c r="EK74" s="1" t="s">
        <v>141</v>
      </c>
      <c r="EL74" s="1">
        <f>2723*(1)</f>
        <v>2723</v>
      </c>
      <c r="EM74" s="1" t="s">
        <v>861</v>
      </c>
      <c r="EN74" s="1">
        <f>0.023*(1)</f>
        <v>2.3E-2</v>
      </c>
      <c r="EO74" s="1" t="s">
        <v>87</v>
      </c>
      <c r="EP74" s="1">
        <f>7886*(1)</f>
        <v>7886</v>
      </c>
      <c r="EQ74" s="1" t="s">
        <v>1228</v>
      </c>
      <c r="ER74" s="1">
        <f>0.06*(1)</f>
        <v>0.06</v>
      </c>
      <c r="ES74" s="1" t="s">
        <v>87</v>
      </c>
    </row>
    <row r="75" spans="1:149" x14ac:dyDescent="0.3">
      <c r="A75" s="4" t="s">
        <v>1229</v>
      </c>
      <c r="B75" s="1">
        <f>0*(1)</f>
        <v>0</v>
      </c>
      <c r="C75" s="1">
        <f>0*(1)</f>
        <v>0</v>
      </c>
      <c r="D75" s="1">
        <f>0*(1)</f>
        <v>0</v>
      </c>
      <c r="E75" s="1">
        <f>0*(1)</f>
        <v>0</v>
      </c>
      <c r="F75" s="1">
        <f>0*(1)</f>
        <v>0</v>
      </c>
      <c r="G75" s="1">
        <f>0*(1)</f>
        <v>0</v>
      </c>
      <c r="H75" s="1">
        <f>0*(1)</f>
        <v>0</v>
      </c>
      <c r="I75" s="1">
        <f>0*(1)</f>
        <v>0</v>
      </c>
      <c r="J75" s="1">
        <f>0*(1)</f>
        <v>0</v>
      </c>
      <c r="K75" s="1">
        <f>0*(1)</f>
        <v>0</v>
      </c>
      <c r="L75" s="1">
        <f>0*(1)</f>
        <v>0</v>
      </c>
      <c r="M75" s="1">
        <f>0*(1)</f>
        <v>0</v>
      </c>
      <c r="N75" s="1">
        <f>0*(1)</f>
        <v>0</v>
      </c>
      <c r="O75" s="1">
        <f>0*(1)</f>
        <v>0</v>
      </c>
      <c r="P75" s="1">
        <f>0*(1)</f>
        <v>0</v>
      </c>
      <c r="Q75" s="1">
        <f>0*(1)</f>
        <v>0</v>
      </c>
      <c r="R75" s="1">
        <f>0*(1)</f>
        <v>0</v>
      </c>
      <c r="S75" s="1">
        <f>0*(1)</f>
        <v>0</v>
      </c>
      <c r="T75" s="1">
        <f>0*(1)</f>
        <v>0</v>
      </c>
      <c r="U75" s="1">
        <f>0*(1)</f>
        <v>0</v>
      </c>
      <c r="V75" s="1">
        <f>0*(1)</f>
        <v>0</v>
      </c>
      <c r="W75" s="1">
        <f>0*(1)</f>
        <v>0</v>
      </c>
      <c r="X75" s="1">
        <f>0*(1)</f>
        <v>0</v>
      </c>
      <c r="Y75" s="1">
        <f>0*(1)</f>
        <v>0</v>
      </c>
      <c r="Z75" s="1">
        <f>0*(1)</f>
        <v>0</v>
      </c>
      <c r="AA75" s="1">
        <f>0*(1)</f>
        <v>0</v>
      </c>
      <c r="AB75" s="1">
        <f>0*(1)</f>
        <v>0</v>
      </c>
      <c r="AC75" s="1">
        <f>0*(1)</f>
        <v>0</v>
      </c>
      <c r="AD75" s="1">
        <f>0*(1)</f>
        <v>0</v>
      </c>
      <c r="AE75" s="1">
        <f>0*(1)</f>
        <v>0</v>
      </c>
      <c r="AF75" s="1">
        <f>0*(1)</f>
        <v>0</v>
      </c>
      <c r="AG75" s="1">
        <f>0*(1)</f>
        <v>0</v>
      </c>
      <c r="AH75" s="1">
        <f>0*(1)</f>
        <v>0</v>
      </c>
      <c r="AI75" s="1">
        <f>0*(1)</f>
        <v>0</v>
      </c>
      <c r="AJ75" s="1">
        <f>0*(1)</f>
        <v>0</v>
      </c>
      <c r="AK75" s="1">
        <f>0*(1)</f>
        <v>0</v>
      </c>
      <c r="AL75" s="1">
        <f>0*(1)</f>
        <v>0</v>
      </c>
      <c r="AM75" s="1">
        <f>0*(1)</f>
        <v>0</v>
      </c>
      <c r="AN75" s="1">
        <f>0*(1)</f>
        <v>0</v>
      </c>
      <c r="AO75" s="1">
        <f>0*(1)</f>
        <v>0</v>
      </c>
      <c r="AP75" s="1">
        <f>0*(1)</f>
        <v>0</v>
      </c>
      <c r="AQ75" s="1">
        <f>0*(1)</f>
        <v>0</v>
      </c>
      <c r="AR75" s="1">
        <f>0*(1)</f>
        <v>0</v>
      </c>
      <c r="AS75" s="1">
        <f>0*(1)</f>
        <v>0</v>
      </c>
      <c r="AT75" s="1">
        <f>0*(1)</f>
        <v>0</v>
      </c>
      <c r="AU75" s="1">
        <f>0*(1)</f>
        <v>0</v>
      </c>
      <c r="AV75" s="1">
        <f>0*(1)</f>
        <v>0</v>
      </c>
      <c r="AW75" s="1">
        <f>0*(1)</f>
        <v>0</v>
      </c>
      <c r="AX75" s="1">
        <f>0*(1)</f>
        <v>0</v>
      </c>
      <c r="AY75" s="1">
        <f>0*(1)</f>
        <v>0</v>
      </c>
      <c r="AZ75" s="1">
        <f>0*(1)</f>
        <v>0</v>
      </c>
      <c r="BA75" s="1">
        <f>0*(1)</f>
        <v>0</v>
      </c>
      <c r="BB75" s="1">
        <f>0*(1)</f>
        <v>0</v>
      </c>
      <c r="BC75" s="1">
        <f>0*(1)</f>
        <v>0</v>
      </c>
      <c r="BD75" s="1">
        <f>0*(1)</f>
        <v>0</v>
      </c>
      <c r="BE75" s="1">
        <f>0*(1)</f>
        <v>0</v>
      </c>
      <c r="BF75" s="1">
        <f>0*(1)</f>
        <v>0</v>
      </c>
      <c r="BG75" s="1">
        <f>0*(1)</f>
        <v>0</v>
      </c>
      <c r="BH75" s="1">
        <f>0*(1)</f>
        <v>0</v>
      </c>
      <c r="BI75" s="1">
        <f>0*(1)</f>
        <v>0</v>
      </c>
      <c r="BJ75" s="1">
        <f>0*(1)</f>
        <v>0</v>
      </c>
      <c r="BK75" s="1">
        <f>0*(1)</f>
        <v>0</v>
      </c>
      <c r="BL75" s="1">
        <f>0*(1)</f>
        <v>0</v>
      </c>
      <c r="BM75" s="1">
        <f>0*(1)</f>
        <v>0</v>
      </c>
      <c r="BN75" s="1">
        <f>0*(1)</f>
        <v>0</v>
      </c>
      <c r="BO75" s="1">
        <f>0*(1)</f>
        <v>0</v>
      </c>
      <c r="BP75" s="1">
        <f>0*(1)</f>
        <v>0</v>
      </c>
      <c r="BQ75" s="1">
        <f>0*(1)</f>
        <v>0</v>
      </c>
      <c r="BR75" s="1">
        <f>0*(1)</f>
        <v>0</v>
      </c>
      <c r="BS75" s="1">
        <f>0*(1)</f>
        <v>0</v>
      </c>
      <c r="BT75" s="1">
        <f>0*(1)</f>
        <v>0</v>
      </c>
      <c r="BU75" s="1">
        <f>0*(1)</f>
        <v>0</v>
      </c>
      <c r="BV75" s="1">
        <f>0*(1)</f>
        <v>0</v>
      </c>
      <c r="BW75" s="1">
        <f>0*(1)</f>
        <v>0</v>
      </c>
      <c r="BX75" s="1">
        <f>0*(1)</f>
        <v>0</v>
      </c>
      <c r="BY75" s="1">
        <f>0*(1)</f>
        <v>0</v>
      </c>
      <c r="BZ75" s="1">
        <f>0*(1)</f>
        <v>0</v>
      </c>
      <c r="CA75" s="1">
        <f>0*(1)</f>
        <v>0</v>
      </c>
      <c r="CB75" s="1">
        <f>0*(1)</f>
        <v>0</v>
      </c>
      <c r="CC75" s="1">
        <f>0*(1)</f>
        <v>0</v>
      </c>
      <c r="CD75" s="1">
        <f>0*(1)</f>
        <v>0</v>
      </c>
      <c r="CE75" s="1">
        <f>0*(1)</f>
        <v>0</v>
      </c>
      <c r="CF75" s="1">
        <f>0*(1)</f>
        <v>0</v>
      </c>
      <c r="CG75" s="1">
        <f>0*(1)</f>
        <v>0</v>
      </c>
      <c r="CH75" s="1">
        <f>0*(1)</f>
        <v>0</v>
      </c>
      <c r="CI75" s="1">
        <f>0*(1)</f>
        <v>0</v>
      </c>
      <c r="CJ75" s="1">
        <f>0*(1)</f>
        <v>0</v>
      </c>
      <c r="CK75" s="1">
        <f>0*(1)</f>
        <v>0</v>
      </c>
      <c r="CL75" s="1">
        <f>0*(1)</f>
        <v>0</v>
      </c>
      <c r="CM75" s="1">
        <f>0*(1)</f>
        <v>0</v>
      </c>
      <c r="CN75" s="1">
        <f>0*(1)</f>
        <v>0</v>
      </c>
      <c r="CO75" s="1">
        <f>0*(1)</f>
        <v>0</v>
      </c>
      <c r="CP75" s="1">
        <f>0*(1)</f>
        <v>0</v>
      </c>
      <c r="CQ75" s="1">
        <f>0*(1)</f>
        <v>0</v>
      </c>
      <c r="CR75" s="1">
        <f>0*(1)</f>
        <v>0</v>
      </c>
      <c r="CS75" s="1">
        <f>0*(1)</f>
        <v>0</v>
      </c>
      <c r="CT75" s="1">
        <f>0*(1)</f>
        <v>0</v>
      </c>
      <c r="CU75" s="1">
        <f>0*(1)</f>
        <v>0</v>
      </c>
      <c r="CV75" s="1">
        <f>0*(1)</f>
        <v>0</v>
      </c>
      <c r="CW75" s="1">
        <f>0*(1)</f>
        <v>0</v>
      </c>
      <c r="CX75" s="1">
        <f>0*(1)</f>
        <v>0</v>
      </c>
      <c r="CY75" s="1">
        <f>0*(1)</f>
        <v>0</v>
      </c>
      <c r="CZ75" s="1">
        <f>0*(1)</f>
        <v>0</v>
      </c>
      <c r="DA75" s="1">
        <f>0*(1)</f>
        <v>0</v>
      </c>
      <c r="DB75" s="1">
        <f>0*(1)</f>
        <v>0</v>
      </c>
      <c r="DC75" s="1">
        <f>0*(1)</f>
        <v>0</v>
      </c>
      <c r="DD75" s="1">
        <f>0*(1)</f>
        <v>0</v>
      </c>
      <c r="DE75" s="1">
        <f>0*(1)</f>
        <v>0</v>
      </c>
      <c r="DF75" s="1">
        <f>0*(1)</f>
        <v>0</v>
      </c>
      <c r="DG75" s="1">
        <f>0*(1)</f>
        <v>0</v>
      </c>
      <c r="DH75" s="1">
        <f>0*(1)</f>
        <v>0</v>
      </c>
      <c r="DI75" s="1">
        <f>0*(1)</f>
        <v>0</v>
      </c>
      <c r="DJ75" s="1">
        <f>0*(1)</f>
        <v>0</v>
      </c>
      <c r="DK75" s="1">
        <f>0*(1)</f>
        <v>0</v>
      </c>
      <c r="DL75" s="1">
        <f>0*(1)</f>
        <v>0</v>
      </c>
      <c r="DM75" s="1">
        <f>0*(1)</f>
        <v>0</v>
      </c>
      <c r="DN75" s="1">
        <f>0*(1)</f>
        <v>0</v>
      </c>
      <c r="DO75" s="1">
        <f>0*(1)</f>
        <v>0</v>
      </c>
      <c r="DP75" s="1">
        <f>0*(1)</f>
        <v>0</v>
      </c>
      <c r="DQ75" s="1">
        <f>0*(1)</f>
        <v>0</v>
      </c>
      <c r="DR75" s="1">
        <f>0*(1)</f>
        <v>0</v>
      </c>
      <c r="DS75" s="1">
        <f>0*(1)</f>
        <v>0</v>
      </c>
      <c r="DT75" s="1">
        <f>0*(1)</f>
        <v>0</v>
      </c>
      <c r="DU75" s="1">
        <f>0*(1)</f>
        <v>0</v>
      </c>
      <c r="DV75" s="1">
        <f>0*(1)</f>
        <v>0</v>
      </c>
      <c r="DW75" s="1">
        <f>0*(1)</f>
        <v>0</v>
      </c>
      <c r="DX75" s="1">
        <f>0*(1)</f>
        <v>0</v>
      </c>
      <c r="DY75" s="1">
        <f>0*(1)</f>
        <v>0</v>
      </c>
      <c r="DZ75" s="1">
        <f>0*(1)</f>
        <v>0</v>
      </c>
      <c r="EA75" s="1">
        <f>0*(1)</f>
        <v>0</v>
      </c>
      <c r="EB75" s="1">
        <f>0*(1)</f>
        <v>0</v>
      </c>
      <c r="EC75" s="1">
        <f>0*(1)</f>
        <v>0</v>
      </c>
      <c r="ED75" s="1">
        <f>0*(1)</f>
        <v>0</v>
      </c>
      <c r="EE75" s="1">
        <f>0*(1)</f>
        <v>0</v>
      </c>
      <c r="EF75" s="1">
        <f>0*(1)</f>
        <v>0</v>
      </c>
      <c r="EG75" s="1">
        <f>0*(1)</f>
        <v>0</v>
      </c>
      <c r="EH75" s="1">
        <f>0*(1)</f>
        <v>0</v>
      </c>
      <c r="EI75" s="1">
        <f>0*(1)</f>
        <v>0</v>
      </c>
      <c r="EJ75" s="1">
        <f>0*(1)</f>
        <v>0</v>
      </c>
      <c r="EK75" s="1">
        <f>0*(1)</f>
        <v>0</v>
      </c>
      <c r="EL75" s="1">
        <f>0*(1)</f>
        <v>0</v>
      </c>
      <c r="EM75" s="1">
        <f>0*(1)</f>
        <v>0</v>
      </c>
      <c r="EN75" s="1">
        <f>0*(1)</f>
        <v>0</v>
      </c>
      <c r="EO75" s="1">
        <f>0*(1)</f>
        <v>0</v>
      </c>
      <c r="EP75" s="1">
        <f>0*(1)</f>
        <v>0</v>
      </c>
      <c r="EQ75" s="1">
        <f>0*(1)</f>
        <v>0</v>
      </c>
      <c r="ER75" s="1">
        <f>0*(1)</f>
        <v>0</v>
      </c>
      <c r="ES75" s="1">
        <f>0*(1)</f>
        <v>0</v>
      </c>
    </row>
    <row r="76" spans="1:149" x14ac:dyDescent="0.3">
      <c r="A76" s="6" t="s">
        <v>82</v>
      </c>
      <c r="B76" s="1">
        <f>101670*(1)</f>
        <v>101670</v>
      </c>
      <c r="C76" s="1" t="s">
        <v>83</v>
      </c>
      <c r="D76" s="1">
        <f>101670*(1)</f>
        <v>101670</v>
      </c>
      <c r="E76" s="1" t="s">
        <v>84</v>
      </c>
      <c r="F76" s="1">
        <f>97337*(1)</f>
        <v>97337</v>
      </c>
      <c r="G76" s="1" t="s">
        <v>83</v>
      </c>
      <c r="H76" s="1">
        <f>97337*(1)</f>
        <v>97337</v>
      </c>
      <c r="I76" s="1" t="s">
        <v>84</v>
      </c>
      <c r="J76" s="1">
        <f>65849*(1)</f>
        <v>65849</v>
      </c>
      <c r="K76" s="1" t="s">
        <v>83</v>
      </c>
      <c r="L76" s="1">
        <f>65849*(1)</f>
        <v>65849</v>
      </c>
      <c r="M76" s="1" t="s">
        <v>84</v>
      </c>
      <c r="N76" s="1">
        <f>390234*(1)</f>
        <v>390234</v>
      </c>
      <c r="O76" s="1" t="s">
        <v>83</v>
      </c>
      <c r="P76" s="1">
        <f>390234*(1)</f>
        <v>390234</v>
      </c>
      <c r="Q76" s="1" t="s">
        <v>84</v>
      </c>
      <c r="R76" s="1">
        <f>135633*(1)</f>
        <v>135633</v>
      </c>
      <c r="S76" s="1" t="s">
        <v>83</v>
      </c>
      <c r="T76" s="1">
        <f>135633*(1)</f>
        <v>135633</v>
      </c>
      <c r="U76" s="1" t="s">
        <v>84</v>
      </c>
      <c r="V76" s="1">
        <f>209642*(1)</f>
        <v>209642</v>
      </c>
      <c r="W76" s="1" t="s">
        <v>83</v>
      </c>
      <c r="X76" s="1">
        <f>209642*(1)</f>
        <v>209642</v>
      </c>
      <c r="Y76" s="1" t="s">
        <v>84</v>
      </c>
      <c r="Z76" s="1">
        <f>101310*(1)</f>
        <v>101310</v>
      </c>
      <c r="AA76" s="1" t="s">
        <v>83</v>
      </c>
      <c r="AB76" s="1">
        <f>101310*(1)</f>
        <v>101310</v>
      </c>
      <c r="AC76" s="1" t="s">
        <v>84</v>
      </c>
      <c r="AD76" s="1">
        <f>1249387*(1)</f>
        <v>1249387</v>
      </c>
      <c r="AE76" s="1" t="s">
        <v>83</v>
      </c>
      <c r="AF76" s="1">
        <f>1249387*(1)</f>
        <v>1249387</v>
      </c>
      <c r="AG76" s="1" t="s">
        <v>84</v>
      </c>
      <c r="AH76" s="1">
        <f>220740*(1)</f>
        <v>220740</v>
      </c>
      <c r="AI76" s="1" t="s">
        <v>83</v>
      </c>
      <c r="AJ76" s="1">
        <f>220740*(1)</f>
        <v>220740</v>
      </c>
      <c r="AK76" s="1" t="s">
        <v>84</v>
      </c>
      <c r="AL76" s="1">
        <f>74852*(1)</f>
        <v>74852</v>
      </c>
      <c r="AM76" s="1" t="s">
        <v>83</v>
      </c>
      <c r="AN76" s="1">
        <f>74852*(1)</f>
        <v>74852</v>
      </c>
      <c r="AO76" s="1" t="s">
        <v>84</v>
      </c>
      <c r="AP76" s="1">
        <f>161064*(1)</f>
        <v>161064</v>
      </c>
      <c r="AQ76" s="1" t="s">
        <v>83</v>
      </c>
      <c r="AR76" s="1">
        <f>161064*(1)</f>
        <v>161064</v>
      </c>
      <c r="AS76" s="1" t="s">
        <v>84</v>
      </c>
      <c r="AT76" s="1">
        <f>1321414*(1)</f>
        <v>1321414</v>
      </c>
      <c r="AU76" s="1" t="s">
        <v>83</v>
      </c>
      <c r="AV76" s="1">
        <f>1321414*(1)</f>
        <v>1321414</v>
      </c>
      <c r="AW76" s="1" t="s">
        <v>84</v>
      </c>
      <c r="AX76" s="1">
        <f>95565*(1)</f>
        <v>95565</v>
      </c>
      <c r="AY76" s="1" t="s">
        <v>83</v>
      </c>
      <c r="AZ76" s="1">
        <f>95565*(1)</f>
        <v>95565</v>
      </c>
      <c r="BA76" s="1" t="s">
        <v>84</v>
      </c>
      <c r="BB76" s="1">
        <f>168412*(1)</f>
        <v>168412</v>
      </c>
      <c r="BC76" s="1" t="s">
        <v>83</v>
      </c>
      <c r="BD76" s="1">
        <f>168412*(1)</f>
        <v>168412</v>
      </c>
      <c r="BE76" s="1" t="s">
        <v>84</v>
      </c>
      <c r="BF76" s="1">
        <f>826139*(1)</f>
        <v>826139</v>
      </c>
      <c r="BG76" s="1" t="s">
        <v>83</v>
      </c>
      <c r="BH76" s="1">
        <f>826139*(1)</f>
        <v>826139</v>
      </c>
      <c r="BI76" s="1" t="s">
        <v>84</v>
      </c>
      <c r="BJ76" s="1">
        <f>74656*(1)</f>
        <v>74656</v>
      </c>
      <c r="BK76" s="1" t="s">
        <v>83</v>
      </c>
      <c r="BL76" s="1">
        <f>74656*(1)</f>
        <v>74656</v>
      </c>
      <c r="BM76" s="1" t="s">
        <v>84</v>
      </c>
      <c r="BN76" s="1">
        <f>232023*(1)</f>
        <v>232023</v>
      </c>
      <c r="BO76" s="1" t="s">
        <v>83</v>
      </c>
      <c r="BP76" s="1">
        <f>232023*(1)</f>
        <v>232023</v>
      </c>
      <c r="BQ76" s="1" t="s">
        <v>84</v>
      </c>
      <c r="BR76" s="1">
        <f>180401*(1)</f>
        <v>180401</v>
      </c>
      <c r="BS76" s="1" t="s">
        <v>83</v>
      </c>
      <c r="BT76" s="1">
        <f>180401*(1)</f>
        <v>180401</v>
      </c>
      <c r="BU76" s="1" t="s">
        <v>84</v>
      </c>
      <c r="BV76" s="1">
        <f>315595*(1)</f>
        <v>315595</v>
      </c>
      <c r="BW76" s="1" t="s">
        <v>83</v>
      </c>
      <c r="BX76" s="1">
        <f>315595*(1)</f>
        <v>315595</v>
      </c>
      <c r="BY76" s="1" t="s">
        <v>84</v>
      </c>
      <c r="BZ76" s="1">
        <f>429191*(1)</f>
        <v>429191</v>
      </c>
      <c r="CA76" s="1" t="s">
        <v>83</v>
      </c>
      <c r="CB76" s="1">
        <f>429191*(1)</f>
        <v>429191</v>
      </c>
      <c r="CC76" s="1" t="s">
        <v>84</v>
      </c>
      <c r="CD76" s="1">
        <f>226762*(1)</f>
        <v>226762</v>
      </c>
      <c r="CE76" s="1" t="s">
        <v>83</v>
      </c>
      <c r="CF76" s="1">
        <f>226762*(1)</f>
        <v>226762</v>
      </c>
      <c r="CG76" s="1" t="s">
        <v>84</v>
      </c>
      <c r="CH76" s="1">
        <f>65291*(1)</f>
        <v>65291</v>
      </c>
      <c r="CI76" s="1" t="s">
        <v>83</v>
      </c>
      <c r="CJ76" s="1">
        <f>65291*(1)</f>
        <v>65291</v>
      </c>
      <c r="CK76" s="1" t="s">
        <v>84</v>
      </c>
      <c r="CL76" s="1">
        <f>183092*(1)</f>
        <v>183092</v>
      </c>
      <c r="CM76" s="1" t="s">
        <v>83</v>
      </c>
      <c r="CN76" s="1">
        <f>183092*(1)</f>
        <v>183092</v>
      </c>
      <c r="CO76" s="1" t="s">
        <v>84</v>
      </c>
      <c r="CP76" s="1">
        <f>109264*(1)</f>
        <v>109264</v>
      </c>
      <c r="CQ76" s="1" t="s">
        <v>83</v>
      </c>
      <c r="CR76" s="1">
        <f>109264*(1)</f>
        <v>109264</v>
      </c>
      <c r="CS76" s="1" t="s">
        <v>84</v>
      </c>
      <c r="CT76" s="1">
        <f>535840*(1)</f>
        <v>535840</v>
      </c>
      <c r="CU76" s="1" t="s">
        <v>83</v>
      </c>
      <c r="CV76" s="1">
        <f>535840*(1)</f>
        <v>535840</v>
      </c>
      <c r="CW76" s="1" t="s">
        <v>84</v>
      </c>
      <c r="CX76" s="1">
        <f>86408*(1)</f>
        <v>86408</v>
      </c>
      <c r="CY76" s="1" t="s">
        <v>83</v>
      </c>
      <c r="CZ76" s="1">
        <f>86408*(1)</f>
        <v>86408</v>
      </c>
      <c r="DA76" s="1" t="s">
        <v>84</v>
      </c>
      <c r="DB76" s="1">
        <f>162382*(1)</f>
        <v>162382</v>
      </c>
      <c r="DC76" s="1" t="s">
        <v>83</v>
      </c>
      <c r="DD76" s="1">
        <f>162382*(1)</f>
        <v>162382</v>
      </c>
      <c r="DE76" s="1" t="s">
        <v>84</v>
      </c>
      <c r="DF76" s="1">
        <f>125195*(1)</f>
        <v>125195</v>
      </c>
      <c r="DG76" s="1" t="s">
        <v>83</v>
      </c>
      <c r="DH76" s="1">
        <f>125195*(1)</f>
        <v>125195</v>
      </c>
      <c r="DI76" s="1" t="s">
        <v>84</v>
      </c>
      <c r="DJ76" s="1">
        <f>76891*(1)</f>
        <v>76891</v>
      </c>
      <c r="DK76" s="1" t="s">
        <v>83</v>
      </c>
      <c r="DL76" s="1">
        <f>76891*(1)</f>
        <v>76891</v>
      </c>
      <c r="DM76" s="1" t="s">
        <v>84</v>
      </c>
      <c r="DN76" s="1">
        <f>73346*(1)</f>
        <v>73346</v>
      </c>
      <c r="DO76" s="1" t="s">
        <v>83</v>
      </c>
      <c r="DP76" s="1">
        <f>73346*(1)</f>
        <v>73346</v>
      </c>
      <c r="DQ76" s="1" t="s">
        <v>84</v>
      </c>
      <c r="DR76" s="1">
        <f>373834*(1)</f>
        <v>373834</v>
      </c>
      <c r="DS76" s="1" t="s">
        <v>83</v>
      </c>
      <c r="DT76" s="1">
        <f>373834*(1)</f>
        <v>373834</v>
      </c>
      <c r="DU76" s="1" t="s">
        <v>84</v>
      </c>
      <c r="DV76" s="1">
        <f>537633*(1)</f>
        <v>537633</v>
      </c>
      <c r="DW76" s="1" t="s">
        <v>83</v>
      </c>
      <c r="DX76" s="1">
        <f>537633*(1)</f>
        <v>537633</v>
      </c>
      <c r="DY76" s="1" t="s">
        <v>84</v>
      </c>
      <c r="DZ76" s="1">
        <f>201335*(1)</f>
        <v>201335</v>
      </c>
      <c r="EA76" s="1" t="s">
        <v>83</v>
      </c>
      <c r="EB76" s="1">
        <f>201335*(1)</f>
        <v>201335</v>
      </c>
      <c r="EC76" s="1" t="s">
        <v>84</v>
      </c>
      <c r="ED76" s="1">
        <f>92500*(1)</f>
        <v>92500</v>
      </c>
      <c r="EE76" s="1" t="s">
        <v>83</v>
      </c>
      <c r="EF76" s="1">
        <f>92500*(1)</f>
        <v>92500</v>
      </c>
      <c r="EG76" s="1" t="s">
        <v>84</v>
      </c>
      <c r="EH76" s="1">
        <f>246553*(1)</f>
        <v>246553</v>
      </c>
      <c r="EI76" s="1" t="s">
        <v>83</v>
      </c>
      <c r="EJ76" s="1">
        <f>246553*(1)</f>
        <v>246553</v>
      </c>
      <c r="EK76" s="1" t="s">
        <v>84</v>
      </c>
      <c r="EL76" s="1">
        <f>116710*(1)</f>
        <v>116710</v>
      </c>
      <c r="EM76" s="1" t="s">
        <v>83</v>
      </c>
      <c r="EN76" s="1">
        <f>116710*(1)</f>
        <v>116710</v>
      </c>
      <c r="EO76" s="1" t="s">
        <v>84</v>
      </c>
      <c r="EP76" s="1">
        <f>132472*(1)</f>
        <v>132472</v>
      </c>
      <c r="EQ76" s="1" t="s">
        <v>83</v>
      </c>
      <c r="ER76" s="1">
        <f>132472*(1)</f>
        <v>132472</v>
      </c>
      <c r="ES76" s="1" t="s">
        <v>84</v>
      </c>
    </row>
    <row r="77" spans="1:149" x14ac:dyDescent="0.3">
      <c r="A77" s="7" t="s">
        <v>1230</v>
      </c>
      <c r="B77" s="1">
        <f>3764*(1)</f>
        <v>3764</v>
      </c>
      <c r="C77" s="1" t="s">
        <v>83</v>
      </c>
      <c r="D77" s="1">
        <f>0.037*(1)</f>
        <v>3.6999999999999998E-2</v>
      </c>
      <c r="E77" s="1" t="s">
        <v>83</v>
      </c>
      <c r="F77" s="1">
        <f>4703*(1)</f>
        <v>4703</v>
      </c>
      <c r="G77" s="1" t="s">
        <v>83</v>
      </c>
      <c r="H77" s="1">
        <f>0.048*(1)</f>
        <v>4.8000000000000001E-2</v>
      </c>
      <c r="I77" s="1" t="s">
        <v>83</v>
      </c>
      <c r="J77" s="1">
        <f>890*(1)</f>
        <v>890</v>
      </c>
      <c r="K77" s="1" t="s">
        <v>588</v>
      </c>
      <c r="L77" s="1">
        <f>0.014*(1)</f>
        <v>1.4E-2</v>
      </c>
      <c r="M77" s="1" t="s">
        <v>109</v>
      </c>
      <c r="N77" s="1">
        <f>20962*(1)</f>
        <v>20962</v>
      </c>
      <c r="O77" s="1" t="s">
        <v>83</v>
      </c>
      <c r="P77" s="1">
        <f>0.054*(1)</f>
        <v>5.3999999999999999E-2</v>
      </c>
      <c r="Q77" s="1" t="s">
        <v>83</v>
      </c>
      <c r="R77" s="1">
        <f>5182*(1)</f>
        <v>5182</v>
      </c>
      <c r="S77" s="1" t="s">
        <v>83</v>
      </c>
      <c r="T77" s="1">
        <f>0.038*(1)</f>
        <v>3.7999999999999999E-2</v>
      </c>
      <c r="U77" s="1" t="s">
        <v>83</v>
      </c>
      <c r="V77" s="1">
        <f>4695*(1)</f>
        <v>4695</v>
      </c>
      <c r="W77" s="1" t="s">
        <v>83</v>
      </c>
      <c r="X77" s="1">
        <f>0.022*(1)</f>
        <v>2.1999999999999999E-2</v>
      </c>
      <c r="Y77" s="1" t="s">
        <v>83</v>
      </c>
      <c r="Z77" s="1">
        <f>603*(1)</f>
        <v>603</v>
      </c>
      <c r="AA77" s="1" t="s">
        <v>280</v>
      </c>
      <c r="AB77" s="1">
        <f>0.006*(1)</f>
        <v>6.0000000000000001E-3</v>
      </c>
      <c r="AC77" s="1" t="s">
        <v>90</v>
      </c>
      <c r="AD77" s="1">
        <f>82942*(1)</f>
        <v>82942</v>
      </c>
      <c r="AE77" s="1" t="s">
        <v>83</v>
      </c>
      <c r="AF77" s="1">
        <f>0.066*(1)</f>
        <v>6.6000000000000003E-2</v>
      </c>
      <c r="AG77" s="1" t="s">
        <v>83</v>
      </c>
      <c r="AH77" s="1">
        <f>6574*(1)</f>
        <v>6574</v>
      </c>
      <c r="AI77" s="1" t="s">
        <v>83</v>
      </c>
      <c r="AJ77" s="1">
        <f>0.03*(1)</f>
        <v>0.03</v>
      </c>
      <c r="AK77" s="1" t="s">
        <v>83</v>
      </c>
      <c r="AL77" s="1">
        <f>3584*(1)</f>
        <v>3584</v>
      </c>
      <c r="AM77" s="1" t="s">
        <v>83</v>
      </c>
      <c r="AN77" s="1">
        <f>0.048*(1)</f>
        <v>4.8000000000000001E-2</v>
      </c>
      <c r="AO77" s="1" t="s">
        <v>83</v>
      </c>
      <c r="AP77" s="1">
        <f>4242*(1)</f>
        <v>4242</v>
      </c>
      <c r="AQ77" s="1" t="s">
        <v>83</v>
      </c>
      <c r="AR77" s="1">
        <f>0.026*(1)</f>
        <v>2.5999999999999999E-2</v>
      </c>
      <c r="AS77" s="1" t="s">
        <v>83</v>
      </c>
      <c r="AT77" s="1">
        <f>81732*(1)</f>
        <v>81732</v>
      </c>
      <c r="AU77" s="1" t="s">
        <v>83</v>
      </c>
      <c r="AV77" s="1">
        <f>0.062*(1)</f>
        <v>6.2E-2</v>
      </c>
      <c r="AW77" s="1" t="s">
        <v>83</v>
      </c>
      <c r="AX77" s="1">
        <f>1697*(1)</f>
        <v>1697</v>
      </c>
      <c r="AY77" s="1" t="s">
        <v>83</v>
      </c>
      <c r="AZ77" s="1">
        <f>0.018*(1)</f>
        <v>1.7999999999999999E-2</v>
      </c>
      <c r="BA77" s="1" t="s">
        <v>83</v>
      </c>
      <c r="BB77" s="1">
        <f>5431*(1)</f>
        <v>5431</v>
      </c>
      <c r="BC77" s="1" t="s">
        <v>83</v>
      </c>
      <c r="BD77" s="1">
        <f>0.032*(1)</f>
        <v>3.2000000000000001E-2</v>
      </c>
      <c r="BE77" s="1" t="s">
        <v>83</v>
      </c>
      <c r="BF77" s="1">
        <f>32145*(1)</f>
        <v>32145</v>
      </c>
      <c r="BG77" s="1" t="s">
        <v>83</v>
      </c>
      <c r="BH77" s="1">
        <f>0.039*(1)</f>
        <v>3.9E-2</v>
      </c>
      <c r="BI77" s="1" t="s">
        <v>83</v>
      </c>
      <c r="BJ77" s="1">
        <f>4637*(1)</f>
        <v>4637</v>
      </c>
      <c r="BK77" s="1" t="s">
        <v>83</v>
      </c>
      <c r="BL77" s="1">
        <f>0.062*(1)</f>
        <v>6.2E-2</v>
      </c>
      <c r="BM77" s="1" t="s">
        <v>83</v>
      </c>
      <c r="BN77" s="1">
        <f>11621*(1)</f>
        <v>11621</v>
      </c>
      <c r="BO77" s="1" t="s">
        <v>83</v>
      </c>
      <c r="BP77" s="1">
        <f>0.05*(1)</f>
        <v>0.05</v>
      </c>
      <c r="BQ77" s="1" t="s">
        <v>83</v>
      </c>
      <c r="BR77" s="1">
        <f>4179*(1)</f>
        <v>4179</v>
      </c>
      <c r="BS77" s="1" t="s">
        <v>83</v>
      </c>
      <c r="BT77" s="1">
        <f>0.023*(1)</f>
        <v>2.3E-2</v>
      </c>
      <c r="BU77" s="1" t="s">
        <v>83</v>
      </c>
      <c r="BV77" s="1">
        <f>34005*(1)</f>
        <v>34005</v>
      </c>
      <c r="BW77" s="1" t="s">
        <v>83</v>
      </c>
      <c r="BX77" s="1">
        <f>0.108*(1)</f>
        <v>0.108</v>
      </c>
      <c r="BY77" s="1" t="s">
        <v>83</v>
      </c>
      <c r="BZ77" s="1">
        <f>33592*(1)</f>
        <v>33592</v>
      </c>
      <c r="CA77" s="1" t="s">
        <v>83</v>
      </c>
      <c r="CB77" s="1">
        <f>0.078*(1)</f>
        <v>7.8E-2</v>
      </c>
      <c r="CC77" s="1" t="s">
        <v>83</v>
      </c>
      <c r="CD77" s="1">
        <f>15851*(1)</f>
        <v>15851</v>
      </c>
      <c r="CE77" s="1" t="s">
        <v>83</v>
      </c>
      <c r="CF77" s="1">
        <f>0.07*(1)</f>
        <v>7.0000000000000007E-2</v>
      </c>
      <c r="CG77" s="1" t="s">
        <v>83</v>
      </c>
      <c r="CH77" s="1">
        <f>2004*(1)</f>
        <v>2004</v>
      </c>
      <c r="CI77" s="1" t="s">
        <v>83</v>
      </c>
      <c r="CJ77" s="1">
        <f>0.031*(1)</f>
        <v>3.1E-2</v>
      </c>
      <c r="CK77" s="1" t="s">
        <v>83</v>
      </c>
      <c r="CL77" s="1">
        <f>4787*(1)</f>
        <v>4787</v>
      </c>
      <c r="CM77" s="1" t="s">
        <v>83</v>
      </c>
      <c r="CN77" s="1">
        <f>0.026*(1)</f>
        <v>2.5999999999999999E-2</v>
      </c>
      <c r="CO77" s="1" t="s">
        <v>83</v>
      </c>
      <c r="CP77" s="1">
        <f>2180*(1)</f>
        <v>2180</v>
      </c>
      <c r="CQ77" s="1" t="s">
        <v>83</v>
      </c>
      <c r="CR77" s="1">
        <f>0.02*(1)</f>
        <v>0.02</v>
      </c>
      <c r="CS77" s="1" t="s">
        <v>83</v>
      </c>
      <c r="CT77" s="1">
        <f>19111*(1)</f>
        <v>19111</v>
      </c>
      <c r="CU77" s="1" t="s">
        <v>83</v>
      </c>
      <c r="CV77" s="1">
        <f>0.036*(1)</f>
        <v>3.5999999999999997E-2</v>
      </c>
      <c r="CW77" s="1" t="s">
        <v>83</v>
      </c>
      <c r="CX77" s="1">
        <f>1159*(1)</f>
        <v>1159</v>
      </c>
      <c r="CY77" s="1" t="s">
        <v>83</v>
      </c>
      <c r="CZ77" s="1">
        <f>0.013*(1)</f>
        <v>1.2999999999999999E-2</v>
      </c>
      <c r="DA77" s="1" t="s">
        <v>83</v>
      </c>
      <c r="DB77" s="1">
        <f>3509*(1)</f>
        <v>3509</v>
      </c>
      <c r="DC77" s="1" t="s">
        <v>83</v>
      </c>
      <c r="DD77" s="1">
        <f>0.022*(1)</f>
        <v>2.1999999999999999E-2</v>
      </c>
      <c r="DE77" s="1" t="s">
        <v>83</v>
      </c>
      <c r="DF77" s="1">
        <f>2776*(1)</f>
        <v>2776</v>
      </c>
      <c r="DG77" s="1" t="s">
        <v>83</v>
      </c>
      <c r="DH77" s="1">
        <f>0.022*(1)</f>
        <v>2.1999999999999999E-2</v>
      </c>
      <c r="DI77" s="1" t="s">
        <v>83</v>
      </c>
      <c r="DJ77" s="1">
        <f>952*(1)</f>
        <v>952</v>
      </c>
      <c r="DK77" s="1" t="s">
        <v>1231</v>
      </c>
      <c r="DL77" s="1">
        <f>0.012*(1)</f>
        <v>1.2E-2</v>
      </c>
      <c r="DM77" s="1" t="s">
        <v>141</v>
      </c>
      <c r="DN77" s="1">
        <f>1155*(1)</f>
        <v>1155</v>
      </c>
      <c r="DO77" s="1" t="s">
        <v>83</v>
      </c>
      <c r="DP77" s="1">
        <f>0.016*(1)</f>
        <v>1.6E-2</v>
      </c>
      <c r="DQ77" s="1" t="s">
        <v>83</v>
      </c>
      <c r="DR77" s="1">
        <f>9082*(1)</f>
        <v>9082</v>
      </c>
      <c r="DS77" s="1" t="s">
        <v>83</v>
      </c>
      <c r="DT77" s="1">
        <f>0.024*(1)</f>
        <v>2.4E-2</v>
      </c>
      <c r="DU77" s="1" t="s">
        <v>83</v>
      </c>
      <c r="DV77" s="1">
        <f>13590*(1)</f>
        <v>13590</v>
      </c>
      <c r="DW77" s="1" t="s">
        <v>83</v>
      </c>
      <c r="DX77" s="1">
        <f>0.025*(1)</f>
        <v>2.5000000000000001E-2</v>
      </c>
      <c r="DY77" s="1" t="s">
        <v>83</v>
      </c>
      <c r="DZ77" s="1">
        <f>4225*(1)</f>
        <v>4225</v>
      </c>
      <c r="EA77" s="1" t="s">
        <v>83</v>
      </c>
      <c r="EB77" s="1">
        <f>0.021*(1)</f>
        <v>2.1000000000000001E-2</v>
      </c>
      <c r="EC77" s="1" t="s">
        <v>83</v>
      </c>
      <c r="ED77" s="1">
        <f>3348*(1)</f>
        <v>3348</v>
      </c>
      <c r="EE77" s="1" t="s">
        <v>83</v>
      </c>
      <c r="EF77" s="1">
        <f>0.036*(1)</f>
        <v>3.5999999999999997E-2</v>
      </c>
      <c r="EG77" s="1" t="s">
        <v>83</v>
      </c>
      <c r="EH77" s="1">
        <f>7892*(1)</f>
        <v>7892</v>
      </c>
      <c r="EI77" s="1" t="s">
        <v>83</v>
      </c>
      <c r="EJ77" s="1">
        <f>0.032*(1)</f>
        <v>3.2000000000000001E-2</v>
      </c>
      <c r="EK77" s="1" t="s">
        <v>83</v>
      </c>
      <c r="EL77" s="1">
        <f>2566*(1)</f>
        <v>2566</v>
      </c>
      <c r="EM77" s="1" t="s">
        <v>83</v>
      </c>
      <c r="EN77" s="1">
        <f>0.022*(1)</f>
        <v>2.1999999999999999E-2</v>
      </c>
      <c r="EO77" s="1" t="s">
        <v>83</v>
      </c>
      <c r="EP77" s="1">
        <f>8080*(1)</f>
        <v>8080</v>
      </c>
      <c r="EQ77" s="1" t="s">
        <v>83</v>
      </c>
      <c r="ER77" s="1">
        <f>0.061*(1)</f>
        <v>6.0999999999999999E-2</v>
      </c>
      <c r="ES77" s="1" t="s">
        <v>83</v>
      </c>
    </row>
    <row r="78" spans="1:149" x14ac:dyDescent="0.3">
      <c r="A78" s="8" t="s">
        <v>1232</v>
      </c>
      <c r="B78" s="1" t="s">
        <v>918</v>
      </c>
      <c r="C78" s="1" t="s">
        <v>918</v>
      </c>
      <c r="D78" s="1" t="s">
        <v>918</v>
      </c>
      <c r="E78" s="1" t="s">
        <v>918</v>
      </c>
      <c r="F78" s="1" t="s">
        <v>918</v>
      </c>
      <c r="G78" s="1" t="s">
        <v>918</v>
      </c>
      <c r="H78" s="1" t="s">
        <v>918</v>
      </c>
      <c r="I78" s="1" t="s">
        <v>918</v>
      </c>
      <c r="J78" s="1" t="s">
        <v>918</v>
      </c>
      <c r="K78" s="1" t="s">
        <v>918</v>
      </c>
      <c r="L78" s="1" t="s">
        <v>918</v>
      </c>
      <c r="M78" s="1" t="s">
        <v>918</v>
      </c>
      <c r="N78" s="1">
        <f>10284*(1)</f>
        <v>10284</v>
      </c>
      <c r="O78" s="1" t="s">
        <v>1233</v>
      </c>
      <c r="P78" s="1">
        <f>0.026*(1)</f>
        <v>2.5999999999999999E-2</v>
      </c>
      <c r="Q78" s="1" t="s">
        <v>120</v>
      </c>
      <c r="R78" s="1" t="s">
        <v>918</v>
      </c>
      <c r="S78" s="1" t="s">
        <v>918</v>
      </c>
      <c r="T78" s="1" t="s">
        <v>918</v>
      </c>
      <c r="U78" s="1" t="s">
        <v>918</v>
      </c>
      <c r="V78" s="1" t="s">
        <v>918</v>
      </c>
      <c r="W78" s="1" t="s">
        <v>918</v>
      </c>
      <c r="X78" s="1" t="s">
        <v>918</v>
      </c>
      <c r="Y78" s="1" t="s">
        <v>918</v>
      </c>
      <c r="Z78" s="1" t="s">
        <v>918</v>
      </c>
      <c r="AA78" s="1" t="s">
        <v>918</v>
      </c>
      <c r="AB78" s="1" t="s">
        <v>918</v>
      </c>
      <c r="AC78" s="1" t="s">
        <v>918</v>
      </c>
      <c r="AD78" s="1">
        <f>17561*(1)</f>
        <v>17561</v>
      </c>
      <c r="AE78" s="1" t="s">
        <v>1234</v>
      </c>
      <c r="AF78" s="1">
        <f>0.014*(1)</f>
        <v>1.4E-2</v>
      </c>
      <c r="AG78" s="1" t="s">
        <v>92</v>
      </c>
      <c r="AH78" s="1">
        <f>2545*(1)</f>
        <v>2545</v>
      </c>
      <c r="AI78" s="1" t="s">
        <v>300</v>
      </c>
      <c r="AJ78" s="1">
        <f>0.012*(1)</f>
        <v>1.2E-2</v>
      </c>
      <c r="AK78" s="1" t="s">
        <v>94</v>
      </c>
      <c r="AL78" s="1" t="s">
        <v>918</v>
      </c>
      <c r="AM78" s="1" t="s">
        <v>918</v>
      </c>
      <c r="AN78" s="1" t="s">
        <v>918</v>
      </c>
      <c r="AO78" s="1" t="s">
        <v>918</v>
      </c>
      <c r="AP78" s="1" t="s">
        <v>918</v>
      </c>
      <c r="AQ78" s="1" t="s">
        <v>918</v>
      </c>
      <c r="AR78" s="1" t="s">
        <v>918</v>
      </c>
      <c r="AS78" s="1" t="s">
        <v>918</v>
      </c>
      <c r="AT78" s="1">
        <f>37222*(1)</f>
        <v>37222</v>
      </c>
      <c r="AU78" s="1" t="s">
        <v>1235</v>
      </c>
      <c r="AV78" s="1">
        <f>0.028*(1)</f>
        <v>2.8000000000000001E-2</v>
      </c>
      <c r="AW78" s="1" t="s">
        <v>92</v>
      </c>
      <c r="AX78" s="1" t="s">
        <v>918</v>
      </c>
      <c r="AY78" s="1" t="s">
        <v>918</v>
      </c>
      <c r="AZ78" s="1" t="s">
        <v>918</v>
      </c>
      <c r="BA78" s="1" t="s">
        <v>918</v>
      </c>
      <c r="BB78" s="1">
        <f>2512*(1)</f>
        <v>2512</v>
      </c>
      <c r="BC78" s="1" t="s">
        <v>1236</v>
      </c>
      <c r="BD78" s="1">
        <f>0.015*(1)</f>
        <v>1.4999999999999999E-2</v>
      </c>
      <c r="BE78" s="1" t="s">
        <v>96</v>
      </c>
      <c r="BF78" s="1">
        <f>9355*(1)</f>
        <v>9355</v>
      </c>
      <c r="BG78" s="1" t="s">
        <v>1237</v>
      </c>
      <c r="BH78" s="1">
        <f>0.011*(1)</f>
        <v>1.0999999999999999E-2</v>
      </c>
      <c r="BI78" s="1" t="s">
        <v>92</v>
      </c>
      <c r="BJ78" s="1" t="s">
        <v>918</v>
      </c>
      <c r="BK78" s="1" t="s">
        <v>918</v>
      </c>
      <c r="BL78" s="1" t="s">
        <v>918</v>
      </c>
      <c r="BM78" s="1" t="s">
        <v>918</v>
      </c>
      <c r="BN78" s="1">
        <f>5139*(1)</f>
        <v>5139</v>
      </c>
      <c r="BO78" s="1" t="s">
        <v>1238</v>
      </c>
      <c r="BP78" s="1">
        <f>0.022*(1)</f>
        <v>2.1999999999999999E-2</v>
      </c>
      <c r="BQ78" s="1" t="s">
        <v>120</v>
      </c>
      <c r="BR78" s="1" t="s">
        <v>918</v>
      </c>
      <c r="BS78" s="1" t="s">
        <v>918</v>
      </c>
      <c r="BT78" s="1" t="s">
        <v>918</v>
      </c>
      <c r="BU78" s="1" t="s">
        <v>918</v>
      </c>
      <c r="BV78" s="1">
        <f>7408*(1)</f>
        <v>7408</v>
      </c>
      <c r="BW78" s="1" t="s">
        <v>1239</v>
      </c>
      <c r="BX78" s="1">
        <f>0.023*(1)</f>
        <v>2.3E-2</v>
      </c>
      <c r="BY78" s="1" t="s">
        <v>90</v>
      </c>
      <c r="BZ78" s="1">
        <f>22556*(1)</f>
        <v>22556</v>
      </c>
      <c r="CA78" s="1" t="s">
        <v>1240</v>
      </c>
      <c r="CB78" s="1">
        <f>0.053*(1)</f>
        <v>5.2999999999999999E-2</v>
      </c>
      <c r="CC78" s="1" t="s">
        <v>120</v>
      </c>
      <c r="CD78" s="1">
        <f>1751*(1)</f>
        <v>1751</v>
      </c>
      <c r="CE78" s="1" t="s">
        <v>330</v>
      </c>
      <c r="CF78" s="1">
        <f>0.008*(1)</f>
        <v>8.0000000000000002E-3</v>
      </c>
      <c r="CG78" s="1" t="s">
        <v>92</v>
      </c>
      <c r="CH78" s="1" t="s">
        <v>918</v>
      </c>
      <c r="CI78" s="1" t="s">
        <v>918</v>
      </c>
      <c r="CJ78" s="1" t="s">
        <v>918</v>
      </c>
      <c r="CK78" s="1" t="s">
        <v>918</v>
      </c>
      <c r="CL78" s="1">
        <f>1853*(1)</f>
        <v>1853</v>
      </c>
      <c r="CM78" s="1" t="s">
        <v>350</v>
      </c>
      <c r="CN78" s="1">
        <f>0.01*(1)</f>
        <v>0.01</v>
      </c>
      <c r="CO78" s="1" t="s">
        <v>96</v>
      </c>
      <c r="CP78" s="1" t="s">
        <v>918</v>
      </c>
      <c r="CQ78" s="1" t="s">
        <v>918</v>
      </c>
      <c r="CR78" s="1" t="s">
        <v>918</v>
      </c>
      <c r="CS78" s="1" t="s">
        <v>918</v>
      </c>
      <c r="CT78" s="1">
        <f>7834*(1)</f>
        <v>7834</v>
      </c>
      <c r="CU78" s="1" t="s">
        <v>1241</v>
      </c>
      <c r="CV78" s="1">
        <f>0.015*(1)</f>
        <v>1.4999999999999999E-2</v>
      </c>
      <c r="CW78" s="1" t="s">
        <v>92</v>
      </c>
      <c r="CX78" s="1" t="s">
        <v>918</v>
      </c>
      <c r="CY78" s="1" t="s">
        <v>918</v>
      </c>
      <c r="CZ78" s="1" t="s">
        <v>918</v>
      </c>
      <c r="DA78" s="1" t="s">
        <v>918</v>
      </c>
      <c r="DB78" s="1" t="s">
        <v>918</v>
      </c>
      <c r="DC78" s="1" t="s">
        <v>918</v>
      </c>
      <c r="DD78" s="1" t="s">
        <v>918</v>
      </c>
      <c r="DE78" s="1" t="s">
        <v>918</v>
      </c>
      <c r="DF78" s="1" t="s">
        <v>918</v>
      </c>
      <c r="DG78" s="1" t="s">
        <v>918</v>
      </c>
      <c r="DH78" s="1" t="s">
        <v>918</v>
      </c>
      <c r="DI78" s="1" t="s">
        <v>918</v>
      </c>
      <c r="DJ78" s="1" t="s">
        <v>918</v>
      </c>
      <c r="DK78" s="1" t="s">
        <v>918</v>
      </c>
      <c r="DL78" s="1" t="s">
        <v>918</v>
      </c>
      <c r="DM78" s="1" t="s">
        <v>918</v>
      </c>
      <c r="DN78" s="1" t="s">
        <v>918</v>
      </c>
      <c r="DO78" s="1" t="s">
        <v>918</v>
      </c>
      <c r="DP78" s="1" t="s">
        <v>918</v>
      </c>
      <c r="DQ78" s="1" t="s">
        <v>918</v>
      </c>
      <c r="DR78" s="1">
        <f>2106*(1)</f>
        <v>2106</v>
      </c>
      <c r="DS78" s="1" t="s">
        <v>1242</v>
      </c>
      <c r="DT78" s="1">
        <f>0.006*(1)</f>
        <v>6.0000000000000001E-3</v>
      </c>
      <c r="DU78" s="1" t="s">
        <v>111</v>
      </c>
      <c r="DV78" s="1">
        <f>6027*(1)</f>
        <v>6027</v>
      </c>
      <c r="DW78" s="1" t="s">
        <v>1243</v>
      </c>
      <c r="DX78" s="1">
        <f>0.011*(1)</f>
        <v>1.0999999999999999E-2</v>
      </c>
      <c r="DY78" s="1" t="s">
        <v>96</v>
      </c>
      <c r="DZ78" s="1" t="s">
        <v>918</v>
      </c>
      <c r="EA78" s="1" t="s">
        <v>918</v>
      </c>
      <c r="EB78" s="1" t="s">
        <v>918</v>
      </c>
      <c r="EC78" s="1" t="s">
        <v>918</v>
      </c>
      <c r="ED78" s="1" t="s">
        <v>918</v>
      </c>
      <c r="EE78" s="1" t="s">
        <v>918</v>
      </c>
      <c r="EF78" s="1" t="s">
        <v>918</v>
      </c>
      <c r="EG78" s="1" t="s">
        <v>918</v>
      </c>
      <c r="EH78" s="1" t="s">
        <v>918</v>
      </c>
      <c r="EI78" s="1" t="s">
        <v>918</v>
      </c>
      <c r="EJ78" s="1" t="s">
        <v>918</v>
      </c>
      <c r="EK78" s="1" t="s">
        <v>918</v>
      </c>
      <c r="EL78" s="1">
        <f>795*(1)</f>
        <v>795</v>
      </c>
      <c r="EM78" s="1" t="s">
        <v>551</v>
      </c>
      <c r="EN78" s="1">
        <f>0.007*(1)</f>
        <v>7.0000000000000001E-3</v>
      </c>
      <c r="EO78" s="1" t="s">
        <v>94</v>
      </c>
      <c r="EP78" s="1" t="s">
        <v>918</v>
      </c>
      <c r="EQ78" s="1" t="s">
        <v>918</v>
      </c>
      <c r="ER78" s="1" t="s">
        <v>918</v>
      </c>
      <c r="ES78" s="1" t="s">
        <v>918</v>
      </c>
    </row>
    <row r="79" spans="1:149" x14ac:dyDescent="0.3">
      <c r="A79" s="8" t="s">
        <v>1244</v>
      </c>
      <c r="B79" s="1" t="s">
        <v>918</v>
      </c>
      <c r="C79" s="1" t="s">
        <v>918</v>
      </c>
      <c r="D79" s="1" t="s">
        <v>918</v>
      </c>
      <c r="E79" s="1" t="s">
        <v>918</v>
      </c>
      <c r="F79" s="1" t="s">
        <v>918</v>
      </c>
      <c r="G79" s="1" t="s">
        <v>918</v>
      </c>
      <c r="H79" s="1" t="s">
        <v>918</v>
      </c>
      <c r="I79" s="1" t="s">
        <v>918</v>
      </c>
      <c r="J79" s="1" t="s">
        <v>918</v>
      </c>
      <c r="K79" s="1" t="s">
        <v>918</v>
      </c>
      <c r="L79" s="1" t="s">
        <v>918</v>
      </c>
      <c r="M79" s="1" t="s">
        <v>918</v>
      </c>
      <c r="N79" s="1">
        <f>1278*(1)</f>
        <v>1278</v>
      </c>
      <c r="O79" s="1" t="s">
        <v>359</v>
      </c>
      <c r="P79" s="1">
        <f>0.003*(1)</f>
        <v>3.0000000000000001E-3</v>
      </c>
      <c r="Q79" s="1" t="s">
        <v>111</v>
      </c>
      <c r="R79" s="1" t="s">
        <v>918</v>
      </c>
      <c r="S79" s="1" t="s">
        <v>918</v>
      </c>
      <c r="T79" s="1" t="s">
        <v>918</v>
      </c>
      <c r="U79" s="1" t="s">
        <v>918</v>
      </c>
      <c r="V79" s="1" t="s">
        <v>918</v>
      </c>
      <c r="W79" s="1" t="s">
        <v>918</v>
      </c>
      <c r="X79" s="1" t="s">
        <v>918</v>
      </c>
      <c r="Y79" s="1" t="s">
        <v>918</v>
      </c>
      <c r="Z79" s="1" t="s">
        <v>918</v>
      </c>
      <c r="AA79" s="1" t="s">
        <v>918</v>
      </c>
      <c r="AB79" s="1" t="s">
        <v>918</v>
      </c>
      <c r="AC79" s="1" t="s">
        <v>918</v>
      </c>
      <c r="AD79" s="1">
        <f>43638*(1)</f>
        <v>43638</v>
      </c>
      <c r="AE79" s="1" t="s">
        <v>1245</v>
      </c>
      <c r="AF79" s="1">
        <f>0.035*(1)</f>
        <v>3.5000000000000003E-2</v>
      </c>
      <c r="AG79" s="1" t="s">
        <v>96</v>
      </c>
      <c r="AH79" s="1">
        <f>1301*(1)</f>
        <v>1301</v>
      </c>
      <c r="AI79" s="1" t="s">
        <v>1246</v>
      </c>
      <c r="AJ79" s="1">
        <f>0.006*(1)</f>
        <v>6.0000000000000001E-3</v>
      </c>
      <c r="AK79" s="1" t="s">
        <v>96</v>
      </c>
      <c r="AL79" s="1" t="s">
        <v>918</v>
      </c>
      <c r="AM79" s="1" t="s">
        <v>918</v>
      </c>
      <c r="AN79" s="1" t="s">
        <v>918</v>
      </c>
      <c r="AO79" s="1" t="s">
        <v>918</v>
      </c>
      <c r="AP79" s="1" t="s">
        <v>918</v>
      </c>
      <c r="AQ79" s="1" t="s">
        <v>918</v>
      </c>
      <c r="AR79" s="1" t="s">
        <v>918</v>
      </c>
      <c r="AS79" s="1" t="s">
        <v>918</v>
      </c>
      <c r="AT79" s="1">
        <f>12470*(1)</f>
        <v>12470</v>
      </c>
      <c r="AU79" s="1" t="s">
        <v>1247</v>
      </c>
      <c r="AV79" s="1">
        <f>0.009*(1)</f>
        <v>8.9999999999999993E-3</v>
      </c>
      <c r="AW79" s="1" t="s">
        <v>111</v>
      </c>
      <c r="AX79" s="1" t="s">
        <v>918</v>
      </c>
      <c r="AY79" s="1" t="s">
        <v>918</v>
      </c>
      <c r="AZ79" s="1" t="s">
        <v>918</v>
      </c>
      <c r="BA79" s="1" t="s">
        <v>918</v>
      </c>
      <c r="BB79" s="1">
        <f>1497*(1)</f>
        <v>1497</v>
      </c>
      <c r="BC79" s="1" t="s">
        <v>330</v>
      </c>
      <c r="BD79" s="1">
        <f>0.009*(1)</f>
        <v>8.9999999999999993E-3</v>
      </c>
      <c r="BE79" s="1" t="s">
        <v>94</v>
      </c>
      <c r="BF79" s="1">
        <f>5412*(1)</f>
        <v>5412</v>
      </c>
      <c r="BG79" s="1" t="s">
        <v>1248</v>
      </c>
      <c r="BH79" s="1">
        <f>0.007*(1)</f>
        <v>7.0000000000000001E-3</v>
      </c>
      <c r="BI79" s="1" t="s">
        <v>92</v>
      </c>
      <c r="BJ79" s="1" t="s">
        <v>918</v>
      </c>
      <c r="BK79" s="1" t="s">
        <v>918</v>
      </c>
      <c r="BL79" s="1" t="s">
        <v>918</v>
      </c>
      <c r="BM79" s="1" t="s">
        <v>918</v>
      </c>
      <c r="BN79" s="1">
        <f>3887*(1)</f>
        <v>3887</v>
      </c>
      <c r="BO79" s="1" t="s">
        <v>1249</v>
      </c>
      <c r="BP79" s="1">
        <f>0.017*(1)</f>
        <v>1.7000000000000001E-2</v>
      </c>
      <c r="BQ79" s="1" t="s">
        <v>120</v>
      </c>
      <c r="BR79" s="1" t="s">
        <v>918</v>
      </c>
      <c r="BS79" s="1" t="s">
        <v>918</v>
      </c>
      <c r="BT79" s="1" t="s">
        <v>918</v>
      </c>
      <c r="BU79" s="1" t="s">
        <v>918</v>
      </c>
      <c r="BV79" s="1">
        <f>23715*(1)</f>
        <v>23715</v>
      </c>
      <c r="BW79" s="1" t="s">
        <v>1250</v>
      </c>
      <c r="BX79" s="1">
        <f>0.075*(1)</f>
        <v>7.4999999999999997E-2</v>
      </c>
      <c r="BY79" s="1" t="s">
        <v>120</v>
      </c>
      <c r="BZ79" s="1">
        <f>3813*(1)</f>
        <v>3813</v>
      </c>
      <c r="CA79" s="1" t="s">
        <v>1251</v>
      </c>
      <c r="CB79" s="1">
        <f>0.009*(1)</f>
        <v>8.9999999999999993E-3</v>
      </c>
      <c r="CC79" s="1" t="s">
        <v>96</v>
      </c>
      <c r="CD79" s="1">
        <f>10536*(1)</f>
        <v>10536</v>
      </c>
      <c r="CE79" s="1" t="s">
        <v>1252</v>
      </c>
      <c r="CF79" s="1">
        <f>0.046*(1)</f>
        <v>4.5999999999999999E-2</v>
      </c>
      <c r="CG79" s="1" t="s">
        <v>120</v>
      </c>
      <c r="CH79" s="1" t="s">
        <v>918</v>
      </c>
      <c r="CI79" s="1" t="s">
        <v>918</v>
      </c>
      <c r="CJ79" s="1" t="s">
        <v>918</v>
      </c>
      <c r="CK79" s="1" t="s">
        <v>918</v>
      </c>
      <c r="CL79" s="1">
        <f>1230*(1)</f>
        <v>1230</v>
      </c>
      <c r="CM79" s="1" t="s">
        <v>1253</v>
      </c>
      <c r="CN79" s="1">
        <f>0.007*(1)</f>
        <v>7.0000000000000001E-3</v>
      </c>
      <c r="CO79" s="1" t="s">
        <v>96</v>
      </c>
      <c r="CP79" s="1" t="s">
        <v>918</v>
      </c>
      <c r="CQ79" s="1" t="s">
        <v>918</v>
      </c>
      <c r="CR79" s="1" t="s">
        <v>918</v>
      </c>
      <c r="CS79" s="1" t="s">
        <v>918</v>
      </c>
      <c r="CT79" s="1">
        <f>2982*(1)</f>
        <v>2982</v>
      </c>
      <c r="CU79" s="1" t="s">
        <v>1254</v>
      </c>
      <c r="CV79" s="1">
        <f>0.006*(1)</f>
        <v>6.0000000000000001E-3</v>
      </c>
      <c r="CW79" s="1" t="s">
        <v>92</v>
      </c>
      <c r="CX79" s="1" t="s">
        <v>918</v>
      </c>
      <c r="CY79" s="1" t="s">
        <v>918</v>
      </c>
      <c r="CZ79" s="1" t="s">
        <v>918</v>
      </c>
      <c r="DA79" s="1" t="s">
        <v>918</v>
      </c>
      <c r="DB79" s="1" t="s">
        <v>918</v>
      </c>
      <c r="DC79" s="1" t="s">
        <v>918</v>
      </c>
      <c r="DD79" s="1" t="s">
        <v>918</v>
      </c>
      <c r="DE79" s="1" t="s">
        <v>918</v>
      </c>
      <c r="DF79" s="1" t="s">
        <v>918</v>
      </c>
      <c r="DG79" s="1" t="s">
        <v>918</v>
      </c>
      <c r="DH79" s="1" t="s">
        <v>918</v>
      </c>
      <c r="DI79" s="1" t="s">
        <v>918</v>
      </c>
      <c r="DJ79" s="1" t="s">
        <v>918</v>
      </c>
      <c r="DK79" s="1" t="s">
        <v>918</v>
      </c>
      <c r="DL79" s="1" t="s">
        <v>918</v>
      </c>
      <c r="DM79" s="1" t="s">
        <v>918</v>
      </c>
      <c r="DN79" s="1" t="s">
        <v>918</v>
      </c>
      <c r="DO79" s="1" t="s">
        <v>918</v>
      </c>
      <c r="DP79" s="1" t="s">
        <v>918</v>
      </c>
      <c r="DQ79" s="1" t="s">
        <v>918</v>
      </c>
      <c r="DR79" s="1">
        <f>3252*(1)</f>
        <v>3252</v>
      </c>
      <c r="DS79" s="1" t="s">
        <v>1255</v>
      </c>
      <c r="DT79" s="1">
        <f>0.009*(1)</f>
        <v>8.9999999999999993E-3</v>
      </c>
      <c r="DU79" s="1" t="s">
        <v>92</v>
      </c>
      <c r="DV79" s="1">
        <f>2894*(1)</f>
        <v>2894</v>
      </c>
      <c r="DW79" s="1" t="s">
        <v>1256</v>
      </c>
      <c r="DX79" s="1">
        <f>0.005*(1)</f>
        <v>5.0000000000000001E-3</v>
      </c>
      <c r="DY79" s="1" t="s">
        <v>92</v>
      </c>
      <c r="DZ79" s="1" t="s">
        <v>918</v>
      </c>
      <c r="EA79" s="1" t="s">
        <v>918</v>
      </c>
      <c r="EB79" s="1" t="s">
        <v>918</v>
      </c>
      <c r="EC79" s="1" t="s">
        <v>918</v>
      </c>
      <c r="ED79" s="1" t="s">
        <v>918</v>
      </c>
      <c r="EE79" s="1" t="s">
        <v>918</v>
      </c>
      <c r="EF79" s="1" t="s">
        <v>918</v>
      </c>
      <c r="EG79" s="1" t="s">
        <v>918</v>
      </c>
      <c r="EH79" s="1" t="s">
        <v>918</v>
      </c>
      <c r="EI79" s="1" t="s">
        <v>918</v>
      </c>
      <c r="EJ79" s="1" t="s">
        <v>918</v>
      </c>
      <c r="EK79" s="1" t="s">
        <v>918</v>
      </c>
      <c r="EL79" s="1">
        <f>548*(1)</f>
        <v>548</v>
      </c>
      <c r="EM79" s="1" t="s">
        <v>1111</v>
      </c>
      <c r="EN79" s="1">
        <f>0.005*(1)</f>
        <v>5.0000000000000001E-3</v>
      </c>
      <c r="EO79" s="1" t="s">
        <v>96</v>
      </c>
      <c r="EP79" s="1" t="s">
        <v>918</v>
      </c>
      <c r="EQ79" s="1" t="s">
        <v>918</v>
      </c>
      <c r="ER79" s="1" t="s">
        <v>918</v>
      </c>
      <c r="ES79" s="1" t="s">
        <v>918</v>
      </c>
    </row>
    <row r="80" spans="1:149" x14ac:dyDescent="0.3">
      <c r="A80" s="8" t="s">
        <v>1257</v>
      </c>
      <c r="B80" s="1" t="s">
        <v>918</v>
      </c>
      <c r="C80" s="1" t="s">
        <v>918</v>
      </c>
      <c r="D80" s="1" t="s">
        <v>918</v>
      </c>
      <c r="E80" s="1" t="s">
        <v>918</v>
      </c>
      <c r="F80" s="1" t="s">
        <v>918</v>
      </c>
      <c r="G80" s="1" t="s">
        <v>918</v>
      </c>
      <c r="H80" s="1" t="s">
        <v>918</v>
      </c>
      <c r="I80" s="1" t="s">
        <v>918</v>
      </c>
      <c r="J80" s="1" t="s">
        <v>918</v>
      </c>
      <c r="K80" s="1" t="s">
        <v>918</v>
      </c>
      <c r="L80" s="1" t="s">
        <v>918</v>
      </c>
      <c r="M80" s="1" t="s">
        <v>918</v>
      </c>
      <c r="N80" s="1">
        <f>1171*(1)</f>
        <v>1171</v>
      </c>
      <c r="O80" s="1" t="s">
        <v>605</v>
      </c>
      <c r="P80" s="1">
        <f>0.003*(1)</f>
        <v>3.0000000000000001E-3</v>
      </c>
      <c r="Q80" s="1" t="s">
        <v>111</v>
      </c>
      <c r="R80" s="1" t="s">
        <v>918</v>
      </c>
      <c r="S80" s="1" t="s">
        <v>918</v>
      </c>
      <c r="T80" s="1" t="s">
        <v>918</v>
      </c>
      <c r="U80" s="1" t="s">
        <v>918</v>
      </c>
      <c r="V80" s="1" t="s">
        <v>918</v>
      </c>
      <c r="W80" s="1" t="s">
        <v>918</v>
      </c>
      <c r="X80" s="1" t="s">
        <v>918</v>
      </c>
      <c r="Y80" s="1" t="s">
        <v>918</v>
      </c>
      <c r="Z80" s="1" t="s">
        <v>918</v>
      </c>
      <c r="AA80" s="1" t="s">
        <v>918</v>
      </c>
      <c r="AB80" s="1" t="s">
        <v>918</v>
      </c>
      <c r="AC80" s="1" t="s">
        <v>918</v>
      </c>
      <c r="AD80" s="1">
        <f>2103*(1)</f>
        <v>2103</v>
      </c>
      <c r="AE80" s="1" t="s">
        <v>381</v>
      </c>
      <c r="AF80" s="1">
        <f>0.002*(1)</f>
        <v>2E-3</v>
      </c>
      <c r="AG80" s="1" t="s">
        <v>99</v>
      </c>
      <c r="AH80" s="1">
        <f>218*(1)</f>
        <v>218</v>
      </c>
      <c r="AI80" s="1" t="s">
        <v>410</v>
      </c>
      <c r="AJ80" s="1">
        <f>0.001*(1)</f>
        <v>1E-3</v>
      </c>
      <c r="AK80" s="1" t="s">
        <v>99</v>
      </c>
      <c r="AL80" s="1" t="s">
        <v>918</v>
      </c>
      <c r="AM80" s="1" t="s">
        <v>918</v>
      </c>
      <c r="AN80" s="1" t="s">
        <v>918</v>
      </c>
      <c r="AO80" s="1" t="s">
        <v>918</v>
      </c>
      <c r="AP80" s="1" t="s">
        <v>918</v>
      </c>
      <c r="AQ80" s="1" t="s">
        <v>918</v>
      </c>
      <c r="AR80" s="1" t="s">
        <v>918</v>
      </c>
      <c r="AS80" s="1" t="s">
        <v>918</v>
      </c>
      <c r="AT80" s="1">
        <f>961*(1)</f>
        <v>961</v>
      </c>
      <c r="AU80" s="1" t="s">
        <v>98</v>
      </c>
      <c r="AV80" s="1">
        <f>0.001*(1)</f>
        <v>1E-3</v>
      </c>
      <c r="AW80" s="1" t="s">
        <v>99</v>
      </c>
      <c r="AX80" s="1" t="s">
        <v>918</v>
      </c>
      <c r="AY80" s="1" t="s">
        <v>918</v>
      </c>
      <c r="AZ80" s="1" t="s">
        <v>918</v>
      </c>
      <c r="BA80" s="1" t="s">
        <v>918</v>
      </c>
      <c r="BB80" s="1">
        <f>228*(1)</f>
        <v>228</v>
      </c>
      <c r="BC80" s="1" t="s">
        <v>1192</v>
      </c>
      <c r="BD80" s="1">
        <f>0.001*(1)</f>
        <v>1E-3</v>
      </c>
      <c r="BE80" s="1" t="s">
        <v>99</v>
      </c>
      <c r="BF80" s="1">
        <f>1056*(1)</f>
        <v>1056</v>
      </c>
      <c r="BG80" s="1" t="s">
        <v>1258</v>
      </c>
      <c r="BH80" s="1">
        <f>0.001*(1)</f>
        <v>1E-3</v>
      </c>
      <c r="BI80" s="1" t="s">
        <v>99</v>
      </c>
      <c r="BJ80" s="1" t="s">
        <v>918</v>
      </c>
      <c r="BK80" s="1" t="s">
        <v>918</v>
      </c>
      <c r="BL80" s="1" t="s">
        <v>918</v>
      </c>
      <c r="BM80" s="1" t="s">
        <v>918</v>
      </c>
      <c r="BN80" s="1">
        <f>44*(1)</f>
        <v>44</v>
      </c>
      <c r="BO80" s="1" t="s">
        <v>1022</v>
      </c>
      <c r="BP80" s="1">
        <f>0*(1)</f>
        <v>0</v>
      </c>
      <c r="BQ80" s="1" t="s">
        <v>99</v>
      </c>
      <c r="BR80" s="1" t="s">
        <v>918</v>
      </c>
      <c r="BS80" s="1" t="s">
        <v>918</v>
      </c>
      <c r="BT80" s="1" t="s">
        <v>918</v>
      </c>
      <c r="BU80" s="1" t="s">
        <v>918</v>
      </c>
      <c r="BV80" s="1">
        <f>372*(1)</f>
        <v>372</v>
      </c>
      <c r="BW80" s="1" t="s">
        <v>942</v>
      </c>
      <c r="BX80" s="1">
        <f>0.001*(1)</f>
        <v>1E-3</v>
      </c>
      <c r="BY80" s="1" t="s">
        <v>99</v>
      </c>
      <c r="BZ80" s="1">
        <f>1095*(1)</f>
        <v>1095</v>
      </c>
      <c r="CA80" s="1" t="s">
        <v>115</v>
      </c>
      <c r="CB80" s="1">
        <f>0.003*(1)</f>
        <v>3.0000000000000001E-3</v>
      </c>
      <c r="CC80" s="1" t="s">
        <v>99</v>
      </c>
      <c r="CD80" s="1">
        <f>0*(1)</f>
        <v>0</v>
      </c>
      <c r="CE80" s="1" t="s">
        <v>723</v>
      </c>
      <c r="CF80" s="1">
        <f>0*(1)</f>
        <v>0</v>
      </c>
      <c r="CG80" s="1" t="s">
        <v>99</v>
      </c>
      <c r="CH80" s="1" t="s">
        <v>918</v>
      </c>
      <c r="CI80" s="1" t="s">
        <v>918</v>
      </c>
      <c r="CJ80" s="1" t="s">
        <v>918</v>
      </c>
      <c r="CK80" s="1" t="s">
        <v>918</v>
      </c>
      <c r="CL80" s="1">
        <f>269*(1)</f>
        <v>269</v>
      </c>
      <c r="CM80" s="1" t="s">
        <v>1259</v>
      </c>
      <c r="CN80" s="1">
        <f>0.001*(1)</f>
        <v>1E-3</v>
      </c>
      <c r="CO80" s="1" t="s">
        <v>111</v>
      </c>
      <c r="CP80" s="1" t="s">
        <v>918</v>
      </c>
      <c r="CQ80" s="1" t="s">
        <v>918</v>
      </c>
      <c r="CR80" s="1" t="s">
        <v>918</v>
      </c>
      <c r="CS80" s="1" t="s">
        <v>918</v>
      </c>
      <c r="CT80" s="1">
        <f>292*(1)</f>
        <v>292</v>
      </c>
      <c r="CU80" s="1" t="s">
        <v>1260</v>
      </c>
      <c r="CV80" s="1">
        <f>0.001*(1)</f>
        <v>1E-3</v>
      </c>
      <c r="CW80" s="1" t="s">
        <v>99</v>
      </c>
      <c r="CX80" s="1" t="s">
        <v>918</v>
      </c>
      <c r="CY80" s="1" t="s">
        <v>918</v>
      </c>
      <c r="CZ80" s="1" t="s">
        <v>918</v>
      </c>
      <c r="DA80" s="1" t="s">
        <v>918</v>
      </c>
      <c r="DB80" s="1" t="s">
        <v>918</v>
      </c>
      <c r="DC80" s="1" t="s">
        <v>918</v>
      </c>
      <c r="DD80" s="1" t="s">
        <v>918</v>
      </c>
      <c r="DE80" s="1" t="s">
        <v>918</v>
      </c>
      <c r="DF80" s="1" t="s">
        <v>918</v>
      </c>
      <c r="DG80" s="1" t="s">
        <v>918</v>
      </c>
      <c r="DH80" s="1" t="s">
        <v>918</v>
      </c>
      <c r="DI80" s="1" t="s">
        <v>918</v>
      </c>
      <c r="DJ80" s="1" t="s">
        <v>918</v>
      </c>
      <c r="DK80" s="1" t="s">
        <v>918</v>
      </c>
      <c r="DL80" s="1" t="s">
        <v>918</v>
      </c>
      <c r="DM80" s="1" t="s">
        <v>918</v>
      </c>
      <c r="DN80" s="1" t="s">
        <v>918</v>
      </c>
      <c r="DO80" s="1" t="s">
        <v>918</v>
      </c>
      <c r="DP80" s="1" t="s">
        <v>918</v>
      </c>
      <c r="DQ80" s="1" t="s">
        <v>918</v>
      </c>
      <c r="DR80" s="1">
        <f>288*(1)</f>
        <v>288</v>
      </c>
      <c r="DS80" s="1" t="s">
        <v>393</v>
      </c>
      <c r="DT80" s="1">
        <f>0.001*(1)</f>
        <v>1E-3</v>
      </c>
      <c r="DU80" s="1" t="s">
        <v>99</v>
      </c>
      <c r="DV80" s="1">
        <f>146*(1)</f>
        <v>146</v>
      </c>
      <c r="DW80" s="1" t="s">
        <v>1261</v>
      </c>
      <c r="DX80" s="1">
        <f>0*(1)</f>
        <v>0</v>
      </c>
      <c r="DY80" s="1" t="s">
        <v>99</v>
      </c>
      <c r="DZ80" s="1" t="s">
        <v>918</v>
      </c>
      <c r="EA80" s="1" t="s">
        <v>918</v>
      </c>
      <c r="EB80" s="1" t="s">
        <v>918</v>
      </c>
      <c r="EC80" s="1" t="s">
        <v>918</v>
      </c>
      <c r="ED80" s="1" t="s">
        <v>918</v>
      </c>
      <c r="EE80" s="1" t="s">
        <v>918</v>
      </c>
      <c r="EF80" s="1" t="s">
        <v>918</v>
      </c>
      <c r="EG80" s="1" t="s">
        <v>918</v>
      </c>
      <c r="EH80" s="1" t="s">
        <v>918</v>
      </c>
      <c r="EI80" s="1" t="s">
        <v>918</v>
      </c>
      <c r="EJ80" s="1" t="s">
        <v>918</v>
      </c>
      <c r="EK80" s="1" t="s">
        <v>918</v>
      </c>
      <c r="EL80" s="1">
        <f>126*(1)</f>
        <v>126</v>
      </c>
      <c r="EM80" s="1" t="s">
        <v>186</v>
      </c>
      <c r="EN80" s="1">
        <f>0.001*(1)</f>
        <v>1E-3</v>
      </c>
      <c r="EO80" s="1" t="s">
        <v>111</v>
      </c>
      <c r="EP80" s="1" t="s">
        <v>918</v>
      </c>
      <c r="EQ80" s="1" t="s">
        <v>918</v>
      </c>
      <c r="ER80" s="1" t="s">
        <v>918</v>
      </c>
      <c r="ES80" s="1" t="s">
        <v>918</v>
      </c>
    </row>
    <row r="81" spans="1:149" x14ac:dyDescent="0.3">
      <c r="A81" s="8" t="s">
        <v>1262</v>
      </c>
      <c r="B81" s="1" t="s">
        <v>918</v>
      </c>
      <c r="C81" s="1" t="s">
        <v>918</v>
      </c>
      <c r="D81" s="1" t="s">
        <v>918</v>
      </c>
      <c r="E81" s="1" t="s">
        <v>918</v>
      </c>
      <c r="F81" s="1" t="s">
        <v>918</v>
      </c>
      <c r="G81" s="1" t="s">
        <v>918</v>
      </c>
      <c r="H81" s="1" t="s">
        <v>918</v>
      </c>
      <c r="I81" s="1" t="s">
        <v>918</v>
      </c>
      <c r="J81" s="1" t="s">
        <v>918</v>
      </c>
      <c r="K81" s="1" t="s">
        <v>918</v>
      </c>
      <c r="L81" s="1" t="s">
        <v>918</v>
      </c>
      <c r="M81" s="1" t="s">
        <v>918</v>
      </c>
      <c r="N81" s="1">
        <f>8229*(1)</f>
        <v>8229</v>
      </c>
      <c r="O81" s="1" t="s">
        <v>1263</v>
      </c>
      <c r="P81" s="1">
        <f>0.021*(1)</f>
        <v>2.1000000000000001E-2</v>
      </c>
      <c r="Q81" s="1" t="s">
        <v>120</v>
      </c>
      <c r="R81" s="1" t="s">
        <v>918</v>
      </c>
      <c r="S81" s="1" t="s">
        <v>918</v>
      </c>
      <c r="T81" s="1" t="s">
        <v>918</v>
      </c>
      <c r="U81" s="1" t="s">
        <v>918</v>
      </c>
      <c r="V81" s="1" t="s">
        <v>918</v>
      </c>
      <c r="W81" s="1" t="s">
        <v>918</v>
      </c>
      <c r="X81" s="1" t="s">
        <v>918</v>
      </c>
      <c r="Y81" s="1" t="s">
        <v>918</v>
      </c>
      <c r="Z81" s="1" t="s">
        <v>918</v>
      </c>
      <c r="AA81" s="1" t="s">
        <v>918</v>
      </c>
      <c r="AB81" s="1" t="s">
        <v>918</v>
      </c>
      <c r="AC81" s="1" t="s">
        <v>918</v>
      </c>
      <c r="AD81" s="1">
        <f>19640*(1)</f>
        <v>19640</v>
      </c>
      <c r="AE81" s="1" t="s">
        <v>1264</v>
      </c>
      <c r="AF81" s="1">
        <f>0.016*(1)</f>
        <v>1.6E-2</v>
      </c>
      <c r="AG81" s="1" t="s">
        <v>92</v>
      </c>
      <c r="AH81" s="1">
        <f>2510*(1)</f>
        <v>2510</v>
      </c>
      <c r="AI81" s="1" t="s">
        <v>1265</v>
      </c>
      <c r="AJ81" s="1">
        <f>0.011*(1)</f>
        <v>1.0999999999999999E-2</v>
      </c>
      <c r="AK81" s="1" t="s">
        <v>92</v>
      </c>
      <c r="AL81" s="1" t="s">
        <v>918</v>
      </c>
      <c r="AM81" s="1" t="s">
        <v>918</v>
      </c>
      <c r="AN81" s="1" t="s">
        <v>918</v>
      </c>
      <c r="AO81" s="1" t="s">
        <v>918</v>
      </c>
      <c r="AP81" s="1" t="s">
        <v>918</v>
      </c>
      <c r="AQ81" s="1" t="s">
        <v>918</v>
      </c>
      <c r="AR81" s="1" t="s">
        <v>918</v>
      </c>
      <c r="AS81" s="1" t="s">
        <v>918</v>
      </c>
      <c r="AT81" s="1">
        <f>31079*(1)</f>
        <v>31079</v>
      </c>
      <c r="AU81" s="1" t="s">
        <v>1266</v>
      </c>
      <c r="AV81" s="1">
        <f>0.024*(1)</f>
        <v>2.4E-2</v>
      </c>
      <c r="AW81" s="1" t="s">
        <v>92</v>
      </c>
      <c r="AX81" s="1" t="s">
        <v>918</v>
      </c>
      <c r="AY81" s="1" t="s">
        <v>918</v>
      </c>
      <c r="AZ81" s="1" t="s">
        <v>918</v>
      </c>
      <c r="BA81" s="1" t="s">
        <v>918</v>
      </c>
      <c r="BB81" s="1">
        <f>1194*(1)</f>
        <v>1194</v>
      </c>
      <c r="BC81" s="1" t="s">
        <v>236</v>
      </c>
      <c r="BD81" s="1">
        <f>0.007*(1)</f>
        <v>7.0000000000000001E-3</v>
      </c>
      <c r="BE81" s="1" t="s">
        <v>96</v>
      </c>
      <c r="BF81" s="1">
        <f>16322*(1)</f>
        <v>16322</v>
      </c>
      <c r="BG81" s="1" t="s">
        <v>1267</v>
      </c>
      <c r="BH81" s="1">
        <f>0.02*(1)</f>
        <v>0.02</v>
      </c>
      <c r="BI81" s="1" t="s">
        <v>96</v>
      </c>
      <c r="BJ81" s="1" t="s">
        <v>918</v>
      </c>
      <c r="BK81" s="1" t="s">
        <v>918</v>
      </c>
      <c r="BL81" s="1" t="s">
        <v>918</v>
      </c>
      <c r="BM81" s="1" t="s">
        <v>918</v>
      </c>
      <c r="BN81" s="1">
        <f>2551*(1)</f>
        <v>2551</v>
      </c>
      <c r="BO81" s="1" t="s">
        <v>1268</v>
      </c>
      <c r="BP81" s="1">
        <f>0.011*(1)</f>
        <v>1.0999999999999999E-2</v>
      </c>
      <c r="BQ81" s="1" t="s">
        <v>90</v>
      </c>
      <c r="BR81" s="1" t="s">
        <v>918</v>
      </c>
      <c r="BS81" s="1" t="s">
        <v>918</v>
      </c>
      <c r="BT81" s="1" t="s">
        <v>918</v>
      </c>
      <c r="BU81" s="1" t="s">
        <v>918</v>
      </c>
      <c r="BV81" s="1">
        <f>2510*(1)</f>
        <v>2510</v>
      </c>
      <c r="BW81" s="1" t="s">
        <v>1269</v>
      </c>
      <c r="BX81" s="1">
        <f>0.008*(1)</f>
        <v>8.0000000000000002E-3</v>
      </c>
      <c r="BY81" s="1" t="s">
        <v>92</v>
      </c>
      <c r="BZ81" s="1">
        <f>6128*(1)</f>
        <v>6128</v>
      </c>
      <c r="CA81" s="1" t="s">
        <v>1270</v>
      </c>
      <c r="CB81" s="1">
        <f>0.014*(1)</f>
        <v>1.4E-2</v>
      </c>
      <c r="CC81" s="1" t="s">
        <v>94</v>
      </c>
      <c r="CD81" s="1">
        <f>3564*(1)</f>
        <v>3564</v>
      </c>
      <c r="CE81" s="1" t="s">
        <v>1271</v>
      </c>
      <c r="CF81" s="1">
        <f>0.016*(1)</f>
        <v>1.6E-2</v>
      </c>
      <c r="CG81" s="1" t="s">
        <v>120</v>
      </c>
      <c r="CH81" s="1" t="s">
        <v>918</v>
      </c>
      <c r="CI81" s="1" t="s">
        <v>918</v>
      </c>
      <c r="CJ81" s="1" t="s">
        <v>918</v>
      </c>
      <c r="CK81" s="1" t="s">
        <v>918</v>
      </c>
      <c r="CL81" s="1">
        <f>1435*(1)</f>
        <v>1435</v>
      </c>
      <c r="CM81" s="1" t="s">
        <v>322</v>
      </c>
      <c r="CN81" s="1">
        <f>0.008*(1)</f>
        <v>8.0000000000000002E-3</v>
      </c>
      <c r="CO81" s="1" t="s">
        <v>96</v>
      </c>
      <c r="CP81" s="1" t="s">
        <v>918</v>
      </c>
      <c r="CQ81" s="1" t="s">
        <v>918</v>
      </c>
      <c r="CR81" s="1" t="s">
        <v>918</v>
      </c>
      <c r="CS81" s="1" t="s">
        <v>918</v>
      </c>
      <c r="CT81" s="1">
        <f>8003*(1)</f>
        <v>8003</v>
      </c>
      <c r="CU81" s="1" t="s">
        <v>1272</v>
      </c>
      <c r="CV81" s="1">
        <f>0.015*(1)</f>
        <v>1.4999999999999999E-2</v>
      </c>
      <c r="CW81" s="1" t="s">
        <v>96</v>
      </c>
      <c r="CX81" s="1" t="s">
        <v>918</v>
      </c>
      <c r="CY81" s="1" t="s">
        <v>918</v>
      </c>
      <c r="CZ81" s="1" t="s">
        <v>918</v>
      </c>
      <c r="DA81" s="1" t="s">
        <v>918</v>
      </c>
      <c r="DB81" s="1" t="s">
        <v>918</v>
      </c>
      <c r="DC81" s="1" t="s">
        <v>918</v>
      </c>
      <c r="DD81" s="1" t="s">
        <v>918</v>
      </c>
      <c r="DE81" s="1" t="s">
        <v>918</v>
      </c>
      <c r="DF81" s="1" t="s">
        <v>918</v>
      </c>
      <c r="DG81" s="1" t="s">
        <v>918</v>
      </c>
      <c r="DH81" s="1" t="s">
        <v>918</v>
      </c>
      <c r="DI81" s="1" t="s">
        <v>918</v>
      </c>
      <c r="DJ81" s="1" t="s">
        <v>918</v>
      </c>
      <c r="DK81" s="1" t="s">
        <v>918</v>
      </c>
      <c r="DL81" s="1" t="s">
        <v>918</v>
      </c>
      <c r="DM81" s="1" t="s">
        <v>918</v>
      </c>
      <c r="DN81" s="1" t="s">
        <v>918</v>
      </c>
      <c r="DO81" s="1" t="s">
        <v>918</v>
      </c>
      <c r="DP81" s="1" t="s">
        <v>918</v>
      </c>
      <c r="DQ81" s="1" t="s">
        <v>918</v>
      </c>
      <c r="DR81" s="1">
        <f>3436*(1)</f>
        <v>3436</v>
      </c>
      <c r="DS81" s="1" t="s">
        <v>1273</v>
      </c>
      <c r="DT81" s="1">
        <f>0.009*(1)</f>
        <v>8.9999999999999993E-3</v>
      </c>
      <c r="DU81" s="1" t="s">
        <v>92</v>
      </c>
      <c r="DV81" s="1">
        <f>4523*(1)</f>
        <v>4523</v>
      </c>
      <c r="DW81" s="1" t="s">
        <v>1274</v>
      </c>
      <c r="DX81" s="1">
        <f>0.008*(1)</f>
        <v>8.0000000000000002E-3</v>
      </c>
      <c r="DY81" s="1" t="s">
        <v>92</v>
      </c>
      <c r="DZ81" s="1" t="s">
        <v>918</v>
      </c>
      <c r="EA81" s="1" t="s">
        <v>918</v>
      </c>
      <c r="EB81" s="1" t="s">
        <v>918</v>
      </c>
      <c r="EC81" s="1" t="s">
        <v>918</v>
      </c>
      <c r="ED81" s="1" t="s">
        <v>918</v>
      </c>
      <c r="EE81" s="1" t="s">
        <v>918</v>
      </c>
      <c r="EF81" s="1" t="s">
        <v>918</v>
      </c>
      <c r="EG81" s="1" t="s">
        <v>918</v>
      </c>
      <c r="EH81" s="1" t="s">
        <v>918</v>
      </c>
      <c r="EI81" s="1" t="s">
        <v>918</v>
      </c>
      <c r="EJ81" s="1" t="s">
        <v>918</v>
      </c>
      <c r="EK81" s="1" t="s">
        <v>918</v>
      </c>
      <c r="EL81" s="1">
        <f>1097*(1)</f>
        <v>1097</v>
      </c>
      <c r="EM81" s="1" t="s">
        <v>100</v>
      </c>
      <c r="EN81" s="1">
        <f>0.009*(1)</f>
        <v>8.9999999999999993E-3</v>
      </c>
      <c r="EO81" s="1" t="s">
        <v>90</v>
      </c>
      <c r="EP81" s="1" t="s">
        <v>918</v>
      </c>
      <c r="EQ81" s="1" t="s">
        <v>918</v>
      </c>
      <c r="ER81" s="1" t="s">
        <v>918</v>
      </c>
      <c r="ES81" s="1" t="s">
        <v>918</v>
      </c>
    </row>
    <row r="82" spans="1:149" x14ac:dyDescent="0.3">
      <c r="A82" s="7" t="s">
        <v>1275</v>
      </c>
      <c r="B82" s="1">
        <f>97906*(1)</f>
        <v>97906</v>
      </c>
      <c r="C82" s="1" t="s">
        <v>83</v>
      </c>
      <c r="D82" s="1">
        <f>0.963*(1)</f>
        <v>0.96299999999999997</v>
      </c>
      <c r="E82" s="1" t="s">
        <v>83</v>
      </c>
      <c r="F82" s="1">
        <f>92634*(1)</f>
        <v>92634</v>
      </c>
      <c r="G82" s="1" t="s">
        <v>83</v>
      </c>
      <c r="H82" s="1">
        <f>0.952*(1)</f>
        <v>0.95199999999999996</v>
      </c>
      <c r="I82" s="1" t="s">
        <v>83</v>
      </c>
      <c r="J82" s="1">
        <f>64959*(1)</f>
        <v>64959</v>
      </c>
      <c r="K82" s="1" t="s">
        <v>588</v>
      </c>
      <c r="L82" s="1">
        <f>0.986*(1)</f>
        <v>0.98599999999999999</v>
      </c>
      <c r="M82" s="1" t="s">
        <v>109</v>
      </c>
      <c r="N82" s="1">
        <f>369272*(1)</f>
        <v>369272</v>
      </c>
      <c r="O82" s="1" t="s">
        <v>83</v>
      </c>
      <c r="P82" s="1">
        <f>0.946*(1)</f>
        <v>0.94599999999999995</v>
      </c>
      <c r="Q82" s="1" t="s">
        <v>83</v>
      </c>
      <c r="R82" s="1">
        <f>130451*(1)</f>
        <v>130451</v>
      </c>
      <c r="S82" s="1" t="s">
        <v>83</v>
      </c>
      <c r="T82" s="1">
        <f>0.962*(1)</f>
        <v>0.96199999999999997</v>
      </c>
      <c r="U82" s="1" t="s">
        <v>83</v>
      </c>
      <c r="V82" s="1">
        <f>204947*(1)</f>
        <v>204947</v>
      </c>
      <c r="W82" s="1" t="s">
        <v>83</v>
      </c>
      <c r="X82" s="1">
        <f>0.978*(1)</f>
        <v>0.97799999999999998</v>
      </c>
      <c r="Y82" s="1" t="s">
        <v>83</v>
      </c>
      <c r="Z82" s="1">
        <f>100707*(1)</f>
        <v>100707</v>
      </c>
      <c r="AA82" s="1" t="s">
        <v>280</v>
      </c>
      <c r="AB82" s="1">
        <f>0.994*(1)</f>
        <v>0.99399999999999999</v>
      </c>
      <c r="AC82" s="1" t="s">
        <v>90</v>
      </c>
      <c r="AD82" s="1">
        <f>1166445*(1)</f>
        <v>1166445</v>
      </c>
      <c r="AE82" s="1" t="s">
        <v>83</v>
      </c>
      <c r="AF82" s="1">
        <f>0.934*(1)</f>
        <v>0.93400000000000005</v>
      </c>
      <c r="AG82" s="1" t="s">
        <v>83</v>
      </c>
      <c r="AH82" s="1">
        <f>214166*(1)</f>
        <v>214166</v>
      </c>
      <c r="AI82" s="1" t="s">
        <v>83</v>
      </c>
      <c r="AJ82" s="1">
        <f>0.97*(1)</f>
        <v>0.97</v>
      </c>
      <c r="AK82" s="1" t="s">
        <v>83</v>
      </c>
      <c r="AL82" s="1">
        <f>71268*(1)</f>
        <v>71268</v>
      </c>
      <c r="AM82" s="1" t="s">
        <v>83</v>
      </c>
      <c r="AN82" s="1">
        <f>0.952*(1)</f>
        <v>0.95199999999999996</v>
      </c>
      <c r="AO82" s="1" t="s">
        <v>83</v>
      </c>
      <c r="AP82" s="1">
        <f>156822*(1)</f>
        <v>156822</v>
      </c>
      <c r="AQ82" s="1" t="s">
        <v>83</v>
      </c>
      <c r="AR82" s="1">
        <f>0.974*(1)</f>
        <v>0.97399999999999998</v>
      </c>
      <c r="AS82" s="1" t="s">
        <v>83</v>
      </c>
      <c r="AT82" s="1">
        <f>1239682*(1)</f>
        <v>1239682</v>
      </c>
      <c r="AU82" s="1" t="s">
        <v>83</v>
      </c>
      <c r="AV82" s="1">
        <f>0.938*(1)</f>
        <v>0.93799999999999994</v>
      </c>
      <c r="AW82" s="1" t="s">
        <v>83</v>
      </c>
      <c r="AX82" s="1">
        <f>93868*(1)</f>
        <v>93868</v>
      </c>
      <c r="AY82" s="1" t="s">
        <v>83</v>
      </c>
      <c r="AZ82" s="1">
        <f>0.982*(1)</f>
        <v>0.98199999999999998</v>
      </c>
      <c r="BA82" s="1" t="s">
        <v>83</v>
      </c>
      <c r="BB82" s="1">
        <f>162981*(1)</f>
        <v>162981</v>
      </c>
      <c r="BC82" s="1" t="s">
        <v>83</v>
      </c>
      <c r="BD82" s="1">
        <f>0.968*(1)</f>
        <v>0.96799999999999997</v>
      </c>
      <c r="BE82" s="1" t="s">
        <v>83</v>
      </c>
      <c r="BF82" s="1">
        <f>793994*(1)</f>
        <v>793994</v>
      </c>
      <c r="BG82" s="1" t="s">
        <v>83</v>
      </c>
      <c r="BH82" s="1">
        <f>0.961*(1)</f>
        <v>0.96099999999999997</v>
      </c>
      <c r="BI82" s="1" t="s">
        <v>83</v>
      </c>
      <c r="BJ82" s="1">
        <f>70019*(1)</f>
        <v>70019</v>
      </c>
      <c r="BK82" s="1" t="s">
        <v>83</v>
      </c>
      <c r="BL82" s="1">
        <f>0.938*(1)</f>
        <v>0.93799999999999994</v>
      </c>
      <c r="BM82" s="1" t="s">
        <v>83</v>
      </c>
      <c r="BN82" s="1">
        <f>220402*(1)</f>
        <v>220402</v>
      </c>
      <c r="BO82" s="1" t="s">
        <v>83</v>
      </c>
      <c r="BP82" s="1">
        <f>0.95*(1)</f>
        <v>0.95</v>
      </c>
      <c r="BQ82" s="1" t="s">
        <v>83</v>
      </c>
      <c r="BR82" s="1">
        <f>176222*(1)</f>
        <v>176222</v>
      </c>
      <c r="BS82" s="1" t="s">
        <v>83</v>
      </c>
      <c r="BT82" s="1">
        <f>0.977*(1)</f>
        <v>0.97699999999999998</v>
      </c>
      <c r="BU82" s="1" t="s">
        <v>83</v>
      </c>
      <c r="BV82" s="1">
        <f>281590*(1)</f>
        <v>281590</v>
      </c>
      <c r="BW82" s="1" t="s">
        <v>83</v>
      </c>
      <c r="BX82" s="1">
        <f>0.892*(1)</f>
        <v>0.89200000000000002</v>
      </c>
      <c r="BY82" s="1" t="s">
        <v>83</v>
      </c>
      <c r="BZ82" s="1">
        <f>395599*(1)</f>
        <v>395599</v>
      </c>
      <c r="CA82" s="1" t="s">
        <v>83</v>
      </c>
      <c r="CB82" s="1">
        <f>0.922*(1)</f>
        <v>0.92200000000000004</v>
      </c>
      <c r="CC82" s="1" t="s">
        <v>83</v>
      </c>
      <c r="CD82" s="1">
        <f>210911*(1)</f>
        <v>210911</v>
      </c>
      <c r="CE82" s="1" t="s">
        <v>83</v>
      </c>
      <c r="CF82" s="1">
        <f>0.93*(1)</f>
        <v>0.93</v>
      </c>
      <c r="CG82" s="1" t="s">
        <v>83</v>
      </c>
      <c r="CH82" s="1">
        <f>63287*(1)</f>
        <v>63287</v>
      </c>
      <c r="CI82" s="1" t="s">
        <v>83</v>
      </c>
      <c r="CJ82" s="1">
        <f>0.969*(1)</f>
        <v>0.96899999999999997</v>
      </c>
      <c r="CK82" s="1" t="s">
        <v>83</v>
      </c>
      <c r="CL82" s="1">
        <f>178305*(1)</f>
        <v>178305</v>
      </c>
      <c r="CM82" s="1" t="s">
        <v>83</v>
      </c>
      <c r="CN82" s="1">
        <f>0.974*(1)</f>
        <v>0.97399999999999998</v>
      </c>
      <c r="CO82" s="1" t="s">
        <v>83</v>
      </c>
      <c r="CP82" s="1">
        <f>107084*(1)</f>
        <v>107084</v>
      </c>
      <c r="CQ82" s="1" t="s">
        <v>83</v>
      </c>
      <c r="CR82" s="1">
        <f>0.98*(1)</f>
        <v>0.98</v>
      </c>
      <c r="CS82" s="1" t="s">
        <v>83</v>
      </c>
      <c r="CT82" s="1">
        <f>516729*(1)</f>
        <v>516729</v>
      </c>
      <c r="CU82" s="1" t="s">
        <v>83</v>
      </c>
      <c r="CV82" s="1">
        <f>0.964*(1)</f>
        <v>0.96399999999999997</v>
      </c>
      <c r="CW82" s="1" t="s">
        <v>83</v>
      </c>
      <c r="CX82" s="1">
        <f>85249*(1)</f>
        <v>85249</v>
      </c>
      <c r="CY82" s="1" t="s">
        <v>83</v>
      </c>
      <c r="CZ82" s="1">
        <f>0.987*(1)</f>
        <v>0.98699999999999999</v>
      </c>
      <c r="DA82" s="1" t="s">
        <v>83</v>
      </c>
      <c r="DB82" s="1">
        <f>158873*(1)</f>
        <v>158873</v>
      </c>
      <c r="DC82" s="1" t="s">
        <v>83</v>
      </c>
      <c r="DD82" s="1">
        <f>0.978*(1)</f>
        <v>0.97799999999999998</v>
      </c>
      <c r="DE82" s="1" t="s">
        <v>83</v>
      </c>
      <c r="DF82" s="1">
        <f>122419*(1)</f>
        <v>122419</v>
      </c>
      <c r="DG82" s="1" t="s">
        <v>83</v>
      </c>
      <c r="DH82" s="1">
        <f>0.978*(1)</f>
        <v>0.97799999999999998</v>
      </c>
      <c r="DI82" s="1" t="s">
        <v>83</v>
      </c>
      <c r="DJ82" s="1">
        <f>75939*(1)</f>
        <v>75939</v>
      </c>
      <c r="DK82" s="1" t="s">
        <v>1231</v>
      </c>
      <c r="DL82" s="1">
        <f>0.988*(1)</f>
        <v>0.98799999999999999</v>
      </c>
      <c r="DM82" s="1" t="s">
        <v>141</v>
      </c>
      <c r="DN82" s="1">
        <f>72191*(1)</f>
        <v>72191</v>
      </c>
      <c r="DO82" s="1" t="s">
        <v>83</v>
      </c>
      <c r="DP82" s="1">
        <f>0.984*(1)</f>
        <v>0.98399999999999999</v>
      </c>
      <c r="DQ82" s="1" t="s">
        <v>83</v>
      </c>
      <c r="DR82" s="1">
        <f>364752*(1)</f>
        <v>364752</v>
      </c>
      <c r="DS82" s="1" t="s">
        <v>83</v>
      </c>
      <c r="DT82" s="1">
        <f>0.976*(1)</f>
        <v>0.97599999999999998</v>
      </c>
      <c r="DU82" s="1" t="s">
        <v>83</v>
      </c>
      <c r="DV82" s="1">
        <f>524043*(1)</f>
        <v>524043</v>
      </c>
      <c r="DW82" s="1" t="s">
        <v>83</v>
      </c>
      <c r="DX82" s="1">
        <f>0.975*(1)</f>
        <v>0.97499999999999998</v>
      </c>
      <c r="DY82" s="1" t="s">
        <v>83</v>
      </c>
      <c r="DZ82" s="1">
        <f>197110*(1)</f>
        <v>197110</v>
      </c>
      <c r="EA82" s="1" t="s">
        <v>83</v>
      </c>
      <c r="EB82" s="1">
        <f>0.979*(1)</f>
        <v>0.97899999999999998</v>
      </c>
      <c r="EC82" s="1" t="s">
        <v>83</v>
      </c>
      <c r="ED82" s="1">
        <f>89152*(1)</f>
        <v>89152</v>
      </c>
      <c r="EE82" s="1" t="s">
        <v>83</v>
      </c>
      <c r="EF82" s="1">
        <f>0.964*(1)</f>
        <v>0.96399999999999997</v>
      </c>
      <c r="EG82" s="1" t="s">
        <v>83</v>
      </c>
      <c r="EH82" s="1">
        <f>238661*(1)</f>
        <v>238661</v>
      </c>
      <c r="EI82" s="1" t="s">
        <v>83</v>
      </c>
      <c r="EJ82" s="1">
        <f>0.968*(1)</f>
        <v>0.96799999999999997</v>
      </c>
      <c r="EK82" s="1" t="s">
        <v>83</v>
      </c>
      <c r="EL82" s="1">
        <f>114144*(1)</f>
        <v>114144</v>
      </c>
      <c r="EM82" s="1" t="s">
        <v>83</v>
      </c>
      <c r="EN82" s="1">
        <f>0.978*(1)</f>
        <v>0.97799999999999998</v>
      </c>
      <c r="EO82" s="1" t="s">
        <v>83</v>
      </c>
      <c r="EP82" s="1">
        <f>124392*(1)</f>
        <v>124392</v>
      </c>
      <c r="EQ82" s="1" t="s">
        <v>83</v>
      </c>
      <c r="ER82" s="1">
        <f>0.939*(1)</f>
        <v>0.93899999999999995</v>
      </c>
      <c r="ES82" s="1" t="s">
        <v>83</v>
      </c>
    </row>
    <row r="83" spans="1:149" x14ac:dyDescent="0.3">
      <c r="A83" s="8" t="s">
        <v>1276</v>
      </c>
      <c r="B83" s="1">
        <f>80469*(1)</f>
        <v>80469</v>
      </c>
      <c r="C83" s="1" t="s">
        <v>1277</v>
      </c>
      <c r="D83" s="1">
        <f>0.791*(1)</f>
        <v>0.79100000000000004</v>
      </c>
      <c r="E83" s="1" t="s">
        <v>96</v>
      </c>
      <c r="F83" s="1">
        <f>84226*(1)</f>
        <v>84226</v>
      </c>
      <c r="G83" s="1" t="s">
        <v>606</v>
      </c>
      <c r="H83" s="1">
        <f>0.865*(1)</f>
        <v>0.86499999999999999</v>
      </c>
      <c r="I83" s="1" t="s">
        <v>141</v>
      </c>
      <c r="J83" s="1">
        <f>60190*(1)</f>
        <v>60190</v>
      </c>
      <c r="K83" s="1" t="s">
        <v>1278</v>
      </c>
      <c r="L83" s="1">
        <f>0.914*(1)</f>
        <v>0.91400000000000003</v>
      </c>
      <c r="M83" s="1" t="s">
        <v>90</v>
      </c>
      <c r="N83" s="1">
        <f>300857*(1)</f>
        <v>300857</v>
      </c>
      <c r="O83" s="1" t="s">
        <v>865</v>
      </c>
      <c r="P83" s="1">
        <f>0.771*(1)</f>
        <v>0.77100000000000002</v>
      </c>
      <c r="Q83" s="1" t="s">
        <v>87</v>
      </c>
      <c r="R83" s="1">
        <f>112473*(1)</f>
        <v>112473</v>
      </c>
      <c r="S83" s="1" t="s">
        <v>1279</v>
      </c>
      <c r="T83" s="1">
        <f>0.829*(1)</f>
        <v>0.82899999999999996</v>
      </c>
      <c r="U83" s="1" t="s">
        <v>111</v>
      </c>
      <c r="V83" s="1">
        <f>191367*(1)</f>
        <v>191367</v>
      </c>
      <c r="W83" s="1" t="s">
        <v>1123</v>
      </c>
      <c r="X83" s="1">
        <f>0.913*(1)</f>
        <v>0.91300000000000003</v>
      </c>
      <c r="Y83" s="1" t="s">
        <v>120</v>
      </c>
      <c r="Z83" s="1">
        <f>93132*(1)</f>
        <v>93132</v>
      </c>
      <c r="AA83" s="1" t="s">
        <v>1280</v>
      </c>
      <c r="AB83" s="1">
        <f>0.919*(1)</f>
        <v>0.91900000000000004</v>
      </c>
      <c r="AC83" s="1" t="s">
        <v>109</v>
      </c>
      <c r="AD83" s="1">
        <f>713107*(1)</f>
        <v>713107</v>
      </c>
      <c r="AE83" s="1" t="s">
        <v>1281</v>
      </c>
      <c r="AF83" s="1">
        <f>0.571*(1)</f>
        <v>0.57099999999999995</v>
      </c>
      <c r="AG83" s="1" t="s">
        <v>111</v>
      </c>
      <c r="AH83" s="1">
        <f>178977*(1)</f>
        <v>178977</v>
      </c>
      <c r="AI83" s="1" t="s">
        <v>1282</v>
      </c>
      <c r="AJ83" s="1">
        <f>0.811*(1)</f>
        <v>0.81100000000000005</v>
      </c>
      <c r="AK83" s="1" t="s">
        <v>96</v>
      </c>
      <c r="AL83" s="1">
        <f>57629*(1)</f>
        <v>57629</v>
      </c>
      <c r="AM83" s="1" t="s">
        <v>1283</v>
      </c>
      <c r="AN83" s="1">
        <f>0.77*(1)</f>
        <v>0.77</v>
      </c>
      <c r="AO83" s="1" t="s">
        <v>789</v>
      </c>
      <c r="AP83" s="1">
        <f>132142*(1)</f>
        <v>132142</v>
      </c>
      <c r="AQ83" s="1" t="s">
        <v>1284</v>
      </c>
      <c r="AR83" s="1">
        <f>0.82*(1)</f>
        <v>0.82</v>
      </c>
      <c r="AS83" s="1" t="s">
        <v>87</v>
      </c>
      <c r="AT83" s="1">
        <f>786324*(1)</f>
        <v>786324</v>
      </c>
      <c r="AU83" s="1" t="s">
        <v>827</v>
      </c>
      <c r="AV83" s="1">
        <f>0.595*(1)</f>
        <v>0.59499999999999997</v>
      </c>
      <c r="AW83" s="1" t="s">
        <v>92</v>
      </c>
      <c r="AX83" s="1">
        <f>87971*(1)</f>
        <v>87971</v>
      </c>
      <c r="AY83" s="1" t="s">
        <v>1285</v>
      </c>
      <c r="AZ83" s="1">
        <f>0.921*(1)</f>
        <v>0.92100000000000004</v>
      </c>
      <c r="BA83" s="1" t="s">
        <v>141</v>
      </c>
      <c r="BB83" s="1">
        <f>137172*(1)</f>
        <v>137172</v>
      </c>
      <c r="BC83" s="1" t="s">
        <v>477</v>
      </c>
      <c r="BD83" s="1">
        <f>0.815*(1)</f>
        <v>0.81499999999999995</v>
      </c>
      <c r="BE83" s="1" t="s">
        <v>129</v>
      </c>
      <c r="BF83" s="1">
        <f>525554*(1)</f>
        <v>525554</v>
      </c>
      <c r="BG83" s="1" t="s">
        <v>645</v>
      </c>
      <c r="BH83" s="1">
        <f>0.636*(1)</f>
        <v>0.63600000000000001</v>
      </c>
      <c r="BI83" s="1" t="s">
        <v>111</v>
      </c>
      <c r="BJ83" s="1">
        <f>65151*(1)</f>
        <v>65151</v>
      </c>
      <c r="BK83" s="1" t="s">
        <v>388</v>
      </c>
      <c r="BL83" s="1">
        <f>0.873*(1)</f>
        <v>0.873</v>
      </c>
      <c r="BM83" s="1" t="s">
        <v>120</v>
      </c>
      <c r="BN83" s="1">
        <f>197478*(1)</f>
        <v>197478</v>
      </c>
      <c r="BO83" s="1" t="s">
        <v>1286</v>
      </c>
      <c r="BP83" s="1">
        <f>0.851*(1)</f>
        <v>0.85099999999999998</v>
      </c>
      <c r="BQ83" s="1" t="s">
        <v>94</v>
      </c>
      <c r="BR83" s="1">
        <f>155643*(1)</f>
        <v>155643</v>
      </c>
      <c r="BS83" s="1" t="s">
        <v>1287</v>
      </c>
      <c r="BT83" s="1">
        <f>0.863*(1)</f>
        <v>0.86299999999999999</v>
      </c>
      <c r="BU83" s="1" t="s">
        <v>90</v>
      </c>
      <c r="BV83" s="1">
        <f>237810*(1)</f>
        <v>237810</v>
      </c>
      <c r="BW83" s="1" t="s">
        <v>1288</v>
      </c>
      <c r="BX83" s="1">
        <f>0.754*(1)</f>
        <v>0.754</v>
      </c>
      <c r="BY83" s="1" t="s">
        <v>90</v>
      </c>
      <c r="BZ83" s="1">
        <f>286517*(1)</f>
        <v>286517</v>
      </c>
      <c r="CA83" s="1" t="s">
        <v>1289</v>
      </c>
      <c r="CB83" s="1">
        <f>0.668*(1)</f>
        <v>0.66800000000000004</v>
      </c>
      <c r="CC83" s="1" t="s">
        <v>92</v>
      </c>
      <c r="CD83" s="1">
        <f>168350*(1)</f>
        <v>168350</v>
      </c>
      <c r="CE83" s="1" t="s">
        <v>1290</v>
      </c>
      <c r="CF83" s="1">
        <f>0.742*(1)</f>
        <v>0.74199999999999999</v>
      </c>
      <c r="CG83" s="1" t="s">
        <v>92</v>
      </c>
      <c r="CH83" s="1">
        <f>56754*(1)</f>
        <v>56754</v>
      </c>
      <c r="CI83" s="1" t="s">
        <v>496</v>
      </c>
      <c r="CJ83" s="1">
        <f>0.869*(1)</f>
        <v>0.86899999999999999</v>
      </c>
      <c r="CK83" s="1" t="s">
        <v>94</v>
      </c>
      <c r="CL83" s="1">
        <f>168067*(1)</f>
        <v>168067</v>
      </c>
      <c r="CM83" s="1" t="s">
        <v>1291</v>
      </c>
      <c r="CN83" s="1">
        <f>0.918*(1)</f>
        <v>0.91800000000000004</v>
      </c>
      <c r="CO83" s="1" t="s">
        <v>120</v>
      </c>
      <c r="CP83" s="1">
        <f>98228*(1)</f>
        <v>98228</v>
      </c>
      <c r="CQ83" s="1" t="s">
        <v>1292</v>
      </c>
      <c r="CR83" s="1">
        <f>0.899*(1)</f>
        <v>0.89900000000000002</v>
      </c>
      <c r="CS83" s="1" t="s">
        <v>109</v>
      </c>
      <c r="CT83" s="1">
        <f>367091*(1)</f>
        <v>367091</v>
      </c>
      <c r="CU83" s="1" t="s">
        <v>1293</v>
      </c>
      <c r="CV83" s="1">
        <f>0.685*(1)</f>
        <v>0.68500000000000005</v>
      </c>
      <c r="CW83" s="1" t="s">
        <v>96</v>
      </c>
      <c r="CX83" s="1" t="s">
        <v>918</v>
      </c>
      <c r="CY83" s="1" t="s">
        <v>918</v>
      </c>
      <c r="CZ83" s="1" t="s">
        <v>918</v>
      </c>
      <c r="DA83" s="1" t="s">
        <v>918</v>
      </c>
      <c r="DB83" s="1">
        <f>141189*(1)</f>
        <v>141189</v>
      </c>
      <c r="DC83" s="1" t="s">
        <v>1294</v>
      </c>
      <c r="DD83" s="1">
        <f>0.869*(1)</f>
        <v>0.86899999999999999</v>
      </c>
      <c r="DE83" s="1" t="s">
        <v>87</v>
      </c>
      <c r="DF83" s="1">
        <f>104110*(1)</f>
        <v>104110</v>
      </c>
      <c r="DG83" s="1" t="s">
        <v>1295</v>
      </c>
      <c r="DH83" s="1">
        <f>0.832*(1)</f>
        <v>0.83199999999999996</v>
      </c>
      <c r="DI83" s="1" t="s">
        <v>141</v>
      </c>
      <c r="DJ83" s="1">
        <f>68334*(1)</f>
        <v>68334</v>
      </c>
      <c r="DK83" s="1" t="s">
        <v>1296</v>
      </c>
      <c r="DL83" s="1">
        <f>0.889*(1)</f>
        <v>0.88900000000000001</v>
      </c>
      <c r="DM83" s="1" t="s">
        <v>94</v>
      </c>
      <c r="DN83" s="1">
        <f>67146*(1)</f>
        <v>67146</v>
      </c>
      <c r="DO83" s="1" t="s">
        <v>407</v>
      </c>
      <c r="DP83" s="1">
        <f>0.915*(1)</f>
        <v>0.91500000000000004</v>
      </c>
      <c r="DQ83" s="1" t="s">
        <v>109</v>
      </c>
      <c r="DR83" s="1">
        <f>315933*(1)</f>
        <v>315933</v>
      </c>
      <c r="DS83" s="1" t="s">
        <v>1297</v>
      </c>
      <c r="DT83" s="1">
        <f>0.845*(1)</f>
        <v>0.84499999999999997</v>
      </c>
      <c r="DU83" s="1" t="s">
        <v>94</v>
      </c>
      <c r="DV83" s="1">
        <f>396428*(1)</f>
        <v>396428</v>
      </c>
      <c r="DW83" s="1" t="s">
        <v>1298</v>
      </c>
      <c r="DX83" s="1">
        <f>0.737*(1)</f>
        <v>0.73699999999999999</v>
      </c>
      <c r="DY83" s="1" t="s">
        <v>94</v>
      </c>
      <c r="DZ83" s="1">
        <f>171058*(1)</f>
        <v>171058</v>
      </c>
      <c r="EA83" s="1" t="s">
        <v>1299</v>
      </c>
      <c r="EB83" s="1">
        <f>0.85*(1)</f>
        <v>0.85</v>
      </c>
      <c r="EC83" s="1" t="s">
        <v>145</v>
      </c>
      <c r="ED83" s="1">
        <f>86308*(1)</f>
        <v>86308</v>
      </c>
      <c r="EE83" s="1" t="s">
        <v>1007</v>
      </c>
      <c r="EF83" s="1">
        <f>0.933*(1)</f>
        <v>0.93300000000000005</v>
      </c>
      <c r="EG83" s="1" t="s">
        <v>92</v>
      </c>
      <c r="EH83" s="1">
        <f>203622*(1)</f>
        <v>203622</v>
      </c>
      <c r="EI83" s="1" t="s">
        <v>1300</v>
      </c>
      <c r="EJ83" s="1">
        <f>0.826*(1)</f>
        <v>0.82599999999999996</v>
      </c>
      <c r="EK83" s="1" t="s">
        <v>145</v>
      </c>
      <c r="EL83" s="1">
        <f>108214*(1)</f>
        <v>108214</v>
      </c>
      <c r="EM83" s="1" t="s">
        <v>347</v>
      </c>
      <c r="EN83" s="1">
        <f>0.927*(1)</f>
        <v>0.92700000000000005</v>
      </c>
      <c r="EO83" s="1" t="s">
        <v>94</v>
      </c>
      <c r="EP83" s="1">
        <f>114327*(1)</f>
        <v>114327</v>
      </c>
      <c r="EQ83" s="1" t="s">
        <v>1073</v>
      </c>
      <c r="ER83" s="1">
        <f>0.863*(1)</f>
        <v>0.86299999999999999</v>
      </c>
      <c r="ES83" s="1" t="s">
        <v>90</v>
      </c>
    </row>
    <row r="84" spans="1:149" ht="28.8" x14ac:dyDescent="0.3">
      <c r="A84" s="8" t="s">
        <v>1301</v>
      </c>
      <c r="B84" s="1">
        <f>9283*(1)</f>
        <v>9283</v>
      </c>
      <c r="C84" s="1" t="s">
        <v>1302</v>
      </c>
      <c r="D84" s="1">
        <f>0.091*(1)</f>
        <v>9.0999999999999998E-2</v>
      </c>
      <c r="E84" s="1" t="s">
        <v>329</v>
      </c>
      <c r="F84" s="1">
        <f>3145*(1)</f>
        <v>3145</v>
      </c>
      <c r="G84" s="1" t="s">
        <v>990</v>
      </c>
      <c r="H84" s="1">
        <f>0.032*(1)</f>
        <v>3.2000000000000001E-2</v>
      </c>
      <c r="I84" s="1" t="s">
        <v>87</v>
      </c>
      <c r="J84" s="1">
        <f>2255*(1)</f>
        <v>2255</v>
      </c>
      <c r="K84" s="1" t="s">
        <v>506</v>
      </c>
      <c r="L84" s="1">
        <f>0.034*(1)</f>
        <v>3.4000000000000002E-2</v>
      </c>
      <c r="M84" s="1" t="s">
        <v>109</v>
      </c>
      <c r="N84" s="1">
        <f>27582*(1)</f>
        <v>27582</v>
      </c>
      <c r="O84" s="1" t="s">
        <v>1303</v>
      </c>
      <c r="P84" s="1">
        <f>0.071*(1)</f>
        <v>7.0999999999999994E-2</v>
      </c>
      <c r="Q84" s="1" t="s">
        <v>120</v>
      </c>
      <c r="R84" s="1">
        <f>10010*(1)</f>
        <v>10010</v>
      </c>
      <c r="S84" s="1" t="s">
        <v>1304</v>
      </c>
      <c r="T84" s="1">
        <f>0.074*(1)</f>
        <v>7.3999999999999996E-2</v>
      </c>
      <c r="U84" s="1" t="s">
        <v>132</v>
      </c>
      <c r="V84" s="1">
        <f>3417*(1)</f>
        <v>3417</v>
      </c>
      <c r="W84" s="1" t="s">
        <v>365</v>
      </c>
      <c r="X84" s="1">
        <f>0.016*(1)</f>
        <v>1.6E-2</v>
      </c>
      <c r="Y84" s="1" t="s">
        <v>92</v>
      </c>
      <c r="Z84" s="1">
        <f>1767*(1)</f>
        <v>1767</v>
      </c>
      <c r="AA84" s="1" t="s">
        <v>625</v>
      </c>
      <c r="AB84" s="1">
        <f>0.017*(1)</f>
        <v>1.7000000000000001E-2</v>
      </c>
      <c r="AC84" s="1" t="s">
        <v>109</v>
      </c>
      <c r="AD84" s="1">
        <f>354829*(1)</f>
        <v>354829</v>
      </c>
      <c r="AE84" s="1" t="s">
        <v>1305</v>
      </c>
      <c r="AF84" s="1">
        <f>0.284*(1)</f>
        <v>0.28399999999999997</v>
      </c>
      <c r="AG84" s="1" t="s">
        <v>92</v>
      </c>
      <c r="AH84" s="1">
        <f>9202*(1)</f>
        <v>9202</v>
      </c>
      <c r="AI84" s="1" t="s">
        <v>868</v>
      </c>
      <c r="AJ84" s="1">
        <f>0.042*(1)</f>
        <v>4.2000000000000003E-2</v>
      </c>
      <c r="AK84" s="1" t="s">
        <v>96</v>
      </c>
      <c r="AL84" s="1">
        <f>6822*(1)</f>
        <v>6822</v>
      </c>
      <c r="AM84" s="1" t="s">
        <v>742</v>
      </c>
      <c r="AN84" s="1">
        <f>0.091*(1)</f>
        <v>9.0999999999999998E-2</v>
      </c>
      <c r="AO84" s="1" t="s">
        <v>141</v>
      </c>
      <c r="AP84" s="1">
        <f>10524*(1)</f>
        <v>10524</v>
      </c>
      <c r="AQ84" s="1" t="s">
        <v>1306</v>
      </c>
      <c r="AR84" s="1">
        <f>0.065*(1)</f>
        <v>6.5000000000000002E-2</v>
      </c>
      <c r="AS84" s="1" t="s">
        <v>145</v>
      </c>
      <c r="AT84" s="1">
        <f>304704*(1)</f>
        <v>304704</v>
      </c>
      <c r="AU84" s="1" t="s">
        <v>1307</v>
      </c>
      <c r="AV84" s="1">
        <f>0.231*(1)</f>
        <v>0.23100000000000001</v>
      </c>
      <c r="AW84" s="1" t="s">
        <v>94</v>
      </c>
      <c r="AX84" s="1">
        <f>585*(1)</f>
        <v>585</v>
      </c>
      <c r="AY84" s="1" t="s">
        <v>872</v>
      </c>
      <c r="AZ84" s="1">
        <f>0.006*(1)</f>
        <v>6.0000000000000001E-3</v>
      </c>
      <c r="BA84" s="1" t="s">
        <v>92</v>
      </c>
      <c r="BB84" s="1">
        <f>10397*(1)</f>
        <v>10397</v>
      </c>
      <c r="BC84" s="1" t="s">
        <v>1308</v>
      </c>
      <c r="BD84" s="1">
        <f>0.062*(1)</f>
        <v>6.2E-2</v>
      </c>
      <c r="BE84" s="1" t="s">
        <v>120</v>
      </c>
      <c r="BF84" s="1">
        <f>205035*(1)</f>
        <v>205035</v>
      </c>
      <c r="BG84" s="1" t="s">
        <v>1309</v>
      </c>
      <c r="BH84" s="1">
        <f>0.248*(1)</f>
        <v>0.248</v>
      </c>
      <c r="BI84" s="1" t="s">
        <v>90</v>
      </c>
      <c r="BJ84" s="1">
        <f>1335*(1)</f>
        <v>1335</v>
      </c>
      <c r="BK84" s="1" t="s">
        <v>875</v>
      </c>
      <c r="BL84" s="1">
        <f>0.018*(1)</f>
        <v>1.7999999999999999E-2</v>
      </c>
      <c r="BM84" s="1" t="s">
        <v>90</v>
      </c>
      <c r="BN84" s="1">
        <f>10624*(1)</f>
        <v>10624</v>
      </c>
      <c r="BO84" s="1" t="s">
        <v>1310</v>
      </c>
      <c r="BP84" s="1">
        <f>0.046*(1)</f>
        <v>4.5999999999999999E-2</v>
      </c>
      <c r="BQ84" s="1" t="s">
        <v>120</v>
      </c>
      <c r="BR84" s="1">
        <f>6571*(1)</f>
        <v>6571</v>
      </c>
      <c r="BS84" s="1" t="s">
        <v>877</v>
      </c>
      <c r="BT84" s="1">
        <f>0.036*(1)</f>
        <v>3.5999999999999997E-2</v>
      </c>
      <c r="BU84" s="1" t="s">
        <v>120</v>
      </c>
      <c r="BV84" s="1">
        <f>21931*(1)</f>
        <v>21931</v>
      </c>
      <c r="BW84" s="1" t="s">
        <v>1311</v>
      </c>
      <c r="BX84" s="1">
        <f>0.069*(1)</f>
        <v>6.9000000000000006E-2</v>
      </c>
      <c r="BY84" s="1" t="s">
        <v>120</v>
      </c>
      <c r="BZ84" s="1">
        <f>73572*(1)</f>
        <v>73572</v>
      </c>
      <c r="CA84" s="1" t="s">
        <v>1312</v>
      </c>
      <c r="CB84" s="1">
        <f>0.171*(1)</f>
        <v>0.17100000000000001</v>
      </c>
      <c r="CC84" s="1" t="s">
        <v>132</v>
      </c>
      <c r="CD84" s="1">
        <f>32391*(1)</f>
        <v>32391</v>
      </c>
      <c r="CE84" s="1" t="s">
        <v>1313</v>
      </c>
      <c r="CF84" s="1">
        <f>0.143*(1)</f>
        <v>0.14299999999999999</v>
      </c>
      <c r="CG84" s="1" t="s">
        <v>90</v>
      </c>
      <c r="CH84" s="1">
        <f>2927*(1)</f>
        <v>2927</v>
      </c>
      <c r="CI84" s="1" t="s">
        <v>1314</v>
      </c>
      <c r="CJ84" s="1">
        <f>0.045*(1)</f>
        <v>4.4999999999999998E-2</v>
      </c>
      <c r="CK84" s="1" t="s">
        <v>145</v>
      </c>
      <c r="CL84" s="1">
        <f>2674*(1)</f>
        <v>2674</v>
      </c>
      <c r="CM84" s="1" t="s">
        <v>692</v>
      </c>
      <c r="CN84" s="1">
        <f>0.015*(1)</f>
        <v>1.4999999999999999E-2</v>
      </c>
      <c r="CO84" s="1" t="s">
        <v>96</v>
      </c>
      <c r="CP84" s="1">
        <f>2638*(1)</f>
        <v>2638</v>
      </c>
      <c r="CQ84" s="1" t="s">
        <v>882</v>
      </c>
      <c r="CR84" s="1">
        <f>0.024*(1)</f>
        <v>2.4E-2</v>
      </c>
      <c r="CS84" s="1" t="s">
        <v>90</v>
      </c>
      <c r="CT84" s="1">
        <f>110362*(1)</f>
        <v>110362</v>
      </c>
      <c r="CU84" s="1" t="s">
        <v>1315</v>
      </c>
      <c r="CV84" s="1">
        <f>0.206*(1)</f>
        <v>0.20599999999999999</v>
      </c>
      <c r="CW84" s="1" t="s">
        <v>94</v>
      </c>
      <c r="CX84" s="1" t="s">
        <v>918</v>
      </c>
      <c r="CY84" s="1" t="s">
        <v>918</v>
      </c>
      <c r="CZ84" s="1" t="s">
        <v>918</v>
      </c>
      <c r="DA84" s="1" t="s">
        <v>918</v>
      </c>
      <c r="DB84" s="1">
        <f>6042*(1)</f>
        <v>6042</v>
      </c>
      <c r="DC84" s="1" t="s">
        <v>885</v>
      </c>
      <c r="DD84" s="1">
        <f>0.037*(1)</f>
        <v>3.6999999999999998E-2</v>
      </c>
      <c r="DE84" s="1" t="s">
        <v>90</v>
      </c>
      <c r="DF84" s="1">
        <f>7291*(1)</f>
        <v>7291</v>
      </c>
      <c r="DG84" s="1" t="s">
        <v>1316</v>
      </c>
      <c r="DH84" s="1">
        <f>0.058*(1)</f>
        <v>5.8000000000000003E-2</v>
      </c>
      <c r="DI84" s="1" t="s">
        <v>145</v>
      </c>
      <c r="DJ84" s="1">
        <f>3173*(1)</f>
        <v>3173</v>
      </c>
      <c r="DK84" s="1" t="s">
        <v>181</v>
      </c>
      <c r="DL84" s="1">
        <f>0.041*(1)</f>
        <v>4.1000000000000002E-2</v>
      </c>
      <c r="DM84" s="1" t="s">
        <v>109</v>
      </c>
      <c r="DN84" s="1">
        <f>1403*(1)</f>
        <v>1403</v>
      </c>
      <c r="DO84" s="1" t="s">
        <v>1317</v>
      </c>
      <c r="DP84" s="1">
        <f>0.019*(1)</f>
        <v>1.9E-2</v>
      </c>
      <c r="DQ84" s="1" t="s">
        <v>90</v>
      </c>
      <c r="DR84" s="1">
        <f>22601*(1)</f>
        <v>22601</v>
      </c>
      <c r="DS84" s="1" t="s">
        <v>1318</v>
      </c>
      <c r="DT84" s="1">
        <f>0.06*(1)</f>
        <v>0.06</v>
      </c>
      <c r="DU84" s="1" t="s">
        <v>120</v>
      </c>
      <c r="DV84" s="1">
        <f>65298*(1)</f>
        <v>65298</v>
      </c>
      <c r="DW84" s="1" t="s">
        <v>1319</v>
      </c>
      <c r="DX84" s="1">
        <f>0.121*(1)</f>
        <v>0.121</v>
      </c>
      <c r="DY84" s="1" t="s">
        <v>87</v>
      </c>
      <c r="DZ84" s="1">
        <f>15668*(1)</f>
        <v>15668</v>
      </c>
      <c r="EA84" s="1" t="s">
        <v>1320</v>
      </c>
      <c r="EB84" s="1">
        <f>0.078*(1)</f>
        <v>7.8E-2</v>
      </c>
      <c r="EC84" s="1" t="s">
        <v>109</v>
      </c>
      <c r="ED84" s="1">
        <f>826*(1)</f>
        <v>826</v>
      </c>
      <c r="EE84" s="1" t="s">
        <v>890</v>
      </c>
      <c r="EF84" s="1">
        <f>0.009*(1)</f>
        <v>8.9999999999999993E-3</v>
      </c>
      <c r="EG84" s="1" t="s">
        <v>96</v>
      </c>
      <c r="EH84" s="1">
        <f>8356*(1)</f>
        <v>8356</v>
      </c>
      <c r="EI84" s="1" t="s">
        <v>1321</v>
      </c>
      <c r="EJ84" s="1">
        <f>0.034*(1)</f>
        <v>3.4000000000000002E-2</v>
      </c>
      <c r="EK84" s="1" t="s">
        <v>120</v>
      </c>
      <c r="EL84" s="1">
        <f>1979*(1)</f>
        <v>1979</v>
      </c>
      <c r="EM84" s="1" t="s">
        <v>892</v>
      </c>
      <c r="EN84" s="1">
        <f>0.017*(1)</f>
        <v>1.7000000000000001E-2</v>
      </c>
      <c r="EO84" s="1" t="s">
        <v>94</v>
      </c>
      <c r="EP84" s="1">
        <f>2246*(1)</f>
        <v>2246</v>
      </c>
      <c r="EQ84" s="1" t="s">
        <v>548</v>
      </c>
      <c r="ER84" s="1">
        <f>0.017*(1)</f>
        <v>1.7000000000000001E-2</v>
      </c>
      <c r="ES84" s="1" t="s">
        <v>96</v>
      </c>
    </row>
    <row r="85" spans="1:149" ht="28.8" x14ac:dyDescent="0.3">
      <c r="A85" s="8" t="s">
        <v>1322</v>
      </c>
      <c r="B85" s="1">
        <f>574*(1)</f>
        <v>574</v>
      </c>
      <c r="C85" s="1" t="s">
        <v>467</v>
      </c>
      <c r="D85" s="1">
        <f>0.006*(1)</f>
        <v>6.0000000000000001E-3</v>
      </c>
      <c r="E85" s="1" t="s">
        <v>120</v>
      </c>
      <c r="F85" s="1">
        <f>18*(1)</f>
        <v>18</v>
      </c>
      <c r="G85" s="1" t="s">
        <v>894</v>
      </c>
      <c r="H85" s="1">
        <f>0*(1)</f>
        <v>0</v>
      </c>
      <c r="I85" s="1" t="s">
        <v>99</v>
      </c>
      <c r="J85" s="1">
        <f>21*(1)</f>
        <v>21</v>
      </c>
      <c r="K85" s="1" t="s">
        <v>895</v>
      </c>
      <c r="L85" s="1">
        <f>0*(1)</f>
        <v>0</v>
      </c>
      <c r="M85" s="1" t="s">
        <v>99</v>
      </c>
      <c r="N85" s="1">
        <f>620*(1)</f>
        <v>620</v>
      </c>
      <c r="O85" s="1" t="s">
        <v>1323</v>
      </c>
      <c r="P85" s="1">
        <f>0.002*(1)</f>
        <v>2E-3</v>
      </c>
      <c r="Q85" s="1" t="s">
        <v>99</v>
      </c>
      <c r="R85" s="1">
        <f>16*(1)</f>
        <v>16</v>
      </c>
      <c r="S85" s="1" t="s">
        <v>739</v>
      </c>
      <c r="T85" s="1">
        <f>0*(1)</f>
        <v>0</v>
      </c>
      <c r="U85" s="1" t="s">
        <v>99</v>
      </c>
      <c r="V85" s="1">
        <f>36*(1)</f>
        <v>36</v>
      </c>
      <c r="W85" s="1" t="s">
        <v>719</v>
      </c>
      <c r="X85" s="1">
        <f>0*(1)</f>
        <v>0</v>
      </c>
      <c r="Y85" s="1" t="s">
        <v>99</v>
      </c>
      <c r="Z85" s="1">
        <f>221*(1)</f>
        <v>221</v>
      </c>
      <c r="AA85" s="1" t="s">
        <v>897</v>
      </c>
      <c r="AB85" s="1">
        <f>0.002*(1)</f>
        <v>2E-3</v>
      </c>
      <c r="AC85" s="1" t="s">
        <v>111</v>
      </c>
      <c r="AD85" s="1">
        <f>534*(1)</f>
        <v>534</v>
      </c>
      <c r="AE85" s="1" t="s">
        <v>1324</v>
      </c>
      <c r="AF85" s="1">
        <f>0*(1)</f>
        <v>0</v>
      </c>
      <c r="AG85" s="1" t="s">
        <v>99</v>
      </c>
      <c r="AH85" s="1">
        <f>0*(1)</f>
        <v>0</v>
      </c>
      <c r="AI85" s="1" t="s">
        <v>723</v>
      </c>
      <c r="AJ85" s="1">
        <f>0*(1)</f>
        <v>0</v>
      </c>
      <c r="AK85" s="1" t="s">
        <v>99</v>
      </c>
      <c r="AL85" s="1">
        <f>59*(1)</f>
        <v>59</v>
      </c>
      <c r="AM85" s="1" t="s">
        <v>979</v>
      </c>
      <c r="AN85" s="1">
        <f>0.001*(1)</f>
        <v>1E-3</v>
      </c>
      <c r="AO85" s="1" t="s">
        <v>99</v>
      </c>
      <c r="AP85" s="1">
        <f>0*(1)</f>
        <v>0</v>
      </c>
      <c r="AQ85" s="1" t="s">
        <v>723</v>
      </c>
      <c r="AR85" s="1">
        <f>0*(1)</f>
        <v>0</v>
      </c>
      <c r="AS85" s="1" t="s">
        <v>99</v>
      </c>
      <c r="AT85" s="1">
        <f>745*(1)</f>
        <v>745</v>
      </c>
      <c r="AU85" s="1" t="s">
        <v>1317</v>
      </c>
      <c r="AV85" s="1">
        <f>0.001*(1)</f>
        <v>1E-3</v>
      </c>
      <c r="AW85" s="1" t="s">
        <v>99</v>
      </c>
      <c r="AX85" s="1">
        <f>0*(1)</f>
        <v>0</v>
      </c>
      <c r="AY85" s="1" t="s">
        <v>723</v>
      </c>
      <c r="AZ85" s="1">
        <f>0*(1)</f>
        <v>0</v>
      </c>
      <c r="BA85" s="1" t="s">
        <v>111</v>
      </c>
      <c r="BB85" s="1">
        <f>193*(1)</f>
        <v>193</v>
      </c>
      <c r="BC85" s="1" t="s">
        <v>903</v>
      </c>
      <c r="BD85" s="1">
        <f>0.001*(1)</f>
        <v>1E-3</v>
      </c>
      <c r="BE85" s="1" t="s">
        <v>99</v>
      </c>
      <c r="BF85" s="1">
        <f>86*(1)</f>
        <v>86</v>
      </c>
      <c r="BG85" s="1" t="s">
        <v>899</v>
      </c>
      <c r="BH85" s="1">
        <f>0*(1)</f>
        <v>0</v>
      </c>
      <c r="BI85" s="1" t="s">
        <v>99</v>
      </c>
      <c r="BJ85" s="1">
        <f>0*(1)</f>
        <v>0</v>
      </c>
      <c r="BK85" s="1" t="s">
        <v>723</v>
      </c>
      <c r="BL85" s="1">
        <f>0*(1)</f>
        <v>0</v>
      </c>
      <c r="BM85" s="1" t="s">
        <v>111</v>
      </c>
      <c r="BN85" s="1">
        <f>51*(1)</f>
        <v>51</v>
      </c>
      <c r="BO85" s="1" t="s">
        <v>178</v>
      </c>
      <c r="BP85" s="1">
        <f>0*(1)</f>
        <v>0</v>
      </c>
      <c r="BQ85" s="1" t="s">
        <v>99</v>
      </c>
      <c r="BR85" s="1">
        <f>156*(1)</f>
        <v>156</v>
      </c>
      <c r="BS85" s="1" t="s">
        <v>767</v>
      </c>
      <c r="BT85" s="1">
        <f>0.001*(1)</f>
        <v>1E-3</v>
      </c>
      <c r="BU85" s="1" t="s">
        <v>99</v>
      </c>
      <c r="BV85" s="1">
        <f>360*(1)</f>
        <v>360</v>
      </c>
      <c r="BW85" s="1" t="s">
        <v>1325</v>
      </c>
      <c r="BX85" s="1">
        <f>0.001*(1)</f>
        <v>1E-3</v>
      </c>
      <c r="BY85" s="1" t="s">
        <v>99</v>
      </c>
      <c r="BZ85" s="1">
        <f>1040*(1)</f>
        <v>1040</v>
      </c>
      <c r="CA85" s="1" t="s">
        <v>526</v>
      </c>
      <c r="CB85" s="1">
        <f>0.002*(1)</f>
        <v>2E-3</v>
      </c>
      <c r="CC85" s="1" t="s">
        <v>99</v>
      </c>
      <c r="CD85" s="1">
        <f>92*(1)</f>
        <v>92</v>
      </c>
      <c r="CE85" s="1" t="s">
        <v>104</v>
      </c>
      <c r="CF85" s="1">
        <f>0*(1)</f>
        <v>0</v>
      </c>
      <c r="CG85" s="1" t="s">
        <v>99</v>
      </c>
      <c r="CH85" s="1">
        <f>262*(1)</f>
        <v>262</v>
      </c>
      <c r="CI85" s="1" t="s">
        <v>908</v>
      </c>
      <c r="CJ85" s="1">
        <f>0.004*(1)</f>
        <v>4.0000000000000001E-3</v>
      </c>
      <c r="CK85" s="1" t="s">
        <v>90</v>
      </c>
      <c r="CL85" s="1">
        <f>56*(1)</f>
        <v>56</v>
      </c>
      <c r="CM85" s="1" t="s">
        <v>1326</v>
      </c>
      <c r="CN85" s="1">
        <f>0*(1)</f>
        <v>0</v>
      </c>
      <c r="CO85" s="1" t="s">
        <v>99</v>
      </c>
      <c r="CP85" s="1">
        <f>44*(1)</f>
        <v>44</v>
      </c>
      <c r="CQ85" s="1" t="s">
        <v>1082</v>
      </c>
      <c r="CR85" s="1">
        <f>0*(1)</f>
        <v>0</v>
      </c>
      <c r="CS85" s="1" t="s">
        <v>99</v>
      </c>
      <c r="CT85" s="1">
        <f>456*(1)</f>
        <v>456</v>
      </c>
      <c r="CU85" s="1" t="s">
        <v>712</v>
      </c>
      <c r="CV85" s="1">
        <f>0.001*(1)</f>
        <v>1E-3</v>
      </c>
      <c r="CW85" s="1" t="s">
        <v>99</v>
      </c>
      <c r="CX85" s="1" t="s">
        <v>918</v>
      </c>
      <c r="CY85" s="1" t="s">
        <v>918</v>
      </c>
      <c r="CZ85" s="1" t="s">
        <v>918</v>
      </c>
      <c r="DA85" s="1" t="s">
        <v>918</v>
      </c>
      <c r="DB85" s="1">
        <f>149*(1)</f>
        <v>149</v>
      </c>
      <c r="DC85" s="1" t="s">
        <v>910</v>
      </c>
      <c r="DD85" s="1">
        <f>0.001*(1)</f>
        <v>1E-3</v>
      </c>
      <c r="DE85" s="1" t="s">
        <v>99</v>
      </c>
      <c r="DF85" s="1">
        <f>312*(1)</f>
        <v>312</v>
      </c>
      <c r="DG85" s="1" t="s">
        <v>411</v>
      </c>
      <c r="DH85" s="1">
        <f>0.002*(1)</f>
        <v>2E-3</v>
      </c>
      <c r="DI85" s="1" t="s">
        <v>92</v>
      </c>
      <c r="DJ85" s="1">
        <f>212*(1)</f>
        <v>212</v>
      </c>
      <c r="DK85" s="1" t="s">
        <v>911</v>
      </c>
      <c r="DL85" s="1">
        <f>0.003*(1)</f>
        <v>3.0000000000000001E-3</v>
      </c>
      <c r="DM85" s="1" t="s">
        <v>111</v>
      </c>
      <c r="DN85" s="1">
        <f>29*(1)</f>
        <v>29</v>
      </c>
      <c r="DO85" s="1" t="s">
        <v>785</v>
      </c>
      <c r="DP85" s="1">
        <f>0*(1)</f>
        <v>0</v>
      </c>
      <c r="DQ85" s="1" t="s">
        <v>99</v>
      </c>
      <c r="DR85" s="1">
        <f>365*(1)</f>
        <v>365</v>
      </c>
      <c r="DS85" s="1" t="s">
        <v>1327</v>
      </c>
      <c r="DT85" s="1">
        <f>0.001*(1)</f>
        <v>1E-3</v>
      </c>
      <c r="DU85" s="1" t="s">
        <v>99</v>
      </c>
      <c r="DV85" s="1">
        <f>1117*(1)</f>
        <v>1117</v>
      </c>
      <c r="DW85" s="1" t="s">
        <v>1328</v>
      </c>
      <c r="DX85" s="1">
        <f>0.002*(1)</f>
        <v>2E-3</v>
      </c>
      <c r="DY85" s="1" t="s">
        <v>99</v>
      </c>
      <c r="DZ85" s="1">
        <f>0*(1)</f>
        <v>0</v>
      </c>
      <c r="EA85" s="1" t="s">
        <v>723</v>
      </c>
      <c r="EB85" s="1">
        <f>0*(1)</f>
        <v>0</v>
      </c>
      <c r="EC85" s="1" t="s">
        <v>99</v>
      </c>
      <c r="ED85" s="1">
        <f>74*(1)</f>
        <v>74</v>
      </c>
      <c r="EE85" s="1" t="s">
        <v>915</v>
      </c>
      <c r="EF85" s="1">
        <f>0.001*(1)</f>
        <v>1E-3</v>
      </c>
      <c r="EG85" s="1" t="s">
        <v>99</v>
      </c>
      <c r="EH85" s="1">
        <f>405*(1)</f>
        <v>405</v>
      </c>
      <c r="EI85" s="1" t="s">
        <v>916</v>
      </c>
      <c r="EJ85" s="1">
        <f>0.002*(1)</f>
        <v>2E-3</v>
      </c>
      <c r="EK85" s="1" t="s">
        <v>99</v>
      </c>
      <c r="EL85" s="1">
        <f>0*(1)</f>
        <v>0</v>
      </c>
      <c r="EM85" s="1" t="s">
        <v>723</v>
      </c>
      <c r="EN85" s="1">
        <f>0*(1)</f>
        <v>0</v>
      </c>
      <c r="EO85" s="1" t="s">
        <v>99</v>
      </c>
      <c r="EP85" s="1">
        <f>374*(1)</f>
        <v>374</v>
      </c>
      <c r="EQ85" s="1" t="s">
        <v>1329</v>
      </c>
      <c r="ER85" s="1">
        <f>0.003*(1)</f>
        <v>3.0000000000000001E-3</v>
      </c>
      <c r="ES85" s="1" t="s">
        <v>111</v>
      </c>
    </row>
    <row r="86" spans="1:149" x14ac:dyDescent="0.3">
      <c r="A86" s="8" t="s">
        <v>1330</v>
      </c>
      <c r="B86" s="1">
        <f>942*(1)</f>
        <v>942</v>
      </c>
      <c r="C86" s="1" t="s">
        <v>923</v>
      </c>
      <c r="D86" s="1">
        <f>0.009*(1)</f>
        <v>8.9999999999999993E-3</v>
      </c>
      <c r="E86" s="1" t="s">
        <v>111</v>
      </c>
      <c r="F86" s="1">
        <f>362*(1)</f>
        <v>362</v>
      </c>
      <c r="G86" s="1" t="s">
        <v>392</v>
      </c>
      <c r="H86" s="1">
        <f>0.004*(1)</f>
        <v>4.0000000000000001E-3</v>
      </c>
      <c r="I86" s="1" t="s">
        <v>92</v>
      </c>
      <c r="J86" s="1">
        <f>153*(1)</f>
        <v>153</v>
      </c>
      <c r="K86" s="1" t="s">
        <v>924</v>
      </c>
      <c r="L86" s="1">
        <f>0.002*(1)</f>
        <v>2E-3</v>
      </c>
      <c r="M86" s="1" t="s">
        <v>92</v>
      </c>
      <c r="N86" s="1">
        <f>16594*(1)</f>
        <v>16594</v>
      </c>
      <c r="O86" s="1" t="s">
        <v>925</v>
      </c>
      <c r="P86" s="1">
        <f>0.043*(1)</f>
        <v>4.2999999999999997E-2</v>
      </c>
      <c r="Q86" s="1" t="s">
        <v>92</v>
      </c>
      <c r="R86" s="1">
        <f>991*(1)</f>
        <v>991</v>
      </c>
      <c r="S86" s="1" t="s">
        <v>762</v>
      </c>
      <c r="T86" s="1">
        <f>0.007*(1)</f>
        <v>7.0000000000000001E-3</v>
      </c>
      <c r="U86" s="1" t="s">
        <v>111</v>
      </c>
      <c r="V86" s="1">
        <f>2265*(1)</f>
        <v>2265</v>
      </c>
      <c r="W86" s="1" t="s">
        <v>414</v>
      </c>
      <c r="X86" s="1">
        <f>0.011*(1)</f>
        <v>1.0999999999999999E-2</v>
      </c>
      <c r="Y86" s="1" t="s">
        <v>92</v>
      </c>
      <c r="Z86" s="1">
        <f>211*(1)</f>
        <v>211</v>
      </c>
      <c r="AA86" s="1" t="s">
        <v>926</v>
      </c>
      <c r="AB86" s="1">
        <f>0.002*(1)</f>
        <v>2E-3</v>
      </c>
      <c r="AC86" s="1" t="s">
        <v>111</v>
      </c>
      <c r="AD86" s="1">
        <f>40048*(1)</f>
        <v>40048</v>
      </c>
      <c r="AE86" s="1" t="s">
        <v>1331</v>
      </c>
      <c r="AF86" s="1">
        <f>0.032*(1)</f>
        <v>3.2000000000000001E-2</v>
      </c>
      <c r="AG86" s="1" t="s">
        <v>111</v>
      </c>
      <c r="AH86" s="1">
        <f>16259*(1)</f>
        <v>16259</v>
      </c>
      <c r="AI86" s="1" t="s">
        <v>928</v>
      </c>
      <c r="AJ86" s="1">
        <f>0.074*(1)</f>
        <v>7.3999999999999996E-2</v>
      </c>
      <c r="AK86" s="1" t="s">
        <v>90</v>
      </c>
      <c r="AL86" s="1">
        <f>618*(1)</f>
        <v>618</v>
      </c>
      <c r="AM86" s="1" t="s">
        <v>929</v>
      </c>
      <c r="AN86" s="1">
        <f>0.008*(1)</f>
        <v>8.0000000000000002E-3</v>
      </c>
      <c r="AO86" s="1" t="s">
        <v>111</v>
      </c>
      <c r="AP86" s="1">
        <f>3887*(1)</f>
        <v>3887</v>
      </c>
      <c r="AQ86" s="1" t="s">
        <v>930</v>
      </c>
      <c r="AR86" s="1">
        <f>0.024*(1)</f>
        <v>2.4E-2</v>
      </c>
      <c r="AS86" s="1" t="s">
        <v>90</v>
      </c>
      <c r="AT86" s="1">
        <f>69202*(1)</f>
        <v>69202</v>
      </c>
      <c r="AU86" s="1" t="s">
        <v>1332</v>
      </c>
      <c r="AV86" s="1">
        <f>0.052*(1)</f>
        <v>5.1999999999999998E-2</v>
      </c>
      <c r="AW86" s="1" t="s">
        <v>111</v>
      </c>
      <c r="AX86" s="1">
        <f>262*(1)</f>
        <v>262</v>
      </c>
      <c r="AY86" s="1" t="s">
        <v>373</v>
      </c>
      <c r="AZ86" s="1">
        <f>0.003*(1)</f>
        <v>3.0000000000000001E-3</v>
      </c>
      <c r="BA86" s="1" t="s">
        <v>92</v>
      </c>
      <c r="BB86" s="1">
        <f>5378*(1)</f>
        <v>5378</v>
      </c>
      <c r="BC86" s="1" t="s">
        <v>1333</v>
      </c>
      <c r="BD86" s="1">
        <f>0.032*(1)</f>
        <v>3.2000000000000001E-2</v>
      </c>
      <c r="BE86" s="1" t="s">
        <v>92</v>
      </c>
      <c r="BF86" s="1">
        <f>22390*(1)</f>
        <v>22390</v>
      </c>
      <c r="BG86" s="1" t="s">
        <v>1334</v>
      </c>
      <c r="BH86" s="1">
        <f>0.027*(1)</f>
        <v>2.7E-2</v>
      </c>
      <c r="BI86" s="1" t="s">
        <v>111</v>
      </c>
      <c r="BJ86" s="1">
        <f>1204*(1)</f>
        <v>1204</v>
      </c>
      <c r="BK86" s="1" t="s">
        <v>1093</v>
      </c>
      <c r="BL86" s="1">
        <f>0.016*(1)</f>
        <v>1.6E-2</v>
      </c>
      <c r="BM86" s="1" t="s">
        <v>120</v>
      </c>
      <c r="BN86" s="1">
        <f>3455*(1)</f>
        <v>3455</v>
      </c>
      <c r="BO86" s="1" t="s">
        <v>934</v>
      </c>
      <c r="BP86" s="1">
        <f>0.015*(1)</f>
        <v>1.4999999999999999E-2</v>
      </c>
      <c r="BQ86" s="1" t="s">
        <v>111</v>
      </c>
      <c r="BR86" s="1">
        <f>5905*(1)</f>
        <v>5905</v>
      </c>
      <c r="BS86" s="1" t="s">
        <v>726</v>
      </c>
      <c r="BT86" s="1">
        <f>0.033*(1)</f>
        <v>3.3000000000000002E-2</v>
      </c>
      <c r="BU86" s="1" t="s">
        <v>92</v>
      </c>
      <c r="BV86" s="1">
        <f>3703*(1)</f>
        <v>3703</v>
      </c>
      <c r="BW86" s="1" t="s">
        <v>247</v>
      </c>
      <c r="BX86" s="1">
        <f>0.012*(1)</f>
        <v>1.2E-2</v>
      </c>
      <c r="BY86" s="1" t="s">
        <v>92</v>
      </c>
      <c r="BZ86" s="1">
        <f>6998*(1)</f>
        <v>6998</v>
      </c>
      <c r="CA86" s="1" t="s">
        <v>936</v>
      </c>
      <c r="CB86" s="1">
        <f>0.016*(1)</f>
        <v>1.6E-2</v>
      </c>
      <c r="CC86" s="1" t="s">
        <v>111</v>
      </c>
      <c r="CD86" s="1">
        <f>1991*(1)</f>
        <v>1991</v>
      </c>
      <c r="CE86" s="1" t="s">
        <v>289</v>
      </c>
      <c r="CF86" s="1">
        <f>0.009*(1)</f>
        <v>8.9999999999999993E-3</v>
      </c>
      <c r="CG86" s="1" t="s">
        <v>92</v>
      </c>
      <c r="CH86" s="1">
        <f>373*(1)</f>
        <v>373</v>
      </c>
      <c r="CI86" s="1" t="s">
        <v>573</v>
      </c>
      <c r="CJ86" s="1">
        <f>0.006*(1)</f>
        <v>6.0000000000000001E-3</v>
      </c>
      <c r="CK86" s="1" t="s">
        <v>111</v>
      </c>
      <c r="CL86" s="1">
        <f>2656*(1)</f>
        <v>2656</v>
      </c>
      <c r="CM86" s="1" t="s">
        <v>1335</v>
      </c>
      <c r="CN86" s="1">
        <f>0.015*(1)</f>
        <v>1.4999999999999999E-2</v>
      </c>
      <c r="CO86" s="1" t="s">
        <v>111</v>
      </c>
      <c r="CP86" s="1">
        <f>1880*(1)</f>
        <v>1880</v>
      </c>
      <c r="CQ86" s="1" t="s">
        <v>416</v>
      </c>
      <c r="CR86" s="1">
        <f>0.017*(1)</f>
        <v>1.7000000000000001E-2</v>
      </c>
      <c r="CS86" s="1" t="s">
        <v>94</v>
      </c>
      <c r="CT86" s="1">
        <f>11419*(1)</f>
        <v>11419</v>
      </c>
      <c r="CU86" s="1" t="s">
        <v>830</v>
      </c>
      <c r="CV86" s="1">
        <f>0.021*(1)</f>
        <v>2.1000000000000001E-2</v>
      </c>
      <c r="CW86" s="1" t="s">
        <v>111</v>
      </c>
      <c r="CX86" s="1" t="s">
        <v>918</v>
      </c>
      <c r="CY86" s="1" t="s">
        <v>918</v>
      </c>
      <c r="CZ86" s="1" t="s">
        <v>918</v>
      </c>
      <c r="DA86" s="1" t="s">
        <v>918</v>
      </c>
      <c r="DB86" s="1">
        <f>2755*(1)</f>
        <v>2755</v>
      </c>
      <c r="DC86" s="1" t="s">
        <v>274</v>
      </c>
      <c r="DD86" s="1">
        <f>0.017*(1)</f>
        <v>1.7000000000000001E-2</v>
      </c>
      <c r="DE86" s="1" t="s">
        <v>94</v>
      </c>
      <c r="DF86" s="1">
        <f>1148*(1)</f>
        <v>1148</v>
      </c>
      <c r="DG86" s="1" t="s">
        <v>1098</v>
      </c>
      <c r="DH86" s="1">
        <f>0.009*(1)</f>
        <v>8.9999999999999993E-3</v>
      </c>
      <c r="DI86" s="1" t="s">
        <v>92</v>
      </c>
      <c r="DJ86" s="1">
        <f>398*(1)</f>
        <v>398</v>
      </c>
      <c r="DK86" s="1" t="s">
        <v>939</v>
      </c>
      <c r="DL86" s="1">
        <f>0.005*(1)</f>
        <v>5.0000000000000001E-3</v>
      </c>
      <c r="DM86" s="1" t="s">
        <v>120</v>
      </c>
      <c r="DN86" s="1">
        <f>262*(1)</f>
        <v>262</v>
      </c>
      <c r="DO86" s="1" t="s">
        <v>940</v>
      </c>
      <c r="DP86" s="1">
        <f>0.004*(1)</f>
        <v>4.0000000000000001E-3</v>
      </c>
      <c r="DQ86" s="1" t="s">
        <v>96</v>
      </c>
      <c r="DR86" s="1">
        <f>3046*(1)</f>
        <v>3046</v>
      </c>
      <c r="DS86" s="1" t="s">
        <v>420</v>
      </c>
      <c r="DT86" s="1">
        <f>0.008*(1)</f>
        <v>8.0000000000000002E-3</v>
      </c>
      <c r="DU86" s="1" t="s">
        <v>111</v>
      </c>
      <c r="DV86" s="1">
        <f>22096*(1)</f>
        <v>22096</v>
      </c>
      <c r="DW86" s="1" t="s">
        <v>941</v>
      </c>
      <c r="DX86" s="1">
        <f>0.041*(1)</f>
        <v>4.1000000000000002E-2</v>
      </c>
      <c r="DY86" s="1" t="s">
        <v>92</v>
      </c>
      <c r="DZ86" s="1">
        <f>1161*(1)</f>
        <v>1161</v>
      </c>
      <c r="EA86" s="1" t="s">
        <v>582</v>
      </c>
      <c r="EB86" s="1">
        <f>0.006*(1)</f>
        <v>6.0000000000000001E-3</v>
      </c>
      <c r="EC86" s="1" t="s">
        <v>111</v>
      </c>
      <c r="ED86" s="1">
        <f>174*(1)</f>
        <v>174</v>
      </c>
      <c r="EE86" s="1" t="s">
        <v>943</v>
      </c>
      <c r="EF86" s="1">
        <f>0.002*(1)</f>
        <v>2E-3</v>
      </c>
      <c r="EG86" s="1" t="s">
        <v>99</v>
      </c>
      <c r="EH86" s="1">
        <f>15203*(1)</f>
        <v>15203</v>
      </c>
      <c r="EI86" s="1" t="s">
        <v>1336</v>
      </c>
      <c r="EJ86" s="1">
        <f>0.062*(1)</f>
        <v>6.2E-2</v>
      </c>
      <c r="EK86" s="1" t="s">
        <v>120</v>
      </c>
      <c r="EL86" s="1">
        <f>1421*(1)</f>
        <v>1421</v>
      </c>
      <c r="EM86" s="1" t="s">
        <v>778</v>
      </c>
      <c r="EN86" s="1">
        <f>0.012*(1)</f>
        <v>1.2E-2</v>
      </c>
      <c r="EO86" s="1" t="s">
        <v>99</v>
      </c>
      <c r="EP86" s="1">
        <f>2798*(1)</f>
        <v>2798</v>
      </c>
      <c r="EQ86" s="1" t="s">
        <v>944</v>
      </c>
      <c r="ER86" s="1">
        <f>0.021*(1)</f>
        <v>2.1000000000000001E-2</v>
      </c>
      <c r="ES86" s="1" t="s">
        <v>111</v>
      </c>
    </row>
    <row r="87" spans="1:149" ht="28.8" x14ac:dyDescent="0.3">
      <c r="A87" s="8" t="s">
        <v>1337</v>
      </c>
      <c r="B87" s="1">
        <f>23*(1)</f>
        <v>23</v>
      </c>
      <c r="C87" s="1" t="s">
        <v>1011</v>
      </c>
      <c r="D87" s="1">
        <f>0*(1)</f>
        <v>0</v>
      </c>
      <c r="E87" s="1" t="s">
        <v>99</v>
      </c>
      <c r="F87" s="1">
        <f>32*(1)</f>
        <v>32</v>
      </c>
      <c r="G87" s="1" t="s">
        <v>1012</v>
      </c>
      <c r="H87" s="1">
        <f>0*(1)</f>
        <v>0</v>
      </c>
      <c r="I87" s="1" t="s">
        <v>99</v>
      </c>
      <c r="J87" s="1">
        <f>44*(1)</f>
        <v>44</v>
      </c>
      <c r="K87" s="1" t="s">
        <v>1013</v>
      </c>
      <c r="L87" s="1">
        <f>0.001*(1)</f>
        <v>1E-3</v>
      </c>
      <c r="M87" s="1" t="s">
        <v>99</v>
      </c>
      <c r="N87" s="1">
        <f>951*(1)</f>
        <v>951</v>
      </c>
      <c r="O87" s="1" t="s">
        <v>1014</v>
      </c>
      <c r="P87" s="1">
        <f>0.002*(1)</f>
        <v>2E-3</v>
      </c>
      <c r="Q87" s="1" t="s">
        <v>96</v>
      </c>
      <c r="R87" s="1">
        <f>0*(1)</f>
        <v>0</v>
      </c>
      <c r="S87" s="1" t="s">
        <v>723</v>
      </c>
      <c r="T87" s="1">
        <f>0*(1)</f>
        <v>0</v>
      </c>
      <c r="U87" s="1" t="s">
        <v>99</v>
      </c>
      <c r="V87" s="1">
        <f>0*(1)</f>
        <v>0</v>
      </c>
      <c r="W87" s="1" t="s">
        <v>723</v>
      </c>
      <c r="X87" s="1">
        <f>0*(1)</f>
        <v>0</v>
      </c>
      <c r="Y87" s="1" t="s">
        <v>99</v>
      </c>
      <c r="Z87" s="1">
        <f>0*(1)</f>
        <v>0</v>
      </c>
      <c r="AA87" s="1" t="s">
        <v>723</v>
      </c>
      <c r="AB87" s="1">
        <f>0*(1)</f>
        <v>0</v>
      </c>
      <c r="AC87" s="1" t="s">
        <v>111</v>
      </c>
      <c r="AD87" s="1">
        <f>1516*(1)</f>
        <v>1516</v>
      </c>
      <c r="AE87" s="1" t="s">
        <v>1035</v>
      </c>
      <c r="AF87" s="1">
        <f>0.001*(1)</f>
        <v>1E-3</v>
      </c>
      <c r="AG87" s="1" t="s">
        <v>99</v>
      </c>
      <c r="AH87" s="1">
        <f>0*(1)</f>
        <v>0</v>
      </c>
      <c r="AI87" s="1" t="s">
        <v>723</v>
      </c>
      <c r="AJ87" s="1">
        <f>0*(1)</f>
        <v>0</v>
      </c>
      <c r="AK87" s="1" t="s">
        <v>99</v>
      </c>
      <c r="AL87" s="1">
        <f>77*(1)</f>
        <v>77</v>
      </c>
      <c r="AM87" s="1" t="s">
        <v>1016</v>
      </c>
      <c r="AN87" s="1">
        <f>0.001*(1)</f>
        <v>1E-3</v>
      </c>
      <c r="AO87" s="1" t="s">
        <v>111</v>
      </c>
      <c r="AP87" s="1">
        <f>375*(1)</f>
        <v>375</v>
      </c>
      <c r="AQ87" s="1" t="s">
        <v>269</v>
      </c>
      <c r="AR87" s="1">
        <f>0.002*(1)</f>
        <v>2E-3</v>
      </c>
      <c r="AS87" s="1" t="s">
        <v>92</v>
      </c>
      <c r="AT87" s="1">
        <f>199*(1)</f>
        <v>199</v>
      </c>
      <c r="AU87" s="1" t="s">
        <v>768</v>
      </c>
      <c r="AV87" s="1">
        <f>0*(1)</f>
        <v>0</v>
      </c>
      <c r="AW87" s="1" t="s">
        <v>99</v>
      </c>
      <c r="AX87" s="1">
        <f>96*(1)</f>
        <v>96</v>
      </c>
      <c r="AY87" s="1" t="s">
        <v>924</v>
      </c>
      <c r="AZ87" s="1">
        <f>0.001*(1)</f>
        <v>1E-3</v>
      </c>
      <c r="BA87" s="1" t="s">
        <v>111</v>
      </c>
      <c r="BB87" s="1">
        <f>0*(1)</f>
        <v>0</v>
      </c>
      <c r="BC87" s="1" t="s">
        <v>723</v>
      </c>
      <c r="BD87" s="1">
        <f>0*(1)</f>
        <v>0</v>
      </c>
      <c r="BE87" s="1" t="s">
        <v>99</v>
      </c>
      <c r="BF87" s="1">
        <f>53*(1)</f>
        <v>53</v>
      </c>
      <c r="BG87" s="1" t="s">
        <v>1338</v>
      </c>
      <c r="BH87" s="1">
        <f>0*(1)</f>
        <v>0</v>
      </c>
      <c r="BI87" s="1" t="s">
        <v>99</v>
      </c>
      <c r="BJ87" s="1">
        <f>25*(1)</f>
        <v>25</v>
      </c>
      <c r="BK87" s="1" t="s">
        <v>581</v>
      </c>
      <c r="BL87" s="1">
        <f>0*(1)</f>
        <v>0</v>
      </c>
      <c r="BM87" s="1" t="s">
        <v>99</v>
      </c>
      <c r="BN87" s="1">
        <f>380*(1)</f>
        <v>380</v>
      </c>
      <c r="BO87" s="1" t="s">
        <v>1017</v>
      </c>
      <c r="BP87" s="1">
        <f>0.002*(1)</f>
        <v>2E-3</v>
      </c>
      <c r="BQ87" s="1" t="s">
        <v>92</v>
      </c>
      <c r="BR87" s="1">
        <f>0*(1)</f>
        <v>0</v>
      </c>
      <c r="BS87" s="1" t="s">
        <v>723</v>
      </c>
      <c r="BT87" s="1">
        <f>0*(1)</f>
        <v>0</v>
      </c>
      <c r="BU87" s="1" t="s">
        <v>99</v>
      </c>
      <c r="BV87" s="1">
        <f>0*(1)</f>
        <v>0</v>
      </c>
      <c r="BW87" s="1" t="s">
        <v>723</v>
      </c>
      <c r="BX87" s="1">
        <f>0*(1)</f>
        <v>0</v>
      </c>
      <c r="BY87" s="1" t="s">
        <v>99</v>
      </c>
      <c r="BZ87" s="1">
        <f>1033*(1)</f>
        <v>1033</v>
      </c>
      <c r="CA87" s="1" t="s">
        <v>1339</v>
      </c>
      <c r="CB87" s="1">
        <f>0.002*(1)</f>
        <v>2E-3</v>
      </c>
      <c r="CC87" s="1" t="s">
        <v>92</v>
      </c>
      <c r="CD87" s="1">
        <f>22*(1)</f>
        <v>22</v>
      </c>
      <c r="CE87" s="1" t="s">
        <v>1019</v>
      </c>
      <c r="CF87" s="1">
        <f>0*(1)</f>
        <v>0</v>
      </c>
      <c r="CG87" s="1" t="s">
        <v>99</v>
      </c>
      <c r="CH87" s="1">
        <f>0*(1)</f>
        <v>0</v>
      </c>
      <c r="CI87" s="1" t="s">
        <v>723</v>
      </c>
      <c r="CJ87" s="1">
        <f>0*(1)</f>
        <v>0</v>
      </c>
      <c r="CK87" s="1" t="s">
        <v>92</v>
      </c>
      <c r="CL87" s="1">
        <f>0*(1)</f>
        <v>0</v>
      </c>
      <c r="CM87" s="1" t="s">
        <v>723</v>
      </c>
      <c r="CN87" s="1">
        <f>0*(1)</f>
        <v>0</v>
      </c>
      <c r="CO87" s="1" t="s">
        <v>99</v>
      </c>
      <c r="CP87" s="1">
        <f>0*(1)</f>
        <v>0</v>
      </c>
      <c r="CQ87" s="1" t="s">
        <v>723</v>
      </c>
      <c r="CR87" s="1">
        <f>0*(1)</f>
        <v>0</v>
      </c>
      <c r="CS87" s="1" t="s">
        <v>111</v>
      </c>
      <c r="CT87" s="1">
        <f>172*(1)</f>
        <v>172</v>
      </c>
      <c r="CU87" s="1" t="s">
        <v>901</v>
      </c>
      <c r="CV87" s="1">
        <f>0*(1)</f>
        <v>0</v>
      </c>
      <c r="CW87" s="1" t="s">
        <v>99</v>
      </c>
      <c r="CX87" s="1" t="s">
        <v>918</v>
      </c>
      <c r="CY87" s="1" t="s">
        <v>918</v>
      </c>
      <c r="CZ87" s="1" t="s">
        <v>918</v>
      </c>
      <c r="DA87" s="1" t="s">
        <v>918</v>
      </c>
      <c r="DB87" s="1">
        <f>0*(1)</f>
        <v>0</v>
      </c>
      <c r="DC87" s="1" t="s">
        <v>723</v>
      </c>
      <c r="DD87" s="1">
        <f>0*(1)</f>
        <v>0</v>
      </c>
      <c r="DE87" s="1" t="s">
        <v>99</v>
      </c>
      <c r="DF87" s="1">
        <f>77*(1)</f>
        <v>77</v>
      </c>
      <c r="DG87" s="1" t="s">
        <v>1020</v>
      </c>
      <c r="DH87" s="1">
        <f>0.001*(1)</f>
        <v>1E-3</v>
      </c>
      <c r="DI87" s="1" t="s">
        <v>99</v>
      </c>
      <c r="DJ87" s="1">
        <f>0*(1)</f>
        <v>0</v>
      </c>
      <c r="DK87" s="1" t="s">
        <v>723</v>
      </c>
      <c r="DL87" s="1">
        <f>0*(1)</f>
        <v>0</v>
      </c>
      <c r="DM87" s="1" t="s">
        <v>111</v>
      </c>
      <c r="DN87" s="1">
        <f>0*(1)</f>
        <v>0</v>
      </c>
      <c r="DO87" s="1" t="s">
        <v>723</v>
      </c>
      <c r="DP87" s="1">
        <f>0*(1)</f>
        <v>0</v>
      </c>
      <c r="DQ87" s="1" t="s">
        <v>111</v>
      </c>
      <c r="DR87" s="1">
        <f>59*(1)</f>
        <v>59</v>
      </c>
      <c r="DS87" s="1" t="s">
        <v>1021</v>
      </c>
      <c r="DT87" s="1">
        <f>0*(1)</f>
        <v>0</v>
      </c>
      <c r="DU87" s="1" t="s">
        <v>99</v>
      </c>
      <c r="DV87" s="1">
        <f>79*(1)</f>
        <v>79</v>
      </c>
      <c r="DW87" s="1" t="s">
        <v>1022</v>
      </c>
      <c r="DX87" s="1">
        <f>0*(1)</f>
        <v>0</v>
      </c>
      <c r="DY87" s="1" t="s">
        <v>99</v>
      </c>
      <c r="DZ87" s="1">
        <f>0*(1)</f>
        <v>0</v>
      </c>
      <c r="EA87" s="1" t="s">
        <v>723</v>
      </c>
      <c r="EB87" s="1">
        <f>0*(1)</f>
        <v>0</v>
      </c>
      <c r="EC87" s="1" t="s">
        <v>99</v>
      </c>
      <c r="ED87" s="1">
        <f>0*(1)</f>
        <v>0</v>
      </c>
      <c r="EE87" s="1" t="s">
        <v>723</v>
      </c>
      <c r="EF87" s="1">
        <f>0*(1)</f>
        <v>0</v>
      </c>
      <c r="EG87" s="1" t="s">
        <v>111</v>
      </c>
      <c r="EH87" s="1">
        <f>0*(1)</f>
        <v>0</v>
      </c>
      <c r="EI87" s="1" t="s">
        <v>723</v>
      </c>
      <c r="EJ87" s="1">
        <f>0*(1)</f>
        <v>0</v>
      </c>
      <c r="EK87" s="1" t="s">
        <v>99</v>
      </c>
      <c r="EL87" s="1">
        <f>0*(1)</f>
        <v>0</v>
      </c>
      <c r="EM87" s="1" t="s">
        <v>723</v>
      </c>
      <c r="EN87" s="1">
        <f>0*(1)</f>
        <v>0</v>
      </c>
      <c r="EO87" s="1" t="s">
        <v>99</v>
      </c>
      <c r="EP87" s="1">
        <f>216*(1)</f>
        <v>216</v>
      </c>
      <c r="EQ87" s="1" t="s">
        <v>1023</v>
      </c>
      <c r="ER87" s="1">
        <f>0.002*(1)</f>
        <v>2E-3</v>
      </c>
      <c r="ES87" s="1" t="s">
        <v>111</v>
      </c>
    </row>
    <row r="88" spans="1:149" x14ac:dyDescent="0.3">
      <c r="A88" s="8" t="s">
        <v>1340</v>
      </c>
      <c r="B88" s="1">
        <f>384*(1)</f>
        <v>384</v>
      </c>
      <c r="C88" s="1" t="s">
        <v>156</v>
      </c>
      <c r="D88" s="1">
        <f>0.004*(1)</f>
        <v>4.0000000000000001E-3</v>
      </c>
      <c r="E88" s="1" t="s">
        <v>96</v>
      </c>
      <c r="F88" s="1">
        <f>617*(1)</f>
        <v>617</v>
      </c>
      <c r="G88" s="1" t="s">
        <v>413</v>
      </c>
      <c r="H88" s="1">
        <f>0.006*(1)</f>
        <v>6.0000000000000001E-3</v>
      </c>
      <c r="I88" s="1" t="s">
        <v>94</v>
      </c>
      <c r="J88" s="1">
        <f>174*(1)</f>
        <v>174</v>
      </c>
      <c r="K88" s="1" t="s">
        <v>723</v>
      </c>
      <c r="L88" s="1">
        <f>0.003*(1)</f>
        <v>3.0000000000000001E-3</v>
      </c>
      <c r="M88" s="1" t="s">
        <v>92</v>
      </c>
      <c r="N88" s="1">
        <f>737*(1)</f>
        <v>737</v>
      </c>
      <c r="O88" s="1" t="s">
        <v>119</v>
      </c>
      <c r="P88" s="1">
        <f>0.002*(1)</f>
        <v>2E-3</v>
      </c>
      <c r="Q88" s="1" t="s">
        <v>111</v>
      </c>
      <c r="R88" s="1">
        <f>723*(1)</f>
        <v>723</v>
      </c>
      <c r="S88" s="1" t="s">
        <v>675</v>
      </c>
      <c r="T88" s="1">
        <f>0.005*(1)</f>
        <v>5.0000000000000001E-3</v>
      </c>
      <c r="U88" s="1" t="s">
        <v>94</v>
      </c>
      <c r="V88" s="1">
        <f>480*(1)</f>
        <v>480</v>
      </c>
      <c r="W88" s="1" t="s">
        <v>1341</v>
      </c>
      <c r="X88" s="1">
        <f>0.002*(1)</f>
        <v>2E-3</v>
      </c>
      <c r="Y88" s="1" t="s">
        <v>111</v>
      </c>
      <c r="Z88" s="1">
        <f>429*(1)</f>
        <v>429</v>
      </c>
      <c r="AA88" s="1" t="s">
        <v>1342</v>
      </c>
      <c r="AB88" s="1">
        <f>0.004*(1)</f>
        <v>4.0000000000000001E-3</v>
      </c>
      <c r="AC88" s="1" t="s">
        <v>120</v>
      </c>
      <c r="AD88" s="1">
        <f>5000*(1)</f>
        <v>5000</v>
      </c>
      <c r="AE88" s="1" t="s">
        <v>636</v>
      </c>
      <c r="AF88" s="1">
        <f>0.004*(1)</f>
        <v>4.0000000000000001E-3</v>
      </c>
      <c r="AG88" s="1" t="s">
        <v>99</v>
      </c>
      <c r="AH88" s="1">
        <f>1442*(1)</f>
        <v>1442</v>
      </c>
      <c r="AI88" s="1" t="s">
        <v>1343</v>
      </c>
      <c r="AJ88" s="1">
        <f>0.007*(1)</f>
        <v>7.0000000000000001E-3</v>
      </c>
      <c r="AK88" s="1" t="s">
        <v>96</v>
      </c>
      <c r="AL88" s="1">
        <f>808*(1)</f>
        <v>808</v>
      </c>
      <c r="AM88" s="1" t="s">
        <v>338</v>
      </c>
      <c r="AN88" s="1">
        <f>0.011*(1)</f>
        <v>1.0999999999999999E-2</v>
      </c>
      <c r="AO88" s="1" t="s">
        <v>139</v>
      </c>
      <c r="AP88" s="1">
        <f>262*(1)</f>
        <v>262</v>
      </c>
      <c r="AQ88" s="1" t="s">
        <v>1344</v>
      </c>
      <c r="AR88" s="1">
        <f>0.002*(1)</f>
        <v>2E-3</v>
      </c>
      <c r="AS88" s="1" t="s">
        <v>99</v>
      </c>
      <c r="AT88" s="1">
        <f>7665*(1)</f>
        <v>7665</v>
      </c>
      <c r="AU88" s="1" t="s">
        <v>1345</v>
      </c>
      <c r="AV88" s="1">
        <f>0.006*(1)</f>
        <v>6.0000000000000001E-3</v>
      </c>
      <c r="AW88" s="1" t="s">
        <v>111</v>
      </c>
      <c r="AX88" s="1">
        <f>510*(1)</f>
        <v>510</v>
      </c>
      <c r="AY88" s="1" t="s">
        <v>118</v>
      </c>
      <c r="AZ88" s="1">
        <f>0.005*(1)</f>
        <v>5.0000000000000001E-3</v>
      </c>
      <c r="BA88" s="1" t="s">
        <v>94</v>
      </c>
      <c r="BB88" s="1">
        <f>2359*(1)</f>
        <v>2359</v>
      </c>
      <c r="BC88" s="1" t="s">
        <v>1346</v>
      </c>
      <c r="BD88" s="1">
        <f>0.014*(1)</f>
        <v>1.4E-2</v>
      </c>
      <c r="BE88" s="1" t="s">
        <v>145</v>
      </c>
      <c r="BF88" s="1">
        <f>4113*(1)</f>
        <v>4113</v>
      </c>
      <c r="BG88" s="1" t="s">
        <v>1347</v>
      </c>
      <c r="BH88" s="1">
        <f>0.005*(1)</f>
        <v>5.0000000000000001E-3</v>
      </c>
      <c r="BI88" s="1" t="s">
        <v>111</v>
      </c>
      <c r="BJ88" s="1">
        <f>87*(1)</f>
        <v>87</v>
      </c>
      <c r="BK88" s="1" t="s">
        <v>974</v>
      </c>
      <c r="BL88" s="1">
        <f>0.001*(1)</f>
        <v>1E-3</v>
      </c>
      <c r="BM88" s="1" t="s">
        <v>111</v>
      </c>
      <c r="BN88" s="1">
        <f>522*(1)</f>
        <v>522</v>
      </c>
      <c r="BO88" s="1" t="s">
        <v>1076</v>
      </c>
      <c r="BP88" s="1">
        <f>0.002*(1)</f>
        <v>2E-3</v>
      </c>
      <c r="BQ88" s="1" t="s">
        <v>111</v>
      </c>
      <c r="BR88" s="1">
        <f>835*(1)</f>
        <v>835</v>
      </c>
      <c r="BS88" s="1" t="s">
        <v>1348</v>
      </c>
      <c r="BT88" s="1">
        <f>0.005*(1)</f>
        <v>5.0000000000000001E-3</v>
      </c>
      <c r="BU88" s="1" t="s">
        <v>96</v>
      </c>
      <c r="BV88" s="1">
        <f>2264*(1)</f>
        <v>2264</v>
      </c>
      <c r="BW88" s="1" t="s">
        <v>1161</v>
      </c>
      <c r="BX88" s="1">
        <f>0.007*(1)</f>
        <v>7.0000000000000001E-3</v>
      </c>
      <c r="BY88" s="1" t="s">
        <v>92</v>
      </c>
      <c r="BZ88" s="1">
        <f>928*(1)</f>
        <v>928</v>
      </c>
      <c r="CA88" s="1" t="s">
        <v>115</v>
      </c>
      <c r="CB88" s="1">
        <f>0.002*(1)</f>
        <v>2E-3</v>
      </c>
      <c r="CC88" s="1" t="s">
        <v>99</v>
      </c>
      <c r="CD88" s="1">
        <f>777*(1)</f>
        <v>777</v>
      </c>
      <c r="CE88" s="1" t="s">
        <v>255</v>
      </c>
      <c r="CF88" s="1">
        <f>0.003*(1)</f>
        <v>3.0000000000000001E-3</v>
      </c>
      <c r="CG88" s="1" t="s">
        <v>92</v>
      </c>
      <c r="CH88" s="1">
        <f>156*(1)</f>
        <v>156</v>
      </c>
      <c r="CI88" s="1" t="s">
        <v>1114</v>
      </c>
      <c r="CJ88" s="1">
        <f>0.002*(1)</f>
        <v>2E-3</v>
      </c>
      <c r="CK88" s="1" t="s">
        <v>92</v>
      </c>
      <c r="CL88" s="1">
        <f>131*(1)</f>
        <v>131</v>
      </c>
      <c r="CM88" s="1" t="s">
        <v>572</v>
      </c>
      <c r="CN88" s="1">
        <f>0.001*(1)</f>
        <v>1E-3</v>
      </c>
      <c r="CO88" s="1" t="s">
        <v>99</v>
      </c>
      <c r="CP88" s="1">
        <f>996*(1)</f>
        <v>996</v>
      </c>
      <c r="CQ88" s="1" t="s">
        <v>664</v>
      </c>
      <c r="CR88" s="1">
        <f>0.009*(1)</f>
        <v>8.9999999999999993E-3</v>
      </c>
      <c r="CS88" s="1" t="s">
        <v>87</v>
      </c>
      <c r="CT88" s="1">
        <f>1716*(1)</f>
        <v>1716</v>
      </c>
      <c r="CU88" s="1" t="s">
        <v>1349</v>
      </c>
      <c r="CV88" s="1">
        <f>0.003*(1)</f>
        <v>3.0000000000000001E-3</v>
      </c>
      <c r="CW88" s="1" t="s">
        <v>111</v>
      </c>
      <c r="CX88" s="1" t="s">
        <v>918</v>
      </c>
      <c r="CY88" s="1" t="s">
        <v>918</v>
      </c>
      <c r="CZ88" s="1" t="s">
        <v>918</v>
      </c>
      <c r="DA88" s="1" t="s">
        <v>918</v>
      </c>
      <c r="DB88" s="1">
        <f>947*(1)</f>
        <v>947</v>
      </c>
      <c r="DC88" s="1" t="s">
        <v>1246</v>
      </c>
      <c r="DD88" s="1">
        <f>0.006*(1)</f>
        <v>6.0000000000000001E-3</v>
      </c>
      <c r="DE88" s="1" t="s">
        <v>94</v>
      </c>
      <c r="DF88" s="1">
        <f>1821*(1)</f>
        <v>1821</v>
      </c>
      <c r="DG88" s="1" t="s">
        <v>1350</v>
      </c>
      <c r="DH88" s="1">
        <f>0.015*(1)</f>
        <v>1.4999999999999999E-2</v>
      </c>
      <c r="DI88" s="1" t="s">
        <v>129</v>
      </c>
      <c r="DJ88" s="1">
        <f>0*(1)</f>
        <v>0</v>
      </c>
      <c r="DK88" s="1" t="s">
        <v>723</v>
      </c>
      <c r="DL88" s="1">
        <f>0*(1)</f>
        <v>0</v>
      </c>
      <c r="DM88" s="1" t="s">
        <v>111</v>
      </c>
      <c r="DN88" s="1">
        <f>0*(1)</f>
        <v>0</v>
      </c>
      <c r="DO88" s="1" t="s">
        <v>723</v>
      </c>
      <c r="DP88" s="1">
        <f>0*(1)</f>
        <v>0</v>
      </c>
      <c r="DQ88" s="1" t="s">
        <v>111</v>
      </c>
      <c r="DR88" s="1">
        <f>1310*(1)</f>
        <v>1310</v>
      </c>
      <c r="DS88" s="1" t="s">
        <v>722</v>
      </c>
      <c r="DT88" s="1">
        <f>0.004*(1)</f>
        <v>4.0000000000000001E-3</v>
      </c>
      <c r="DU88" s="1" t="s">
        <v>92</v>
      </c>
      <c r="DV88" s="1">
        <f>2972*(1)</f>
        <v>2972</v>
      </c>
      <c r="DW88" s="1" t="s">
        <v>967</v>
      </c>
      <c r="DX88" s="1">
        <f>0.006*(1)</f>
        <v>6.0000000000000001E-3</v>
      </c>
      <c r="DY88" s="1" t="s">
        <v>111</v>
      </c>
      <c r="DZ88" s="1">
        <f>295*(1)</f>
        <v>295</v>
      </c>
      <c r="EA88" s="1" t="s">
        <v>780</v>
      </c>
      <c r="EB88" s="1">
        <f>0.001*(1)</f>
        <v>1E-3</v>
      </c>
      <c r="EC88" s="1" t="s">
        <v>111</v>
      </c>
      <c r="ED88" s="1">
        <f>132*(1)</f>
        <v>132</v>
      </c>
      <c r="EE88" s="1" t="s">
        <v>784</v>
      </c>
      <c r="EF88" s="1">
        <f>0.001*(1)</f>
        <v>1E-3</v>
      </c>
      <c r="EG88" s="1" t="s">
        <v>111</v>
      </c>
      <c r="EH88" s="1">
        <f>2091*(1)</f>
        <v>2091</v>
      </c>
      <c r="EI88" s="1" t="s">
        <v>1351</v>
      </c>
      <c r="EJ88" s="1">
        <f>0.008*(1)</f>
        <v>8.0000000000000002E-3</v>
      </c>
      <c r="EK88" s="1" t="s">
        <v>109</v>
      </c>
      <c r="EL88" s="1">
        <f>276*(1)</f>
        <v>276</v>
      </c>
      <c r="EM88" s="1" t="s">
        <v>1352</v>
      </c>
      <c r="EN88" s="1">
        <f>0.002*(1)</f>
        <v>2E-3</v>
      </c>
      <c r="EO88" s="1" t="s">
        <v>111</v>
      </c>
      <c r="EP88" s="1">
        <f>0*(1)</f>
        <v>0</v>
      </c>
      <c r="EQ88" s="1" t="s">
        <v>723</v>
      </c>
      <c r="ER88" s="1">
        <f>0*(1)</f>
        <v>0</v>
      </c>
      <c r="ES88" s="1" t="s">
        <v>99</v>
      </c>
    </row>
    <row r="89" spans="1:149" x14ac:dyDescent="0.3">
      <c r="A89" s="8" t="s">
        <v>834</v>
      </c>
      <c r="B89" s="1">
        <f>6231*(1)</f>
        <v>6231</v>
      </c>
      <c r="C89" s="1" t="s">
        <v>1353</v>
      </c>
      <c r="D89" s="1">
        <f>0.061*(1)</f>
        <v>6.0999999999999999E-2</v>
      </c>
      <c r="E89" s="1" t="s">
        <v>329</v>
      </c>
      <c r="F89" s="1">
        <f>4234*(1)</f>
        <v>4234</v>
      </c>
      <c r="G89" s="1" t="s">
        <v>246</v>
      </c>
      <c r="H89" s="1">
        <f>0.043*(1)</f>
        <v>4.2999999999999997E-2</v>
      </c>
      <c r="I89" s="1" t="s">
        <v>102</v>
      </c>
      <c r="J89" s="1">
        <f>2122*(1)</f>
        <v>2122</v>
      </c>
      <c r="K89" s="1" t="s">
        <v>485</v>
      </c>
      <c r="L89" s="1">
        <f>0.032*(1)</f>
        <v>3.2000000000000001E-2</v>
      </c>
      <c r="M89" s="1" t="s">
        <v>132</v>
      </c>
      <c r="N89" s="1">
        <f>21931*(1)</f>
        <v>21931</v>
      </c>
      <c r="O89" s="1" t="s">
        <v>1354</v>
      </c>
      <c r="P89" s="1">
        <f>0.056*(1)</f>
        <v>5.6000000000000001E-2</v>
      </c>
      <c r="Q89" s="1" t="s">
        <v>145</v>
      </c>
      <c r="R89" s="1">
        <f>6238*(1)</f>
        <v>6238</v>
      </c>
      <c r="S89" s="1" t="s">
        <v>1355</v>
      </c>
      <c r="T89" s="1">
        <f>0.046*(1)</f>
        <v>4.5999999999999999E-2</v>
      </c>
      <c r="U89" s="1" t="s">
        <v>132</v>
      </c>
      <c r="V89" s="1">
        <f>7382*(1)</f>
        <v>7382</v>
      </c>
      <c r="W89" s="1" t="s">
        <v>1356</v>
      </c>
      <c r="X89" s="1">
        <f>0.035*(1)</f>
        <v>3.5000000000000003E-2</v>
      </c>
      <c r="Y89" s="1" t="s">
        <v>87</v>
      </c>
      <c r="Z89" s="1">
        <f>4947*(1)</f>
        <v>4947</v>
      </c>
      <c r="AA89" s="1" t="s">
        <v>223</v>
      </c>
      <c r="AB89" s="1">
        <f>0.049*(1)</f>
        <v>4.9000000000000002E-2</v>
      </c>
      <c r="AC89" s="1" t="s">
        <v>129</v>
      </c>
      <c r="AD89" s="1">
        <f>51411*(1)</f>
        <v>51411</v>
      </c>
      <c r="AE89" s="1" t="s">
        <v>1357</v>
      </c>
      <c r="AF89" s="1">
        <f>0.041*(1)</f>
        <v>4.1000000000000002E-2</v>
      </c>
      <c r="AG89" s="1" t="s">
        <v>96</v>
      </c>
      <c r="AH89" s="1">
        <f>8286*(1)</f>
        <v>8286</v>
      </c>
      <c r="AI89" s="1" t="s">
        <v>1358</v>
      </c>
      <c r="AJ89" s="1">
        <f>0.038*(1)</f>
        <v>3.7999999999999999E-2</v>
      </c>
      <c r="AK89" s="1" t="s">
        <v>120</v>
      </c>
      <c r="AL89" s="1">
        <f>5255*(1)</f>
        <v>5255</v>
      </c>
      <c r="AM89" s="1" t="s">
        <v>1359</v>
      </c>
      <c r="AN89" s="1">
        <f>0.07*(1)</f>
        <v>7.0000000000000007E-2</v>
      </c>
      <c r="AO89" s="1" t="s">
        <v>790</v>
      </c>
      <c r="AP89" s="1">
        <f>9632*(1)</f>
        <v>9632</v>
      </c>
      <c r="AQ89" s="1" t="s">
        <v>1360</v>
      </c>
      <c r="AR89" s="1">
        <f>0.06*(1)</f>
        <v>0.06</v>
      </c>
      <c r="AS89" s="1" t="s">
        <v>102</v>
      </c>
      <c r="AT89" s="1">
        <f>70843*(1)</f>
        <v>70843</v>
      </c>
      <c r="AU89" s="1" t="s">
        <v>1361</v>
      </c>
      <c r="AV89" s="1">
        <f>0.054*(1)</f>
        <v>5.3999999999999999E-2</v>
      </c>
      <c r="AW89" s="1" t="s">
        <v>90</v>
      </c>
      <c r="AX89" s="1">
        <f>4444*(1)</f>
        <v>4444</v>
      </c>
      <c r="AY89" s="1" t="s">
        <v>641</v>
      </c>
      <c r="AZ89" s="1">
        <f>0.047*(1)</f>
        <v>4.7E-2</v>
      </c>
      <c r="BA89" s="1" t="s">
        <v>141</v>
      </c>
      <c r="BB89" s="1">
        <f>7482*(1)</f>
        <v>7482</v>
      </c>
      <c r="BC89" s="1" t="s">
        <v>1362</v>
      </c>
      <c r="BD89" s="1">
        <f>0.044*(1)</f>
        <v>4.3999999999999997E-2</v>
      </c>
      <c r="BE89" s="1" t="s">
        <v>109</v>
      </c>
      <c r="BF89" s="1">
        <f>36763*(1)</f>
        <v>36763</v>
      </c>
      <c r="BG89" s="1" t="s">
        <v>1363</v>
      </c>
      <c r="BH89" s="1">
        <f>0.044*(1)</f>
        <v>4.3999999999999997E-2</v>
      </c>
      <c r="BI89" s="1" t="s">
        <v>94</v>
      </c>
      <c r="BJ89" s="1">
        <f>2217*(1)</f>
        <v>2217</v>
      </c>
      <c r="BK89" s="1" t="s">
        <v>1364</v>
      </c>
      <c r="BL89" s="1">
        <f>0.03*(1)</f>
        <v>0.03</v>
      </c>
      <c r="BM89" s="1" t="s">
        <v>145</v>
      </c>
      <c r="BN89" s="1">
        <f>7892*(1)</f>
        <v>7892</v>
      </c>
      <c r="BO89" s="1" t="s">
        <v>1365</v>
      </c>
      <c r="BP89" s="1">
        <f>0.034*(1)</f>
        <v>3.4000000000000002E-2</v>
      </c>
      <c r="BQ89" s="1" t="s">
        <v>87</v>
      </c>
      <c r="BR89" s="1">
        <f>7112*(1)</f>
        <v>7112</v>
      </c>
      <c r="BS89" s="1" t="s">
        <v>1366</v>
      </c>
      <c r="BT89" s="1">
        <f>0.039*(1)</f>
        <v>3.9E-2</v>
      </c>
      <c r="BU89" s="1" t="s">
        <v>132</v>
      </c>
      <c r="BV89" s="1">
        <f>15522*(1)</f>
        <v>15522</v>
      </c>
      <c r="BW89" s="1" t="s">
        <v>1367</v>
      </c>
      <c r="BX89" s="1">
        <f>0.049*(1)</f>
        <v>4.9000000000000002E-2</v>
      </c>
      <c r="BY89" s="1" t="s">
        <v>109</v>
      </c>
      <c r="BZ89" s="1">
        <f>25511*(1)</f>
        <v>25511</v>
      </c>
      <c r="CA89" s="1" t="s">
        <v>1368</v>
      </c>
      <c r="CB89" s="1">
        <f>0.059*(1)</f>
        <v>5.8999999999999997E-2</v>
      </c>
      <c r="CC89" s="1" t="s">
        <v>132</v>
      </c>
      <c r="CD89" s="1">
        <f>7288*(1)</f>
        <v>7288</v>
      </c>
      <c r="CE89" s="1" t="s">
        <v>1369</v>
      </c>
      <c r="CF89" s="1">
        <f>0.032*(1)</f>
        <v>3.2000000000000001E-2</v>
      </c>
      <c r="CG89" s="1" t="s">
        <v>90</v>
      </c>
      <c r="CH89" s="1">
        <f>2815*(1)</f>
        <v>2815</v>
      </c>
      <c r="CI89" s="1" t="s">
        <v>122</v>
      </c>
      <c r="CJ89" s="1">
        <f>0.043*(1)</f>
        <v>4.2999999999999997E-2</v>
      </c>
      <c r="CK89" s="1" t="s">
        <v>132</v>
      </c>
      <c r="CL89" s="1">
        <f>4721*(1)</f>
        <v>4721</v>
      </c>
      <c r="CM89" s="1" t="s">
        <v>1370</v>
      </c>
      <c r="CN89" s="1">
        <f>0.026*(1)</f>
        <v>2.5999999999999999E-2</v>
      </c>
      <c r="CO89" s="1" t="s">
        <v>109</v>
      </c>
      <c r="CP89" s="1">
        <f>3298*(1)</f>
        <v>3298</v>
      </c>
      <c r="CQ89" s="1" t="s">
        <v>1371</v>
      </c>
      <c r="CR89" s="1">
        <f>0.03*(1)</f>
        <v>0.03</v>
      </c>
      <c r="CS89" s="1" t="s">
        <v>87</v>
      </c>
      <c r="CT89" s="1">
        <f>25513*(1)</f>
        <v>25513</v>
      </c>
      <c r="CU89" s="1" t="s">
        <v>1372</v>
      </c>
      <c r="CV89" s="1">
        <f>0.048*(1)</f>
        <v>4.8000000000000001E-2</v>
      </c>
      <c r="CW89" s="1" t="s">
        <v>120</v>
      </c>
      <c r="CX89" s="1" t="s">
        <v>918</v>
      </c>
      <c r="CY89" s="1" t="s">
        <v>918</v>
      </c>
      <c r="CZ89" s="1" t="s">
        <v>918</v>
      </c>
      <c r="DA89" s="1" t="s">
        <v>918</v>
      </c>
      <c r="DB89" s="1">
        <f>7791*(1)</f>
        <v>7791</v>
      </c>
      <c r="DC89" s="1" t="s">
        <v>1373</v>
      </c>
      <c r="DD89" s="1">
        <f>0.048*(1)</f>
        <v>4.8000000000000001E-2</v>
      </c>
      <c r="DE89" s="1" t="s">
        <v>109</v>
      </c>
      <c r="DF89" s="1">
        <f>7660*(1)</f>
        <v>7660</v>
      </c>
      <c r="DG89" s="1" t="s">
        <v>1374</v>
      </c>
      <c r="DH89" s="1">
        <f>0.061*(1)</f>
        <v>6.0999999999999999E-2</v>
      </c>
      <c r="DI89" s="1" t="s">
        <v>129</v>
      </c>
      <c r="DJ89" s="1">
        <f>3822*(1)</f>
        <v>3822</v>
      </c>
      <c r="DK89" s="1" t="s">
        <v>214</v>
      </c>
      <c r="DL89" s="1">
        <f>0.05*(1)</f>
        <v>0.05</v>
      </c>
      <c r="DM89" s="1" t="s">
        <v>329</v>
      </c>
      <c r="DN89" s="1">
        <f>3351*(1)</f>
        <v>3351</v>
      </c>
      <c r="DO89" s="1" t="s">
        <v>557</v>
      </c>
      <c r="DP89" s="1">
        <f>0.046*(1)</f>
        <v>4.5999999999999999E-2</v>
      </c>
      <c r="DQ89" s="1" t="s">
        <v>132</v>
      </c>
      <c r="DR89" s="1">
        <f>21438*(1)</f>
        <v>21438</v>
      </c>
      <c r="DS89" s="1" t="s">
        <v>1375</v>
      </c>
      <c r="DT89" s="1">
        <f>0.057*(1)</f>
        <v>5.7000000000000002E-2</v>
      </c>
      <c r="DU89" s="1" t="s">
        <v>109</v>
      </c>
      <c r="DV89" s="1">
        <f>36053*(1)</f>
        <v>36053</v>
      </c>
      <c r="DW89" s="1" t="s">
        <v>1376</v>
      </c>
      <c r="DX89" s="1">
        <f>0.067*(1)</f>
        <v>6.7000000000000004E-2</v>
      </c>
      <c r="DY89" s="1" t="s">
        <v>109</v>
      </c>
      <c r="DZ89" s="1">
        <f>8928*(1)</f>
        <v>8928</v>
      </c>
      <c r="EA89" s="1" t="s">
        <v>1377</v>
      </c>
      <c r="EB89" s="1">
        <f>0.044*(1)</f>
        <v>4.3999999999999997E-2</v>
      </c>
      <c r="EC89" s="1" t="s">
        <v>102</v>
      </c>
      <c r="ED89" s="1">
        <f>1638*(1)</f>
        <v>1638</v>
      </c>
      <c r="EE89" s="1" t="s">
        <v>714</v>
      </c>
      <c r="EF89" s="1">
        <f>0.018*(1)</f>
        <v>1.7999999999999999E-2</v>
      </c>
      <c r="EG89" s="1" t="s">
        <v>94</v>
      </c>
      <c r="EH89" s="1">
        <f>8984*(1)</f>
        <v>8984</v>
      </c>
      <c r="EI89" s="1" t="s">
        <v>1378</v>
      </c>
      <c r="EJ89" s="1">
        <f>0.036*(1)</f>
        <v>3.5999999999999997E-2</v>
      </c>
      <c r="EK89" s="1" t="s">
        <v>145</v>
      </c>
      <c r="EL89" s="1">
        <f>2254*(1)</f>
        <v>2254</v>
      </c>
      <c r="EM89" s="1" t="s">
        <v>702</v>
      </c>
      <c r="EN89" s="1">
        <f>0.019*(1)</f>
        <v>1.9E-2</v>
      </c>
      <c r="EO89" s="1" t="s">
        <v>120</v>
      </c>
      <c r="EP89" s="1">
        <f>4431*(1)</f>
        <v>4431</v>
      </c>
      <c r="EQ89" s="1" t="s">
        <v>1379</v>
      </c>
      <c r="ER89" s="1">
        <f>0.033*(1)</f>
        <v>3.3000000000000002E-2</v>
      </c>
      <c r="ES89" s="1" t="s">
        <v>87</v>
      </c>
    </row>
    <row r="90" spans="1:149" ht="28.8" x14ac:dyDescent="0.3">
      <c r="A90" s="9" t="s">
        <v>1380</v>
      </c>
      <c r="B90" s="1">
        <f>457*(1)</f>
        <v>457</v>
      </c>
      <c r="C90" s="1" t="s">
        <v>1175</v>
      </c>
      <c r="D90" s="1">
        <f>0.004*(1)</f>
        <v>4.0000000000000001E-3</v>
      </c>
      <c r="E90" s="1" t="s">
        <v>96</v>
      </c>
      <c r="F90" s="1">
        <f>1503*(1)</f>
        <v>1503</v>
      </c>
      <c r="G90" s="1" t="s">
        <v>1381</v>
      </c>
      <c r="H90" s="1">
        <f>0.015*(1)</f>
        <v>1.4999999999999999E-2</v>
      </c>
      <c r="I90" s="1" t="s">
        <v>129</v>
      </c>
      <c r="J90" s="1">
        <f>407*(1)</f>
        <v>407</v>
      </c>
      <c r="K90" s="1" t="s">
        <v>1382</v>
      </c>
      <c r="L90" s="1">
        <f>0.006*(1)</f>
        <v>6.0000000000000001E-3</v>
      </c>
      <c r="M90" s="1" t="s">
        <v>94</v>
      </c>
      <c r="N90" s="1">
        <f>4935*(1)</f>
        <v>4935</v>
      </c>
      <c r="O90" s="1" t="s">
        <v>1383</v>
      </c>
      <c r="P90" s="1">
        <f>0.013*(1)</f>
        <v>1.2999999999999999E-2</v>
      </c>
      <c r="Q90" s="1" t="s">
        <v>87</v>
      </c>
      <c r="R90" s="1">
        <f>261*(1)</f>
        <v>261</v>
      </c>
      <c r="S90" s="1" t="s">
        <v>759</v>
      </c>
      <c r="T90" s="1">
        <f>0.002*(1)</f>
        <v>2E-3</v>
      </c>
      <c r="U90" s="1" t="s">
        <v>99</v>
      </c>
      <c r="V90" s="1">
        <f>2452*(1)</f>
        <v>2452</v>
      </c>
      <c r="W90" s="1" t="s">
        <v>1384</v>
      </c>
      <c r="X90" s="1">
        <f>0.012*(1)</f>
        <v>1.2E-2</v>
      </c>
      <c r="Y90" s="1" t="s">
        <v>120</v>
      </c>
      <c r="Z90" s="1">
        <f>1008*(1)</f>
        <v>1008</v>
      </c>
      <c r="AA90" s="1" t="s">
        <v>1385</v>
      </c>
      <c r="AB90" s="1">
        <f>0.01*(1)</f>
        <v>0.01</v>
      </c>
      <c r="AC90" s="1" t="s">
        <v>120</v>
      </c>
      <c r="AD90" s="1">
        <f>10978*(1)</f>
        <v>10978</v>
      </c>
      <c r="AE90" s="1" t="s">
        <v>1386</v>
      </c>
      <c r="AF90" s="1">
        <f>0.009*(1)</f>
        <v>8.9999999999999993E-3</v>
      </c>
      <c r="AG90" s="1" t="s">
        <v>111</v>
      </c>
      <c r="AH90" s="1">
        <f>973*(1)</f>
        <v>973</v>
      </c>
      <c r="AI90" s="1" t="s">
        <v>347</v>
      </c>
      <c r="AJ90" s="1">
        <f>0.004*(1)</f>
        <v>4.0000000000000001E-3</v>
      </c>
      <c r="AK90" s="1" t="s">
        <v>111</v>
      </c>
      <c r="AL90" s="1">
        <f>3268*(1)</f>
        <v>3268</v>
      </c>
      <c r="AM90" s="1" t="s">
        <v>825</v>
      </c>
      <c r="AN90" s="1">
        <f>0.044*(1)</f>
        <v>4.3999999999999997E-2</v>
      </c>
      <c r="AO90" s="1" t="s">
        <v>149</v>
      </c>
      <c r="AP90" s="1">
        <f>1576*(1)</f>
        <v>1576</v>
      </c>
      <c r="AQ90" s="1" t="s">
        <v>1387</v>
      </c>
      <c r="AR90" s="1">
        <f>0.01*(1)</f>
        <v>0.01</v>
      </c>
      <c r="AS90" s="1" t="s">
        <v>87</v>
      </c>
      <c r="AT90" s="1">
        <f>12754*(1)</f>
        <v>12754</v>
      </c>
      <c r="AU90" s="1" t="s">
        <v>1388</v>
      </c>
      <c r="AV90" s="1">
        <f>0.01*(1)</f>
        <v>0.01</v>
      </c>
      <c r="AW90" s="1" t="s">
        <v>111</v>
      </c>
      <c r="AX90" s="1">
        <f>2502*(1)</f>
        <v>2502</v>
      </c>
      <c r="AY90" s="1" t="s">
        <v>953</v>
      </c>
      <c r="AZ90" s="1">
        <f>0.026*(1)</f>
        <v>2.5999999999999999E-2</v>
      </c>
      <c r="BA90" s="1" t="s">
        <v>145</v>
      </c>
      <c r="BB90" s="1">
        <f>1153*(1)</f>
        <v>1153</v>
      </c>
      <c r="BC90" s="1" t="s">
        <v>1389</v>
      </c>
      <c r="BD90" s="1">
        <f>0.007*(1)</f>
        <v>7.0000000000000001E-3</v>
      </c>
      <c r="BE90" s="1" t="s">
        <v>94</v>
      </c>
      <c r="BF90" s="1">
        <f>5052*(1)</f>
        <v>5052</v>
      </c>
      <c r="BG90" s="1" t="s">
        <v>1390</v>
      </c>
      <c r="BH90" s="1">
        <f>0.006*(1)</f>
        <v>6.0000000000000001E-3</v>
      </c>
      <c r="BI90" s="1" t="s">
        <v>111</v>
      </c>
      <c r="BJ90" s="1">
        <f>377*(1)</f>
        <v>377</v>
      </c>
      <c r="BK90" s="1" t="s">
        <v>1333</v>
      </c>
      <c r="BL90" s="1">
        <f>0.005*(1)</f>
        <v>5.0000000000000001E-3</v>
      </c>
      <c r="BM90" s="1" t="s">
        <v>120</v>
      </c>
      <c r="BN90" s="1">
        <f>2968*(1)</f>
        <v>2968</v>
      </c>
      <c r="BO90" s="1" t="s">
        <v>1391</v>
      </c>
      <c r="BP90" s="1">
        <f>0.013*(1)</f>
        <v>1.2999999999999999E-2</v>
      </c>
      <c r="BQ90" s="1" t="s">
        <v>94</v>
      </c>
      <c r="BR90" s="1">
        <f>1228*(1)</f>
        <v>1228</v>
      </c>
      <c r="BS90" s="1" t="s">
        <v>1392</v>
      </c>
      <c r="BT90" s="1">
        <f>0.007*(1)</f>
        <v>7.0000000000000001E-3</v>
      </c>
      <c r="BU90" s="1" t="s">
        <v>96</v>
      </c>
      <c r="BV90" s="1">
        <f>4530*(1)</f>
        <v>4530</v>
      </c>
      <c r="BW90" s="1" t="s">
        <v>1393</v>
      </c>
      <c r="BX90" s="1">
        <f>0.014*(1)</f>
        <v>1.4E-2</v>
      </c>
      <c r="BY90" s="1" t="s">
        <v>90</v>
      </c>
      <c r="BZ90" s="1">
        <f>2380*(1)</f>
        <v>2380</v>
      </c>
      <c r="CA90" s="1" t="s">
        <v>1394</v>
      </c>
      <c r="CB90" s="1">
        <f>0.006*(1)</f>
        <v>6.0000000000000001E-3</v>
      </c>
      <c r="CC90" s="1" t="s">
        <v>92</v>
      </c>
      <c r="CD90" s="1">
        <f>844*(1)</f>
        <v>844</v>
      </c>
      <c r="CE90" s="1" t="s">
        <v>728</v>
      </c>
      <c r="CF90" s="1">
        <f>0.004*(1)</f>
        <v>4.0000000000000001E-3</v>
      </c>
      <c r="CG90" s="1" t="s">
        <v>111</v>
      </c>
      <c r="CH90" s="1">
        <f>252*(1)</f>
        <v>252</v>
      </c>
      <c r="CI90" s="1" t="s">
        <v>162</v>
      </c>
      <c r="CJ90" s="1">
        <f>0.004*(1)</f>
        <v>4.0000000000000001E-3</v>
      </c>
      <c r="CK90" s="1" t="s">
        <v>96</v>
      </c>
      <c r="CL90" s="1">
        <f>2035*(1)</f>
        <v>2035</v>
      </c>
      <c r="CM90" s="1" t="s">
        <v>1395</v>
      </c>
      <c r="CN90" s="1">
        <f>0.011*(1)</f>
        <v>1.0999999999999999E-2</v>
      </c>
      <c r="CO90" s="1" t="s">
        <v>120</v>
      </c>
      <c r="CP90" s="1">
        <f>432*(1)</f>
        <v>432</v>
      </c>
      <c r="CQ90" s="1" t="s">
        <v>729</v>
      </c>
      <c r="CR90" s="1">
        <f>0.004*(1)</f>
        <v>4.0000000000000001E-3</v>
      </c>
      <c r="CS90" s="1" t="s">
        <v>92</v>
      </c>
      <c r="CT90" s="1">
        <f>4693*(1)</f>
        <v>4693</v>
      </c>
      <c r="CU90" s="1" t="s">
        <v>1396</v>
      </c>
      <c r="CV90" s="1">
        <f>0.009*(1)</f>
        <v>8.9999999999999993E-3</v>
      </c>
      <c r="CW90" s="1" t="s">
        <v>96</v>
      </c>
      <c r="CX90" s="1" t="s">
        <v>918</v>
      </c>
      <c r="CY90" s="1" t="s">
        <v>918</v>
      </c>
      <c r="CZ90" s="1" t="s">
        <v>918</v>
      </c>
      <c r="DA90" s="1" t="s">
        <v>918</v>
      </c>
      <c r="DB90" s="1">
        <f>1590*(1)</f>
        <v>1590</v>
      </c>
      <c r="DC90" s="1" t="s">
        <v>1041</v>
      </c>
      <c r="DD90" s="1">
        <f>0.01*(1)</f>
        <v>0.01</v>
      </c>
      <c r="DE90" s="1" t="s">
        <v>90</v>
      </c>
      <c r="DF90" s="1">
        <f>712*(1)</f>
        <v>712</v>
      </c>
      <c r="DG90" s="1" t="s">
        <v>1397</v>
      </c>
      <c r="DH90" s="1">
        <f>0.006*(1)</f>
        <v>6.0000000000000001E-3</v>
      </c>
      <c r="DI90" s="1" t="s">
        <v>96</v>
      </c>
      <c r="DJ90" s="1">
        <f>466*(1)</f>
        <v>466</v>
      </c>
      <c r="DK90" s="1" t="s">
        <v>1341</v>
      </c>
      <c r="DL90" s="1">
        <f>0.006*(1)</f>
        <v>6.0000000000000001E-3</v>
      </c>
      <c r="DM90" s="1" t="s">
        <v>94</v>
      </c>
      <c r="DN90" s="1">
        <f>922*(1)</f>
        <v>922</v>
      </c>
      <c r="DO90" s="1" t="s">
        <v>407</v>
      </c>
      <c r="DP90" s="1">
        <f>0.013*(1)</f>
        <v>1.2999999999999999E-2</v>
      </c>
      <c r="DQ90" s="1" t="s">
        <v>109</v>
      </c>
      <c r="DR90" s="1">
        <f>3675*(1)</f>
        <v>3675</v>
      </c>
      <c r="DS90" s="1" t="s">
        <v>1398</v>
      </c>
      <c r="DT90" s="1">
        <f>0.01*(1)</f>
        <v>0.01</v>
      </c>
      <c r="DU90" s="1" t="s">
        <v>94</v>
      </c>
      <c r="DV90" s="1">
        <f>6797*(1)</f>
        <v>6797</v>
      </c>
      <c r="DW90" s="1" t="s">
        <v>1399</v>
      </c>
      <c r="DX90" s="1">
        <f>0.013*(1)</f>
        <v>1.2999999999999999E-2</v>
      </c>
      <c r="DY90" s="1" t="s">
        <v>96</v>
      </c>
      <c r="DZ90" s="1">
        <f>2645*(1)</f>
        <v>2645</v>
      </c>
      <c r="EA90" s="1" t="s">
        <v>1311</v>
      </c>
      <c r="EB90" s="1">
        <f>0.013*(1)</f>
        <v>1.2999999999999999E-2</v>
      </c>
      <c r="EC90" s="1" t="s">
        <v>145</v>
      </c>
      <c r="ED90" s="1">
        <f>209*(1)</f>
        <v>209</v>
      </c>
      <c r="EE90" s="1" t="s">
        <v>1400</v>
      </c>
      <c r="EF90" s="1">
        <f>0.002*(1)</f>
        <v>2E-3</v>
      </c>
      <c r="EG90" s="1" t="s">
        <v>111</v>
      </c>
      <c r="EH90" s="1">
        <f>1665*(1)</f>
        <v>1665</v>
      </c>
      <c r="EI90" s="1" t="s">
        <v>1401</v>
      </c>
      <c r="EJ90" s="1">
        <f>0.007*(1)</f>
        <v>7.0000000000000001E-3</v>
      </c>
      <c r="EK90" s="1" t="s">
        <v>94</v>
      </c>
      <c r="EL90" s="1">
        <f>736*(1)</f>
        <v>736</v>
      </c>
      <c r="EM90" s="1" t="s">
        <v>302</v>
      </c>
      <c r="EN90" s="1">
        <f>0.006*(1)</f>
        <v>6.0000000000000001E-3</v>
      </c>
      <c r="EO90" s="1" t="s">
        <v>96</v>
      </c>
      <c r="EP90" s="1">
        <f>1363*(1)</f>
        <v>1363</v>
      </c>
      <c r="EQ90" s="1" t="s">
        <v>1073</v>
      </c>
      <c r="ER90" s="1">
        <f>0.01*(1)</f>
        <v>0.01</v>
      </c>
      <c r="ES90" s="1" t="s">
        <v>90</v>
      </c>
    </row>
    <row r="91" spans="1:149" ht="43.2" x14ac:dyDescent="0.3">
      <c r="A91" s="9" t="s">
        <v>1402</v>
      </c>
      <c r="B91" s="1">
        <f>5774*(1)</f>
        <v>5774</v>
      </c>
      <c r="C91" s="1" t="s">
        <v>1403</v>
      </c>
      <c r="D91" s="1">
        <f>0.057*(1)</f>
        <v>5.7000000000000002E-2</v>
      </c>
      <c r="E91" s="1" t="s">
        <v>102</v>
      </c>
      <c r="F91" s="1">
        <f>2731*(1)</f>
        <v>2731</v>
      </c>
      <c r="G91" s="1" t="s">
        <v>112</v>
      </c>
      <c r="H91" s="1">
        <f>0.028*(1)</f>
        <v>2.8000000000000001E-2</v>
      </c>
      <c r="I91" s="1" t="s">
        <v>109</v>
      </c>
      <c r="J91" s="1">
        <f>1715*(1)</f>
        <v>1715</v>
      </c>
      <c r="K91" s="1" t="s">
        <v>1333</v>
      </c>
      <c r="L91" s="1">
        <f>0.026*(1)</f>
        <v>2.5999999999999999E-2</v>
      </c>
      <c r="M91" s="1" t="s">
        <v>87</v>
      </c>
      <c r="N91" s="1">
        <f>16996*(1)</f>
        <v>16996</v>
      </c>
      <c r="O91" s="1" t="s">
        <v>1404</v>
      </c>
      <c r="P91" s="1">
        <f>0.044*(1)</f>
        <v>4.3999999999999997E-2</v>
      </c>
      <c r="Q91" s="1" t="s">
        <v>120</v>
      </c>
      <c r="R91" s="1">
        <f>5977*(1)</f>
        <v>5977</v>
      </c>
      <c r="S91" s="1" t="s">
        <v>1405</v>
      </c>
      <c r="T91" s="1">
        <f>0.044*(1)</f>
        <v>4.3999999999999997E-2</v>
      </c>
      <c r="U91" s="1" t="s">
        <v>132</v>
      </c>
      <c r="V91" s="1">
        <f>4930*(1)</f>
        <v>4930</v>
      </c>
      <c r="W91" s="1" t="s">
        <v>91</v>
      </c>
      <c r="X91" s="1">
        <f>0.024*(1)</f>
        <v>2.4E-2</v>
      </c>
      <c r="Y91" s="1" t="s">
        <v>94</v>
      </c>
      <c r="Z91" s="1">
        <f>3939*(1)</f>
        <v>3939</v>
      </c>
      <c r="AA91" s="1" t="s">
        <v>1406</v>
      </c>
      <c r="AB91" s="1">
        <f>0.039*(1)</f>
        <v>3.9E-2</v>
      </c>
      <c r="AC91" s="1" t="s">
        <v>132</v>
      </c>
      <c r="AD91" s="1">
        <f>40433*(1)</f>
        <v>40433</v>
      </c>
      <c r="AE91" s="1" t="s">
        <v>1407</v>
      </c>
      <c r="AF91" s="1">
        <f>0.032*(1)</f>
        <v>3.2000000000000001E-2</v>
      </c>
      <c r="AG91" s="1" t="s">
        <v>96</v>
      </c>
      <c r="AH91" s="1">
        <f>7313*(1)</f>
        <v>7313</v>
      </c>
      <c r="AI91" s="1" t="s">
        <v>1408</v>
      </c>
      <c r="AJ91" s="1">
        <f>0.033*(1)</f>
        <v>3.3000000000000002E-2</v>
      </c>
      <c r="AK91" s="1" t="s">
        <v>120</v>
      </c>
      <c r="AL91" s="1">
        <f>1987*(1)</f>
        <v>1987</v>
      </c>
      <c r="AM91" s="1" t="s">
        <v>262</v>
      </c>
      <c r="AN91" s="1">
        <f>0.027*(1)</f>
        <v>2.7E-2</v>
      </c>
      <c r="AO91" s="1" t="s">
        <v>141</v>
      </c>
      <c r="AP91" s="1">
        <f>8056*(1)</f>
        <v>8056</v>
      </c>
      <c r="AQ91" s="1" t="s">
        <v>436</v>
      </c>
      <c r="AR91" s="1">
        <f>0.05*(1)</f>
        <v>0.05</v>
      </c>
      <c r="AS91" s="1" t="s">
        <v>129</v>
      </c>
      <c r="AT91" s="1">
        <f>58089*(1)</f>
        <v>58089</v>
      </c>
      <c r="AU91" s="1" t="s">
        <v>1409</v>
      </c>
      <c r="AV91" s="1">
        <f>0.044*(1)</f>
        <v>4.3999999999999997E-2</v>
      </c>
      <c r="AW91" s="1" t="s">
        <v>94</v>
      </c>
      <c r="AX91" s="1">
        <f>1942*(1)</f>
        <v>1942</v>
      </c>
      <c r="AY91" s="1" t="s">
        <v>383</v>
      </c>
      <c r="AZ91" s="1">
        <f>0.02*(1)</f>
        <v>0.02</v>
      </c>
      <c r="BA91" s="1" t="s">
        <v>96</v>
      </c>
      <c r="BB91" s="1">
        <f>6329*(1)</f>
        <v>6329</v>
      </c>
      <c r="BC91" s="1" t="s">
        <v>1410</v>
      </c>
      <c r="BD91" s="1">
        <f>0.038*(1)</f>
        <v>3.7999999999999999E-2</v>
      </c>
      <c r="BE91" s="1" t="s">
        <v>87</v>
      </c>
      <c r="BF91" s="1">
        <f>31711*(1)</f>
        <v>31711</v>
      </c>
      <c r="BG91" s="1" t="s">
        <v>1411</v>
      </c>
      <c r="BH91" s="1">
        <f>0.038*(1)</f>
        <v>3.7999999999999999E-2</v>
      </c>
      <c r="BI91" s="1" t="s">
        <v>94</v>
      </c>
      <c r="BJ91" s="1">
        <f>1840*(1)</f>
        <v>1840</v>
      </c>
      <c r="BK91" s="1" t="s">
        <v>988</v>
      </c>
      <c r="BL91" s="1">
        <f>0.025*(1)</f>
        <v>2.5000000000000001E-2</v>
      </c>
      <c r="BM91" s="1" t="s">
        <v>109</v>
      </c>
      <c r="BN91" s="1">
        <f>4924*(1)</f>
        <v>4924</v>
      </c>
      <c r="BO91" s="1" t="s">
        <v>836</v>
      </c>
      <c r="BP91" s="1">
        <f>0.021*(1)</f>
        <v>2.1000000000000001E-2</v>
      </c>
      <c r="BQ91" s="1" t="s">
        <v>120</v>
      </c>
      <c r="BR91" s="1">
        <f>5884*(1)</f>
        <v>5884</v>
      </c>
      <c r="BS91" s="1" t="s">
        <v>1412</v>
      </c>
      <c r="BT91" s="1">
        <f>0.033*(1)</f>
        <v>3.3000000000000002E-2</v>
      </c>
      <c r="BU91" s="1" t="s">
        <v>87</v>
      </c>
      <c r="BV91" s="1">
        <f>10992*(1)</f>
        <v>10992</v>
      </c>
      <c r="BW91" s="1" t="s">
        <v>1413</v>
      </c>
      <c r="BX91" s="1">
        <f>0.035*(1)</f>
        <v>3.5000000000000003E-2</v>
      </c>
      <c r="BY91" s="1" t="s">
        <v>120</v>
      </c>
      <c r="BZ91" s="1">
        <f>23131*(1)</f>
        <v>23131</v>
      </c>
      <c r="CA91" s="1" t="s">
        <v>1414</v>
      </c>
      <c r="CB91" s="1">
        <f>0.054*(1)</f>
        <v>5.3999999999999999E-2</v>
      </c>
      <c r="CC91" s="1" t="s">
        <v>132</v>
      </c>
      <c r="CD91" s="1">
        <f>6444*(1)</f>
        <v>6444</v>
      </c>
      <c r="CE91" s="1" t="s">
        <v>1415</v>
      </c>
      <c r="CF91" s="1">
        <f>0.028*(1)</f>
        <v>2.8000000000000001E-2</v>
      </c>
      <c r="CG91" s="1" t="s">
        <v>90</v>
      </c>
      <c r="CH91" s="1">
        <f>2563*(1)</f>
        <v>2563</v>
      </c>
      <c r="CI91" s="1" t="s">
        <v>1416</v>
      </c>
      <c r="CJ91" s="1">
        <f>0.039*(1)</f>
        <v>3.9E-2</v>
      </c>
      <c r="CK91" s="1" t="s">
        <v>132</v>
      </c>
      <c r="CL91" s="1">
        <f>2686*(1)</f>
        <v>2686</v>
      </c>
      <c r="CM91" s="1" t="s">
        <v>474</v>
      </c>
      <c r="CN91" s="1">
        <f>0.015*(1)</f>
        <v>1.4999999999999999E-2</v>
      </c>
      <c r="CO91" s="1" t="s">
        <v>94</v>
      </c>
      <c r="CP91" s="1">
        <f>2866*(1)</f>
        <v>2866</v>
      </c>
      <c r="CQ91" s="1" t="s">
        <v>355</v>
      </c>
      <c r="CR91" s="1">
        <f>0.026*(1)</f>
        <v>2.5999999999999999E-2</v>
      </c>
      <c r="CS91" s="1" t="s">
        <v>87</v>
      </c>
      <c r="CT91" s="1">
        <f>20820*(1)</f>
        <v>20820</v>
      </c>
      <c r="CU91" s="1" t="s">
        <v>1417</v>
      </c>
      <c r="CV91" s="1">
        <f>0.039*(1)</f>
        <v>3.9E-2</v>
      </c>
      <c r="CW91" s="1" t="s">
        <v>94</v>
      </c>
      <c r="CX91" s="1" t="s">
        <v>918</v>
      </c>
      <c r="CY91" s="1" t="s">
        <v>918</v>
      </c>
      <c r="CZ91" s="1" t="s">
        <v>918</v>
      </c>
      <c r="DA91" s="1" t="s">
        <v>918</v>
      </c>
      <c r="DB91" s="1">
        <f>6201*(1)</f>
        <v>6201</v>
      </c>
      <c r="DC91" s="1" t="s">
        <v>1418</v>
      </c>
      <c r="DD91" s="1">
        <f>0.038*(1)</f>
        <v>3.7999999999999999E-2</v>
      </c>
      <c r="DE91" s="1" t="s">
        <v>87</v>
      </c>
      <c r="DF91" s="1">
        <f>6948*(1)</f>
        <v>6948</v>
      </c>
      <c r="DG91" s="1" t="s">
        <v>951</v>
      </c>
      <c r="DH91" s="1">
        <f>0.055*(1)</f>
        <v>5.5E-2</v>
      </c>
      <c r="DI91" s="1" t="s">
        <v>129</v>
      </c>
      <c r="DJ91" s="1">
        <f>3356*(1)</f>
        <v>3356</v>
      </c>
      <c r="DK91" s="1" t="s">
        <v>128</v>
      </c>
      <c r="DL91" s="1">
        <f>0.044*(1)</f>
        <v>4.3999999999999997E-2</v>
      </c>
      <c r="DM91" s="1" t="s">
        <v>139</v>
      </c>
      <c r="DN91" s="1">
        <f>2429*(1)</f>
        <v>2429</v>
      </c>
      <c r="DO91" s="1" t="s">
        <v>1148</v>
      </c>
      <c r="DP91" s="1">
        <f>0.033*(1)</f>
        <v>3.3000000000000002E-2</v>
      </c>
      <c r="DQ91" s="1" t="s">
        <v>94</v>
      </c>
      <c r="DR91" s="1">
        <f>17763*(1)</f>
        <v>17763</v>
      </c>
      <c r="DS91" s="1" t="s">
        <v>1419</v>
      </c>
      <c r="DT91" s="1">
        <f>0.048*(1)</f>
        <v>4.8000000000000001E-2</v>
      </c>
      <c r="DU91" s="1" t="s">
        <v>120</v>
      </c>
      <c r="DV91" s="1">
        <f>29256*(1)</f>
        <v>29256</v>
      </c>
      <c r="DW91" s="1" t="s">
        <v>1420</v>
      </c>
      <c r="DX91" s="1">
        <f>0.054*(1)</f>
        <v>5.3999999999999999E-2</v>
      </c>
      <c r="DY91" s="1" t="s">
        <v>87</v>
      </c>
      <c r="DZ91" s="1">
        <f>6283*(1)</f>
        <v>6283</v>
      </c>
      <c r="EA91" s="1" t="s">
        <v>1421</v>
      </c>
      <c r="EB91" s="1">
        <f>0.031*(1)</f>
        <v>3.1E-2</v>
      </c>
      <c r="EC91" s="1" t="s">
        <v>109</v>
      </c>
      <c r="ED91" s="1">
        <f>1429*(1)</f>
        <v>1429</v>
      </c>
      <c r="EE91" s="1" t="s">
        <v>1422</v>
      </c>
      <c r="EF91" s="1">
        <f>0.015*(1)</f>
        <v>1.4999999999999999E-2</v>
      </c>
      <c r="EG91" s="1" t="s">
        <v>96</v>
      </c>
      <c r="EH91" s="1">
        <f>7319*(1)</f>
        <v>7319</v>
      </c>
      <c r="EI91" s="1" t="s">
        <v>620</v>
      </c>
      <c r="EJ91" s="1">
        <f>0.03*(1)</f>
        <v>0.03</v>
      </c>
      <c r="EK91" s="1" t="s">
        <v>132</v>
      </c>
      <c r="EL91" s="1">
        <f>1518*(1)</f>
        <v>1518</v>
      </c>
      <c r="EM91" s="1" t="s">
        <v>541</v>
      </c>
      <c r="EN91" s="1">
        <f>0.013*(1)</f>
        <v>1.2999999999999999E-2</v>
      </c>
      <c r="EO91" s="1" t="s">
        <v>94</v>
      </c>
      <c r="EP91" s="1">
        <f>3068*(1)</f>
        <v>3068</v>
      </c>
      <c r="EQ91" s="1" t="s">
        <v>591</v>
      </c>
      <c r="ER91" s="1">
        <f>0.023*(1)</f>
        <v>2.3E-2</v>
      </c>
      <c r="ES91" s="1" t="s">
        <v>94</v>
      </c>
    </row>
    <row r="92" spans="1:149" x14ac:dyDescent="0.3">
      <c r="A92" s="4" t="s">
        <v>1423</v>
      </c>
      <c r="B92" s="1">
        <f>44700*(1)</f>
        <v>44700</v>
      </c>
      <c r="C92" s="1" t="s">
        <v>1424</v>
      </c>
      <c r="D92" s="1" t="s">
        <v>84</v>
      </c>
      <c r="E92" s="1" t="s">
        <v>84</v>
      </c>
      <c r="F92" s="1">
        <f>46354*(1)</f>
        <v>46354</v>
      </c>
      <c r="G92" s="1" t="s">
        <v>1425</v>
      </c>
      <c r="H92" s="1" t="s">
        <v>84</v>
      </c>
      <c r="I92" s="1" t="s">
        <v>84</v>
      </c>
      <c r="J92" s="1">
        <f>31571*(1)</f>
        <v>31571</v>
      </c>
      <c r="K92" s="1" t="s">
        <v>708</v>
      </c>
      <c r="L92" s="1" t="s">
        <v>84</v>
      </c>
      <c r="M92" s="1" t="s">
        <v>84</v>
      </c>
      <c r="N92" s="1">
        <f>154870*(1)</f>
        <v>154870</v>
      </c>
      <c r="O92" s="1" t="s">
        <v>490</v>
      </c>
      <c r="P92" s="1" t="s">
        <v>84</v>
      </c>
      <c r="Q92" s="1" t="s">
        <v>84</v>
      </c>
      <c r="R92" s="1">
        <f>61051*(1)</f>
        <v>61051</v>
      </c>
      <c r="S92" s="1" t="s">
        <v>491</v>
      </c>
      <c r="T92" s="1" t="s">
        <v>84</v>
      </c>
      <c r="U92" s="1" t="s">
        <v>84</v>
      </c>
      <c r="V92" s="1">
        <f>87398*(1)</f>
        <v>87398</v>
      </c>
      <c r="W92" s="1" t="s">
        <v>483</v>
      </c>
      <c r="X92" s="1" t="s">
        <v>84</v>
      </c>
      <c r="Y92" s="1" t="s">
        <v>84</v>
      </c>
      <c r="Z92" s="1">
        <f>46146*(1)</f>
        <v>46146</v>
      </c>
      <c r="AA92" s="1" t="s">
        <v>762</v>
      </c>
      <c r="AB92" s="1" t="s">
        <v>84</v>
      </c>
      <c r="AC92" s="1" t="s">
        <v>84</v>
      </c>
      <c r="AD92" s="1">
        <f>615415*(1)</f>
        <v>615415</v>
      </c>
      <c r="AE92" s="1" t="s">
        <v>437</v>
      </c>
      <c r="AF92" s="1" t="s">
        <v>84</v>
      </c>
      <c r="AG92" s="1" t="s">
        <v>84</v>
      </c>
      <c r="AH92" s="1">
        <f>84171*(1)</f>
        <v>84171</v>
      </c>
      <c r="AI92" s="1" t="s">
        <v>1426</v>
      </c>
      <c r="AJ92" s="1" t="s">
        <v>84</v>
      </c>
      <c r="AK92" s="1" t="s">
        <v>84</v>
      </c>
      <c r="AL92" s="1">
        <f>38315*(1)</f>
        <v>38315</v>
      </c>
      <c r="AM92" s="1" t="s">
        <v>1427</v>
      </c>
      <c r="AN92" s="1" t="s">
        <v>84</v>
      </c>
      <c r="AO92" s="1" t="s">
        <v>84</v>
      </c>
      <c r="AP92" s="1">
        <f>63342*(1)</f>
        <v>63342</v>
      </c>
      <c r="AQ92" s="1" t="s">
        <v>354</v>
      </c>
      <c r="AR92" s="1" t="s">
        <v>84</v>
      </c>
      <c r="AS92" s="1" t="s">
        <v>84</v>
      </c>
      <c r="AT92" s="1">
        <f>588978*(1)</f>
        <v>588978</v>
      </c>
      <c r="AU92" s="1" t="s">
        <v>1428</v>
      </c>
      <c r="AV92" s="1" t="s">
        <v>84</v>
      </c>
      <c r="AW92" s="1" t="s">
        <v>84</v>
      </c>
      <c r="AX92" s="1">
        <f>37537*(1)</f>
        <v>37537</v>
      </c>
      <c r="AY92" s="1" t="s">
        <v>373</v>
      </c>
      <c r="AZ92" s="1" t="s">
        <v>84</v>
      </c>
      <c r="BA92" s="1" t="s">
        <v>84</v>
      </c>
      <c r="BB92" s="1">
        <f>71880*(1)</f>
        <v>71880</v>
      </c>
      <c r="BC92" s="1" t="s">
        <v>118</v>
      </c>
      <c r="BD92" s="1" t="s">
        <v>84</v>
      </c>
      <c r="BE92" s="1" t="s">
        <v>84</v>
      </c>
      <c r="BF92" s="1">
        <f>380375*(1)</f>
        <v>380375</v>
      </c>
      <c r="BG92" s="1" t="s">
        <v>1429</v>
      </c>
      <c r="BH92" s="1" t="s">
        <v>84</v>
      </c>
      <c r="BI92" s="1" t="s">
        <v>84</v>
      </c>
      <c r="BJ92" s="1">
        <f>33895*(1)</f>
        <v>33895</v>
      </c>
      <c r="BK92" s="1" t="s">
        <v>182</v>
      </c>
      <c r="BL92" s="1" t="s">
        <v>84</v>
      </c>
      <c r="BM92" s="1" t="s">
        <v>84</v>
      </c>
      <c r="BN92" s="1">
        <f>105923*(1)</f>
        <v>105923</v>
      </c>
      <c r="BO92" s="1" t="s">
        <v>707</v>
      </c>
      <c r="BP92" s="1" t="s">
        <v>84</v>
      </c>
      <c r="BQ92" s="1" t="s">
        <v>84</v>
      </c>
      <c r="BR92" s="1">
        <f>73010*(1)</f>
        <v>73010</v>
      </c>
      <c r="BS92" s="1" t="s">
        <v>1422</v>
      </c>
      <c r="BT92" s="1" t="s">
        <v>84</v>
      </c>
      <c r="BU92" s="1" t="s">
        <v>84</v>
      </c>
      <c r="BV92" s="1">
        <f>135703*(1)</f>
        <v>135703</v>
      </c>
      <c r="BW92" s="1" t="s">
        <v>724</v>
      </c>
      <c r="BX92" s="1" t="s">
        <v>84</v>
      </c>
      <c r="BY92" s="1" t="s">
        <v>84</v>
      </c>
      <c r="BZ92" s="1">
        <f>200846*(1)</f>
        <v>200846</v>
      </c>
      <c r="CA92" s="1" t="s">
        <v>1430</v>
      </c>
      <c r="CB92" s="1" t="s">
        <v>84</v>
      </c>
      <c r="CC92" s="1" t="s">
        <v>84</v>
      </c>
      <c r="CD92" s="1">
        <f>107985*(1)</f>
        <v>107985</v>
      </c>
      <c r="CE92" s="1" t="s">
        <v>823</v>
      </c>
      <c r="CF92" s="1" t="s">
        <v>84</v>
      </c>
      <c r="CG92" s="1" t="s">
        <v>84</v>
      </c>
      <c r="CH92" s="1">
        <f>27358*(1)</f>
        <v>27358</v>
      </c>
      <c r="CI92" s="1" t="s">
        <v>1427</v>
      </c>
      <c r="CJ92" s="1" t="s">
        <v>84</v>
      </c>
      <c r="CK92" s="1" t="s">
        <v>84</v>
      </c>
      <c r="CL92" s="1">
        <f>75684*(1)</f>
        <v>75684</v>
      </c>
      <c r="CM92" s="1" t="s">
        <v>784</v>
      </c>
      <c r="CN92" s="1" t="s">
        <v>84</v>
      </c>
      <c r="CO92" s="1" t="s">
        <v>84</v>
      </c>
      <c r="CP92" s="1">
        <f>47001*(1)</f>
        <v>47001</v>
      </c>
      <c r="CQ92" s="1" t="s">
        <v>778</v>
      </c>
      <c r="CR92" s="1" t="s">
        <v>84</v>
      </c>
      <c r="CS92" s="1" t="s">
        <v>84</v>
      </c>
      <c r="CT92" s="1">
        <f>252085*(1)</f>
        <v>252085</v>
      </c>
      <c r="CU92" s="1" t="s">
        <v>1431</v>
      </c>
      <c r="CV92" s="1" t="s">
        <v>84</v>
      </c>
      <c r="CW92" s="1" t="s">
        <v>84</v>
      </c>
      <c r="CX92" s="1">
        <f>38338*(1)</f>
        <v>38338</v>
      </c>
      <c r="CY92" s="1" t="s">
        <v>580</v>
      </c>
      <c r="CZ92" s="1" t="s">
        <v>84</v>
      </c>
      <c r="DA92" s="1" t="s">
        <v>84</v>
      </c>
      <c r="DB92" s="1">
        <f>71035*(1)</f>
        <v>71035</v>
      </c>
      <c r="DC92" s="1" t="s">
        <v>597</v>
      </c>
      <c r="DD92" s="1" t="s">
        <v>84</v>
      </c>
      <c r="DE92" s="1" t="s">
        <v>84</v>
      </c>
      <c r="DF92" s="1">
        <f>54637*(1)</f>
        <v>54637</v>
      </c>
      <c r="DG92" s="1" t="s">
        <v>546</v>
      </c>
      <c r="DH92" s="1" t="s">
        <v>84</v>
      </c>
      <c r="DI92" s="1" t="s">
        <v>84</v>
      </c>
      <c r="DJ92" s="1">
        <f>32066*(1)</f>
        <v>32066</v>
      </c>
      <c r="DK92" s="1" t="s">
        <v>1432</v>
      </c>
      <c r="DL92" s="1" t="s">
        <v>84</v>
      </c>
      <c r="DM92" s="1" t="s">
        <v>84</v>
      </c>
      <c r="DN92" s="1">
        <f>33093*(1)</f>
        <v>33093</v>
      </c>
      <c r="DO92" s="1" t="s">
        <v>491</v>
      </c>
      <c r="DP92" s="1" t="s">
        <v>84</v>
      </c>
      <c r="DQ92" s="1" t="s">
        <v>84</v>
      </c>
      <c r="DR92" s="1">
        <f>167333*(1)</f>
        <v>167333</v>
      </c>
      <c r="DS92" s="1" t="s">
        <v>1433</v>
      </c>
      <c r="DT92" s="1" t="s">
        <v>84</v>
      </c>
      <c r="DU92" s="1" t="s">
        <v>84</v>
      </c>
      <c r="DV92" s="1">
        <f>246748*(1)</f>
        <v>246748</v>
      </c>
      <c r="DW92" s="1" t="s">
        <v>95</v>
      </c>
      <c r="DX92" s="1" t="s">
        <v>84</v>
      </c>
      <c r="DY92" s="1" t="s">
        <v>84</v>
      </c>
      <c r="DZ92" s="1">
        <f>94356*(1)</f>
        <v>94356</v>
      </c>
      <c r="EA92" s="1" t="s">
        <v>383</v>
      </c>
      <c r="EB92" s="1" t="s">
        <v>84</v>
      </c>
      <c r="EC92" s="1" t="s">
        <v>84</v>
      </c>
      <c r="ED92" s="1">
        <f>40850*(1)</f>
        <v>40850</v>
      </c>
      <c r="EE92" s="1" t="s">
        <v>573</v>
      </c>
      <c r="EF92" s="1" t="s">
        <v>84</v>
      </c>
      <c r="EG92" s="1" t="s">
        <v>84</v>
      </c>
      <c r="EH92" s="1">
        <f>95164*(1)</f>
        <v>95164</v>
      </c>
      <c r="EI92" s="1" t="s">
        <v>1434</v>
      </c>
      <c r="EJ92" s="1" t="s">
        <v>84</v>
      </c>
      <c r="EK92" s="1" t="s">
        <v>84</v>
      </c>
      <c r="EL92" s="1">
        <f>46825*(1)</f>
        <v>46825</v>
      </c>
      <c r="EM92" s="1" t="s">
        <v>213</v>
      </c>
      <c r="EN92" s="1" t="s">
        <v>84</v>
      </c>
      <c r="EO92" s="1" t="s">
        <v>84</v>
      </c>
      <c r="EP92" s="1">
        <f>57302*(1)</f>
        <v>57302</v>
      </c>
      <c r="EQ92" s="1" t="s">
        <v>414</v>
      </c>
      <c r="ER92" s="1" t="s">
        <v>84</v>
      </c>
      <c r="ES92" s="1" t="s">
        <v>84</v>
      </c>
    </row>
    <row r="93" spans="1:149" ht="28.8" x14ac:dyDescent="0.3">
      <c r="A93" s="4" t="s">
        <v>1435</v>
      </c>
      <c r="B93" s="1">
        <f>0*(1)</f>
        <v>0</v>
      </c>
      <c r="C93" s="1">
        <f>0*(1)</f>
        <v>0</v>
      </c>
      <c r="D93" s="1">
        <f>0*(1)</f>
        <v>0</v>
      </c>
      <c r="E93" s="1">
        <f>0*(1)</f>
        <v>0</v>
      </c>
      <c r="F93" s="1">
        <f>0*(1)</f>
        <v>0</v>
      </c>
      <c r="G93" s="1">
        <f>0*(1)</f>
        <v>0</v>
      </c>
      <c r="H93" s="1">
        <f>0*(1)</f>
        <v>0</v>
      </c>
      <c r="I93" s="1">
        <f>0*(1)</f>
        <v>0</v>
      </c>
      <c r="J93" s="1">
        <f>0*(1)</f>
        <v>0</v>
      </c>
      <c r="K93" s="1">
        <f>0*(1)</f>
        <v>0</v>
      </c>
      <c r="L93" s="1">
        <f>0*(1)</f>
        <v>0</v>
      </c>
      <c r="M93" s="1">
        <f>0*(1)</f>
        <v>0</v>
      </c>
      <c r="N93" s="1">
        <f>0*(1)</f>
        <v>0</v>
      </c>
      <c r="O93" s="1">
        <f>0*(1)</f>
        <v>0</v>
      </c>
      <c r="P93" s="1">
        <f>0*(1)</f>
        <v>0</v>
      </c>
      <c r="Q93" s="1">
        <f>0*(1)</f>
        <v>0</v>
      </c>
      <c r="R93" s="1">
        <f>0*(1)</f>
        <v>0</v>
      </c>
      <c r="S93" s="1">
        <f>0*(1)</f>
        <v>0</v>
      </c>
      <c r="T93" s="1">
        <f>0*(1)</f>
        <v>0</v>
      </c>
      <c r="U93" s="1">
        <f>0*(1)</f>
        <v>0</v>
      </c>
      <c r="V93" s="1">
        <f>0*(1)</f>
        <v>0</v>
      </c>
      <c r="W93" s="1">
        <f>0*(1)</f>
        <v>0</v>
      </c>
      <c r="X93" s="1">
        <f>0*(1)</f>
        <v>0</v>
      </c>
      <c r="Y93" s="1">
        <f>0*(1)</f>
        <v>0</v>
      </c>
      <c r="Z93" s="1">
        <f>0*(1)</f>
        <v>0</v>
      </c>
      <c r="AA93" s="1">
        <f>0*(1)</f>
        <v>0</v>
      </c>
      <c r="AB93" s="1">
        <f>0*(1)</f>
        <v>0</v>
      </c>
      <c r="AC93" s="1">
        <f>0*(1)</f>
        <v>0</v>
      </c>
      <c r="AD93" s="1">
        <f>0*(1)</f>
        <v>0</v>
      </c>
      <c r="AE93" s="1">
        <f>0*(1)</f>
        <v>0</v>
      </c>
      <c r="AF93" s="1">
        <f>0*(1)</f>
        <v>0</v>
      </c>
      <c r="AG93" s="1">
        <f>0*(1)</f>
        <v>0</v>
      </c>
      <c r="AH93" s="1">
        <f>0*(1)</f>
        <v>0</v>
      </c>
      <c r="AI93" s="1">
        <f>0*(1)</f>
        <v>0</v>
      </c>
      <c r="AJ93" s="1">
        <f>0*(1)</f>
        <v>0</v>
      </c>
      <c r="AK93" s="1">
        <f>0*(1)</f>
        <v>0</v>
      </c>
      <c r="AL93" s="1">
        <f>0*(1)</f>
        <v>0</v>
      </c>
      <c r="AM93" s="1">
        <f>0*(1)</f>
        <v>0</v>
      </c>
      <c r="AN93" s="1">
        <f>0*(1)</f>
        <v>0</v>
      </c>
      <c r="AO93" s="1">
        <f>0*(1)</f>
        <v>0</v>
      </c>
      <c r="AP93" s="1">
        <f>0*(1)</f>
        <v>0</v>
      </c>
      <c r="AQ93" s="1">
        <f>0*(1)</f>
        <v>0</v>
      </c>
      <c r="AR93" s="1">
        <f>0*(1)</f>
        <v>0</v>
      </c>
      <c r="AS93" s="1">
        <f>0*(1)</f>
        <v>0</v>
      </c>
      <c r="AT93" s="1">
        <f>0*(1)</f>
        <v>0</v>
      </c>
      <c r="AU93" s="1">
        <f>0*(1)</f>
        <v>0</v>
      </c>
      <c r="AV93" s="1">
        <f>0*(1)</f>
        <v>0</v>
      </c>
      <c r="AW93" s="1">
        <f>0*(1)</f>
        <v>0</v>
      </c>
      <c r="AX93" s="1">
        <f>0*(1)</f>
        <v>0</v>
      </c>
      <c r="AY93" s="1">
        <f>0*(1)</f>
        <v>0</v>
      </c>
      <c r="AZ93" s="1">
        <f>0*(1)</f>
        <v>0</v>
      </c>
      <c r="BA93" s="1">
        <f>0*(1)</f>
        <v>0</v>
      </c>
      <c r="BB93" s="1">
        <f>0*(1)</f>
        <v>0</v>
      </c>
      <c r="BC93" s="1">
        <f>0*(1)</f>
        <v>0</v>
      </c>
      <c r="BD93" s="1">
        <f>0*(1)</f>
        <v>0</v>
      </c>
      <c r="BE93" s="1">
        <f>0*(1)</f>
        <v>0</v>
      </c>
      <c r="BF93" s="1">
        <f>0*(1)</f>
        <v>0</v>
      </c>
      <c r="BG93" s="1">
        <f>0*(1)</f>
        <v>0</v>
      </c>
      <c r="BH93" s="1">
        <f>0*(1)</f>
        <v>0</v>
      </c>
      <c r="BI93" s="1">
        <f>0*(1)</f>
        <v>0</v>
      </c>
      <c r="BJ93" s="1">
        <f>0*(1)</f>
        <v>0</v>
      </c>
      <c r="BK93" s="1">
        <f>0*(1)</f>
        <v>0</v>
      </c>
      <c r="BL93" s="1">
        <f>0*(1)</f>
        <v>0</v>
      </c>
      <c r="BM93" s="1">
        <f>0*(1)</f>
        <v>0</v>
      </c>
      <c r="BN93" s="1">
        <f>0*(1)</f>
        <v>0</v>
      </c>
      <c r="BO93" s="1">
        <f>0*(1)</f>
        <v>0</v>
      </c>
      <c r="BP93" s="1">
        <f>0*(1)</f>
        <v>0</v>
      </c>
      <c r="BQ93" s="1">
        <f>0*(1)</f>
        <v>0</v>
      </c>
      <c r="BR93" s="1">
        <f>0*(1)</f>
        <v>0</v>
      </c>
      <c r="BS93" s="1">
        <f>0*(1)</f>
        <v>0</v>
      </c>
      <c r="BT93" s="1">
        <f>0*(1)</f>
        <v>0</v>
      </c>
      <c r="BU93" s="1">
        <f>0*(1)</f>
        <v>0</v>
      </c>
      <c r="BV93" s="1">
        <f>0*(1)</f>
        <v>0</v>
      </c>
      <c r="BW93" s="1">
        <f>0*(1)</f>
        <v>0</v>
      </c>
      <c r="BX93" s="1">
        <f>0*(1)</f>
        <v>0</v>
      </c>
      <c r="BY93" s="1">
        <f>0*(1)</f>
        <v>0</v>
      </c>
      <c r="BZ93" s="1">
        <f>0*(1)</f>
        <v>0</v>
      </c>
      <c r="CA93" s="1">
        <f>0*(1)</f>
        <v>0</v>
      </c>
      <c r="CB93" s="1">
        <f>0*(1)</f>
        <v>0</v>
      </c>
      <c r="CC93" s="1">
        <f>0*(1)</f>
        <v>0</v>
      </c>
      <c r="CD93" s="1">
        <f>0*(1)</f>
        <v>0</v>
      </c>
      <c r="CE93" s="1">
        <f>0*(1)</f>
        <v>0</v>
      </c>
      <c r="CF93" s="1">
        <f>0*(1)</f>
        <v>0</v>
      </c>
      <c r="CG93" s="1">
        <f>0*(1)</f>
        <v>0</v>
      </c>
      <c r="CH93" s="1">
        <f>0*(1)</f>
        <v>0</v>
      </c>
      <c r="CI93" s="1">
        <f>0*(1)</f>
        <v>0</v>
      </c>
      <c r="CJ93" s="1">
        <f>0*(1)</f>
        <v>0</v>
      </c>
      <c r="CK93" s="1">
        <f>0*(1)</f>
        <v>0</v>
      </c>
      <c r="CL93" s="1">
        <f>0*(1)</f>
        <v>0</v>
      </c>
      <c r="CM93" s="1">
        <f>0*(1)</f>
        <v>0</v>
      </c>
      <c r="CN93" s="1">
        <f>0*(1)</f>
        <v>0</v>
      </c>
      <c r="CO93" s="1">
        <f>0*(1)</f>
        <v>0</v>
      </c>
      <c r="CP93" s="1">
        <f>0*(1)</f>
        <v>0</v>
      </c>
      <c r="CQ93" s="1">
        <f>0*(1)</f>
        <v>0</v>
      </c>
      <c r="CR93" s="1">
        <f>0*(1)</f>
        <v>0</v>
      </c>
      <c r="CS93" s="1">
        <f>0*(1)</f>
        <v>0</v>
      </c>
      <c r="CT93" s="1">
        <f>0*(1)</f>
        <v>0</v>
      </c>
      <c r="CU93" s="1">
        <f>0*(1)</f>
        <v>0</v>
      </c>
      <c r="CV93" s="1">
        <f>0*(1)</f>
        <v>0</v>
      </c>
      <c r="CW93" s="1">
        <f>0*(1)</f>
        <v>0</v>
      </c>
      <c r="CX93" s="1">
        <f>0*(1)</f>
        <v>0</v>
      </c>
      <c r="CY93" s="1">
        <f>0*(1)</f>
        <v>0</v>
      </c>
      <c r="CZ93" s="1">
        <f>0*(1)</f>
        <v>0</v>
      </c>
      <c r="DA93" s="1">
        <f>0*(1)</f>
        <v>0</v>
      </c>
      <c r="DB93" s="1">
        <f>0*(1)</f>
        <v>0</v>
      </c>
      <c r="DC93" s="1">
        <f>0*(1)</f>
        <v>0</v>
      </c>
      <c r="DD93" s="1">
        <f>0*(1)</f>
        <v>0</v>
      </c>
      <c r="DE93" s="1">
        <f>0*(1)</f>
        <v>0</v>
      </c>
      <c r="DF93" s="1">
        <f>0*(1)</f>
        <v>0</v>
      </c>
      <c r="DG93" s="1">
        <f>0*(1)</f>
        <v>0</v>
      </c>
      <c r="DH93" s="1">
        <f>0*(1)</f>
        <v>0</v>
      </c>
      <c r="DI93" s="1">
        <f>0*(1)</f>
        <v>0</v>
      </c>
      <c r="DJ93" s="1">
        <f>0*(1)</f>
        <v>0</v>
      </c>
      <c r="DK93" s="1">
        <f>0*(1)</f>
        <v>0</v>
      </c>
      <c r="DL93" s="1">
        <f>0*(1)</f>
        <v>0</v>
      </c>
      <c r="DM93" s="1">
        <f>0*(1)</f>
        <v>0</v>
      </c>
      <c r="DN93" s="1">
        <f>0*(1)</f>
        <v>0</v>
      </c>
      <c r="DO93" s="1">
        <f>0*(1)</f>
        <v>0</v>
      </c>
      <c r="DP93" s="1">
        <f>0*(1)</f>
        <v>0</v>
      </c>
      <c r="DQ93" s="1">
        <f>0*(1)</f>
        <v>0</v>
      </c>
      <c r="DR93" s="1">
        <f>0*(1)</f>
        <v>0</v>
      </c>
      <c r="DS93" s="1">
        <f>0*(1)</f>
        <v>0</v>
      </c>
      <c r="DT93" s="1">
        <f>0*(1)</f>
        <v>0</v>
      </c>
      <c r="DU93" s="1">
        <f>0*(1)</f>
        <v>0</v>
      </c>
      <c r="DV93" s="1">
        <f>0*(1)</f>
        <v>0</v>
      </c>
      <c r="DW93" s="1">
        <f>0*(1)</f>
        <v>0</v>
      </c>
      <c r="DX93" s="1">
        <f>0*(1)</f>
        <v>0</v>
      </c>
      <c r="DY93" s="1">
        <f>0*(1)</f>
        <v>0</v>
      </c>
      <c r="DZ93" s="1">
        <f>0*(1)</f>
        <v>0</v>
      </c>
      <c r="EA93" s="1">
        <f>0*(1)</f>
        <v>0</v>
      </c>
      <c r="EB93" s="1">
        <f>0*(1)</f>
        <v>0</v>
      </c>
      <c r="EC93" s="1">
        <f>0*(1)</f>
        <v>0</v>
      </c>
      <c r="ED93" s="1">
        <f>0*(1)</f>
        <v>0</v>
      </c>
      <c r="EE93" s="1">
        <f>0*(1)</f>
        <v>0</v>
      </c>
      <c r="EF93" s="1">
        <f>0*(1)</f>
        <v>0</v>
      </c>
      <c r="EG93" s="1">
        <f>0*(1)</f>
        <v>0</v>
      </c>
      <c r="EH93" s="1">
        <f>0*(1)</f>
        <v>0</v>
      </c>
      <c r="EI93" s="1">
        <f>0*(1)</f>
        <v>0</v>
      </c>
      <c r="EJ93" s="1">
        <f>0*(1)</f>
        <v>0</v>
      </c>
      <c r="EK93" s="1">
        <f>0*(1)</f>
        <v>0</v>
      </c>
      <c r="EL93" s="1">
        <f>0*(1)</f>
        <v>0</v>
      </c>
      <c r="EM93" s="1">
        <f>0*(1)</f>
        <v>0</v>
      </c>
      <c r="EN93" s="1">
        <f>0*(1)</f>
        <v>0</v>
      </c>
      <c r="EO93" s="1">
        <f>0*(1)</f>
        <v>0</v>
      </c>
      <c r="EP93" s="1">
        <f>0*(1)</f>
        <v>0</v>
      </c>
      <c r="EQ93" s="1">
        <f>0*(1)</f>
        <v>0</v>
      </c>
      <c r="ER93" s="1">
        <f>0*(1)</f>
        <v>0</v>
      </c>
      <c r="ES93" s="1">
        <f>0*(1)</f>
        <v>0</v>
      </c>
    </row>
    <row r="94" spans="1:149" x14ac:dyDescent="0.3">
      <c r="A94" s="6" t="s">
        <v>1436</v>
      </c>
      <c r="B94" s="1">
        <f>77633*(1)</f>
        <v>77633</v>
      </c>
      <c r="C94" s="1" t="s">
        <v>737</v>
      </c>
      <c r="D94" s="1">
        <f>77633*(1)</f>
        <v>77633</v>
      </c>
      <c r="E94" s="1" t="s">
        <v>84</v>
      </c>
      <c r="F94" s="1">
        <f>74754*(1)</f>
        <v>74754</v>
      </c>
      <c r="G94" s="1" t="s">
        <v>608</v>
      </c>
      <c r="H94" s="1">
        <f>74754*(1)</f>
        <v>74754</v>
      </c>
      <c r="I94" s="1" t="s">
        <v>84</v>
      </c>
      <c r="J94" s="1">
        <f>53066*(1)</f>
        <v>53066</v>
      </c>
      <c r="K94" s="1" t="s">
        <v>783</v>
      </c>
      <c r="L94" s="1">
        <f>53066*(1)</f>
        <v>53066</v>
      </c>
      <c r="M94" s="1" t="s">
        <v>84</v>
      </c>
      <c r="N94" s="1">
        <f>286756*(1)</f>
        <v>286756</v>
      </c>
      <c r="O94" s="1" t="s">
        <v>1437</v>
      </c>
      <c r="P94" s="1">
        <f>286756*(1)</f>
        <v>286756</v>
      </c>
      <c r="Q94" s="1" t="s">
        <v>84</v>
      </c>
      <c r="R94" s="1">
        <f>103709*(1)</f>
        <v>103709</v>
      </c>
      <c r="S94" s="1" t="s">
        <v>990</v>
      </c>
      <c r="T94" s="1">
        <f>103709*(1)</f>
        <v>103709</v>
      </c>
      <c r="U94" s="1" t="s">
        <v>84</v>
      </c>
      <c r="V94" s="1">
        <f>160455*(1)</f>
        <v>160455</v>
      </c>
      <c r="W94" s="1" t="s">
        <v>1438</v>
      </c>
      <c r="X94" s="1">
        <f>160455*(1)</f>
        <v>160455</v>
      </c>
      <c r="Y94" s="1" t="s">
        <v>84</v>
      </c>
      <c r="Z94" s="1">
        <f>80217*(1)</f>
        <v>80217</v>
      </c>
      <c r="AA94" s="1" t="s">
        <v>1439</v>
      </c>
      <c r="AB94" s="1">
        <f>80217*(1)</f>
        <v>80217</v>
      </c>
      <c r="AC94" s="1" t="s">
        <v>84</v>
      </c>
      <c r="AD94" s="1">
        <f>961451*(1)</f>
        <v>961451</v>
      </c>
      <c r="AE94" s="1" t="s">
        <v>1440</v>
      </c>
      <c r="AF94" s="1">
        <f>961451*(1)</f>
        <v>961451</v>
      </c>
      <c r="AG94" s="1" t="s">
        <v>84</v>
      </c>
      <c r="AH94" s="1">
        <f>157653*(1)</f>
        <v>157653</v>
      </c>
      <c r="AI94" s="1" t="s">
        <v>1271</v>
      </c>
      <c r="AJ94" s="1">
        <f>157653*(1)</f>
        <v>157653</v>
      </c>
      <c r="AK94" s="1" t="s">
        <v>84</v>
      </c>
      <c r="AL94" s="1">
        <f>58997*(1)</f>
        <v>58997</v>
      </c>
      <c r="AM94" s="1" t="s">
        <v>1157</v>
      </c>
      <c r="AN94" s="1">
        <f>58997*(1)</f>
        <v>58997</v>
      </c>
      <c r="AO94" s="1" t="s">
        <v>84</v>
      </c>
      <c r="AP94" s="1">
        <f>119036*(1)</f>
        <v>119036</v>
      </c>
      <c r="AQ94" s="1" t="s">
        <v>1274</v>
      </c>
      <c r="AR94" s="1">
        <f>119036*(1)</f>
        <v>119036</v>
      </c>
      <c r="AS94" s="1" t="s">
        <v>84</v>
      </c>
      <c r="AT94" s="1">
        <f>942954*(1)</f>
        <v>942954</v>
      </c>
      <c r="AU94" s="1" t="s">
        <v>1441</v>
      </c>
      <c r="AV94" s="1">
        <f>942954*(1)</f>
        <v>942954</v>
      </c>
      <c r="AW94" s="1" t="s">
        <v>84</v>
      </c>
      <c r="AX94" s="1">
        <f>73614*(1)</f>
        <v>73614</v>
      </c>
      <c r="AY94" s="1" t="s">
        <v>1382</v>
      </c>
      <c r="AZ94" s="1">
        <f>73614*(1)</f>
        <v>73614</v>
      </c>
      <c r="BA94" s="1" t="s">
        <v>84</v>
      </c>
      <c r="BB94" s="1">
        <f>130800*(1)</f>
        <v>130800</v>
      </c>
      <c r="BC94" s="1" t="s">
        <v>91</v>
      </c>
      <c r="BD94" s="1">
        <f>130800*(1)</f>
        <v>130800</v>
      </c>
      <c r="BE94" s="1" t="s">
        <v>84</v>
      </c>
      <c r="BF94" s="1">
        <f>614699*(1)</f>
        <v>614699</v>
      </c>
      <c r="BG94" s="1" t="s">
        <v>1442</v>
      </c>
      <c r="BH94" s="1">
        <f>614699*(1)</f>
        <v>614699</v>
      </c>
      <c r="BI94" s="1" t="s">
        <v>84</v>
      </c>
      <c r="BJ94" s="1">
        <f>57871*(1)</f>
        <v>57871</v>
      </c>
      <c r="BK94" s="1" t="s">
        <v>391</v>
      </c>
      <c r="BL94" s="1">
        <f>57871*(1)</f>
        <v>57871</v>
      </c>
      <c r="BM94" s="1" t="s">
        <v>84</v>
      </c>
      <c r="BN94" s="1">
        <f>182286*(1)</f>
        <v>182286</v>
      </c>
      <c r="BO94" s="1" t="s">
        <v>851</v>
      </c>
      <c r="BP94" s="1">
        <f>182286*(1)</f>
        <v>182286</v>
      </c>
      <c r="BQ94" s="1" t="s">
        <v>84</v>
      </c>
      <c r="BR94" s="1">
        <f>137083*(1)</f>
        <v>137083</v>
      </c>
      <c r="BS94" s="1" t="s">
        <v>201</v>
      </c>
      <c r="BT94" s="1">
        <f>137083*(1)</f>
        <v>137083</v>
      </c>
      <c r="BU94" s="1" t="s">
        <v>84</v>
      </c>
      <c r="BV94" s="1">
        <f>243597*(1)</f>
        <v>243597</v>
      </c>
      <c r="BW94" s="1" t="s">
        <v>743</v>
      </c>
      <c r="BX94" s="1">
        <f>243597*(1)</f>
        <v>243597</v>
      </c>
      <c r="BY94" s="1" t="s">
        <v>84</v>
      </c>
      <c r="BZ94" s="1">
        <f>323991*(1)</f>
        <v>323991</v>
      </c>
      <c r="CA94" s="1" t="s">
        <v>1443</v>
      </c>
      <c r="CB94" s="1">
        <f>323991*(1)</f>
        <v>323991</v>
      </c>
      <c r="CC94" s="1" t="s">
        <v>84</v>
      </c>
      <c r="CD94" s="1">
        <f>179073*(1)</f>
        <v>179073</v>
      </c>
      <c r="CE94" s="1" t="s">
        <v>527</v>
      </c>
      <c r="CF94" s="1">
        <f>179073*(1)</f>
        <v>179073</v>
      </c>
      <c r="CG94" s="1" t="s">
        <v>84</v>
      </c>
      <c r="CH94" s="1">
        <f>51118*(1)</f>
        <v>51118</v>
      </c>
      <c r="CI94" s="1" t="s">
        <v>1444</v>
      </c>
      <c r="CJ94" s="1">
        <f>51118*(1)</f>
        <v>51118</v>
      </c>
      <c r="CK94" s="1" t="s">
        <v>84</v>
      </c>
      <c r="CL94" s="1">
        <f>141694*(1)</f>
        <v>141694</v>
      </c>
      <c r="CM94" s="1" t="s">
        <v>1445</v>
      </c>
      <c r="CN94" s="1">
        <f>141694*(1)</f>
        <v>141694</v>
      </c>
      <c r="CO94" s="1" t="s">
        <v>84</v>
      </c>
      <c r="CP94" s="1">
        <f>82516*(1)</f>
        <v>82516</v>
      </c>
      <c r="CQ94" s="1" t="s">
        <v>838</v>
      </c>
      <c r="CR94" s="1">
        <f>82516*(1)</f>
        <v>82516</v>
      </c>
      <c r="CS94" s="1" t="s">
        <v>84</v>
      </c>
      <c r="CT94" s="1">
        <f>406043*(1)</f>
        <v>406043</v>
      </c>
      <c r="CU94" s="1" t="s">
        <v>1446</v>
      </c>
      <c r="CV94" s="1">
        <f>406043*(1)</f>
        <v>406043</v>
      </c>
      <c r="CW94" s="1" t="s">
        <v>84</v>
      </c>
      <c r="CX94" s="1">
        <f>66990*(1)</f>
        <v>66990</v>
      </c>
      <c r="CY94" s="1" t="s">
        <v>940</v>
      </c>
      <c r="CZ94" s="1">
        <f>66990*(1)</f>
        <v>66990</v>
      </c>
      <c r="DA94" s="1" t="s">
        <v>84</v>
      </c>
      <c r="DB94" s="1">
        <f>130853*(1)</f>
        <v>130853</v>
      </c>
      <c r="DC94" s="1" t="s">
        <v>1447</v>
      </c>
      <c r="DD94" s="1">
        <f>130853*(1)</f>
        <v>130853</v>
      </c>
      <c r="DE94" s="1" t="s">
        <v>84</v>
      </c>
      <c r="DF94" s="1">
        <f>97481*(1)</f>
        <v>97481</v>
      </c>
      <c r="DG94" s="1" t="s">
        <v>704</v>
      </c>
      <c r="DH94" s="1">
        <f>97481*(1)</f>
        <v>97481</v>
      </c>
      <c r="DI94" s="1" t="s">
        <v>84</v>
      </c>
      <c r="DJ94" s="1">
        <f>60381*(1)</f>
        <v>60381</v>
      </c>
      <c r="DK94" s="1" t="s">
        <v>502</v>
      </c>
      <c r="DL94" s="1">
        <f>60381*(1)</f>
        <v>60381</v>
      </c>
      <c r="DM94" s="1" t="s">
        <v>84</v>
      </c>
      <c r="DN94" s="1">
        <f>57052*(1)</f>
        <v>57052</v>
      </c>
      <c r="DO94" s="1" t="s">
        <v>1448</v>
      </c>
      <c r="DP94" s="1">
        <f>57052*(1)</f>
        <v>57052</v>
      </c>
      <c r="DQ94" s="1" t="s">
        <v>84</v>
      </c>
      <c r="DR94" s="1">
        <f>289880*(1)</f>
        <v>289880</v>
      </c>
      <c r="DS94" s="1" t="s">
        <v>1449</v>
      </c>
      <c r="DT94" s="1">
        <f>289880*(1)</f>
        <v>289880</v>
      </c>
      <c r="DU94" s="1" t="s">
        <v>84</v>
      </c>
      <c r="DV94" s="1">
        <f>414649*(1)</f>
        <v>414649</v>
      </c>
      <c r="DW94" s="1" t="s">
        <v>1450</v>
      </c>
      <c r="DX94" s="1">
        <f>414649*(1)</f>
        <v>414649</v>
      </c>
      <c r="DY94" s="1" t="s">
        <v>84</v>
      </c>
      <c r="DZ94" s="1">
        <f>159656*(1)</f>
        <v>159656</v>
      </c>
      <c r="EA94" s="1" t="s">
        <v>686</v>
      </c>
      <c r="EB94" s="1">
        <f>159656*(1)</f>
        <v>159656</v>
      </c>
      <c r="EC94" s="1" t="s">
        <v>84</v>
      </c>
      <c r="ED94" s="1">
        <f>71045*(1)</f>
        <v>71045</v>
      </c>
      <c r="EE94" s="1" t="s">
        <v>127</v>
      </c>
      <c r="EF94" s="1">
        <f>71045*(1)</f>
        <v>71045</v>
      </c>
      <c r="EG94" s="1" t="s">
        <v>84</v>
      </c>
      <c r="EH94" s="1">
        <f>178310*(1)</f>
        <v>178310</v>
      </c>
      <c r="EI94" s="1" t="s">
        <v>1451</v>
      </c>
      <c r="EJ94" s="1">
        <f>178310*(1)</f>
        <v>178310</v>
      </c>
      <c r="EK94" s="1" t="s">
        <v>84</v>
      </c>
      <c r="EL94" s="1">
        <f>86862*(1)</f>
        <v>86862</v>
      </c>
      <c r="EM94" s="1" t="s">
        <v>1452</v>
      </c>
      <c r="EN94" s="1">
        <f>86862*(1)</f>
        <v>86862</v>
      </c>
      <c r="EO94" s="1" t="s">
        <v>84</v>
      </c>
      <c r="EP94" s="1">
        <f>103604*(1)</f>
        <v>103604</v>
      </c>
      <c r="EQ94" s="1" t="s">
        <v>322</v>
      </c>
      <c r="ER94" s="1">
        <f>103604*(1)</f>
        <v>103604</v>
      </c>
      <c r="ES94" s="1" t="s">
        <v>84</v>
      </c>
    </row>
    <row r="95" spans="1:149" x14ac:dyDescent="0.3">
      <c r="A95" s="7" t="s">
        <v>85</v>
      </c>
      <c r="B95" s="1">
        <f>38908*(1)</f>
        <v>38908</v>
      </c>
      <c r="C95" s="1" t="s">
        <v>1453</v>
      </c>
      <c r="D95" s="1">
        <f>0.501*(1)</f>
        <v>0.501</v>
      </c>
      <c r="E95" s="1" t="s">
        <v>120</v>
      </c>
      <c r="F95" s="1">
        <f>37878*(1)</f>
        <v>37878</v>
      </c>
      <c r="G95" s="1" t="s">
        <v>1454</v>
      </c>
      <c r="H95" s="1">
        <f>0.507*(1)</f>
        <v>0.50700000000000001</v>
      </c>
      <c r="I95" s="1" t="s">
        <v>132</v>
      </c>
      <c r="J95" s="1">
        <f>27209*(1)</f>
        <v>27209</v>
      </c>
      <c r="K95" s="1" t="s">
        <v>1455</v>
      </c>
      <c r="L95" s="1">
        <f>0.513*(1)</f>
        <v>0.51300000000000001</v>
      </c>
      <c r="M95" s="1" t="s">
        <v>92</v>
      </c>
      <c r="N95" s="1">
        <f>139931*(1)</f>
        <v>139931</v>
      </c>
      <c r="O95" s="1" t="s">
        <v>1456</v>
      </c>
      <c r="P95" s="1">
        <f>0.488*(1)</f>
        <v>0.48799999999999999</v>
      </c>
      <c r="Q95" s="1" t="s">
        <v>92</v>
      </c>
      <c r="R95" s="1">
        <f>49459*(1)</f>
        <v>49459</v>
      </c>
      <c r="S95" s="1" t="s">
        <v>269</v>
      </c>
      <c r="T95" s="1">
        <f>0.477*(1)</f>
        <v>0.47699999999999998</v>
      </c>
      <c r="U95" s="1" t="s">
        <v>111</v>
      </c>
      <c r="V95" s="1">
        <f>78044*(1)</f>
        <v>78044</v>
      </c>
      <c r="W95" s="1" t="s">
        <v>1115</v>
      </c>
      <c r="X95" s="1">
        <f>0.486*(1)</f>
        <v>0.48599999999999999</v>
      </c>
      <c r="Y95" s="1" t="s">
        <v>92</v>
      </c>
      <c r="Z95" s="1">
        <f>40850*(1)</f>
        <v>40850</v>
      </c>
      <c r="AA95" s="1" t="s">
        <v>1191</v>
      </c>
      <c r="AB95" s="1">
        <f>0.509*(1)</f>
        <v>0.50900000000000001</v>
      </c>
      <c r="AC95" s="1" t="s">
        <v>96</v>
      </c>
      <c r="AD95" s="1">
        <f>450588*(1)</f>
        <v>450588</v>
      </c>
      <c r="AE95" s="1" t="s">
        <v>1457</v>
      </c>
      <c r="AF95" s="1">
        <f>0.469*(1)</f>
        <v>0.46899999999999997</v>
      </c>
      <c r="AG95" s="1" t="s">
        <v>99</v>
      </c>
      <c r="AH95" s="1">
        <f>78222*(1)</f>
        <v>78222</v>
      </c>
      <c r="AI95" s="1" t="s">
        <v>1454</v>
      </c>
      <c r="AJ95" s="1">
        <f>0.496*(1)</f>
        <v>0.496</v>
      </c>
      <c r="AK95" s="1" t="s">
        <v>92</v>
      </c>
      <c r="AL95" s="1">
        <f>28465*(1)</f>
        <v>28465</v>
      </c>
      <c r="AM95" s="1" t="s">
        <v>1458</v>
      </c>
      <c r="AN95" s="1">
        <f>0.482*(1)</f>
        <v>0.48199999999999998</v>
      </c>
      <c r="AO95" s="1" t="s">
        <v>90</v>
      </c>
      <c r="AP95" s="1">
        <f>59064*(1)</f>
        <v>59064</v>
      </c>
      <c r="AQ95" s="1" t="s">
        <v>1459</v>
      </c>
      <c r="AR95" s="1">
        <f>0.496*(1)</f>
        <v>0.496</v>
      </c>
      <c r="AS95" s="1" t="s">
        <v>94</v>
      </c>
      <c r="AT95" s="1">
        <f>452529*(1)</f>
        <v>452529</v>
      </c>
      <c r="AU95" s="1" t="s">
        <v>1460</v>
      </c>
      <c r="AV95" s="1">
        <f>0.48*(1)</f>
        <v>0.48</v>
      </c>
      <c r="AW95" s="1" t="s">
        <v>111</v>
      </c>
      <c r="AX95" s="1">
        <f>36517*(1)</f>
        <v>36517</v>
      </c>
      <c r="AY95" s="1" t="s">
        <v>172</v>
      </c>
      <c r="AZ95" s="1">
        <f>0.496*(1)</f>
        <v>0.496</v>
      </c>
      <c r="BA95" s="1" t="s">
        <v>96</v>
      </c>
      <c r="BB95" s="1">
        <f>64485*(1)</f>
        <v>64485</v>
      </c>
      <c r="BC95" s="1" t="s">
        <v>236</v>
      </c>
      <c r="BD95" s="1">
        <f>0.493*(1)</f>
        <v>0.49299999999999999</v>
      </c>
      <c r="BE95" s="1" t="s">
        <v>92</v>
      </c>
      <c r="BF95" s="1">
        <f>292425*(1)</f>
        <v>292425</v>
      </c>
      <c r="BG95" s="1" t="s">
        <v>443</v>
      </c>
      <c r="BH95" s="1">
        <f>0.476*(1)</f>
        <v>0.47599999999999998</v>
      </c>
      <c r="BI95" s="1" t="s">
        <v>111</v>
      </c>
      <c r="BJ95" s="1">
        <f>28659*(1)</f>
        <v>28659</v>
      </c>
      <c r="BK95" s="1" t="s">
        <v>279</v>
      </c>
      <c r="BL95" s="1">
        <f>0.495*(1)</f>
        <v>0.495</v>
      </c>
      <c r="BM95" s="1" t="s">
        <v>145</v>
      </c>
      <c r="BN95" s="1">
        <f>88116*(1)</f>
        <v>88116</v>
      </c>
      <c r="BO95" s="1" t="s">
        <v>1461</v>
      </c>
      <c r="BP95" s="1">
        <f>0.483*(1)</f>
        <v>0.48299999999999998</v>
      </c>
      <c r="BQ95" s="1" t="s">
        <v>92</v>
      </c>
      <c r="BR95" s="1">
        <f>67492*(1)</f>
        <v>67492</v>
      </c>
      <c r="BS95" s="1" t="s">
        <v>1462</v>
      </c>
      <c r="BT95" s="1">
        <f>0.492*(1)</f>
        <v>0.49199999999999999</v>
      </c>
      <c r="BU95" s="1" t="s">
        <v>96</v>
      </c>
      <c r="BV95" s="1">
        <f>119635*(1)</f>
        <v>119635</v>
      </c>
      <c r="BW95" s="1" t="s">
        <v>270</v>
      </c>
      <c r="BX95" s="1">
        <f>0.491*(1)</f>
        <v>0.49099999999999999</v>
      </c>
      <c r="BY95" s="1" t="s">
        <v>111</v>
      </c>
      <c r="BZ95" s="1">
        <f>155424*(1)</f>
        <v>155424</v>
      </c>
      <c r="CA95" s="1" t="s">
        <v>1463</v>
      </c>
      <c r="CB95" s="1">
        <f>0.48*(1)</f>
        <v>0.48</v>
      </c>
      <c r="CC95" s="1" t="s">
        <v>111</v>
      </c>
      <c r="CD95" s="1">
        <f>87563*(1)</f>
        <v>87563</v>
      </c>
      <c r="CE95" s="1" t="s">
        <v>726</v>
      </c>
      <c r="CF95" s="1">
        <f>0.489*(1)</f>
        <v>0.48899999999999999</v>
      </c>
      <c r="CG95" s="1" t="s">
        <v>111</v>
      </c>
      <c r="CH95" s="1">
        <f>27613*(1)</f>
        <v>27613</v>
      </c>
      <c r="CI95" s="1" t="s">
        <v>1464</v>
      </c>
      <c r="CJ95" s="1">
        <f>0.54*(1)</f>
        <v>0.54</v>
      </c>
      <c r="CK95" s="1" t="s">
        <v>120</v>
      </c>
      <c r="CL95" s="1">
        <f>69744*(1)</f>
        <v>69744</v>
      </c>
      <c r="CM95" s="1" t="s">
        <v>1465</v>
      </c>
      <c r="CN95" s="1">
        <f>0.492*(1)</f>
        <v>0.49199999999999999</v>
      </c>
      <c r="CO95" s="1" t="s">
        <v>96</v>
      </c>
      <c r="CP95" s="1">
        <f>40822*(1)</f>
        <v>40822</v>
      </c>
      <c r="CQ95" s="1" t="s">
        <v>1466</v>
      </c>
      <c r="CR95" s="1">
        <f>0.495*(1)</f>
        <v>0.495</v>
      </c>
      <c r="CS95" s="1" t="s">
        <v>90</v>
      </c>
      <c r="CT95" s="1">
        <f>191684*(1)</f>
        <v>191684</v>
      </c>
      <c r="CU95" s="1" t="s">
        <v>1467</v>
      </c>
      <c r="CV95" s="1">
        <f>0.472*(1)</f>
        <v>0.47199999999999998</v>
      </c>
      <c r="CW95" s="1" t="s">
        <v>111</v>
      </c>
      <c r="CX95" s="1">
        <f>32697*(1)</f>
        <v>32697</v>
      </c>
      <c r="CY95" s="1" t="s">
        <v>715</v>
      </c>
      <c r="CZ95" s="1">
        <f>0.488*(1)</f>
        <v>0.48799999999999999</v>
      </c>
      <c r="DA95" s="1" t="s">
        <v>94</v>
      </c>
      <c r="DB95" s="1">
        <f>63214*(1)</f>
        <v>63214</v>
      </c>
      <c r="DC95" s="1" t="s">
        <v>564</v>
      </c>
      <c r="DD95" s="1">
        <f>0.483*(1)</f>
        <v>0.48299999999999998</v>
      </c>
      <c r="DE95" s="1" t="s">
        <v>94</v>
      </c>
      <c r="DF95" s="1">
        <f>49820*(1)</f>
        <v>49820</v>
      </c>
      <c r="DG95" s="1" t="s">
        <v>781</v>
      </c>
      <c r="DH95" s="1">
        <f>0.511*(1)</f>
        <v>0.51100000000000001</v>
      </c>
      <c r="DI95" s="1" t="s">
        <v>96</v>
      </c>
      <c r="DJ95" s="1">
        <f>31965*(1)</f>
        <v>31965</v>
      </c>
      <c r="DK95" s="1" t="s">
        <v>769</v>
      </c>
      <c r="DL95" s="1">
        <f>0.529*(1)</f>
        <v>0.52900000000000003</v>
      </c>
      <c r="DM95" s="1" t="s">
        <v>99</v>
      </c>
      <c r="DN95" s="1">
        <f>27854*(1)</f>
        <v>27854</v>
      </c>
      <c r="DO95" s="1" t="s">
        <v>588</v>
      </c>
      <c r="DP95" s="1">
        <f>0.488*(1)</f>
        <v>0.48799999999999999</v>
      </c>
      <c r="DQ95" s="1" t="s">
        <v>132</v>
      </c>
      <c r="DR95" s="1">
        <f>139594*(1)</f>
        <v>139594</v>
      </c>
      <c r="DS95" s="1" t="s">
        <v>724</v>
      </c>
      <c r="DT95" s="1">
        <f>0.482*(1)</f>
        <v>0.48199999999999998</v>
      </c>
      <c r="DU95" s="1" t="s">
        <v>99</v>
      </c>
      <c r="DV95" s="1">
        <f>198999*(1)</f>
        <v>198999</v>
      </c>
      <c r="DW95" s="1" t="s">
        <v>1468</v>
      </c>
      <c r="DX95" s="1">
        <f>0.48*(1)</f>
        <v>0.48</v>
      </c>
      <c r="DY95" s="1" t="s">
        <v>111</v>
      </c>
      <c r="DZ95" s="1">
        <f>77244*(1)</f>
        <v>77244</v>
      </c>
      <c r="EA95" s="1" t="s">
        <v>939</v>
      </c>
      <c r="EB95" s="1">
        <f>0.484*(1)</f>
        <v>0.48399999999999999</v>
      </c>
      <c r="EC95" s="1" t="s">
        <v>92</v>
      </c>
      <c r="ED95" s="1">
        <f>34488*(1)</f>
        <v>34488</v>
      </c>
      <c r="EE95" s="1" t="s">
        <v>1469</v>
      </c>
      <c r="EF95" s="1">
        <f>0.485*(1)</f>
        <v>0.48499999999999999</v>
      </c>
      <c r="EG95" s="1" t="s">
        <v>120</v>
      </c>
      <c r="EH95" s="1">
        <f>90766*(1)</f>
        <v>90766</v>
      </c>
      <c r="EI95" s="1" t="s">
        <v>1470</v>
      </c>
      <c r="EJ95" s="1">
        <f>0.509*(1)</f>
        <v>0.50900000000000001</v>
      </c>
      <c r="EK95" s="1" t="s">
        <v>120</v>
      </c>
      <c r="EL95" s="1">
        <f>42999*(1)</f>
        <v>42999</v>
      </c>
      <c r="EM95" s="1" t="s">
        <v>452</v>
      </c>
      <c r="EN95" s="1">
        <f>0.495*(1)</f>
        <v>0.495</v>
      </c>
      <c r="EO95" s="1" t="s">
        <v>129</v>
      </c>
      <c r="EP95" s="1">
        <f>50698*(1)</f>
        <v>50698</v>
      </c>
      <c r="EQ95" s="1" t="s">
        <v>1471</v>
      </c>
      <c r="ER95" s="1">
        <f>0.489*(1)</f>
        <v>0.48899999999999999</v>
      </c>
      <c r="ES95" s="1" t="s">
        <v>92</v>
      </c>
    </row>
    <row r="96" spans="1:149" x14ac:dyDescent="0.3">
      <c r="A96" s="7" t="s">
        <v>134</v>
      </c>
      <c r="B96" s="1">
        <f>38725*(1)</f>
        <v>38725</v>
      </c>
      <c r="C96" s="1" t="s">
        <v>1472</v>
      </c>
      <c r="D96" s="1">
        <f>0.499*(1)</f>
        <v>0.499</v>
      </c>
      <c r="E96" s="1" t="s">
        <v>120</v>
      </c>
      <c r="F96" s="1">
        <f>36876*(1)</f>
        <v>36876</v>
      </c>
      <c r="G96" s="1" t="s">
        <v>475</v>
      </c>
      <c r="H96" s="1">
        <f>0.493*(1)</f>
        <v>0.49299999999999999</v>
      </c>
      <c r="I96" s="1" t="s">
        <v>132</v>
      </c>
      <c r="J96" s="1">
        <f>25857*(1)</f>
        <v>25857</v>
      </c>
      <c r="K96" s="1" t="s">
        <v>1473</v>
      </c>
      <c r="L96" s="1">
        <f>0.487*(1)</f>
        <v>0.48699999999999999</v>
      </c>
      <c r="M96" s="1" t="s">
        <v>92</v>
      </c>
      <c r="N96" s="1">
        <f>146825*(1)</f>
        <v>146825</v>
      </c>
      <c r="O96" s="1" t="s">
        <v>1474</v>
      </c>
      <c r="P96" s="1">
        <f>0.512*(1)</f>
        <v>0.51200000000000001</v>
      </c>
      <c r="Q96" s="1" t="s">
        <v>92</v>
      </c>
      <c r="R96" s="1">
        <f>54250*(1)</f>
        <v>54250</v>
      </c>
      <c r="S96" s="1" t="s">
        <v>602</v>
      </c>
      <c r="T96" s="1">
        <f>0.523*(1)</f>
        <v>0.52300000000000002</v>
      </c>
      <c r="U96" s="1" t="s">
        <v>111</v>
      </c>
      <c r="V96" s="1">
        <f>82411*(1)</f>
        <v>82411</v>
      </c>
      <c r="W96" s="1" t="s">
        <v>1475</v>
      </c>
      <c r="X96" s="1">
        <f>0.514*(1)</f>
        <v>0.51400000000000001</v>
      </c>
      <c r="Y96" s="1" t="s">
        <v>92</v>
      </c>
      <c r="Z96" s="1">
        <f>39367*(1)</f>
        <v>39367</v>
      </c>
      <c r="AA96" s="1" t="s">
        <v>1476</v>
      </c>
      <c r="AB96" s="1">
        <f>0.491*(1)</f>
        <v>0.49099999999999999</v>
      </c>
      <c r="AC96" s="1" t="s">
        <v>96</v>
      </c>
      <c r="AD96" s="1">
        <f>510863*(1)</f>
        <v>510863</v>
      </c>
      <c r="AE96" s="1" t="s">
        <v>1477</v>
      </c>
      <c r="AF96" s="1">
        <f>0.531*(1)</f>
        <v>0.53100000000000003</v>
      </c>
      <c r="AG96" s="1" t="s">
        <v>99</v>
      </c>
      <c r="AH96" s="1">
        <f>79431*(1)</f>
        <v>79431</v>
      </c>
      <c r="AI96" s="1" t="s">
        <v>1349</v>
      </c>
      <c r="AJ96" s="1">
        <f>0.504*(1)</f>
        <v>0.504</v>
      </c>
      <c r="AK96" s="1" t="s">
        <v>92</v>
      </c>
      <c r="AL96" s="1">
        <f>30532*(1)</f>
        <v>30532</v>
      </c>
      <c r="AM96" s="1" t="s">
        <v>125</v>
      </c>
      <c r="AN96" s="1">
        <f>0.518*(1)</f>
        <v>0.51800000000000002</v>
      </c>
      <c r="AO96" s="1" t="s">
        <v>90</v>
      </c>
      <c r="AP96" s="1">
        <f>59972*(1)</f>
        <v>59972</v>
      </c>
      <c r="AQ96" s="1" t="s">
        <v>1478</v>
      </c>
      <c r="AR96" s="1">
        <f>0.504*(1)</f>
        <v>0.504</v>
      </c>
      <c r="AS96" s="1" t="s">
        <v>94</v>
      </c>
      <c r="AT96" s="1">
        <f>490425*(1)</f>
        <v>490425</v>
      </c>
      <c r="AU96" s="1" t="s">
        <v>1479</v>
      </c>
      <c r="AV96" s="1">
        <f>0.52*(1)</f>
        <v>0.52</v>
      </c>
      <c r="AW96" s="1" t="s">
        <v>111</v>
      </c>
      <c r="AX96" s="1">
        <f>37097*(1)</f>
        <v>37097</v>
      </c>
      <c r="AY96" s="1" t="s">
        <v>1480</v>
      </c>
      <c r="AZ96" s="1">
        <f>0.504*(1)</f>
        <v>0.504</v>
      </c>
      <c r="BA96" s="1" t="s">
        <v>96</v>
      </c>
      <c r="BB96" s="1">
        <f>66315*(1)</f>
        <v>66315</v>
      </c>
      <c r="BC96" s="1" t="s">
        <v>600</v>
      </c>
      <c r="BD96" s="1">
        <f>0.507*(1)</f>
        <v>0.50700000000000001</v>
      </c>
      <c r="BE96" s="1" t="s">
        <v>92</v>
      </c>
      <c r="BF96" s="1">
        <f>322274*(1)</f>
        <v>322274</v>
      </c>
      <c r="BG96" s="1" t="s">
        <v>443</v>
      </c>
      <c r="BH96" s="1">
        <f>0.524*(1)</f>
        <v>0.52400000000000002</v>
      </c>
      <c r="BI96" s="1" t="s">
        <v>111</v>
      </c>
      <c r="BJ96" s="1">
        <f>29212*(1)</f>
        <v>29212</v>
      </c>
      <c r="BK96" s="1" t="s">
        <v>838</v>
      </c>
      <c r="BL96" s="1">
        <f>0.505*(1)</f>
        <v>0.505</v>
      </c>
      <c r="BM96" s="1" t="s">
        <v>145</v>
      </c>
      <c r="BN96" s="1">
        <f>94170*(1)</f>
        <v>94170</v>
      </c>
      <c r="BO96" s="1" t="s">
        <v>1280</v>
      </c>
      <c r="BP96" s="1">
        <f>0.517*(1)</f>
        <v>0.51700000000000002</v>
      </c>
      <c r="BQ96" s="1" t="s">
        <v>92</v>
      </c>
      <c r="BR96" s="1">
        <f>69591*(1)</f>
        <v>69591</v>
      </c>
      <c r="BS96" s="1" t="s">
        <v>1047</v>
      </c>
      <c r="BT96" s="1">
        <f>0.508*(1)</f>
        <v>0.50800000000000001</v>
      </c>
      <c r="BU96" s="1" t="s">
        <v>96</v>
      </c>
      <c r="BV96" s="1">
        <f>123962*(1)</f>
        <v>123962</v>
      </c>
      <c r="BW96" s="1" t="s">
        <v>642</v>
      </c>
      <c r="BX96" s="1">
        <f>0.509*(1)</f>
        <v>0.50900000000000001</v>
      </c>
      <c r="BY96" s="1" t="s">
        <v>111</v>
      </c>
      <c r="BZ96" s="1">
        <f>168567*(1)</f>
        <v>168567</v>
      </c>
      <c r="CA96" s="1" t="s">
        <v>229</v>
      </c>
      <c r="CB96" s="1">
        <f>0.52*(1)</f>
        <v>0.52</v>
      </c>
      <c r="CC96" s="1" t="s">
        <v>111</v>
      </c>
      <c r="CD96" s="1">
        <f>91510*(1)</f>
        <v>91510</v>
      </c>
      <c r="CE96" s="1" t="s">
        <v>1481</v>
      </c>
      <c r="CF96" s="1">
        <f>0.511*(1)</f>
        <v>0.51100000000000001</v>
      </c>
      <c r="CG96" s="1" t="s">
        <v>111</v>
      </c>
      <c r="CH96" s="1">
        <f>23505*(1)</f>
        <v>23505</v>
      </c>
      <c r="CI96" s="1" t="s">
        <v>1076</v>
      </c>
      <c r="CJ96" s="1">
        <f>0.46*(1)</f>
        <v>0.46</v>
      </c>
      <c r="CK96" s="1" t="s">
        <v>120</v>
      </c>
      <c r="CL96" s="1">
        <f>71950*(1)</f>
        <v>71950</v>
      </c>
      <c r="CM96" s="1" t="s">
        <v>1469</v>
      </c>
      <c r="CN96" s="1">
        <f>0.508*(1)</f>
        <v>0.50800000000000001</v>
      </c>
      <c r="CO96" s="1" t="s">
        <v>96</v>
      </c>
      <c r="CP96" s="1">
        <f>41694*(1)</f>
        <v>41694</v>
      </c>
      <c r="CQ96" s="1" t="s">
        <v>906</v>
      </c>
      <c r="CR96" s="1">
        <f>0.505*(1)</f>
        <v>0.505</v>
      </c>
      <c r="CS96" s="1" t="s">
        <v>90</v>
      </c>
      <c r="CT96" s="1">
        <f>214359*(1)</f>
        <v>214359</v>
      </c>
      <c r="CU96" s="1" t="s">
        <v>1482</v>
      </c>
      <c r="CV96" s="1">
        <f>0.528*(1)</f>
        <v>0.52800000000000002</v>
      </c>
      <c r="CW96" s="1" t="s">
        <v>111</v>
      </c>
      <c r="CX96" s="1">
        <f>34293*(1)</f>
        <v>34293</v>
      </c>
      <c r="CY96" s="1" t="s">
        <v>1107</v>
      </c>
      <c r="CZ96" s="1">
        <f>0.512*(1)</f>
        <v>0.51200000000000001</v>
      </c>
      <c r="DA96" s="1" t="s">
        <v>94</v>
      </c>
      <c r="DB96" s="1">
        <f>67639*(1)</f>
        <v>67639</v>
      </c>
      <c r="DC96" s="1" t="s">
        <v>387</v>
      </c>
      <c r="DD96" s="1">
        <f>0.517*(1)</f>
        <v>0.51700000000000002</v>
      </c>
      <c r="DE96" s="1" t="s">
        <v>94</v>
      </c>
      <c r="DF96" s="1">
        <f>47661*(1)</f>
        <v>47661</v>
      </c>
      <c r="DG96" s="1" t="s">
        <v>721</v>
      </c>
      <c r="DH96" s="1">
        <f>0.489*(1)</f>
        <v>0.48899999999999999</v>
      </c>
      <c r="DI96" s="1" t="s">
        <v>96</v>
      </c>
      <c r="DJ96" s="1">
        <f>28416*(1)</f>
        <v>28416</v>
      </c>
      <c r="DK96" s="1" t="s">
        <v>699</v>
      </c>
      <c r="DL96" s="1">
        <f>0.471*(1)</f>
        <v>0.47099999999999997</v>
      </c>
      <c r="DM96" s="1" t="s">
        <v>99</v>
      </c>
      <c r="DN96" s="1">
        <f>29198*(1)</f>
        <v>29198</v>
      </c>
      <c r="DO96" s="1" t="s">
        <v>289</v>
      </c>
      <c r="DP96" s="1">
        <f>0.512*(1)</f>
        <v>0.51200000000000001</v>
      </c>
      <c r="DQ96" s="1" t="s">
        <v>132</v>
      </c>
      <c r="DR96" s="1">
        <f>150286*(1)</f>
        <v>150286</v>
      </c>
      <c r="DS96" s="1" t="s">
        <v>1483</v>
      </c>
      <c r="DT96" s="1">
        <f>0.518*(1)</f>
        <v>0.51800000000000002</v>
      </c>
      <c r="DU96" s="1" t="s">
        <v>99</v>
      </c>
      <c r="DV96" s="1">
        <f>215650*(1)</f>
        <v>215650</v>
      </c>
      <c r="DW96" s="1" t="s">
        <v>1484</v>
      </c>
      <c r="DX96" s="1">
        <f>0.52*(1)</f>
        <v>0.52</v>
      </c>
      <c r="DY96" s="1" t="s">
        <v>111</v>
      </c>
      <c r="DZ96" s="1">
        <f>82412*(1)</f>
        <v>82412</v>
      </c>
      <c r="EA96" s="1" t="s">
        <v>593</v>
      </c>
      <c r="EB96" s="1">
        <f>0.516*(1)</f>
        <v>0.51600000000000001</v>
      </c>
      <c r="EC96" s="1" t="s">
        <v>92</v>
      </c>
      <c r="ED96" s="1">
        <f>36557*(1)</f>
        <v>36557</v>
      </c>
      <c r="EE96" s="1" t="s">
        <v>1485</v>
      </c>
      <c r="EF96" s="1">
        <f>0.515*(1)</f>
        <v>0.51500000000000001</v>
      </c>
      <c r="EG96" s="1" t="s">
        <v>120</v>
      </c>
      <c r="EH96" s="1">
        <f>87544*(1)</f>
        <v>87544</v>
      </c>
      <c r="EI96" s="1" t="s">
        <v>1350</v>
      </c>
      <c r="EJ96" s="1">
        <f>0.491*(1)</f>
        <v>0.49099999999999999</v>
      </c>
      <c r="EK96" s="1" t="s">
        <v>120</v>
      </c>
      <c r="EL96" s="1">
        <f>43863*(1)</f>
        <v>43863</v>
      </c>
      <c r="EM96" s="1" t="s">
        <v>1486</v>
      </c>
      <c r="EN96" s="1">
        <f>0.505*(1)</f>
        <v>0.505</v>
      </c>
      <c r="EO96" s="1" t="s">
        <v>129</v>
      </c>
      <c r="EP96" s="1">
        <f>52906*(1)</f>
        <v>52906</v>
      </c>
      <c r="EQ96" s="1" t="s">
        <v>1487</v>
      </c>
      <c r="ER96" s="1">
        <f>0.511*(1)</f>
        <v>0.51100000000000001</v>
      </c>
      <c r="ES96" s="1" t="s">
        <v>92</v>
      </c>
    </row>
  </sheetData>
  <mergeCells count="37">
    <mergeCell ref="EL1:EO1"/>
    <mergeCell ref="EP1:ES1"/>
    <mergeCell ref="DR1:DU1"/>
    <mergeCell ref="DV1:DY1"/>
    <mergeCell ref="DZ1:EC1"/>
    <mergeCell ref="ED1:EG1"/>
    <mergeCell ref="EH1:EK1"/>
    <mergeCell ref="CX1:DA1"/>
    <mergeCell ref="DB1:DE1"/>
    <mergeCell ref="DF1:DI1"/>
    <mergeCell ref="DJ1:DM1"/>
    <mergeCell ref="DN1:DQ1"/>
    <mergeCell ref="CD1:CG1"/>
    <mergeCell ref="CH1:CK1"/>
    <mergeCell ref="CL1:CO1"/>
    <mergeCell ref="CP1:CS1"/>
    <mergeCell ref="CT1:CW1"/>
    <mergeCell ref="BJ1:BM1"/>
    <mergeCell ref="BN1:BQ1"/>
    <mergeCell ref="BR1:BU1"/>
    <mergeCell ref="BV1:BY1"/>
    <mergeCell ref="BZ1:CC1"/>
    <mergeCell ref="AP1:AS1"/>
    <mergeCell ref="AT1:AW1"/>
    <mergeCell ref="AX1:BA1"/>
    <mergeCell ref="BB1:BE1"/>
    <mergeCell ref="BF1:BI1"/>
    <mergeCell ref="V1:Y1"/>
    <mergeCell ref="Z1:AC1"/>
    <mergeCell ref="AD1:AG1"/>
    <mergeCell ref="AH1:AK1"/>
    <mergeCell ref="AL1:AO1"/>
    <mergeCell ref="B1:E1"/>
    <mergeCell ref="F1:I1"/>
    <mergeCell ref="J1:M1"/>
    <mergeCell ref="N1:Q1"/>
    <mergeCell ref="R1:U1"/>
  </mergeCells>
  <printOptions gridLines="1"/>
  <pageMargins left="0.7" right="0.7" top="0.75" bottom="0.75" header="0.3" footer="0.3"/>
  <pageSetup pageOrder="overThenDown" orientation="landscape"/>
  <headerFooter>
    <oddHeader>&amp;LTable: ACSDP1Y2021.DP05</oddHeader>
    <oddFooter>&amp;L&amp;Bdata.census.gov&amp;B | Measuring America's People, Places, and Economy &amp;R&amp;P</oddFooter>
    <evenHeader>&amp;LTable: ACSDP1Y2021.DP05</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2022-10-25T03:55:34Z</dcterms:created>
  <dcterms:modified xsi:type="dcterms:W3CDTF">2022-10-25T03:56:31Z</dcterms:modified>
</cp:coreProperties>
</file>