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2" documentId="11_62DA4D81A5706E767E5DCEF556F612E4D721E100" xr6:coauthVersionLast="47" xr6:coauthVersionMax="47" xr10:uidLastSave="{AE3155B6-E278-48EB-9712-108F9E41B7CA}"/>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V10" i="2" l="1"/>
  <c r="BT10" i="2"/>
  <c r="BR10" i="2"/>
  <c r="BP10" i="2"/>
  <c r="BN10" i="2"/>
  <c r="BL10" i="2"/>
  <c r="BJ10" i="2"/>
  <c r="BH10" i="2"/>
  <c r="BF10" i="2"/>
  <c r="BD10" i="2"/>
  <c r="BB10" i="2"/>
  <c r="AZ10" i="2"/>
  <c r="AX10" i="2"/>
  <c r="AV10" i="2"/>
  <c r="AT10" i="2"/>
  <c r="AR10" i="2"/>
  <c r="AP10" i="2"/>
  <c r="AN10" i="2"/>
  <c r="AL10" i="2"/>
  <c r="AJ10" i="2"/>
  <c r="AH10" i="2"/>
  <c r="AF10" i="2"/>
  <c r="AD10" i="2"/>
  <c r="AB10" i="2"/>
  <c r="Z10" i="2"/>
  <c r="X10" i="2"/>
  <c r="V10" i="2"/>
  <c r="T10" i="2"/>
  <c r="R10" i="2"/>
  <c r="P10" i="2"/>
  <c r="N10" i="2"/>
  <c r="L10" i="2"/>
  <c r="J10" i="2"/>
  <c r="H10" i="2"/>
  <c r="F10" i="2"/>
  <c r="D10" i="2"/>
  <c r="B10" i="2"/>
  <c r="BV9" i="2"/>
  <c r="BT9" i="2"/>
  <c r="BR9" i="2"/>
  <c r="BP9" i="2"/>
  <c r="BN9" i="2"/>
  <c r="BL9" i="2"/>
  <c r="BJ9" i="2"/>
  <c r="BH9" i="2"/>
  <c r="BF9" i="2"/>
  <c r="BD9" i="2"/>
  <c r="BB9" i="2"/>
  <c r="AZ9" i="2"/>
  <c r="AX9" i="2"/>
  <c r="AV9" i="2"/>
  <c r="AT9" i="2"/>
  <c r="AR9" i="2"/>
  <c r="AP9" i="2"/>
  <c r="AN9" i="2"/>
  <c r="AL9" i="2"/>
  <c r="AJ9" i="2"/>
  <c r="AH9" i="2"/>
  <c r="AF9" i="2"/>
  <c r="AD9" i="2"/>
  <c r="AB9" i="2"/>
  <c r="Z9" i="2"/>
  <c r="X9" i="2"/>
  <c r="V9" i="2"/>
  <c r="T9" i="2"/>
  <c r="R9" i="2"/>
  <c r="P9" i="2"/>
  <c r="N9" i="2"/>
  <c r="L9" i="2"/>
  <c r="J9" i="2"/>
  <c r="H9" i="2"/>
  <c r="F9" i="2"/>
  <c r="D9" i="2"/>
  <c r="B9" i="2"/>
  <c r="BV8" i="2"/>
  <c r="BT8" i="2"/>
  <c r="BR8" i="2"/>
  <c r="BP8" i="2"/>
  <c r="BN8" i="2"/>
  <c r="BL8" i="2"/>
  <c r="BJ8" i="2"/>
  <c r="BH8" i="2"/>
  <c r="BF8" i="2"/>
  <c r="BD8" i="2"/>
  <c r="BB8" i="2"/>
  <c r="AZ8" i="2"/>
  <c r="AX8" i="2"/>
  <c r="AV8" i="2"/>
  <c r="AT8" i="2"/>
  <c r="AR8" i="2"/>
  <c r="AP8" i="2"/>
  <c r="AN8" i="2"/>
  <c r="AL8" i="2"/>
  <c r="AJ8" i="2"/>
  <c r="AH8" i="2"/>
  <c r="AF8" i="2"/>
  <c r="AD8" i="2"/>
  <c r="AB8" i="2"/>
  <c r="Z8" i="2"/>
  <c r="X8" i="2"/>
  <c r="V8" i="2"/>
  <c r="T8" i="2"/>
  <c r="R8" i="2"/>
  <c r="P8" i="2"/>
  <c r="N8" i="2"/>
  <c r="L8" i="2"/>
  <c r="J8" i="2"/>
  <c r="H8" i="2"/>
  <c r="F8" i="2"/>
  <c r="D8" i="2"/>
  <c r="B8" i="2"/>
  <c r="BV7" i="2"/>
  <c r="BT7" i="2"/>
  <c r="BR7" i="2"/>
  <c r="BP7" i="2"/>
  <c r="BN7" i="2"/>
  <c r="BL7" i="2"/>
  <c r="BJ7" i="2"/>
  <c r="BH7" i="2"/>
  <c r="BF7" i="2"/>
  <c r="BD7" i="2"/>
  <c r="BB7" i="2"/>
  <c r="AZ7" i="2"/>
  <c r="AX7" i="2"/>
  <c r="AV7" i="2"/>
  <c r="AT7" i="2"/>
  <c r="AR7" i="2"/>
  <c r="AP7" i="2"/>
  <c r="AN7" i="2"/>
  <c r="AL7" i="2"/>
  <c r="AJ7" i="2"/>
  <c r="AH7" i="2"/>
  <c r="AF7" i="2"/>
  <c r="AD7" i="2"/>
  <c r="AB7" i="2"/>
  <c r="Z7" i="2"/>
  <c r="X7" i="2"/>
  <c r="V7" i="2"/>
  <c r="T7" i="2"/>
  <c r="R7" i="2"/>
  <c r="P7" i="2"/>
  <c r="N7" i="2"/>
  <c r="L7" i="2"/>
  <c r="J7" i="2"/>
  <c r="H7" i="2"/>
  <c r="F7" i="2"/>
  <c r="D7" i="2"/>
  <c r="B7" i="2"/>
  <c r="BV6" i="2"/>
  <c r="BT6" i="2"/>
  <c r="BR6" i="2"/>
  <c r="BP6" i="2"/>
  <c r="BN6" i="2"/>
  <c r="BL6" i="2"/>
  <c r="BJ6" i="2"/>
  <c r="BH6" i="2"/>
  <c r="BF6" i="2"/>
  <c r="BD6" i="2"/>
  <c r="BB6" i="2"/>
  <c r="AZ6" i="2"/>
  <c r="AX6" i="2"/>
  <c r="AV6" i="2"/>
  <c r="AT6" i="2"/>
  <c r="AR6" i="2"/>
  <c r="AP6" i="2"/>
  <c r="AN6" i="2"/>
  <c r="AL6" i="2"/>
  <c r="AJ6" i="2"/>
  <c r="AH6" i="2"/>
  <c r="AF6" i="2"/>
  <c r="AD6" i="2"/>
  <c r="AB6" i="2"/>
  <c r="Z6" i="2"/>
  <c r="X6" i="2"/>
  <c r="V6" i="2"/>
  <c r="T6" i="2"/>
  <c r="R6" i="2"/>
  <c r="P6" i="2"/>
  <c r="N6" i="2"/>
  <c r="L6" i="2"/>
  <c r="J6" i="2"/>
  <c r="H6" i="2"/>
  <c r="F6" i="2"/>
  <c r="D6" i="2"/>
  <c r="B6" i="2"/>
  <c r="BV5" i="2"/>
  <c r="BT5" i="2"/>
  <c r="BR5" i="2"/>
  <c r="BP5" i="2"/>
  <c r="BN5" i="2"/>
  <c r="BL5" i="2"/>
  <c r="BJ5" i="2"/>
  <c r="BH5" i="2"/>
  <c r="BF5" i="2"/>
  <c r="BD5" i="2"/>
  <c r="BB5" i="2"/>
  <c r="AZ5" i="2"/>
  <c r="AX5" i="2"/>
  <c r="AV5" i="2"/>
  <c r="AT5" i="2"/>
  <c r="AR5" i="2"/>
  <c r="AP5" i="2"/>
  <c r="AN5" i="2"/>
  <c r="AL5" i="2"/>
  <c r="AJ5" i="2"/>
  <c r="AH5" i="2"/>
  <c r="AF5" i="2"/>
  <c r="AD5" i="2"/>
  <c r="AB5" i="2"/>
  <c r="Z5" i="2"/>
  <c r="X5" i="2"/>
  <c r="V5" i="2"/>
  <c r="T5" i="2"/>
  <c r="R5" i="2"/>
  <c r="P5" i="2"/>
  <c r="N5" i="2"/>
  <c r="L5" i="2"/>
  <c r="J5" i="2"/>
  <c r="H5" i="2"/>
  <c r="F5" i="2"/>
  <c r="D5" i="2"/>
  <c r="B5" i="2"/>
  <c r="BV4" i="2"/>
  <c r="BT4" i="2"/>
  <c r="BR4" i="2"/>
  <c r="BP4" i="2"/>
  <c r="BN4" i="2"/>
  <c r="BL4" i="2"/>
  <c r="BJ4" i="2"/>
  <c r="BH4" i="2"/>
  <c r="BF4" i="2"/>
  <c r="BD4" i="2"/>
  <c r="BB4" i="2"/>
  <c r="AZ4" i="2"/>
  <c r="AX4" i="2"/>
  <c r="AV4" i="2"/>
  <c r="AT4" i="2"/>
  <c r="AR4" i="2"/>
  <c r="AP4" i="2"/>
  <c r="AN4" i="2"/>
  <c r="AL4" i="2"/>
  <c r="AJ4" i="2"/>
  <c r="AH4" i="2"/>
  <c r="AF4" i="2"/>
  <c r="AD4" i="2"/>
  <c r="AB4" i="2"/>
  <c r="Z4" i="2"/>
  <c r="X4" i="2"/>
  <c r="V4" i="2"/>
  <c r="T4" i="2"/>
  <c r="R4" i="2"/>
  <c r="P4" i="2"/>
  <c r="N4" i="2"/>
  <c r="L4" i="2"/>
  <c r="J4" i="2"/>
  <c r="H4" i="2"/>
  <c r="F4" i="2"/>
  <c r="D4" i="2"/>
  <c r="B4" i="2"/>
  <c r="BV3" i="2"/>
  <c r="BT3" i="2"/>
  <c r="BR3" i="2"/>
  <c r="BP3" i="2"/>
  <c r="BN3" i="2"/>
  <c r="BL3" i="2"/>
  <c r="BJ3" i="2"/>
  <c r="BH3" i="2"/>
  <c r="BF3" i="2"/>
  <c r="BD3" i="2"/>
  <c r="BB3" i="2"/>
  <c r="AZ3" i="2"/>
  <c r="AX3" i="2"/>
  <c r="AV3" i="2"/>
  <c r="AT3" i="2"/>
  <c r="AR3" i="2"/>
  <c r="AP3" i="2"/>
  <c r="AN3" i="2"/>
  <c r="AL3" i="2"/>
  <c r="AJ3" i="2"/>
  <c r="AH3" i="2"/>
  <c r="AF3" i="2"/>
  <c r="AD3" i="2"/>
  <c r="AB3" i="2"/>
  <c r="Z3" i="2"/>
  <c r="X3" i="2"/>
  <c r="V3" i="2"/>
  <c r="T3" i="2"/>
  <c r="R3" i="2"/>
  <c r="P3" i="2"/>
  <c r="N3" i="2"/>
  <c r="L3" i="2"/>
  <c r="J3" i="2"/>
  <c r="H3" i="2"/>
  <c r="F3" i="2"/>
  <c r="D3" i="2"/>
  <c r="B3" i="2"/>
  <c r="A42" i="1"/>
</calcChain>
</file>

<file path=xl/sharedStrings.xml><?xml version="1.0" encoding="utf-8"?>
<sst xmlns="http://schemas.openxmlformats.org/spreadsheetml/2006/main" count="469" uniqueCount="371">
  <si>
    <t>CITIZEN, VOTING-AGE POPULATION BY EDUCATIONAL ATTAINMENT</t>
  </si>
  <si>
    <t>Note: The table shown may have been modified by user selections. Some information may be missing.</t>
  </si>
  <si>
    <t>DATA NOTES</t>
  </si>
  <si>
    <t/>
  </si>
  <si>
    <t>TABLE ID:</t>
  </si>
  <si>
    <t>B29002</t>
  </si>
  <si>
    <t>SURVEY/PROGRAM:</t>
  </si>
  <si>
    <t>American Community Survey</t>
  </si>
  <si>
    <t>VINTAGE:</t>
  </si>
  <si>
    <t>2021</t>
  </si>
  <si>
    <t>DATASET:</t>
  </si>
  <si>
    <t>ACSDT1Y2021</t>
  </si>
  <si>
    <t>PRODUCT:</t>
  </si>
  <si>
    <t>ACS 1-Year Estimates Detailed Tables</t>
  </si>
  <si>
    <t>UNIVERSE:</t>
  </si>
  <si>
    <t>Citizens 18 years and over</t>
  </si>
  <si>
    <t>FTP URL:</t>
  </si>
  <si>
    <t>None</t>
  </si>
  <si>
    <t>API URL:</t>
  </si>
  <si>
    <t>https://api.census.gov/data/2021/acs/acs1</t>
  </si>
  <si>
    <t>USER SELECTIONS</t>
  </si>
  <si>
    <t>GEOS</t>
  </si>
  <si>
    <t>All Counties within Ohio</t>
  </si>
  <si>
    <t>TOPICS</t>
  </si>
  <si>
    <t>Education</t>
  </si>
  <si>
    <t>EXCLUDED COLUMNS</t>
  </si>
  <si>
    <t>APPLIED FILTERS</t>
  </si>
  <si>
    <t>APPLIED SORTS</t>
  </si>
  <si>
    <t>PIVOT &amp; GROUPING</t>
  </si>
  <si>
    <t>WEB ADDRESS</t>
  </si>
  <si>
    <t>https://data.census.gov/cedsci/table?t=Education&amp;g=0400000US39%240500000&amp;tid=ACSDT1Y2021.B29002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</si>
  <si>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</si>
  <si>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</si>
  <si>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</si>
  <si>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</si>
  <si>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</si>
  <si>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</si>
  <si>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</si>
  <si>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</si>
  <si>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</si>
  <si>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Allen County, Ohio</t>
  </si>
  <si>
    <t>Ashtabula County, Ohio</t>
  </si>
  <si>
    <t>Belmont County, Ohio</t>
  </si>
  <si>
    <t>Butler County, Ohio</t>
  </si>
  <si>
    <t>Clark County, Ohio</t>
  </si>
  <si>
    <t>Clermont County, Ohio</t>
  </si>
  <si>
    <t>Columbiana County, Ohio</t>
  </si>
  <si>
    <t>Cuyahoga County, Ohio</t>
  </si>
  <si>
    <t>Delaware County, Ohio</t>
  </si>
  <si>
    <t>Erie County, Ohio</t>
  </si>
  <si>
    <t>Fairfield County, Ohio</t>
  </si>
  <si>
    <t>Franklin County, Ohio</t>
  </si>
  <si>
    <t>Geauga County, Ohio</t>
  </si>
  <si>
    <t>Greene County, Ohio</t>
  </si>
  <si>
    <t>Hamilton County, Ohio</t>
  </si>
  <si>
    <t>Hancock County, Ohio</t>
  </si>
  <si>
    <t>Lake County, Ohio</t>
  </si>
  <si>
    <t>Licking County, Ohio</t>
  </si>
  <si>
    <t>Lorain County, Ohio</t>
  </si>
  <si>
    <t>Lucas County, Ohio</t>
  </si>
  <si>
    <t>Mahoning County, Ohio</t>
  </si>
  <si>
    <t>Marion County, Ohio</t>
  </si>
  <si>
    <t>Medina County, Ohio</t>
  </si>
  <si>
    <t>Miami County, Ohio</t>
  </si>
  <si>
    <t>Montgomery County, Ohio</t>
  </si>
  <si>
    <t>Muskingum County, Ohio</t>
  </si>
  <si>
    <t>Portage County, Ohio</t>
  </si>
  <si>
    <t>Richland County, Ohio</t>
  </si>
  <si>
    <t>Ross County, Ohio</t>
  </si>
  <si>
    <t>Scioto County, Ohio</t>
  </si>
  <si>
    <t>Stark County, Ohio</t>
  </si>
  <si>
    <t>Summit County, Ohio</t>
  </si>
  <si>
    <t>Trumbull County, Ohio</t>
  </si>
  <si>
    <t>Tuscarawas County, Ohio</t>
  </si>
  <si>
    <t>Warren County, Ohio</t>
  </si>
  <si>
    <t>Wayne County, Ohio</t>
  </si>
  <si>
    <t>Wood County, Ohio</t>
  </si>
  <si>
    <t>Label</t>
  </si>
  <si>
    <t>Estimate</t>
  </si>
  <si>
    <t>Margin of Error</t>
  </si>
  <si>
    <t>Total:</t>
  </si>
  <si>
    <t>±506</t>
  </si>
  <si>
    <t>±1,027</t>
  </si>
  <si>
    <t>±146</t>
  </si>
  <si>
    <t>±2,418</t>
  </si>
  <si>
    <t>±818</t>
  </si>
  <si>
    <t>±1,088</t>
  </si>
  <si>
    <t>±437</t>
  </si>
  <si>
    <t>±3,746</t>
  </si>
  <si>
    <t>±1,544</t>
  </si>
  <si>
    <t>±569</t>
  </si>
  <si>
    <t>±1,653</t>
  </si>
  <si>
    <t>±5,879</t>
  </si>
  <si>
    <t>±345</t>
  </si>
  <si>
    <t>±979</t>
  </si>
  <si>
    <t>±3,266</t>
  </si>
  <si>
    <t>±548</t>
  </si>
  <si>
    <t>±1,908</t>
  </si>
  <si>
    <t>±1,333</t>
  </si>
  <si>
    <t>±1,126</t>
  </si>
  <si>
    <t>±2,029</t>
  </si>
  <si>
    <t>±711</t>
  </si>
  <si>
    <t>±133</t>
  </si>
  <si>
    <t>±811</t>
  </si>
  <si>
    <t>±750</t>
  </si>
  <si>
    <t>±2,182</t>
  </si>
  <si>
    <t>±316</t>
  </si>
  <si>
    <t>±972</t>
  </si>
  <si>
    <t>±354</t>
  </si>
  <si>
    <t>±302</t>
  </si>
  <si>
    <t>±466</t>
  </si>
  <si>
    <t>±1,113</t>
  </si>
  <si>
    <t>±2,212</t>
  </si>
  <si>
    <t>±529</t>
  </si>
  <si>
    <t>±886</t>
  </si>
  <si>
    <t>±1,913</t>
  </si>
  <si>
    <t>±730</t>
  </si>
  <si>
    <t>±740</t>
  </si>
  <si>
    <t>Less than 9th grade</t>
  </si>
  <si>
    <t>±495</t>
  </si>
  <si>
    <t>±1,110</t>
  </si>
  <si>
    <t>±422</t>
  </si>
  <si>
    <t>±1,894</t>
  </si>
  <si>
    <t>±454</t>
  </si>
  <si>
    <t>±1,155</t>
  </si>
  <si>
    <t>±1,002</t>
  </si>
  <si>
    <t>±2,301</t>
  </si>
  <si>
    <t>±643</t>
  </si>
  <si>
    <t>±407</t>
  </si>
  <si>
    <t>±706</t>
  </si>
  <si>
    <t>±3,583</t>
  </si>
  <si>
    <t>±1,498</t>
  </si>
  <si>
    <t>±1,143</t>
  </si>
  <si>
    <t>±1,973</t>
  </si>
  <si>
    <t>±473</t>
  </si>
  <si>
    <t>±720</t>
  </si>
  <si>
    <t>±600</t>
  </si>
  <si>
    <t>±1,150</t>
  </si>
  <si>
    <t>±1,794</t>
  </si>
  <si>
    <t>±781</t>
  </si>
  <si>
    <t>±435</t>
  </si>
  <si>
    <t>±858</t>
  </si>
  <si>
    <t>±494</t>
  </si>
  <si>
    <t>±2,275</t>
  </si>
  <si>
    <t>±668</t>
  </si>
  <si>
    <t>±1,726</t>
  </si>
  <si>
    <t>±1,233</t>
  </si>
  <si>
    <t>±793</t>
  </si>
  <si>
    <t>±542</t>
  </si>
  <si>
    <t>±1,332</t>
  </si>
  <si>
    <t>±1,597</t>
  </si>
  <si>
    <t>±1,532</t>
  </si>
  <si>
    <t>±999</t>
  </si>
  <si>
    <t>±1,228</t>
  </si>
  <si>
    <t>±1,536</t>
  </si>
  <si>
    <t>±819</t>
  </si>
  <si>
    <t>9th to 12th grade, no diploma</t>
  </si>
  <si>
    <t>±828</t>
  </si>
  <si>
    <t>±1,351</t>
  </si>
  <si>
    <t>±849</t>
  </si>
  <si>
    <t>±2,535</t>
  </si>
  <si>
    <t>±1,617</t>
  </si>
  <si>
    <t>±2,122</t>
  </si>
  <si>
    <t>±1,263</t>
  </si>
  <si>
    <t>±4,884</t>
  </si>
  <si>
    <t>±1,115</t>
  </si>
  <si>
    <t>±1,234</t>
  </si>
  <si>
    <t>±1,610</t>
  </si>
  <si>
    <t>±4,360</t>
  </si>
  <si>
    <t>±611</t>
  </si>
  <si>
    <t>±1,245</t>
  </si>
  <si>
    <t>±3,804</t>
  </si>
  <si>
    <t>±991</t>
  </si>
  <si>
    <t>±1,231</t>
  </si>
  <si>
    <t>±1,416</t>
  </si>
  <si>
    <t>±1,952</t>
  </si>
  <si>
    <t>±2,324</t>
  </si>
  <si>
    <t>±1,511</t>
  </si>
  <si>
    <t>±808</t>
  </si>
  <si>
    <t>±1,094</t>
  </si>
  <si>
    <t>±1,030</t>
  </si>
  <si>
    <t>±2,636</t>
  </si>
  <si>
    <t>±938</t>
  </si>
  <si>
    <t>±1,691</t>
  </si>
  <si>
    <t>±1,170</t>
  </si>
  <si>
    <t>±1,375</t>
  </si>
  <si>
    <t>±2,231</t>
  </si>
  <si>
    <t>±2,936</t>
  </si>
  <si>
    <t>±1,750</t>
  </si>
  <si>
    <t>±1,129</t>
  </si>
  <si>
    <t>±1,442</t>
  </si>
  <si>
    <t>±1,358</t>
  </si>
  <si>
    <t>±1,268</t>
  </si>
  <si>
    <t>High school graduate (includes equivalency)</t>
  </si>
  <si>
    <t>±2,076</t>
  </si>
  <si>
    <t>±2,624</t>
  </si>
  <si>
    <t>±1,863</t>
  </si>
  <si>
    <t>±4,563</t>
  </si>
  <si>
    <t>±2,236</t>
  </si>
  <si>
    <t>±3,601</t>
  </si>
  <si>
    <t>±2,647</t>
  </si>
  <si>
    <t>±8,681</t>
  </si>
  <si>
    <t>±3,279</t>
  </si>
  <si>
    <t>±1,947</t>
  </si>
  <si>
    <t>±3,199</t>
  </si>
  <si>
    <t>±8,885</t>
  </si>
  <si>
    <t>±1,936</t>
  </si>
  <si>
    <t>±2,668</t>
  </si>
  <si>
    <t>±6,828</t>
  </si>
  <si>
    <t>±1,879</t>
  </si>
  <si>
    <t>±3,411</t>
  </si>
  <si>
    <t>±2,856</t>
  </si>
  <si>
    <t>±3,835</t>
  </si>
  <si>
    <t>±5,635</t>
  </si>
  <si>
    <t>±3,230</t>
  </si>
  <si>
    <t>±1,878</t>
  </si>
  <si>
    <t>±3,417</t>
  </si>
  <si>
    <t>±2,541</t>
  </si>
  <si>
    <t>±5,130</t>
  </si>
  <si>
    <t>±2,025</t>
  </si>
  <si>
    <t>±3,304</t>
  </si>
  <si>
    <t>±2,393</t>
  </si>
  <si>
    <t>±2,578</t>
  </si>
  <si>
    <t>±2,186</t>
  </si>
  <si>
    <t>±4,475</t>
  </si>
  <si>
    <t>±5,865</t>
  </si>
  <si>
    <t>±4,173</t>
  </si>
  <si>
    <t>±2,607</t>
  </si>
  <si>
    <t>±3,548</t>
  </si>
  <si>
    <t>±2,318</t>
  </si>
  <si>
    <t>±2,533</t>
  </si>
  <si>
    <t>Some college, no degree</t>
  </si>
  <si>
    <t>±1,953</t>
  </si>
  <si>
    <t>±1,874</t>
  </si>
  <si>
    <t>±1,271</t>
  </si>
  <si>
    <t>±4,561</t>
  </si>
  <si>
    <t>±2,026</t>
  </si>
  <si>
    <t>±3,072</t>
  </si>
  <si>
    <t>±2,221</t>
  </si>
  <si>
    <t>±7,315</t>
  </si>
  <si>
    <t>±2,953</t>
  </si>
  <si>
    <t>±1,928</t>
  </si>
  <si>
    <t>±2,572</t>
  </si>
  <si>
    <t>±8,786</t>
  </si>
  <si>
    <t>±1,994</t>
  </si>
  <si>
    <t>±2,642</t>
  </si>
  <si>
    <t>±6,723</t>
  </si>
  <si>
    <t>±1,950</t>
  </si>
  <si>
    <t>±3,172</t>
  </si>
  <si>
    <t>±3,328</t>
  </si>
  <si>
    <t>±3,698</t>
  </si>
  <si>
    <t>±4,835</t>
  </si>
  <si>
    <t>±2,711</t>
  </si>
  <si>
    <t>±2,515</t>
  </si>
  <si>
    <t>±2,094</t>
  </si>
  <si>
    <t>±4,925</t>
  </si>
  <si>
    <t>±2,516</t>
  </si>
  <si>
    <t>±2,387</t>
  </si>
  <si>
    <t>±1,865</t>
  </si>
  <si>
    <t>±1,612</t>
  </si>
  <si>
    <t>±3,846</t>
  </si>
  <si>
    <t>±4,281</t>
  </si>
  <si>
    <t>±2,812</t>
  </si>
  <si>
    <t>±1,480</t>
  </si>
  <si>
    <t>±3,454</t>
  </si>
  <si>
    <t>±1,890</t>
  </si>
  <si>
    <t>±2,726</t>
  </si>
  <si>
    <t>Associate's degree</t>
  </si>
  <si>
    <t>±1,161</t>
  </si>
  <si>
    <t>±803</t>
  </si>
  <si>
    <t>±3,008</t>
  </si>
  <si>
    <t>±1,327</t>
  </si>
  <si>
    <t>±2,066</t>
  </si>
  <si>
    <t>±1,636</t>
  </si>
  <si>
    <t>±4,998</t>
  </si>
  <si>
    <t>±1,545</t>
  </si>
  <si>
    <t>±1,096</t>
  </si>
  <si>
    <t>±1,475</t>
  </si>
  <si>
    <t>±4,989</t>
  </si>
  <si>
    <t>±944</t>
  </si>
  <si>
    <t>±1,672</t>
  </si>
  <si>
    <t>±3,359</t>
  </si>
  <si>
    <t>±1,156</t>
  </si>
  <si>
    <t>±2,217</t>
  </si>
  <si>
    <t>±1,227</t>
  </si>
  <si>
    <t>±2,138</t>
  </si>
  <si>
    <t>±3,117</t>
  </si>
  <si>
    <t>±2,007</t>
  </si>
  <si>
    <t>±1,267</t>
  </si>
  <si>
    <t>±1,370</t>
  </si>
  <si>
    <t>±3,135</t>
  </si>
  <si>
    <t>±1,422</t>
  </si>
  <si>
    <t>±1,586</t>
  </si>
  <si>
    <t>±1,778</t>
  </si>
  <si>
    <t>±1,074</t>
  </si>
  <si>
    <t>±745</t>
  </si>
  <si>
    <t>±2,565</t>
  </si>
  <si>
    <t>±3,457</t>
  </si>
  <si>
    <t>±2,095</t>
  </si>
  <si>
    <t>±1,108</t>
  </si>
  <si>
    <t>±2,784</t>
  </si>
  <si>
    <t>±1,397</t>
  </si>
  <si>
    <t>Bachelor's degree</t>
  </si>
  <si>
    <t>±1,362</t>
  </si>
  <si>
    <t>±1,034</t>
  </si>
  <si>
    <t>±1,137</t>
  </si>
  <si>
    <t>±3,859</t>
  </si>
  <si>
    <t>±1,566</t>
  </si>
  <si>
    <t>±2,596</t>
  </si>
  <si>
    <t>±1,483</t>
  </si>
  <si>
    <t>±7,307</t>
  </si>
  <si>
    <t>±3,367</t>
  </si>
  <si>
    <t>±1,821</t>
  </si>
  <si>
    <t>±2,367</t>
  </si>
  <si>
    <t>±9,559</t>
  </si>
  <si>
    <t>±1,889</t>
  </si>
  <si>
    <t>±2,865</t>
  </si>
  <si>
    <t>±5,058</t>
  </si>
  <si>
    <t>±2,167</t>
  </si>
  <si>
    <t>±2,760</t>
  </si>
  <si>
    <t>±2,335</t>
  </si>
  <si>
    <t>±3,261</t>
  </si>
  <si>
    <t>±3,760</t>
  </si>
  <si>
    <t>±2,779</t>
  </si>
  <si>
    <t>±1,078</t>
  </si>
  <si>
    <t>±2,792</t>
  </si>
  <si>
    <t>±1,670</t>
  </si>
  <si>
    <t>±3,669</t>
  </si>
  <si>
    <t>±1,194</t>
  </si>
  <si>
    <t>±2,587</t>
  </si>
  <si>
    <t>±1,501</t>
  </si>
  <si>
    <t>±1,423</t>
  </si>
  <si>
    <t>±1,556</t>
  </si>
  <si>
    <t>±3,765</t>
  </si>
  <si>
    <t>±5,070</t>
  </si>
  <si>
    <t>±1,666</t>
  </si>
  <si>
    <t>±4,017</t>
  </si>
  <si>
    <t>±1,410</t>
  </si>
  <si>
    <t>±2,312</t>
  </si>
  <si>
    <t>Graduate or professional degree</t>
  </si>
  <si>
    <t>±941</t>
  </si>
  <si>
    <t>±961</t>
  </si>
  <si>
    <t>±1,013</t>
  </si>
  <si>
    <t>±2,997</t>
  </si>
  <si>
    <t>±1,174</t>
  </si>
  <si>
    <t>±2,100</t>
  </si>
  <si>
    <t>±5,909</t>
  </si>
  <si>
    <t>±2,706</t>
  </si>
  <si>
    <t>±1,069</t>
  </si>
  <si>
    <t>±1,709</t>
  </si>
  <si>
    <t>±7,506</t>
  </si>
  <si>
    <t>±4,740</t>
  </si>
  <si>
    <t>±1,251</t>
  </si>
  <si>
    <t>±2,173</t>
  </si>
  <si>
    <t>±1,707</t>
  </si>
  <si>
    <t>±2,447</t>
  </si>
  <si>
    <t>±3,010</t>
  </si>
  <si>
    <t>±631</t>
  </si>
  <si>
    <t>±1,677</t>
  </si>
  <si>
    <t>±1,826</t>
  </si>
  <si>
    <t>±3,089</t>
  </si>
  <si>
    <t>±800</t>
  </si>
  <si>
    <t>±1,814</t>
  </si>
  <si>
    <t>±1,175</t>
  </si>
  <si>
    <t>±909</t>
  </si>
  <si>
    <t>±2,272</t>
  </si>
  <si>
    <t>±3,225</t>
  </si>
  <si>
    <t>±1,553</t>
  </si>
  <si>
    <t>±900</t>
  </si>
  <si>
    <t>±3,256</t>
  </si>
  <si>
    <t>±1,387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</si>
</sst>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topLeftCell="A34" workbookViewId="0">
      <selection activeCell="A42" sqref="A42"/>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17</v>
      </c>
      <c r="C12" s="8"/>
    </row>
    <row r="13" spans="1:3" ht="12.75" customHeight="1" x14ac:dyDescent="0.3">
      <c r="A13" s="1" t="s">
        <v>18</v>
      </c>
      <c r="B13" s="8" t="s">
        <v>19</v>
      </c>
      <c r="C13" s="8"/>
    </row>
    <row r="14" spans="1:3" x14ac:dyDescent="0.3">
      <c r="A14" s="8"/>
      <c r="B14" s="8"/>
      <c r="C14" s="8"/>
    </row>
    <row r="15" spans="1:3" ht="12.75" customHeight="1" x14ac:dyDescent="0.3">
      <c r="A15" s="3" t="s">
        <v>20</v>
      </c>
      <c r="B15" s="8" t="s">
        <v>3</v>
      </c>
      <c r="C15" s="8"/>
    </row>
    <row r="16" spans="1:3" ht="12.75" customHeight="1" x14ac:dyDescent="0.3">
      <c r="A16" s="1" t="s">
        <v>21</v>
      </c>
      <c r="B16" s="8" t="s">
        <v>22</v>
      </c>
      <c r="C16" s="8"/>
    </row>
    <row r="17" spans="1:3" ht="12.75" customHeight="1" x14ac:dyDescent="0.3">
      <c r="A17" s="1" t="s">
        <v>23</v>
      </c>
      <c r="B17" s="8" t="s">
        <v>24</v>
      </c>
      <c r="C17" s="8"/>
    </row>
    <row r="18" spans="1:3" x14ac:dyDescent="0.3">
      <c r="A18" s="8"/>
      <c r="B18" s="8"/>
      <c r="C18" s="8"/>
    </row>
    <row r="19" spans="1:3" ht="12.75" customHeight="1" x14ac:dyDescent="0.3">
      <c r="A19" s="3" t="s">
        <v>25</v>
      </c>
      <c r="B19" s="8" t="s">
        <v>17</v>
      </c>
      <c r="C19" s="8"/>
    </row>
    <row r="20" spans="1:3" x14ac:dyDescent="0.3">
      <c r="A20" s="8"/>
      <c r="B20" s="8"/>
      <c r="C20" s="8"/>
    </row>
    <row r="21" spans="1:3" ht="12.75" customHeight="1" x14ac:dyDescent="0.3">
      <c r="A21" s="3" t="s">
        <v>26</v>
      </c>
      <c r="B21" s="8" t="s">
        <v>17</v>
      </c>
      <c r="C21" s="8"/>
    </row>
    <row r="22" spans="1:3" x14ac:dyDescent="0.3">
      <c r="A22" s="8"/>
      <c r="B22" s="8"/>
      <c r="C22" s="8"/>
    </row>
    <row r="23" spans="1:3" ht="12.75" customHeight="1" x14ac:dyDescent="0.3">
      <c r="A23" s="3" t="s">
        <v>27</v>
      </c>
      <c r="B23" s="8" t="s">
        <v>17</v>
      </c>
      <c r="C23" s="8"/>
    </row>
    <row r="24" spans="1:3" x14ac:dyDescent="0.3">
      <c r="A24" s="8"/>
      <c r="B24" s="8"/>
      <c r="C24" s="8"/>
    </row>
    <row r="25" spans="1:3" ht="12.75" customHeight="1" x14ac:dyDescent="0.3">
      <c r="A25" s="3" t="s">
        <v>28</v>
      </c>
      <c r="B25" s="8" t="s">
        <v>17</v>
      </c>
      <c r="C25" s="8"/>
    </row>
    <row r="26" spans="1:3" x14ac:dyDescent="0.3">
      <c r="A26" s="8"/>
      <c r="B26" s="8"/>
      <c r="C26" s="8"/>
    </row>
    <row r="27" spans="1:3" ht="25.65" customHeight="1" x14ac:dyDescent="0.3">
      <c r="A27" s="3" t="s">
        <v>29</v>
      </c>
      <c r="B27" s="8" t="s">
        <v>30</v>
      </c>
      <c r="C27" s="8"/>
    </row>
    <row r="28" spans="1:3" x14ac:dyDescent="0.3">
      <c r="A28" s="8"/>
      <c r="B28" s="8"/>
      <c r="C28" s="8"/>
    </row>
    <row r="29" spans="1:3" ht="51.15" customHeight="1" x14ac:dyDescent="0.3">
      <c r="A29" s="3" t="s">
        <v>31</v>
      </c>
      <c r="B29" s="8" t="s">
        <v>32</v>
      </c>
      <c r="C29" s="8"/>
    </row>
    <row r="30" spans="1:3" ht="89.55" customHeight="1" x14ac:dyDescent="0.3">
      <c r="A30" s="1" t="s">
        <v>3</v>
      </c>
      <c r="B30" s="8" t="s">
        <v>33</v>
      </c>
      <c r="C30" s="8"/>
    </row>
    <row r="31" spans="1:3" ht="25.65" customHeight="1" x14ac:dyDescent="0.3">
      <c r="A31" s="1" t="s">
        <v>3</v>
      </c>
      <c r="B31" s="8" t="s">
        <v>34</v>
      </c>
      <c r="C31" s="8"/>
    </row>
    <row r="32" spans="1:3" ht="89.55" customHeight="1" x14ac:dyDescent="0.3">
      <c r="A32" s="1" t="s">
        <v>3</v>
      </c>
      <c r="B32" s="8" t="s">
        <v>35</v>
      </c>
      <c r="C32" s="8"/>
    </row>
    <row r="33" spans="1:3" ht="51.15" customHeight="1" x14ac:dyDescent="0.3">
      <c r="A33" s="1" t="s">
        <v>3</v>
      </c>
      <c r="B33" s="8" t="s">
        <v>36</v>
      </c>
      <c r="C33" s="8"/>
    </row>
    <row r="34" spans="1:3" ht="38.4" customHeight="1" x14ac:dyDescent="0.3">
      <c r="A34" s="1" t="s">
        <v>3</v>
      </c>
      <c r="B34" s="8" t="s">
        <v>37</v>
      </c>
      <c r="C34" s="8"/>
    </row>
    <row r="35" spans="1:3" ht="153.6" customHeight="1" x14ac:dyDescent="0.3">
      <c r="A35" s="1" t="s">
        <v>3</v>
      </c>
      <c r="B35" s="8" t="s">
        <v>38</v>
      </c>
      <c r="C35" s="8"/>
    </row>
    <row r="36" spans="1:3" x14ac:dyDescent="0.3">
      <c r="A36" s="8"/>
      <c r="B36" s="8"/>
      <c r="C36" s="8"/>
    </row>
    <row r="37" spans="1:3" ht="12.75" customHeight="1" x14ac:dyDescent="0.3">
      <c r="A37" s="3" t="s">
        <v>39</v>
      </c>
      <c r="B37" s="8" t="s">
        <v>17</v>
      </c>
      <c r="C37" s="8"/>
    </row>
    <row r="38" spans="1:3" x14ac:dyDescent="0.3">
      <c r="A38" s="8"/>
      <c r="B38" s="8"/>
      <c r="C38" s="8"/>
    </row>
    <row r="42" spans="1:3" x14ac:dyDescent="0.3">
      <c r="A42" s="1">
        <f>1</f>
        <v>1</v>
      </c>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ACSDT1Y2021.B29002</oddHeader>
    <oddFooter>&amp;L&amp;Bdata.census.gov&amp;B | Measuring America's People, Places, and Economy &amp;R&amp;P</oddFooter>
    <evenHeader>&amp;LTable: ACSDT1Y2021.B29002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W10"/>
  <sheetViews>
    <sheetView tabSelected="1" workbookViewId="0">
      <pane xSplit="1" ySplit="2" topLeftCell="B3" activePane="bottomRight" state="frozen"/>
      <selection pane="topRight"/>
      <selection pane="bottomLeft"/>
      <selection pane="bottomRight" activeCell="D21" sqref="D21"/>
    </sheetView>
  </sheetViews>
  <sheetFormatPr defaultRowHeight="14.4" x14ac:dyDescent="0.3"/>
  <cols>
    <col min="1" max="1" width="30" style="4" customWidth="1"/>
    <col min="2" max="75" width="20" style="4" customWidth="1"/>
  </cols>
  <sheetData>
    <row r="1" spans="1:75" ht="30" customHeight="1" x14ac:dyDescent="0.3">
      <c r="A1" s="5" t="s">
        <v>3</v>
      </c>
      <c r="B1" s="10" t="s">
        <v>40</v>
      </c>
      <c r="C1" s="10"/>
      <c r="D1" s="10" t="s">
        <v>41</v>
      </c>
      <c r="E1" s="10"/>
      <c r="F1" s="10" t="s">
        <v>42</v>
      </c>
      <c r="G1" s="10"/>
      <c r="H1" s="10" t="s">
        <v>43</v>
      </c>
      <c r="I1" s="10"/>
      <c r="J1" s="10" t="s">
        <v>44</v>
      </c>
      <c r="K1" s="10"/>
      <c r="L1" s="10" t="s">
        <v>45</v>
      </c>
      <c r="M1" s="10"/>
      <c r="N1" s="10" t="s">
        <v>46</v>
      </c>
      <c r="O1" s="10"/>
      <c r="P1" s="10" t="s">
        <v>47</v>
      </c>
      <c r="Q1" s="10"/>
      <c r="R1" s="10" t="s">
        <v>48</v>
      </c>
      <c r="S1" s="10"/>
      <c r="T1" s="10" t="s">
        <v>49</v>
      </c>
      <c r="U1" s="10"/>
      <c r="V1" s="10" t="s">
        <v>50</v>
      </c>
      <c r="W1" s="10"/>
      <c r="X1" s="10" t="s">
        <v>51</v>
      </c>
      <c r="Y1" s="10"/>
      <c r="Z1" s="10" t="s">
        <v>52</v>
      </c>
      <c r="AA1" s="10"/>
      <c r="AB1" s="10" t="s">
        <v>53</v>
      </c>
      <c r="AC1" s="10"/>
      <c r="AD1" s="10" t="s">
        <v>54</v>
      </c>
      <c r="AE1" s="10"/>
      <c r="AF1" s="10" t="s">
        <v>55</v>
      </c>
      <c r="AG1" s="10"/>
      <c r="AH1" s="10" t="s">
        <v>56</v>
      </c>
      <c r="AI1" s="10"/>
      <c r="AJ1" s="10" t="s">
        <v>57</v>
      </c>
      <c r="AK1" s="10"/>
      <c r="AL1" s="10" t="s">
        <v>58</v>
      </c>
      <c r="AM1" s="10"/>
      <c r="AN1" s="10" t="s">
        <v>59</v>
      </c>
      <c r="AO1" s="10"/>
      <c r="AP1" s="10" t="s">
        <v>60</v>
      </c>
      <c r="AQ1" s="10"/>
      <c r="AR1" s="10" t="s">
        <v>61</v>
      </c>
      <c r="AS1" s="10"/>
      <c r="AT1" s="10" t="s">
        <v>62</v>
      </c>
      <c r="AU1" s="10"/>
      <c r="AV1" s="10" t="s">
        <v>63</v>
      </c>
      <c r="AW1" s="10"/>
      <c r="AX1" s="10" t="s">
        <v>64</v>
      </c>
      <c r="AY1" s="10"/>
      <c r="AZ1" s="10" t="s">
        <v>65</v>
      </c>
      <c r="BA1" s="10"/>
      <c r="BB1" s="10" t="s">
        <v>66</v>
      </c>
      <c r="BC1" s="10"/>
      <c r="BD1" s="10" t="s">
        <v>67</v>
      </c>
      <c r="BE1" s="10"/>
      <c r="BF1" s="10" t="s">
        <v>68</v>
      </c>
      <c r="BG1" s="10"/>
      <c r="BH1" s="10" t="s">
        <v>69</v>
      </c>
      <c r="BI1" s="10"/>
      <c r="BJ1" s="10" t="s">
        <v>70</v>
      </c>
      <c r="BK1" s="10"/>
      <c r="BL1" s="10" t="s">
        <v>71</v>
      </c>
      <c r="BM1" s="10"/>
      <c r="BN1" s="10" t="s">
        <v>72</v>
      </c>
      <c r="BO1" s="10"/>
      <c r="BP1" s="10" t="s">
        <v>73</v>
      </c>
      <c r="BQ1" s="10"/>
      <c r="BR1" s="10" t="s">
        <v>74</v>
      </c>
      <c r="BS1" s="10"/>
      <c r="BT1" s="10" t="s">
        <v>75</v>
      </c>
      <c r="BU1" s="10"/>
      <c r="BV1" s="10" t="s">
        <v>76</v>
      </c>
      <c r="BW1" s="10"/>
    </row>
    <row r="2" spans="1:75" ht="30" customHeight="1" x14ac:dyDescent="0.3">
      <c r="A2" s="5" t="s">
        <v>77</v>
      </c>
      <c r="B2" s="5" t="s">
        <v>78</v>
      </c>
      <c r="C2" s="5" t="s">
        <v>79</v>
      </c>
      <c r="D2" s="5" t="s">
        <v>78</v>
      </c>
      <c r="E2" s="5" t="s">
        <v>79</v>
      </c>
      <c r="F2" s="5" t="s">
        <v>78</v>
      </c>
      <c r="G2" s="5" t="s">
        <v>79</v>
      </c>
      <c r="H2" s="5" t="s">
        <v>78</v>
      </c>
      <c r="I2" s="5" t="s">
        <v>79</v>
      </c>
      <c r="J2" s="5" t="s">
        <v>78</v>
      </c>
      <c r="K2" s="5" t="s">
        <v>79</v>
      </c>
      <c r="L2" s="5" t="s">
        <v>78</v>
      </c>
      <c r="M2" s="5" t="s">
        <v>79</v>
      </c>
      <c r="N2" s="5" t="s">
        <v>78</v>
      </c>
      <c r="O2" s="5" t="s">
        <v>79</v>
      </c>
      <c r="P2" s="5" t="s">
        <v>78</v>
      </c>
      <c r="Q2" s="5" t="s">
        <v>79</v>
      </c>
      <c r="R2" s="5" t="s">
        <v>78</v>
      </c>
      <c r="S2" s="5" t="s">
        <v>79</v>
      </c>
      <c r="T2" s="5" t="s">
        <v>78</v>
      </c>
      <c r="U2" s="5" t="s">
        <v>79</v>
      </c>
      <c r="V2" s="5" t="s">
        <v>78</v>
      </c>
      <c r="W2" s="5" t="s">
        <v>79</v>
      </c>
      <c r="X2" s="5" t="s">
        <v>78</v>
      </c>
      <c r="Y2" s="5" t="s">
        <v>79</v>
      </c>
      <c r="Z2" s="5" t="s">
        <v>78</v>
      </c>
      <c r="AA2" s="5" t="s">
        <v>79</v>
      </c>
      <c r="AB2" s="5" t="s">
        <v>78</v>
      </c>
      <c r="AC2" s="5" t="s">
        <v>79</v>
      </c>
      <c r="AD2" s="5" t="s">
        <v>78</v>
      </c>
      <c r="AE2" s="5" t="s">
        <v>79</v>
      </c>
      <c r="AF2" s="5" t="s">
        <v>78</v>
      </c>
      <c r="AG2" s="5" t="s">
        <v>79</v>
      </c>
      <c r="AH2" s="5" t="s">
        <v>78</v>
      </c>
      <c r="AI2" s="5" t="s">
        <v>79</v>
      </c>
      <c r="AJ2" s="5" t="s">
        <v>78</v>
      </c>
      <c r="AK2" s="5" t="s">
        <v>79</v>
      </c>
      <c r="AL2" s="5" t="s">
        <v>78</v>
      </c>
      <c r="AM2" s="5" t="s">
        <v>79</v>
      </c>
      <c r="AN2" s="5" t="s">
        <v>78</v>
      </c>
      <c r="AO2" s="5" t="s">
        <v>79</v>
      </c>
      <c r="AP2" s="5" t="s">
        <v>78</v>
      </c>
      <c r="AQ2" s="5" t="s">
        <v>79</v>
      </c>
      <c r="AR2" s="5" t="s">
        <v>78</v>
      </c>
      <c r="AS2" s="5" t="s">
        <v>79</v>
      </c>
      <c r="AT2" s="5" t="s">
        <v>78</v>
      </c>
      <c r="AU2" s="5" t="s">
        <v>79</v>
      </c>
      <c r="AV2" s="5" t="s">
        <v>78</v>
      </c>
      <c r="AW2" s="5" t="s">
        <v>79</v>
      </c>
      <c r="AX2" s="5" t="s">
        <v>78</v>
      </c>
      <c r="AY2" s="5" t="s">
        <v>79</v>
      </c>
      <c r="AZ2" s="5" t="s">
        <v>78</v>
      </c>
      <c r="BA2" s="5" t="s">
        <v>79</v>
      </c>
      <c r="BB2" s="5" t="s">
        <v>78</v>
      </c>
      <c r="BC2" s="5" t="s">
        <v>79</v>
      </c>
      <c r="BD2" s="5" t="s">
        <v>78</v>
      </c>
      <c r="BE2" s="5" t="s">
        <v>79</v>
      </c>
      <c r="BF2" s="5" t="s">
        <v>78</v>
      </c>
      <c r="BG2" s="5" t="s">
        <v>79</v>
      </c>
      <c r="BH2" s="5" t="s">
        <v>78</v>
      </c>
      <c r="BI2" s="5" t="s">
        <v>79</v>
      </c>
      <c r="BJ2" s="5" t="s">
        <v>78</v>
      </c>
      <c r="BK2" s="5" t="s">
        <v>79</v>
      </c>
      <c r="BL2" s="5" t="s">
        <v>78</v>
      </c>
      <c r="BM2" s="5" t="s">
        <v>79</v>
      </c>
      <c r="BN2" s="5" t="s">
        <v>78</v>
      </c>
      <c r="BO2" s="5" t="s">
        <v>79</v>
      </c>
      <c r="BP2" s="5" t="s">
        <v>78</v>
      </c>
      <c r="BQ2" s="5" t="s">
        <v>79</v>
      </c>
      <c r="BR2" s="5" t="s">
        <v>78</v>
      </c>
      <c r="BS2" s="5" t="s">
        <v>79</v>
      </c>
      <c r="BT2" s="5" t="s">
        <v>78</v>
      </c>
      <c r="BU2" s="5" t="s">
        <v>79</v>
      </c>
      <c r="BV2" s="5" t="s">
        <v>78</v>
      </c>
      <c r="BW2" s="5" t="s">
        <v>79</v>
      </c>
    </row>
    <row r="3" spans="1:75" x14ac:dyDescent="0.3">
      <c r="A3" s="4" t="s">
        <v>80</v>
      </c>
      <c r="B3" s="1">
        <f>77633*(1)</f>
        <v>77633</v>
      </c>
      <c r="C3" s="1" t="s">
        <v>81</v>
      </c>
      <c r="D3" s="1">
        <f>74754*(1)</f>
        <v>74754</v>
      </c>
      <c r="E3" s="1" t="s">
        <v>82</v>
      </c>
      <c r="F3" s="1">
        <f>53066*(1)</f>
        <v>53066</v>
      </c>
      <c r="G3" s="1" t="s">
        <v>83</v>
      </c>
      <c r="H3" s="1">
        <f>286756*(1)</f>
        <v>286756</v>
      </c>
      <c r="I3" s="1" t="s">
        <v>84</v>
      </c>
      <c r="J3" s="1">
        <f>103709*(1)</f>
        <v>103709</v>
      </c>
      <c r="K3" s="1" t="s">
        <v>85</v>
      </c>
      <c r="L3" s="1">
        <f>160455*(1)</f>
        <v>160455</v>
      </c>
      <c r="M3" s="1" t="s">
        <v>86</v>
      </c>
      <c r="N3" s="1">
        <f>80217*(1)</f>
        <v>80217</v>
      </c>
      <c r="O3" s="1" t="s">
        <v>87</v>
      </c>
      <c r="P3" s="1">
        <f>961451*(1)</f>
        <v>961451</v>
      </c>
      <c r="Q3" s="1" t="s">
        <v>88</v>
      </c>
      <c r="R3" s="1">
        <f>157653*(1)</f>
        <v>157653</v>
      </c>
      <c r="S3" s="1" t="s">
        <v>89</v>
      </c>
      <c r="T3" s="1">
        <f>58997*(1)</f>
        <v>58997</v>
      </c>
      <c r="U3" s="1" t="s">
        <v>90</v>
      </c>
      <c r="V3" s="1">
        <f>119036*(1)</f>
        <v>119036</v>
      </c>
      <c r="W3" s="1" t="s">
        <v>91</v>
      </c>
      <c r="X3" s="1">
        <f>942954*(1)</f>
        <v>942954</v>
      </c>
      <c r="Y3" s="1" t="s">
        <v>92</v>
      </c>
      <c r="Z3" s="1">
        <f>73614*(1)</f>
        <v>73614</v>
      </c>
      <c r="AA3" s="1" t="s">
        <v>93</v>
      </c>
      <c r="AB3" s="1">
        <f>130800*(1)</f>
        <v>130800</v>
      </c>
      <c r="AC3" s="1" t="s">
        <v>94</v>
      </c>
      <c r="AD3" s="1">
        <f>614699*(1)</f>
        <v>614699</v>
      </c>
      <c r="AE3" s="1" t="s">
        <v>95</v>
      </c>
      <c r="AF3" s="1">
        <f>57871*(1)</f>
        <v>57871</v>
      </c>
      <c r="AG3" s="1" t="s">
        <v>96</v>
      </c>
      <c r="AH3" s="1">
        <f>182286*(1)</f>
        <v>182286</v>
      </c>
      <c r="AI3" s="1" t="s">
        <v>97</v>
      </c>
      <c r="AJ3" s="1">
        <f>137083*(1)</f>
        <v>137083</v>
      </c>
      <c r="AK3" s="1" t="s">
        <v>98</v>
      </c>
      <c r="AL3" s="1">
        <f>243597*(1)</f>
        <v>243597</v>
      </c>
      <c r="AM3" s="1" t="s">
        <v>99</v>
      </c>
      <c r="AN3" s="1">
        <f>323991*(1)</f>
        <v>323991</v>
      </c>
      <c r="AO3" s="1" t="s">
        <v>100</v>
      </c>
      <c r="AP3" s="1">
        <f>179073*(1)</f>
        <v>179073</v>
      </c>
      <c r="AQ3" s="1" t="s">
        <v>101</v>
      </c>
      <c r="AR3" s="1">
        <f>51118*(1)</f>
        <v>51118</v>
      </c>
      <c r="AS3" s="1" t="s">
        <v>102</v>
      </c>
      <c r="AT3" s="1">
        <f>141694*(1)</f>
        <v>141694</v>
      </c>
      <c r="AU3" s="1" t="s">
        <v>103</v>
      </c>
      <c r="AV3" s="1">
        <f>82516*(1)</f>
        <v>82516</v>
      </c>
      <c r="AW3" s="1" t="s">
        <v>104</v>
      </c>
      <c r="AX3" s="1">
        <f>406043*(1)</f>
        <v>406043</v>
      </c>
      <c r="AY3" s="1" t="s">
        <v>105</v>
      </c>
      <c r="AZ3" s="1">
        <f>66990*(1)</f>
        <v>66990</v>
      </c>
      <c r="BA3" s="1" t="s">
        <v>106</v>
      </c>
      <c r="BB3" s="1">
        <f>130853*(1)</f>
        <v>130853</v>
      </c>
      <c r="BC3" s="1" t="s">
        <v>107</v>
      </c>
      <c r="BD3" s="1">
        <f>97481*(1)</f>
        <v>97481</v>
      </c>
      <c r="BE3" s="1" t="s">
        <v>108</v>
      </c>
      <c r="BF3" s="1">
        <f>60381*(1)</f>
        <v>60381</v>
      </c>
      <c r="BG3" s="1" t="s">
        <v>109</v>
      </c>
      <c r="BH3" s="1">
        <f>57052*(1)</f>
        <v>57052</v>
      </c>
      <c r="BI3" s="1" t="s">
        <v>110</v>
      </c>
      <c r="BJ3" s="1">
        <f>289880*(1)</f>
        <v>289880</v>
      </c>
      <c r="BK3" s="1" t="s">
        <v>111</v>
      </c>
      <c r="BL3" s="1">
        <f>414649*(1)</f>
        <v>414649</v>
      </c>
      <c r="BM3" s="1" t="s">
        <v>112</v>
      </c>
      <c r="BN3" s="1">
        <f>159656*(1)</f>
        <v>159656</v>
      </c>
      <c r="BO3" s="1" t="s">
        <v>113</v>
      </c>
      <c r="BP3" s="1">
        <f>71045*(1)</f>
        <v>71045</v>
      </c>
      <c r="BQ3" s="1" t="s">
        <v>114</v>
      </c>
      <c r="BR3" s="1">
        <f>178310*(1)</f>
        <v>178310</v>
      </c>
      <c r="BS3" s="1" t="s">
        <v>115</v>
      </c>
      <c r="BT3" s="1">
        <f>86862*(1)</f>
        <v>86862</v>
      </c>
      <c r="BU3" s="1" t="s">
        <v>116</v>
      </c>
      <c r="BV3" s="1">
        <f>103604*(1)</f>
        <v>103604</v>
      </c>
      <c r="BW3" s="1" t="s">
        <v>117</v>
      </c>
    </row>
    <row r="4" spans="1:75" x14ac:dyDescent="0.3">
      <c r="A4" s="6" t="s">
        <v>118</v>
      </c>
      <c r="B4" s="1">
        <f>1057*(1)</f>
        <v>1057</v>
      </c>
      <c r="C4" s="1" t="s">
        <v>119</v>
      </c>
      <c r="D4" s="1">
        <f>2700*(1)</f>
        <v>2700</v>
      </c>
      <c r="E4" s="1" t="s">
        <v>120</v>
      </c>
      <c r="F4" s="1">
        <f>1028*(1)</f>
        <v>1028</v>
      </c>
      <c r="G4" s="1" t="s">
        <v>121</v>
      </c>
      <c r="H4" s="1">
        <f>7531*(1)</f>
        <v>7531</v>
      </c>
      <c r="I4" s="1" t="s">
        <v>122</v>
      </c>
      <c r="J4" s="1">
        <f>1200*(1)</f>
        <v>1200</v>
      </c>
      <c r="K4" s="1" t="s">
        <v>123</v>
      </c>
      <c r="L4" s="1">
        <f>3716*(1)</f>
        <v>3716</v>
      </c>
      <c r="M4" s="1" t="s">
        <v>124</v>
      </c>
      <c r="N4" s="1">
        <f>2391*(1)</f>
        <v>2391</v>
      </c>
      <c r="O4" s="1" t="s">
        <v>125</v>
      </c>
      <c r="P4" s="1">
        <f>17909*(1)</f>
        <v>17909</v>
      </c>
      <c r="Q4" s="1" t="s">
        <v>126</v>
      </c>
      <c r="R4" s="1">
        <f>1329*(1)</f>
        <v>1329</v>
      </c>
      <c r="S4" s="1" t="s">
        <v>127</v>
      </c>
      <c r="T4" s="1">
        <f>756*(1)</f>
        <v>756</v>
      </c>
      <c r="U4" s="1" t="s">
        <v>128</v>
      </c>
      <c r="V4" s="1">
        <f>1211*(1)</f>
        <v>1211</v>
      </c>
      <c r="W4" s="1" t="s">
        <v>129</v>
      </c>
      <c r="X4" s="1">
        <f>22007*(1)</f>
        <v>22007</v>
      </c>
      <c r="Y4" s="1" t="s">
        <v>130</v>
      </c>
      <c r="Z4" s="1">
        <f>4915*(1)</f>
        <v>4915</v>
      </c>
      <c r="AA4" s="1" t="s">
        <v>131</v>
      </c>
      <c r="AB4" s="1">
        <f>3108*(1)</f>
        <v>3108</v>
      </c>
      <c r="AC4" s="1" t="s">
        <v>132</v>
      </c>
      <c r="AD4" s="1">
        <f>9745*(1)</f>
        <v>9745</v>
      </c>
      <c r="AE4" s="1" t="s">
        <v>133</v>
      </c>
      <c r="AF4" s="1">
        <f>520*(1)</f>
        <v>520</v>
      </c>
      <c r="AG4" s="1" t="s">
        <v>134</v>
      </c>
      <c r="AH4" s="1">
        <f>2078*(1)</f>
        <v>2078</v>
      </c>
      <c r="AI4" s="1" t="s">
        <v>135</v>
      </c>
      <c r="AJ4" s="1">
        <f>2241*(1)</f>
        <v>2241</v>
      </c>
      <c r="AK4" s="1" t="s">
        <v>136</v>
      </c>
      <c r="AL4" s="1">
        <f>4424*(1)</f>
        <v>4424</v>
      </c>
      <c r="AM4" s="1" t="s">
        <v>137</v>
      </c>
      <c r="AN4" s="1">
        <f>6508*(1)</f>
        <v>6508</v>
      </c>
      <c r="AO4" s="1" t="s">
        <v>138</v>
      </c>
      <c r="AP4" s="1">
        <f>2486*(1)</f>
        <v>2486</v>
      </c>
      <c r="AQ4" s="1" t="s">
        <v>139</v>
      </c>
      <c r="AR4" s="1">
        <f>1132*(1)</f>
        <v>1132</v>
      </c>
      <c r="AS4" s="1" t="s">
        <v>140</v>
      </c>
      <c r="AT4" s="1">
        <f>2017*(1)</f>
        <v>2017</v>
      </c>
      <c r="AU4" s="1" t="s">
        <v>141</v>
      </c>
      <c r="AV4" s="1">
        <f>874*(1)</f>
        <v>874</v>
      </c>
      <c r="AW4" s="1" t="s">
        <v>142</v>
      </c>
      <c r="AX4" s="1">
        <f>8096*(1)</f>
        <v>8096</v>
      </c>
      <c r="AY4" s="1" t="s">
        <v>143</v>
      </c>
      <c r="AZ4" s="1">
        <f>1299*(1)</f>
        <v>1299</v>
      </c>
      <c r="BA4" s="1" t="s">
        <v>144</v>
      </c>
      <c r="BB4" s="1">
        <f>3469*(1)</f>
        <v>3469</v>
      </c>
      <c r="BC4" s="1" t="s">
        <v>145</v>
      </c>
      <c r="BD4" s="1">
        <f>4079*(1)</f>
        <v>4079</v>
      </c>
      <c r="BE4" s="1" t="s">
        <v>146</v>
      </c>
      <c r="BF4" s="1">
        <f>2109*(1)</f>
        <v>2109</v>
      </c>
      <c r="BG4" s="1" t="s">
        <v>147</v>
      </c>
      <c r="BH4" s="1">
        <f>1318*(1)</f>
        <v>1318</v>
      </c>
      <c r="BI4" s="1" t="s">
        <v>148</v>
      </c>
      <c r="BJ4" s="1">
        <f>5434*(1)</f>
        <v>5434</v>
      </c>
      <c r="BK4" s="1" t="s">
        <v>149</v>
      </c>
      <c r="BL4" s="1">
        <f>9009*(1)</f>
        <v>9009</v>
      </c>
      <c r="BM4" s="1" t="s">
        <v>150</v>
      </c>
      <c r="BN4" s="1">
        <f>5179*(1)</f>
        <v>5179</v>
      </c>
      <c r="BO4" s="1" t="s">
        <v>151</v>
      </c>
      <c r="BP4" s="1">
        <f>2064*(1)</f>
        <v>2064</v>
      </c>
      <c r="BQ4" s="1" t="s">
        <v>152</v>
      </c>
      <c r="BR4" s="1">
        <f>4243*(1)</f>
        <v>4243</v>
      </c>
      <c r="BS4" s="1" t="s">
        <v>153</v>
      </c>
      <c r="BT4" s="1">
        <f>8175*(1)</f>
        <v>8175</v>
      </c>
      <c r="BU4" s="1" t="s">
        <v>154</v>
      </c>
      <c r="BV4" s="1">
        <f>1585*(1)</f>
        <v>1585</v>
      </c>
      <c r="BW4" s="1" t="s">
        <v>155</v>
      </c>
    </row>
    <row r="5" spans="1:75" x14ac:dyDescent="0.3">
      <c r="A5" s="6" t="s">
        <v>156</v>
      </c>
      <c r="B5" s="1">
        <f>4134*(1)</f>
        <v>4134</v>
      </c>
      <c r="C5" s="1" t="s">
        <v>157</v>
      </c>
      <c r="D5" s="1">
        <f>7019*(1)</f>
        <v>7019</v>
      </c>
      <c r="E5" s="1" t="s">
        <v>158</v>
      </c>
      <c r="F5" s="1">
        <f>2979*(1)</f>
        <v>2979</v>
      </c>
      <c r="G5" s="1" t="s">
        <v>159</v>
      </c>
      <c r="H5" s="1">
        <f>17075*(1)</f>
        <v>17075</v>
      </c>
      <c r="I5" s="1" t="s">
        <v>160</v>
      </c>
      <c r="J5" s="1">
        <f>10106*(1)</f>
        <v>10106</v>
      </c>
      <c r="K5" s="1" t="s">
        <v>161</v>
      </c>
      <c r="L5" s="1">
        <f>10255*(1)</f>
        <v>10255</v>
      </c>
      <c r="M5" s="1" t="s">
        <v>162</v>
      </c>
      <c r="N5" s="1">
        <f>6576*(1)</f>
        <v>6576</v>
      </c>
      <c r="O5" s="1" t="s">
        <v>163</v>
      </c>
      <c r="P5" s="1">
        <f>65569*(1)</f>
        <v>65569</v>
      </c>
      <c r="Q5" s="1" t="s">
        <v>164</v>
      </c>
      <c r="R5" s="1">
        <f>4433*(1)</f>
        <v>4433</v>
      </c>
      <c r="S5" s="1" t="s">
        <v>165</v>
      </c>
      <c r="T5" s="1">
        <f>4519*(1)</f>
        <v>4519</v>
      </c>
      <c r="U5" s="1" t="s">
        <v>166</v>
      </c>
      <c r="V5" s="1">
        <f>8092*(1)</f>
        <v>8092</v>
      </c>
      <c r="W5" s="1" t="s">
        <v>167</v>
      </c>
      <c r="X5" s="1">
        <f>47787*(1)</f>
        <v>47787</v>
      </c>
      <c r="Y5" s="1" t="s">
        <v>168</v>
      </c>
      <c r="Z5" s="1">
        <f>1768*(1)</f>
        <v>1768</v>
      </c>
      <c r="AA5" s="1" t="s">
        <v>169</v>
      </c>
      <c r="AB5" s="1">
        <f>5303*(1)</f>
        <v>5303</v>
      </c>
      <c r="AC5" s="1" t="s">
        <v>170</v>
      </c>
      <c r="AD5" s="1">
        <f>34727*(1)</f>
        <v>34727</v>
      </c>
      <c r="AE5" s="1" t="s">
        <v>171</v>
      </c>
      <c r="AF5" s="1">
        <f>3077*(1)</f>
        <v>3077</v>
      </c>
      <c r="AG5" s="1" t="s">
        <v>172</v>
      </c>
      <c r="AH5" s="1">
        <f>5847*(1)</f>
        <v>5847</v>
      </c>
      <c r="AI5" s="1" t="s">
        <v>173</v>
      </c>
      <c r="AJ5" s="1">
        <f>8294*(1)</f>
        <v>8294</v>
      </c>
      <c r="AK5" s="1" t="s">
        <v>174</v>
      </c>
      <c r="AL5" s="1">
        <f>13642*(1)</f>
        <v>13642</v>
      </c>
      <c r="AM5" s="1" t="s">
        <v>175</v>
      </c>
      <c r="AN5" s="1">
        <f>22596*(1)</f>
        <v>22596</v>
      </c>
      <c r="AO5" s="1" t="s">
        <v>176</v>
      </c>
      <c r="AP5" s="1">
        <f>11216*(1)</f>
        <v>11216</v>
      </c>
      <c r="AQ5" s="1" t="s">
        <v>177</v>
      </c>
      <c r="AR5" s="1">
        <f>3373*(1)</f>
        <v>3373</v>
      </c>
      <c r="AS5" s="1" t="s">
        <v>178</v>
      </c>
      <c r="AT5" s="1">
        <f>5511*(1)</f>
        <v>5511</v>
      </c>
      <c r="AU5" s="1" t="s">
        <v>179</v>
      </c>
      <c r="AV5" s="1">
        <f>4299*(1)</f>
        <v>4299</v>
      </c>
      <c r="AW5" s="1" t="s">
        <v>180</v>
      </c>
      <c r="AX5" s="1">
        <f>21563*(1)</f>
        <v>21563</v>
      </c>
      <c r="AY5" s="1" t="s">
        <v>181</v>
      </c>
      <c r="AZ5" s="1">
        <f>4614*(1)</f>
        <v>4614</v>
      </c>
      <c r="BA5" s="1" t="s">
        <v>182</v>
      </c>
      <c r="BB5" s="1">
        <f>8326*(1)</f>
        <v>8326</v>
      </c>
      <c r="BC5" s="1" t="s">
        <v>183</v>
      </c>
      <c r="BD5" s="1">
        <f>6146*(1)</f>
        <v>6146</v>
      </c>
      <c r="BE5" s="1" t="s">
        <v>184</v>
      </c>
      <c r="BF5" s="1">
        <f>5058*(1)</f>
        <v>5058</v>
      </c>
      <c r="BG5" s="1" t="s">
        <v>120</v>
      </c>
      <c r="BH5" s="1">
        <f>5141*(1)</f>
        <v>5141</v>
      </c>
      <c r="BI5" s="1" t="s">
        <v>185</v>
      </c>
      <c r="BJ5" s="1">
        <f>17038*(1)</f>
        <v>17038</v>
      </c>
      <c r="BK5" s="1" t="s">
        <v>186</v>
      </c>
      <c r="BL5" s="1">
        <f>23021*(1)</f>
        <v>23021</v>
      </c>
      <c r="BM5" s="1" t="s">
        <v>187</v>
      </c>
      <c r="BN5" s="1">
        <f>10708*(1)</f>
        <v>10708</v>
      </c>
      <c r="BO5" s="1" t="s">
        <v>188</v>
      </c>
      <c r="BP5" s="1">
        <f>4360*(1)</f>
        <v>4360</v>
      </c>
      <c r="BQ5" s="1" t="s">
        <v>189</v>
      </c>
      <c r="BR5" s="1">
        <f>6307*(1)</f>
        <v>6307</v>
      </c>
      <c r="BS5" s="1" t="s">
        <v>190</v>
      </c>
      <c r="BT5" s="1">
        <f>5254*(1)</f>
        <v>5254</v>
      </c>
      <c r="BU5" s="1" t="s">
        <v>191</v>
      </c>
      <c r="BV5" s="1">
        <f>4904*(1)</f>
        <v>4904</v>
      </c>
      <c r="BW5" s="1" t="s">
        <v>192</v>
      </c>
    </row>
    <row r="6" spans="1:75" ht="28.8" x14ac:dyDescent="0.3">
      <c r="A6" s="6" t="s">
        <v>193</v>
      </c>
      <c r="B6" s="1">
        <f>34893*(1)</f>
        <v>34893</v>
      </c>
      <c r="C6" s="1" t="s">
        <v>194</v>
      </c>
      <c r="D6" s="1">
        <f>33545*(1)</f>
        <v>33545</v>
      </c>
      <c r="E6" s="1" t="s">
        <v>195</v>
      </c>
      <c r="F6" s="1">
        <f>28308*(1)</f>
        <v>28308</v>
      </c>
      <c r="G6" s="1" t="s">
        <v>196</v>
      </c>
      <c r="H6" s="1">
        <f>91838*(1)</f>
        <v>91838</v>
      </c>
      <c r="I6" s="1" t="s">
        <v>197</v>
      </c>
      <c r="J6" s="1">
        <f>39644*(1)</f>
        <v>39644</v>
      </c>
      <c r="K6" s="1" t="s">
        <v>198</v>
      </c>
      <c r="L6" s="1">
        <f>54600*(1)</f>
        <v>54600</v>
      </c>
      <c r="M6" s="1" t="s">
        <v>199</v>
      </c>
      <c r="N6" s="1">
        <f>36353*(1)</f>
        <v>36353</v>
      </c>
      <c r="O6" s="1" t="s">
        <v>200</v>
      </c>
      <c r="P6" s="1">
        <f>273373*(1)</f>
        <v>273373</v>
      </c>
      <c r="Q6" s="1" t="s">
        <v>201</v>
      </c>
      <c r="R6" s="1">
        <f>29277*(1)</f>
        <v>29277</v>
      </c>
      <c r="S6" s="1" t="s">
        <v>202</v>
      </c>
      <c r="T6" s="1">
        <f>21978*(1)</f>
        <v>21978</v>
      </c>
      <c r="U6" s="1" t="s">
        <v>203</v>
      </c>
      <c r="V6" s="1">
        <f>38071*(1)</f>
        <v>38071</v>
      </c>
      <c r="W6" s="1" t="s">
        <v>204</v>
      </c>
      <c r="X6" s="1">
        <f>229375*(1)</f>
        <v>229375</v>
      </c>
      <c r="Y6" s="1" t="s">
        <v>205</v>
      </c>
      <c r="Z6" s="1">
        <f>19569*(1)</f>
        <v>19569</v>
      </c>
      <c r="AA6" s="1" t="s">
        <v>206</v>
      </c>
      <c r="AB6" s="1">
        <f>31033*(1)</f>
        <v>31033</v>
      </c>
      <c r="AC6" s="1" t="s">
        <v>207</v>
      </c>
      <c r="AD6" s="1">
        <f>164726*(1)</f>
        <v>164726</v>
      </c>
      <c r="AE6" s="1" t="s">
        <v>208</v>
      </c>
      <c r="AF6" s="1">
        <f>19529*(1)</f>
        <v>19529</v>
      </c>
      <c r="AG6" s="1" t="s">
        <v>209</v>
      </c>
      <c r="AH6" s="1">
        <f>59843*(1)</f>
        <v>59843</v>
      </c>
      <c r="AI6" s="1" t="s">
        <v>210</v>
      </c>
      <c r="AJ6" s="1">
        <f>46929*(1)</f>
        <v>46929</v>
      </c>
      <c r="AK6" s="1" t="s">
        <v>211</v>
      </c>
      <c r="AL6" s="1">
        <f>81952*(1)</f>
        <v>81952</v>
      </c>
      <c r="AM6" s="1" t="s">
        <v>212</v>
      </c>
      <c r="AN6" s="1">
        <f>99411*(1)</f>
        <v>99411</v>
      </c>
      <c r="AO6" s="1" t="s">
        <v>213</v>
      </c>
      <c r="AP6" s="1">
        <f>68047*(1)</f>
        <v>68047</v>
      </c>
      <c r="AQ6" s="1" t="s">
        <v>214</v>
      </c>
      <c r="AR6" s="1">
        <f>23467*(1)</f>
        <v>23467</v>
      </c>
      <c r="AS6" s="1" t="s">
        <v>215</v>
      </c>
      <c r="AT6" s="1">
        <f>42659*(1)</f>
        <v>42659</v>
      </c>
      <c r="AU6" s="1" t="s">
        <v>216</v>
      </c>
      <c r="AV6" s="1">
        <f>32210*(1)</f>
        <v>32210</v>
      </c>
      <c r="AW6" s="1" t="s">
        <v>217</v>
      </c>
      <c r="AX6" s="1">
        <f>117145*(1)</f>
        <v>117145</v>
      </c>
      <c r="AY6" s="1" t="s">
        <v>218</v>
      </c>
      <c r="AZ6" s="1">
        <f>29691*(1)</f>
        <v>29691</v>
      </c>
      <c r="BA6" s="1" t="s">
        <v>219</v>
      </c>
      <c r="BB6" s="1">
        <f>46080*(1)</f>
        <v>46080</v>
      </c>
      <c r="BC6" s="1" t="s">
        <v>220</v>
      </c>
      <c r="BD6" s="1">
        <f>41152*(1)</f>
        <v>41152</v>
      </c>
      <c r="BE6" s="1" t="s">
        <v>221</v>
      </c>
      <c r="BF6" s="1">
        <f>27903*(1)</f>
        <v>27903</v>
      </c>
      <c r="BG6" s="1" t="s">
        <v>222</v>
      </c>
      <c r="BH6" s="1">
        <f>26084*(1)</f>
        <v>26084</v>
      </c>
      <c r="BI6" s="1" t="s">
        <v>223</v>
      </c>
      <c r="BJ6" s="1">
        <f>111025*(1)</f>
        <v>111025</v>
      </c>
      <c r="BK6" s="1" t="s">
        <v>224</v>
      </c>
      <c r="BL6" s="1">
        <f>126784*(1)</f>
        <v>126784</v>
      </c>
      <c r="BM6" s="1" t="s">
        <v>225</v>
      </c>
      <c r="BN6" s="1">
        <f>72123*(1)</f>
        <v>72123</v>
      </c>
      <c r="BO6" s="1" t="s">
        <v>226</v>
      </c>
      <c r="BP6" s="1">
        <f>33957*(1)</f>
        <v>33957</v>
      </c>
      <c r="BQ6" s="1" t="s">
        <v>227</v>
      </c>
      <c r="BR6" s="1">
        <f>53533*(1)</f>
        <v>53533</v>
      </c>
      <c r="BS6" s="1" t="s">
        <v>228</v>
      </c>
      <c r="BT6" s="1">
        <f>34017*(1)</f>
        <v>34017</v>
      </c>
      <c r="BU6" s="1" t="s">
        <v>229</v>
      </c>
      <c r="BV6" s="1">
        <f>29529*(1)</f>
        <v>29529</v>
      </c>
      <c r="BW6" s="1" t="s">
        <v>230</v>
      </c>
    </row>
    <row r="7" spans="1:75" x14ac:dyDescent="0.3">
      <c r="A7" s="6" t="s">
        <v>231</v>
      </c>
      <c r="B7" s="1">
        <f>16654*(1)</f>
        <v>16654</v>
      </c>
      <c r="C7" s="1" t="s">
        <v>232</v>
      </c>
      <c r="D7" s="1">
        <f>14808*(1)</f>
        <v>14808</v>
      </c>
      <c r="E7" s="1" t="s">
        <v>233</v>
      </c>
      <c r="F7" s="1">
        <f>7851*(1)</f>
        <v>7851</v>
      </c>
      <c r="G7" s="1" t="s">
        <v>234</v>
      </c>
      <c r="H7" s="1">
        <f>65855*(1)</f>
        <v>65855</v>
      </c>
      <c r="I7" s="1" t="s">
        <v>235</v>
      </c>
      <c r="J7" s="1">
        <f>22936*(1)</f>
        <v>22936</v>
      </c>
      <c r="K7" s="1" t="s">
        <v>236</v>
      </c>
      <c r="L7" s="1">
        <f>33278*(1)</f>
        <v>33278</v>
      </c>
      <c r="M7" s="1" t="s">
        <v>237</v>
      </c>
      <c r="N7" s="1">
        <f>12526*(1)</f>
        <v>12526</v>
      </c>
      <c r="O7" s="1" t="s">
        <v>238</v>
      </c>
      <c r="P7" s="1">
        <f>211897*(1)</f>
        <v>211897</v>
      </c>
      <c r="Q7" s="1" t="s">
        <v>239</v>
      </c>
      <c r="R7" s="1">
        <f>29301*(1)</f>
        <v>29301</v>
      </c>
      <c r="S7" s="1" t="s">
        <v>240</v>
      </c>
      <c r="T7" s="1">
        <f>12478*(1)</f>
        <v>12478</v>
      </c>
      <c r="U7" s="1" t="s">
        <v>241</v>
      </c>
      <c r="V7" s="1">
        <f>26530*(1)</f>
        <v>26530</v>
      </c>
      <c r="W7" s="1" t="s">
        <v>242</v>
      </c>
      <c r="X7" s="1">
        <f>210024*(1)</f>
        <v>210024</v>
      </c>
      <c r="Y7" s="1" t="s">
        <v>243</v>
      </c>
      <c r="Z7" s="1">
        <f>15517*(1)</f>
        <v>15517</v>
      </c>
      <c r="AA7" s="1" t="s">
        <v>244</v>
      </c>
      <c r="AB7" s="1">
        <f>29778*(1)</f>
        <v>29778</v>
      </c>
      <c r="AC7" s="1" t="s">
        <v>245</v>
      </c>
      <c r="AD7" s="1">
        <f>127480*(1)</f>
        <v>127480</v>
      </c>
      <c r="AE7" s="1" t="s">
        <v>246</v>
      </c>
      <c r="AF7" s="1">
        <f>13944*(1)</f>
        <v>13944</v>
      </c>
      <c r="AG7" s="1" t="s">
        <v>247</v>
      </c>
      <c r="AH7" s="1">
        <f>40945*(1)</f>
        <v>40945</v>
      </c>
      <c r="AI7" s="1" t="s">
        <v>248</v>
      </c>
      <c r="AJ7" s="1">
        <f>33300*(1)</f>
        <v>33300</v>
      </c>
      <c r="AK7" s="1" t="s">
        <v>249</v>
      </c>
      <c r="AL7" s="1">
        <f>58207*(1)</f>
        <v>58207</v>
      </c>
      <c r="AM7" s="1" t="s">
        <v>250</v>
      </c>
      <c r="AN7" s="1">
        <f>75840*(1)</f>
        <v>75840</v>
      </c>
      <c r="AO7" s="1" t="s">
        <v>251</v>
      </c>
      <c r="AP7" s="1">
        <f>38598*(1)</f>
        <v>38598</v>
      </c>
      <c r="AQ7" s="1" t="s">
        <v>252</v>
      </c>
      <c r="AR7" s="1">
        <f>10840*(1)</f>
        <v>10840</v>
      </c>
      <c r="AS7" s="1" t="s">
        <v>161</v>
      </c>
      <c r="AT7" s="1">
        <f>29685*(1)</f>
        <v>29685</v>
      </c>
      <c r="AU7" s="1" t="s">
        <v>253</v>
      </c>
      <c r="AV7" s="1">
        <f>16890*(1)</f>
        <v>16890</v>
      </c>
      <c r="AW7" s="1" t="s">
        <v>254</v>
      </c>
      <c r="AX7" s="1">
        <f>107018*(1)</f>
        <v>107018</v>
      </c>
      <c r="AY7" s="1" t="s">
        <v>255</v>
      </c>
      <c r="AZ7" s="1">
        <f>16259*(1)</f>
        <v>16259</v>
      </c>
      <c r="BA7" s="1" t="s">
        <v>232</v>
      </c>
      <c r="BB7" s="1">
        <f>31572*(1)</f>
        <v>31572</v>
      </c>
      <c r="BC7" s="1" t="s">
        <v>256</v>
      </c>
      <c r="BD7" s="1">
        <f>21487*(1)</f>
        <v>21487</v>
      </c>
      <c r="BE7" s="1" t="s">
        <v>257</v>
      </c>
      <c r="BF7" s="1">
        <f>11355*(1)</f>
        <v>11355</v>
      </c>
      <c r="BG7" s="1" t="s">
        <v>258</v>
      </c>
      <c r="BH7" s="1">
        <f>11689*(1)</f>
        <v>11689</v>
      </c>
      <c r="BI7" s="1" t="s">
        <v>259</v>
      </c>
      <c r="BJ7" s="1">
        <f>64406*(1)</f>
        <v>64406</v>
      </c>
      <c r="BK7" s="1" t="s">
        <v>260</v>
      </c>
      <c r="BL7" s="1">
        <f>82974*(1)</f>
        <v>82974</v>
      </c>
      <c r="BM7" s="1" t="s">
        <v>261</v>
      </c>
      <c r="BN7" s="1">
        <f>25860*(1)</f>
        <v>25860</v>
      </c>
      <c r="BO7" s="1" t="s">
        <v>262</v>
      </c>
      <c r="BP7" s="1">
        <f>12314*(1)</f>
        <v>12314</v>
      </c>
      <c r="BQ7" s="1" t="s">
        <v>263</v>
      </c>
      <c r="BR7" s="1">
        <f>34287*(1)</f>
        <v>34287</v>
      </c>
      <c r="BS7" s="1" t="s">
        <v>264</v>
      </c>
      <c r="BT7" s="1">
        <f>14603*(1)</f>
        <v>14603</v>
      </c>
      <c r="BU7" s="1" t="s">
        <v>265</v>
      </c>
      <c r="BV7" s="1">
        <f>25081*(1)</f>
        <v>25081</v>
      </c>
      <c r="BW7" s="1" t="s">
        <v>266</v>
      </c>
    </row>
    <row r="8" spans="1:75" x14ac:dyDescent="0.3">
      <c r="A8" s="6" t="s">
        <v>267</v>
      </c>
      <c r="B8" s="1">
        <f>7906*(1)</f>
        <v>7906</v>
      </c>
      <c r="C8" s="1" t="s">
        <v>268</v>
      </c>
      <c r="D8" s="1">
        <f>5940*(1)</f>
        <v>5940</v>
      </c>
      <c r="E8" s="1" t="s">
        <v>163</v>
      </c>
      <c r="F8" s="1">
        <f>4117*(1)</f>
        <v>4117</v>
      </c>
      <c r="G8" s="1" t="s">
        <v>269</v>
      </c>
      <c r="H8" s="1">
        <f>18891*(1)</f>
        <v>18891</v>
      </c>
      <c r="I8" s="1" t="s">
        <v>270</v>
      </c>
      <c r="J8" s="1">
        <f>11289*(1)</f>
        <v>11289</v>
      </c>
      <c r="K8" s="1" t="s">
        <v>271</v>
      </c>
      <c r="L8" s="1">
        <f>12904*(1)</f>
        <v>12904</v>
      </c>
      <c r="M8" s="1" t="s">
        <v>272</v>
      </c>
      <c r="N8" s="1">
        <f>8585*(1)</f>
        <v>8585</v>
      </c>
      <c r="O8" s="1" t="s">
        <v>273</v>
      </c>
      <c r="P8" s="1">
        <f>74062*(1)</f>
        <v>74062</v>
      </c>
      <c r="Q8" s="1" t="s">
        <v>274</v>
      </c>
      <c r="R8" s="1">
        <f>10599*(1)</f>
        <v>10599</v>
      </c>
      <c r="S8" s="1" t="s">
        <v>275</v>
      </c>
      <c r="T8" s="1">
        <f>4401*(1)</f>
        <v>4401</v>
      </c>
      <c r="U8" s="1" t="s">
        <v>276</v>
      </c>
      <c r="V8" s="1">
        <f>10610*(1)</f>
        <v>10610</v>
      </c>
      <c r="W8" s="1" t="s">
        <v>277</v>
      </c>
      <c r="X8" s="1">
        <f>67242*(1)</f>
        <v>67242</v>
      </c>
      <c r="Y8" s="1" t="s">
        <v>278</v>
      </c>
      <c r="Z8" s="1">
        <f>4499*(1)</f>
        <v>4499</v>
      </c>
      <c r="AA8" s="1" t="s">
        <v>279</v>
      </c>
      <c r="AB8" s="1">
        <f>11213*(1)</f>
        <v>11213</v>
      </c>
      <c r="AC8" s="1" t="s">
        <v>280</v>
      </c>
      <c r="AD8" s="1">
        <f>45476*(1)</f>
        <v>45476</v>
      </c>
      <c r="AE8" s="1" t="s">
        <v>281</v>
      </c>
      <c r="AF8" s="1">
        <f>5573*(1)</f>
        <v>5573</v>
      </c>
      <c r="AG8" s="1" t="s">
        <v>282</v>
      </c>
      <c r="AH8" s="1">
        <f>18727*(1)</f>
        <v>18727</v>
      </c>
      <c r="AI8" s="1" t="s">
        <v>283</v>
      </c>
      <c r="AJ8" s="1">
        <f>11543*(1)</f>
        <v>11543</v>
      </c>
      <c r="AK8" s="1" t="s">
        <v>284</v>
      </c>
      <c r="AL8" s="1">
        <f>24140*(1)</f>
        <v>24140</v>
      </c>
      <c r="AM8" s="1" t="s">
        <v>285</v>
      </c>
      <c r="AN8" s="1">
        <f>32301*(1)</f>
        <v>32301</v>
      </c>
      <c r="AO8" s="1" t="s">
        <v>286</v>
      </c>
      <c r="AP8" s="1">
        <f>14256*(1)</f>
        <v>14256</v>
      </c>
      <c r="AQ8" s="1" t="s">
        <v>287</v>
      </c>
      <c r="AR8" s="1">
        <f>5826*(1)</f>
        <v>5826</v>
      </c>
      <c r="AS8" s="1" t="s">
        <v>288</v>
      </c>
      <c r="AT8" s="1">
        <f>12340*(1)</f>
        <v>12340</v>
      </c>
      <c r="AU8" s="1" t="s">
        <v>150</v>
      </c>
      <c r="AV8" s="1">
        <f>7929*(1)</f>
        <v>7929</v>
      </c>
      <c r="AW8" s="1" t="s">
        <v>289</v>
      </c>
      <c r="AX8" s="1">
        <f>40638*(1)</f>
        <v>40638</v>
      </c>
      <c r="AY8" s="1" t="s">
        <v>290</v>
      </c>
      <c r="AZ8" s="1">
        <f>6726*(1)</f>
        <v>6726</v>
      </c>
      <c r="BA8" s="1" t="s">
        <v>291</v>
      </c>
      <c r="BB8" s="1">
        <f>8434*(1)</f>
        <v>8434</v>
      </c>
      <c r="BC8" s="1" t="s">
        <v>292</v>
      </c>
      <c r="BD8" s="1">
        <f>8615*(1)</f>
        <v>8615</v>
      </c>
      <c r="BE8" s="1" t="s">
        <v>293</v>
      </c>
      <c r="BF8" s="1">
        <f>4350*(1)</f>
        <v>4350</v>
      </c>
      <c r="BG8" s="1" t="s">
        <v>294</v>
      </c>
      <c r="BH8" s="1">
        <f>2741*(1)</f>
        <v>2741</v>
      </c>
      <c r="BI8" s="1" t="s">
        <v>295</v>
      </c>
      <c r="BJ8" s="1">
        <f>24519*(1)</f>
        <v>24519</v>
      </c>
      <c r="BK8" s="1" t="s">
        <v>296</v>
      </c>
      <c r="BL8" s="1">
        <f>34108*(1)</f>
        <v>34108</v>
      </c>
      <c r="BM8" s="1" t="s">
        <v>297</v>
      </c>
      <c r="BN8" s="1">
        <f>13270*(1)</f>
        <v>13270</v>
      </c>
      <c r="BO8" s="1" t="s">
        <v>298</v>
      </c>
      <c r="BP8" s="1">
        <f>6499*(1)</f>
        <v>6499</v>
      </c>
      <c r="BQ8" s="1" t="s">
        <v>299</v>
      </c>
      <c r="BR8" s="1">
        <f>13081*(1)</f>
        <v>13081</v>
      </c>
      <c r="BS8" s="1" t="s">
        <v>300</v>
      </c>
      <c r="BT8" s="1">
        <f>6032*(1)</f>
        <v>6032</v>
      </c>
      <c r="BU8" s="1" t="s">
        <v>301</v>
      </c>
      <c r="BV8" s="1">
        <f>7510*(1)</f>
        <v>7510</v>
      </c>
      <c r="BW8" s="1" t="s">
        <v>284</v>
      </c>
    </row>
    <row r="9" spans="1:75" x14ac:dyDescent="0.3">
      <c r="A9" s="6" t="s">
        <v>302</v>
      </c>
      <c r="B9" s="1">
        <f>8389*(1)</f>
        <v>8389</v>
      </c>
      <c r="C9" s="1" t="s">
        <v>303</v>
      </c>
      <c r="D9" s="1">
        <f>7246*(1)</f>
        <v>7246</v>
      </c>
      <c r="E9" s="1" t="s">
        <v>304</v>
      </c>
      <c r="F9" s="1">
        <f>5764*(1)</f>
        <v>5764</v>
      </c>
      <c r="G9" s="1" t="s">
        <v>305</v>
      </c>
      <c r="H9" s="1">
        <f>56433*(1)</f>
        <v>56433</v>
      </c>
      <c r="I9" s="1" t="s">
        <v>306</v>
      </c>
      <c r="J9" s="1">
        <f>11370*(1)</f>
        <v>11370</v>
      </c>
      <c r="K9" s="1" t="s">
        <v>307</v>
      </c>
      <c r="L9" s="1">
        <f>29736*(1)</f>
        <v>29736</v>
      </c>
      <c r="M9" s="1" t="s">
        <v>308</v>
      </c>
      <c r="N9" s="1">
        <f>8114*(1)</f>
        <v>8114</v>
      </c>
      <c r="O9" s="1" t="s">
        <v>309</v>
      </c>
      <c r="P9" s="1">
        <f>194601*(1)</f>
        <v>194601</v>
      </c>
      <c r="Q9" s="1" t="s">
        <v>310</v>
      </c>
      <c r="R9" s="1">
        <f>50246*(1)</f>
        <v>50246</v>
      </c>
      <c r="S9" s="1" t="s">
        <v>311</v>
      </c>
      <c r="T9" s="1">
        <f>11383*(1)</f>
        <v>11383</v>
      </c>
      <c r="U9" s="1" t="s">
        <v>312</v>
      </c>
      <c r="V9" s="1">
        <f>23427*(1)</f>
        <v>23427</v>
      </c>
      <c r="W9" s="1" t="s">
        <v>313</v>
      </c>
      <c r="X9" s="1">
        <f>235184*(1)</f>
        <v>235184</v>
      </c>
      <c r="Y9" s="1" t="s">
        <v>314</v>
      </c>
      <c r="Z9" s="1">
        <f>17338*(1)</f>
        <v>17338</v>
      </c>
      <c r="AA9" s="1" t="s">
        <v>315</v>
      </c>
      <c r="AB9" s="1">
        <f>27457*(1)</f>
        <v>27457</v>
      </c>
      <c r="AC9" s="1" t="s">
        <v>316</v>
      </c>
      <c r="AD9" s="1">
        <f>145886*(1)</f>
        <v>145886</v>
      </c>
      <c r="AE9" s="1" t="s">
        <v>317</v>
      </c>
      <c r="AF9" s="1">
        <f>9965*(1)</f>
        <v>9965</v>
      </c>
      <c r="AG9" s="1" t="s">
        <v>318</v>
      </c>
      <c r="AH9" s="1">
        <f>36460*(1)</f>
        <v>36460</v>
      </c>
      <c r="AI9" s="1" t="s">
        <v>319</v>
      </c>
      <c r="AJ9" s="1">
        <f>24665*(1)</f>
        <v>24665</v>
      </c>
      <c r="AK9" s="1" t="s">
        <v>320</v>
      </c>
      <c r="AL9" s="1">
        <f>39962*(1)</f>
        <v>39962</v>
      </c>
      <c r="AM9" s="1" t="s">
        <v>321</v>
      </c>
      <c r="AN9" s="1">
        <f>56671*(1)</f>
        <v>56671</v>
      </c>
      <c r="AO9" s="1" t="s">
        <v>322</v>
      </c>
      <c r="AP9" s="1">
        <f>28425*(1)</f>
        <v>28425</v>
      </c>
      <c r="AQ9" s="1" t="s">
        <v>323</v>
      </c>
      <c r="AR9" s="1">
        <f>4457*(1)</f>
        <v>4457</v>
      </c>
      <c r="AS9" s="1" t="s">
        <v>324</v>
      </c>
      <c r="AT9" s="1">
        <f>32951*(1)</f>
        <v>32951</v>
      </c>
      <c r="AU9" s="1" t="s">
        <v>325</v>
      </c>
      <c r="AV9" s="1">
        <f>11591*(1)</f>
        <v>11591</v>
      </c>
      <c r="AW9" s="1" t="s">
        <v>326</v>
      </c>
      <c r="AX9" s="1">
        <f>67441*(1)</f>
        <v>67441</v>
      </c>
      <c r="AY9" s="1" t="s">
        <v>327</v>
      </c>
      <c r="AZ9" s="1">
        <f>5577*(1)</f>
        <v>5577</v>
      </c>
      <c r="BA9" s="1" t="s">
        <v>328</v>
      </c>
      <c r="BB9" s="1">
        <f>20861*(1)</f>
        <v>20861</v>
      </c>
      <c r="BC9" s="1" t="s">
        <v>329</v>
      </c>
      <c r="BD9" s="1">
        <f>10070*(1)</f>
        <v>10070</v>
      </c>
      <c r="BE9" s="1" t="s">
        <v>330</v>
      </c>
      <c r="BF9" s="1">
        <f>5833*(1)</f>
        <v>5833</v>
      </c>
      <c r="BG9" s="1" t="s">
        <v>331</v>
      </c>
      <c r="BH9" s="1">
        <f>6114*(1)</f>
        <v>6114</v>
      </c>
      <c r="BI9" s="1" t="s">
        <v>332</v>
      </c>
      <c r="BJ9" s="1">
        <f>43708*(1)</f>
        <v>43708</v>
      </c>
      <c r="BK9" s="1" t="s">
        <v>333</v>
      </c>
      <c r="BL9" s="1">
        <f>91069*(1)</f>
        <v>91069</v>
      </c>
      <c r="BM9" s="1" t="s">
        <v>334</v>
      </c>
      <c r="BN9" s="1">
        <f>22077*(1)</f>
        <v>22077</v>
      </c>
      <c r="BO9" s="1" t="s">
        <v>253</v>
      </c>
      <c r="BP9" s="1">
        <f>8008*(1)</f>
        <v>8008</v>
      </c>
      <c r="BQ9" s="1" t="s">
        <v>335</v>
      </c>
      <c r="BR9" s="1">
        <f>42985*(1)</f>
        <v>42985</v>
      </c>
      <c r="BS9" s="1" t="s">
        <v>336</v>
      </c>
      <c r="BT9" s="1">
        <f>10705*(1)</f>
        <v>10705</v>
      </c>
      <c r="BU9" s="1" t="s">
        <v>337</v>
      </c>
      <c r="BV9" s="1">
        <f>21264*(1)</f>
        <v>21264</v>
      </c>
      <c r="BW9" s="1" t="s">
        <v>338</v>
      </c>
    </row>
    <row r="10" spans="1:75" x14ac:dyDescent="0.3">
      <c r="A10" s="6" t="s">
        <v>339</v>
      </c>
      <c r="B10" s="1">
        <f>4600*(1)</f>
        <v>4600</v>
      </c>
      <c r="C10" s="1" t="s">
        <v>340</v>
      </c>
      <c r="D10" s="1">
        <f>3496*(1)</f>
        <v>3496</v>
      </c>
      <c r="E10" s="1" t="s">
        <v>341</v>
      </c>
      <c r="F10" s="1">
        <f>3019*(1)</f>
        <v>3019</v>
      </c>
      <c r="G10" s="1" t="s">
        <v>342</v>
      </c>
      <c r="H10" s="1">
        <f>29133*(1)</f>
        <v>29133</v>
      </c>
      <c r="I10" s="1" t="s">
        <v>343</v>
      </c>
      <c r="J10" s="1">
        <f>7164*(1)</f>
        <v>7164</v>
      </c>
      <c r="K10" s="1" t="s">
        <v>344</v>
      </c>
      <c r="L10" s="1">
        <f>15966*(1)</f>
        <v>15966</v>
      </c>
      <c r="M10" s="1" t="s">
        <v>345</v>
      </c>
      <c r="N10" s="1">
        <f>5672*(1)</f>
        <v>5672</v>
      </c>
      <c r="O10" s="1" t="s">
        <v>307</v>
      </c>
      <c r="P10" s="1">
        <f>124040*(1)</f>
        <v>124040</v>
      </c>
      <c r="Q10" s="1" t="s">
        <v>346</v>
      </c>
      <c r="R10" s="1">
        <f>32468*(1)</f>
        <v>32468</v>
      </c>
      <c r="S10" s="1" t="s">
        <v>347</v>
      </c>
      <c r="T10" s="1">
        <f>3482*(1)</f>
        <v>3482</v>
      </c>
      <c r="U10" s="1" t="s">
        <v>348</v>
      </c>
      <c r="V10" s="1">
        <f>11095*(1)</f>
        <v>11095</v>
      </c>
      <c r="W10" s="1" t="s">
        <v>349</v>
      </c>
      <c r="X10" s="1">
        <f>131335*(1)</f>
        <v>131335</v>
      </c>
      <c r="Y10" s="1" t="s">
        <v>350</v>
      </c>
      <c r="Z10" s="1">
        <f>10008*(1)</f>
        <v>10008</v>
      </c>
      <c r="AA10" s="1" t="s">
        <v>174</v>
      </c>
      <c r="AB10" s="1">
        <f>22908*(1)</f>
        <v>22908</v>
      </c>
      <c r="AC10" s="1" t="s">
        <v>266</v>
      </c>
      <c r="AD10" s="1">
        <f>86659*(1)</f>
        <v>86659</v>
      </c>
      <c r="AE10" s="1" t="s">
        <v>351</v>
      </c>
      <c r="AF10" s="1">
        <f>5263*(1)</f>
        <v>5263</v>
      </c>
      <c r="AG10" s="1" t="s">
        <v>352</v>
      </c>
      <c r="AH10" s="1">
        <f>18386*(1)</f>
        <v>18386</v>
      </c>
      <c r="AI10" s="1" t="s">
        <v>353</v>
      </c>
      <c r="AJ10" s="1">
        <f>10111*(1)</f>
        <v>10111</v>
      </c>
      <c r="AK10" s="1" t="s">
        <v>354</v>
      </c>
      <c r="AL10" s="1">
        <f>21270*(1)</f>
        <v>21270</v>
      </c>
      <c r="AM10" s="1" t="s">
        <v>355</v>
      </c>
      <c r="AN10" s="1">
        <f>30664*(1)</f>
        <v>30664</v>
      </c>
      <c r="AO10" s="1" t="s">
        <v>356</v>
      </c>
      <c r="AP10" s="1">
        <f>16045*(1)</f>
        <v>16045</v>
      </c>
      <c r="AQ10" s="1" t="s">
        <v>143</v>
      </c>
      <c r="AR10" s="1">
        <f>2023*(1)</f>
        <v>2023</v>
      </c>
      <c r="AS10" s="1" t="s">
        <v>357</v>
      </c>
      <c r="AT10" s="1">
        <f>16531*(1)</f>
        <v>16531</v>
      </c>
      <c r="AU10" s="1" t="s">
        <v>358</v>
      </c>
      <c r="AV10" s="1">
        <f>8723*(1)</f>
        <v>8723</v>
      </c>
      <c r="AW10" s="1" t="s">
        <v>359</v>
      </c>
      <c r="AX10" s="1">
        <f>44142*(1)</f>
        <v>44142</v>
      </c>
      <c r="AY10" s="1" t="s">
        <v>360</v>
      </c>
      <c r="AZ10" s="1">
        <f>2824*(1)</f>
        <v>2824</v>
      </c>
      <c r="BA10" s="1" t="s">
        <v>361</v>
      </c>
      <c r="BB10" s="1">
        <f>12111*(1)</f>
        <v>12111</v>
      </c>
      <c r="BC10" s="1" t="s">
        <v>362</v>
      </c>
      <c r="BD10" s="1">
        <f>5932*(1)</f>
        <v>5932</v>
      </c>
      <c r="BE10" s="1" t="s">
        <v>363</v>
      </c>
      <c r="BF10" s="1">
        <f>3773*(1)</f>
        <v>3773</v>
      </c>
      <c r="BG10" s="1" t="s">
        <v>172</v>
      </c>
      <c r="BH10" s="1">
        <f>3965*(1)</f>
        <v>3965</v>
      </c>
      <c r="BI10" s="1" t="s">
        <v>364</v>
      </c>
      <c r="BJ10" s="1">
        <f>23750*(1)</f>
        <v>23750</v>
      </c>
      <c r="BK10" s="1" t="s">
        <v>365</v>
      </c>
      <c r="BL10" s="1">
        <f>47684*(1)</f>
        <v>47684</v>
      </c>
      <c r="BM10" s="1" t="s">
        <v>366</v>
      </c>
      <c r="BN10" s="1">
        <f>10439*(1)</f>
        <v>10439</v>
      </c>
      <c r="BO10" s="1" t="s">
        <v>367</v>
      </c>
      <c r="BP10" s="1">
        <f>3843*(1)</f>
        <v>3843</v>
      </c>
      <c r="BQ10" s="1" t="s">
        <v>368</v>
      </c>
      <c r="BR10" s="1">
        <f>23874*(1)</f>
        <v>23874</v>
      </c>
      <c r="BS10" s="1" t="s">
        <v>369</v>
      </c>
      <c r="BT10" s="1">
        <f>8076*(1)</f>
        <v>8076</v>
      </c>
      <c r="BU10" s="1" t="s">
        <v>370</v>
      </c>
      <c r="BV10" s="1">
        <f>13731*(1)</f>
        <v>13731</v>
      </c>
      <c r="BW10" s="1" t="s">
        <v>332</v>
      </c>
    </row>
  </sheetData>
  <mergeCells count="37">
    <mergeCell ref="BT1:BU1"/>
    <mergeCell ref="BV1:BW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ACSDT1Y2021.B29002</oddHeader>
    <oddFooter>&amp;L&amp;Bdata.census.gov&amp;B | Measuring America's People, Places, and Economy &amp;R&amp;P</oddFooter>
    <evenHeader>&amp;LTable: ACSDT1Y2021.B29002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2022-10-25T03:12:42Z</dcterms:created>
  <dcterms:modified xsi:type="dcterms:W3CDTF">2022-10-25T03:24:39Z</dcterms:modified>
</cp:coreProperties>
</file>