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filterPrivacy="1"/>
  <xr:revisionPtr revIDLastSave="2" documentId="11_22CF4D81A5702D763E59BB6DAA6F092EAB299B1E" xr6:coauthVersionLast="47" xr6:coauthVersionMax="47" xr10:uidLastSave="{6D8EDBB6-3CF3-4DB1-9F8D-0884E4789366}"/>
  <bookViews>
    <workbookView xWindow="-108" yWindow="-108" windowWidth="23256" windowHeight="12456" activeTab="1" xr2:uid="{00000000-000D-0000-FFFF-FFFF00000000}"/>
  </bookViews>
  <sheets>
    <sheet name="Information" sheetId="1" r:id="rId1"/>
    <sheet name="Data" sheetId="2" r:id="rId2"/>
  </sheets>
  <definedNames>
    <definedName name="_xlnm.Print_Titles" localSheetId="1">Data!$A:$A,Data!$1:$2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Z10" i="2" l="1"/>
  <c r="BX10" i="2"/>
  <c r="BV10" i="2"/>
  <c r="BT10" i="2"/>
  <c r="BR10" i="2"/>
  <c r="BP10" i="2"/>
  <c r="BN10" i="2"/>
  <c r="BL10" i="2"/>
  <c r="BJ10" i="2"/>
  <c r="BH10" i="2"/>
  <c r="BF10" i="2"/>
  <c r="BD10" i="2"/>
  <c r="BB10" i="2"/>
  <c r="AZ10" i="2"/>
  <c r="AX10" i="2"/>
  <c r="AV10" i="2"/>
  <c r="AT10" i="2"/>
  <c r="AR10" i="2"/>
  <c r="AP10" i="2"/>
  <c r="AN10" i="2"/>
  <c r="AL10" i="2"/>
  <c r="AJ10" i="2"/>
  <c r="AH10" i="2"/>
  <c r="AF10" i="2"/>
  <c r="AD10" i="2"/>
  <c r="AB10" i="2"/>
  <c r="Z10" i="2"/>
  <c r="X10" i="2"/>
  <c r="V10" i="2"/>
  <c r="T10" i="2"/>
  <c r="R10" i="2"/>
  <c r="P10" i="2"/>
  <c r="N10" i="2"/>
  <c r="L10" i="2"/>
  <c r="J10" i="2"/>
  <c r="H10" i="2"/>
  <c r="F10" i="2"/>
  <c r="D10" i="2"/>
  <c r="B10" i="2"/>
  <c r="BZ9" i="2"/>
  <c r="BX9" i="2"/>
  <c r="BV9" i="2"/>
  <c r="BT9" i="2"/>
  <c r="BR9" i="2"/>
  <c r="BP9" i="2"/>
  <c r="BN9" i="2"/>
  <c r="BL9" i="2"/>
  <c r="BJ9" i="2"/>
  <c r="BH9" i="2"/>
  <c r="BF9" i="2"/>
  <c r="BD9" i="2"/>
  <c r="BB9" i="2"/>
  <c r="AZ9" i="2"/>
  <c r="AX9" i="2"/>
  <c r="AV9" i="2"/>
  <c r="AT9" i="2"/>
  <c r="AR9" i="2"/>
  <c r="AP9" i="2"/>
  <c r="AN9" i="2"/>
  <c r="AL9" i="2"/>
  <c r="AJ9" i="2"/>
  <c r="AH9" i="2"/>
  <c r="AF9" i="2"/>
  <c r="AD9" i="2"/>
  <c r="AB9" i="2"/>
  <c r="Z9" i="2"/>
  <c r="X9" i="2"/>
  <c r="V9" i="2"/>
  <c r="T9" i="2"/>
  <c r="R9" i="2"/>
  <c r="P9" i="2"/>
  <c r="N9" i="2"/>
  <c r="L9" i="2"/>
  <c r="J9" i="2"/>
  <c r="H9" i="2"/>
  <c r="F9" i="2"/>
  <c r="D9" i="2"/>
  <c r="B9" i="2"/>
  <c r="BZ8" i="2"/>
  <c r="BX8" i="2"/>
  <c r="BV8" i="2"/>
  <c r="BT8" i="2"/>
  <c r="BR8" i="2"/>
  <c r="BP8" i="2"/>
  <c r="BN8" i="2"/>
  <c r="BL8" i="2"/>
  <c r="BJ8" i="2"/>
  <c r="BH8" i="2"/>
  <c r="BF8" i="2"/>
  <c r="BD8" i="2"/>
  <c r="BB8" i="2"/>
  <c r="AZ8" i="2"/>
  <c r="AX8" i="2"/>
  <c r="AV8" i="2"/>
  <c r="AT8" i="2"/>
  <c r="AR8" i="2"/>
  <c r="AP8" i="2"/>
  <c r="AN8" i="2"/>
  <c r="AL8" i="2"/>
  <c r="AJ8" i="2"/>
  <c r="AH8" i="2"/>
  <c r="AF8" i="2"/>
  <c r="AD8" i="2"/>
  <c r="AB8" i="2"/>
  <c r="Z8" i="2"/>
  <c r="X8" i="2"/>
  <c r="V8" i="2"/>
  <c r="T8" i="2"/>
  <c r="R8" i="2"/>
  <c r="P8" i="2"/>
  <c r="N8" i="2"/>
  <c r="L8" i="2"/>
  <c r="J8" i="2"/>
  <c r="H8" i="2"/>
  <c r="F8" i="2"/>
  <c r="D8" i="2"/>
  <c r="B8" i="2"/>
  <c r="BZ7" i="2"/>
  <c r="BX7" i="2"/>
  <c r="BV7" i="2"/>
  <c r="BT7" i="2"/>
  <c r="BR7" i="2"/>
  <c r="BP7" i="2"/>
  <c r="BN7" i="2"/>
  <c r="BL7" i="2"/>
  <c r="BJ7" i="2"/>
  <c r="BH7" i="2"/>
  <c r="BF7" i="2"/>
  <c r="BD7" i="2"/>
  <c r="BB7" i="2"/>
  <c r="AZ7" i="2"/>
  <c r="AX7" i="2"/>
  <c r="AV7" i="2"/>
  <c r="AT7" i="2"/>
  <c r="AR7" i="2"/>
  <c r="AP7" i="2"/>
  <c r="AN7" i="2"/>
  <c r="AL7" i="2"/>
  <c r="AJ7" i="2"/>
  <c r="AH7" i="2"/>
  <c r="AF7" i="2"/>
  <c r="AD7" i="2"/>
  <c r="AB7" i="2"/>
  <c r="Z7" i="2"/>
  <c r="X7" i="2"/>
  <c r="V7" i="2"/>
  <c r="T7" i="2"/>
  <c r="R7" i="2"/>
  <c r="P7" i="2"/>
  <c r="N7" i="2"/>
  <c r="L7" i="2"/>
  <c r="J7" i="2"/>
  <c r="H7" i="2"/>
  <c r="F7" i="2"/>
  <c r="D7" i="2"/>
  <c r="B7" i="2"/>
  <c r="BZ6" i="2"/>
  <c r="BX6" i="2"/>
  <c r="BV6" i="2"/>
  <c r="BT6" i="2"/>
  <c r="BR6" i="2"/>
  <c r="BP6" i="2"/>
  <c r="BN6" i="2"/>
  <c r="BL6" i="2"/>
  <c r="BJ6" i="2"/>
  <c r="BH6" i="2"/>
  <c r="BF6" i="2"/>
  <c r="BD6" i="2"/>
  <c r="BB6" i="2"/>
  <c r="AZ6" i="2"/>
  <c r="AX6" i="2"/>
  <c r="AV6" i="2"/>
  <c r="AT6" i="2"/>
  <c r="AR6" i="2"/>
  <c r="AP6" i="2"/>
  <c r="AN6" i="2"/>
  <c r="AL6" i="2"/>
  <c r="AJ6" i="2"/>
  <c r="AH6" i="2"/>
  <c r="AF6" i="2"/>
  <c r="AD6" i="2"/>
  <c r="AB6" i="2"/>
  <c r="Z6" i="2"/>
  <c r="X6" i="2"/>
  <c r="V6" i="2"/>
  <c r="T6" i="2"/>
  <c r="R6" i="2"/>
  <c r="P6" i="2"/>
  <c r="N6" i="2"/>
  <c r="L6" i="2"/>
  <c r="J6" i="2"/>
  <c r="H6" i="2"/>
  <c r="F6" i="2"/>
  <c r="D6" i="2"/>
  <c r="B6" i="2"/>
  <c r="BZ5" i="2"/>
  <c r="BX5" i="2"/>
  <c r="BV5" i="2"/>
  <c r="BT5" i="2"/>
  <c r="BR5" i="2"/>
  <c r="BP5" i="2"/>
  <c r="BN5" i="2"/>
  <c r="BL5" i="2"/>
  <c r="BJ5" i="2"/>
  <c r="BH5" i="2"/>
  <c r="BF5" i="2"/>
  <c r="BD5" i="2"/>
  <c r="BB5" i="2"/>
  <c r="AZ5" i="2"/>
  <c r="AX5" i="2"/>
  <c r="AV5" i="2"/>
  <c r="AT5" i="2"/>
  <c r="AR5" i="2"/>
  <c r="AP5" i="2"/>
  <c r="AN5" i="2"/>
  <c r="AL5" i="2"/>
  <c r="AJ5" i="2"/>
  <c r="AH5" i="2"/>
  <c r="AF5" i="2"/>
  <c r="AD5" i="2"/>
  <c r="AB5" i="2"/>
  <c r="Z5" i="2"/>
  <c r="X5" i="2"/>
  <c r="V5" i="2"/>
  <c r="T5" i="2"/>
  <c r="R5" i="2"/>
  <c r="P5" i="2"/>
  <c r="N5" i="2"/>
  <c r="L5" i="2"/>
  <c r="J5" i="2"/>
  <c r="H5" i="2"/>
  <c r="F5" i="2"/>
  <c r="D5" i="2"/>
  <c r="B5" i="2"/>
  <c r="BZ4" i="2"/>
  <c r="BX4" i="2"/>
  <c r="BV4" i="2"/>
  <c r="BT4" i="2"/>
  <c r="BR4" i="2"/>
  <c r="BP4" i="2"/>
  <c r="BN4" i="2"/>
  <c r="BL4" i="2"/>
  <c r="BJ4" i="2"/>
  <c r="BH4" i="2"/>
  <c r="BF4" i="2"/>
  <c r="BD4" i="2"/>
  <c r="BB4" i="2"/>
  <c r="AZ4" i="2"/>
  <c r="AX4" i="2"/>
  <c r="AV4" i="2"/>
  <c r="AT4" i="2"/>
  <c r="AR4" i="2"/>
  <c r="AP4" i="2"/>
  <c r="AN4" i="2"/>
  <c r="AL4" i="2"/>
  <c r="AJ4" i="2"/>
  <c r="AH4" i="2"/>
  <c r="AF4" i="2"/>
  <c r="AD4" i="2"/>
  <c r="AB4" i="2"/>
  <c r="Z4" i="2"/>
  <c r="X4" i="2"/>
  <c r="V4" i="2"/>
  <c r="T4" i="2"/>
  <c r="R4" i="2"/>
  <c r="P4" i="2"/>
  <c r="N4" i="2"/>
  <c r="L4" i="2"/>
  <c r="J4" i="2"/>
  <c r="H4" i="2"/>
  <c r="F4" i="2"/>
  <c r="D4" i="2"/>
  <c r="B4" i="2"/>
  <c r="BZ3" i="2"/>
  <c r="BX3" i="2"/>
  <c r="BV3" i="2"/>
  <c r="BT3" i="2"/>
  <c r="BR3" i="2"/>
  <c r="BP3" i="2"/>
  <c r="BN3" i="2"/>
  <c r="BL3" i="2"/>
  <c r="BJ3" i="2"/>
  <c r="BH3" i="2"/>
  <c r="BF3" i="2"/>
  <c r="BD3" i="2"/>
  <c r="BB3" i="2"/>
  <c r="AZ3" i="2"/>
  <c r="AX3" i="2"/>
  <c r="AV3" i="2"/>
  <c r="AT3" i="2"/>
  <c r="AR3" i="2"/>
  <c r="AP3" i="2"/>
  <c r="AN3" i="2"/>
  <c r="AL3" i="2"/>
  <c r="AJ3" i="2"/>
  <c r="AH3" i="2"/>
  <c r="AF3" i="2"/>
  <c r="AD3" i="2"/>
  <c r="AB3" i="2"/>
  <c r="Z3" i="2"/>
  <c r="X3" i="2"/>
  <c r="V3" i="2"/>
  <c r="T3" i="2"/>
  <c r="R3" i="2"/>
  <c r="P3" i="2"/>
  <c r="N3" i="2"/>
  <c r="L3" i="2"/>
  <c r="J3" i="2"/>
  <c r="H3" i="2"/>
  <c r="F3" i="2"/>
  <c r="D3" i="2"/>
  <c r="B3" i="2"/>
  <c r="E13" i="1"/>
</calcChain>
</file>

<file path=xl/sharedStrings.xml><?xml version="1.0" encoding="utf-8"?>
<sst xmlns="http://schemas.openxmlformats.org/spreadsheetml/2006/main" count="493" uniqueCount="392">
  <si>
    <t>CITIZEN, VOTING-AGE POPULATION BY EDUCATIONAL ATTAINMENT</t>
  </si>
  <si>
    <t>Note: The table shown may have been modified by user selections. Some information may be missing.</t>
  </si>
  <si>
    <t>DATA NOTES</t>
  </si>
  <si>
    <t/>
  </si>
  <si>
    <t>TABLE ID:</t>
  </si>
  <si>
    <t>B29002</t>
  </si>
  <si>
    <t>SURVEY/PROGRAM:</t>
  </si>
  <si>
    <t>American Community Survey</t>
  </si>
  <si>
    <t>VINTAGE:</t>
  </si>
  <si>
    <t>2021</t>
  </si>
  <si>
    <t>DATASET:</t>
  </si>
  <si>
    <t>ACSDT1Y2021</t>
  </si>
  <si>
    <t>PRODUCT:</t>
  </si>
  <si>
    <t>ACS 1-Year Estimates Detailed Tables</t>
  </si>
  <si>
    <t>UNIVERSE:</t>
  </si>
  <si>
    <t>Citizens 18 years and over</t>
  </si>
  <si>
    <t>FTP URL:</t>
  </si>
  <si>
    <t>None</t>
  </si>
  <si>
    <t>API URL:</t>
  </si>
  <si>
    <t>https://api.census.gov/data/2021/acs/acs1</t>
  </si>
  <si>
    <t>USER SELECTIONS</t>
  </si>
  <si>
    <t>GEOS</t>
  </si>
  <si>
    <t>All Counties within Pennsylvania</t>
  </si>
  <si>
    <t>VINTAGES</t>
  </si>
  <si>
    <t>TOPICS</t>
  </si>
  <si>
    <t>Education</t>
  </si>
  <si>
    <t>EXCLUDED COLUMNS</t>
  </si>
  <si>
    <t>APPLIED FILTERS</t>
  </si>
  <si>
    <t>APPLIED SORTS</t>
  </si>
  <si>
    <t>PIVOT &amp; GROUPING</t>
  </si>
  <si>
    <t>WEB ADDRESS</t>
  </si>
  <si>
    <t>https://data.census.gov/cedsci/table?t=Education&amp;g=0400000US42%240500000&amp;y=2021&amp;tid=ACSDT1Y2021.B29002</t>
  </si>
  <si>
    <t>TABLE NOTES</t>
  </si>
  <si>
    <t>Although the American Community Survey (ACS) produces population, demographic and housing unit estimates, it is the Census Bureau's Population Estimates Program that produces and disseminates the official estimates of the population for the nation, states, counties, cities, and towns and estimates of housing units for states and counties.</t>
  </si>
  <si>
    <t>Supporting documentation on code lists, subject definitions, data accuracy, and statistical testing can be found on the American Community Survey website in the Technical Documentation section.
Sample size and data quality measures (including coverage rates, allocation rates, and response rates) can be found on the American Community Survey website in the Methodology section.</t>
  </si>
  <si>
    <t>Source: U.S. Census Bureau, 2021 American Community Survey 1-Year Estimates</t>
  </si>
  <si>
    <t>Data are based on a sample and are subject to sampling variability. The degree of uncertainty for an estimate arising from sampling variability is represented through the use of a margin of error. The value shown here is the 90 percent margin of error. The margin of error can be interpreted roughly as providing a 90 percent probability that the interval defined by the estimate minus the margin of error and the estimate plus the margin of error (the lower and upper confidence bounds) contains the true value. In addition to sampling variability, the ACS estimates are subject to nonsampling error (for a discussion of nonsampling variability, see ACS Technical Documentation). The effect of nonsampling error is not represented in these tables.</t>
  </si>
  <si>
    <t>The 2021 American Community Survey (ACS) data generally reflect the March 2020 Office of Management and Budget (OMB) delineations of metropolitan and micropolitan statistical areas. In certain instances the names, codes, and boundaries of the principal cities shown in ACS tables may differ from the OMB delineations due to differences in the effective dates of the geographic entities.</t>
  </si>
  <si>
    <t>Estimates of urban and rural populations, housing units, and characteristics reflect boundaries of urban areas defined based on Census 2010 data. As a result, data for urban and rural areas from the ACS do not necessarily reflect the results of ongoing urbanization.</t>
  </si>
  <si>
    <t>Explanation of Symbols:- The estimate could not be computed because there were an insufficient number of sample observations. For a ratio of medians estimate, one or both of the median estimates falls in the lowest interval or highest interval of an open-ended distribution. For a 5-year median estimate, the margin of error associated with a median was larger than the median itself.N The estimate or margin of error cannot be displayed because there were an insufficient number of sample cases in the selected geographic area. (X) The estimate or margin of error is not applicable or not available.median- The median falls in the lowest interval of an open-ended distribution (for example "2,500-")median+ The median falls in the highest interval of an open-ended distribution (for example "250,000+").** The margin of error could not be computed because there were an insufficient number of sample observations.*** The margin of error could not be computed because the median falls in the lowest interval or highest interval of an open-ended distribution.***** A margin of error is not appropriate because the corresponding estimate is controlled to an independent population or housing estimate. Effectively, the corresponding estimate has no sampling error and the margin of error may be treated as zero.</t>
  </si>
  <si>
    <t>COLUMN NOTES</t>
  </si>
  <si>
    <t>Adams County, Pennsylvania</t>
  </si>
  <si>
    <t>Allegheny County, Pennsylvania</t>
  </si>
  <si>
    <t>Armstrong County, Pennsylvania</t>
  </si>
  <si>
    <t>Beaver County, Pennsylvania</t>
  </si>
  <si>
    <t>Berks County, Pennsylvania</t>
  </si>
  <si>
    <t>Blair County, Pennsylvania</t>
  </si>
  <si>
    <t>Bucks County, Pennsylvania</t>
  </si>
  <si>
    <t>Butler County, Pennsylvania</t>
  </si>
  <si>
    <t>Cambria County, Pennsylvania</t>
  </si>
  <si>
    <t>Carbon County, Pennsylvania</t>
  </si>
  <si>
    <t>Centre County, Pennsylvania</t>
  </si>
  <si>
    <t>Chester County, Pennsylvania</t>
  </si>
  <si>
    <t>Clearfield County, Pennsylvania</t>
  </si>
  <si>
    <t>Crawford County, Pennsylvania</t>
  </si>
  <si>
    <t>Cumberland County, Pennsylvania</t>
  </si>
  <si>
    <t>Dauphin County, Pennsylvania</t>
  </si>
  <si>
    <t>Delaware County, Pennsylvania</t>
  </si>
  <si>
    <t>Erie County, Pennsylvania</t>
  </si>
  <si>
    <t>Fayette County, Pennsylvania</t>
  </si>
  <si>
    <t>Franklin County, Pennsylvania</t>
  </si>
  <si>
    <t>Indiana County, Pennsylvania</t>
  </si>
  <si>
    <t>Lackawanna County, Pennsylvania</t>
  </si>
  <si>
    <t>Lancaster County, Pennsylvania</t>
  </si>
  <si>
    <t>Lawrence County, Pennsylvania</t>
  </si>
  <si>
    <t>Lebanon County, Pennsylvania</t>
  </si>
  <si>
    <t>Lehigh County, Pennsylvania</t>
  </si>
  <si>
    <t>Luzerne County, Pennsylvania</t>
  </si>
  <si>
    <t>Lycoming County, Pennsylvania</t>
  </si>
  <si>
    <t>Mercer County, Pennsylvania</t>
  </si>
  <si>
    <t>Monroe County, Pennsylvania</t>
  </si>
  <si>
    <t>Montgomery County, Pennsylvania</t>
  </si>
  <si>
    <t>Northampton County, Pennsylvania</t>
  </si>
  <si>
    <t>Northumberland County, Pennsylvania</t>
  </si>
  <si>
    <t>Philadelphia County, Pennsylvania</t>
  </si>
  <si>
    <t>Schuylkill County, Pennsylvania</t>
  </si>
  <si>
    <t>Somerset County, Pennsylvania</t>
  </si>
  <si>
    <t>Washington County, Pennsylvania</t>
  </si>
  <si>
    <t>Westmoreland County, Pennsylvania</t>
  </si>
  <si>
    <t>York County, Pennsylvania</t>
  </si>
  <si>
    <t>Label</t>
  </si>
  <si>
    <t>Estimate</t>
  </si>
  <si>
    <t>Margin of Error</t>
  </si>
  <si>
    <t>Total:</t>
  </si>
  <si>
    <t>±633</t>
  </si>
  <si>
    <t>±3,707</t>
  </si>
  <si>
    <t>±180</t>
  </si>
  <si>
    <t>±431</t>
  </si>
  <si>
    <t>±2,045</t>
  </si>
  <si>
    <t>±663</t>
  </si>
  <si>
    <t>±3,239</t>
  </si>
  <si>
    <t>±381</t>
  </si>
  <si>
    <t>±223</t>
  </si>
  <si>
    <t>±627</t>
  </si>
  <si>
    <t>±1,663</t>
  </si>
  <si>
    <t>±2,112</t>
  </si>
  <si>
    <t>±768</t>
  </si>
  <si>
    <t>±335</t>
  </si>
  <si>
    <t>±1,601</t>
  </si>
  <si>
    <t>±2,150</t>
  </si>
  <si>
    <t>±2,715</t>
  </si>
  <si>
    <t>±975</t>
  </si>
  <si>
    <t>±341</t>
  </si>
  <si>
    <t>±718</t>
  </si>
  <si>
    <t>±602</t>
  </si>
  <si>
    <t>±1,061</t>
  </si>
  <si>
    <t>±2,228</t>
  </si>
  <si>
    <t>±483</t>
  </si>
  <si>
    <t>±558</t>
  </si>
  <si>
    <t>±3,513</t>
  </si>
  <si>
    <t>±2,269</t>
  </si>
  <si>
    <t>±727</t>
  </si>
  <si>
    <t>±230</t>
  </si>
  <si>
    <t>±2,030</t>
  </si>
  <si>
    <t>±2,955</t>
  </si>
  <si>
    <t>±1,530</t>
  </si>
  <si>
    <t>±153</t>
  </si>
  <si>
    <t>±10,422</t>
  </si>
  <si>
    <t>±612</t>
  </si>
  <si>
    <t>±210</t>
  </si>
  <si>
    <t>±616</t>
  </si>
  <si>
    <t>±818</t>
  </si>
  <si>
    <t>±1,954</t>
  </si>
  <si>
    <t>Less than 9th grade</t>
  </si>
  <si>
    <t>±827</t>
  </si>
  <si>
    <t>±1,820</t>
  </si>
  <si>
    <t>±573</t>
  </si>
  <si>
    <t>±706</t>
  </si>
  <si>
    <t>±1,850</t>
  </si>
  <si>
    <t>±578</t>
  </si>
  <si>
    <t>±1,598</t>
  </si>
  <si>
    <t>±459</t>
  </si>
  <si>
    <t>±1,100</t>
  </si>
  <si>
    <t>±523</t>
  </si>
  <si>
    <t>±1,129</t>
  </si>
  <si>
    <t>±1,993</t>
  </si>
  <si>
    <t>±650</t>
  </si>
  <si>
    <t>±571</t>
  </si>
  <si>
    <t>±1,013</t>
  </si>
  <si>
    <t>±1,166</t>
  </si>
  <si>
    <t>±1,035</t>
  </si>
  <si>
    <t>±793</t>
  </si>
  <si>
    <t>±809</t>
  </si>
  <si>
    <t>±952</t>
  </si>
  <si>
    <t>±693</t>
  </si>
  <si>
    <t>±780</t>
  </si>
  <si>
    <t>±3,476</t>
  </si>
  <si>
    <t>±1,147</t>
  </si>
  <si>
    <t>±1,855</t>
  </si>
  <si>
    <t>±1,325</t>
  </si>
  <si>
    <t>±561</t>
  </si>
  <si>
    <t>±575</t>
  </si>
  <si>
    <t>±1,418</t>
  </si>
  <si>
    <t>±1,460</t>
  </si>
  <si>
    <t>±1,233</t>
  </si>
  <si>
    <t>±533</t>
  </si>
  <si>
    <t>±4,364</t>
  </si>
  <si>
    <t>±1,031</t>
  </si>
  <si>
    <t>±508</t>
  </si>
  <si>
    <t>±1,215</t>
  </si>
  <si>
    <t>±1,501</t>
  </si>
  <si>
    <t>9th to 12th grade, no diploma</t>
  </si>
  <si>
    <t>±918</t>
  </si>
  <si>
    <t>±2,565</t>
  </si>
  <si>
    <t>±631</t>
  </si>
  <si>
    <t>±1,093</t>
  </si>
  <si>
    <t>±2,702</t>
  </si>
  <si>
    <t>±816</t>
  </si>
  <si>
    <t>±2,467</t>
  </si>
  <si>
    <t>±1,531</t>
  </si>
  <si>
    <t>±1,162</t>
  </si>
  <si>
    <t>±1,135</t>
  </si>
  <si>
    <t>±854</t>
  </si>
  <si>
    <t>±2,100</t>
  </si>
  <si>
    <t>±1,102</t>
  </si>
  <si>
    <t>±874</t>
  </si>
  <si>
    <t>±1,986</t>
  </si>
  <si>
    <t>±2,113</t>
  </si>
  <si>
    <t>±2,436</t>
  </si>
  <si>
    <t>±1,681</t>
  </si>
  <si>
    <t>±1,500</t>
  </si>
  <si>
    <t>±2,257</t>
  </si>
  <si>
    <t>±642</t>
  </si>
  <si>
    <t>±1,522</t>
  </si>
  <si>
    <t>±3,255</t>
  </si>
  <si>
    <t>±898</t>
  </si>
  <si>
    <t>±1,369</t>
  </si>
  <si>
    <t>±3,072</t>
  </si>
  <si>
    <t>±1,803</t>
  </si>
  <si>
    <t>±1,070</t>
  </si>
  <si>
    <t>±1,838</t>
  </si>
  <si>
    <t>±2,680</t>
  </si>
  <si>
    <t>±2,454</t>
  </si>
  <si>
    <t>±1,078</t>
  </si>
  <si>
    <t>±7,467</t>
  </si>
  <si>
    <t>±1,480</t>
  </si>
  <si>
    <t>±774</t>
  </si>
  <si>
    <t>±1,428</t>
  </si>
  <si>
    <t>±2,010</t>
  </si>
  <si>
    <t>±2,609</t>
  </si>
  <si>
    <t>High school graduate (includes equivalency)</t>
  </si>
  <si>
    <t>±2,230</t>
  </si>
  <si>
    <t>±8,106</t>
  </si>
  <si>
    <t>±1,762</t>
  </si>
  <si>
    <t>±3,205</t>
  </si>
  <si>
    <t>±4,317</t>
  </si>
  <si>
    <t>±2,598</t>
  </si>
  <si>
    <t>±5,874</t>
  </si>
  <si>
    <t>±2,869</t>
  </si>
  <si>
    <t>±2,185</t>
  </si>
  <si>
    <t>±3,612</t>
  </si>
  <si>
    <t>±4,705</t>
  </si>
  <si>
    <t>±2,182</t>
  </si>
  <si>
    <t>±1,752</t>
  </si>
  <si>
    <t>±3,909</t>
  </si>
  <si>
    <t>±4,829</t>
  </si>
  <si>
    <t>±4,371</t>
  </si>
  <si>
    <t>±4,187</t>
  </si>
  <si>
    <t>±2,850</t>
  </si>
  <si>
    <t>±2,771</t>
  </si>
  <si>
    <t>±1,869</t>
  </si>
  <si>
    <t>±3,559</t>
  </si>
  <si>
    <t>±5,809</t>
  </si>
  <si>
    <t>±2,147</t>
  </si>
  <si>
    <t>±2,628</t>
  </si>
  <si>
    <t>±5,290</t>
  </si>
  <si>
    <t>±4,112</t>
  </si>
  <si>
    <t>±2,302</t>
  </si>
  <si>
    <t>±2,003</t>
  </si>
  <si>
    <t>±3,422</t>
  </si>
  <si>
    <t>±6,006</t>
  </si>
  <si>
    <t>±4,264</t>
  </si>
  <si>
    <t>±1,944</t>
  </si>
  <si>
    <t>±10,455</t>
  </si>
  <si>
    <t>±3,158</t>
  </si>
  <si>
    <t>±1,247</t>
  </si>
  <si>
    <t>±3,269</t>
  </si>
  <si>
    <t>±4,316</t>
  </si>
  <si>
    <t>±4,606</t>
  </si>
  <si>
    <t>Some college, no degree</t>
  </si>
  <si>
    <t>±1,610</t>
  </si>
  <si>
    <t>±6,433</t>
  </si>
  <si>
    <t>±1,051</t>
  </si>
  <si>
    <t>±2,009</t>
  </si>
  <si>
    <t>±3,467</t>
  </si>
  <si>
    <t>±1,718</t>
  </si>
  <si>
    <t>±5,020</t>
  </si>
  <si>
    <t>±2,251</t>
  </si>
  <si>
    <t>±1,516</t>
  </si>
  <si>
    <t>±3,109</t>
  </si>
  <si>
    <t>±4,465</t>
  </si>
  <si>
    <t>±1,126</t>
  </si>
  <si>
    <t>±1,307</t>
  </si>
  <si>
    <t>±3,745</t>
  </si>
  <si>
    <t>±3,075</t>
  </si>
  <si>
    <t>±4,490</t>
  </si>
  <si>
    <t>±3,639</t>
  </si>
  <si>
    <t>±1,784</t>
  </si>
  <si>
    <t>±2,453</t>
  </si>
  <si>
    <t>±1,679</t>
  </si>
  <si>
    <t>±2,874</t>
  </si>
  <si>
    <t>±4,684</t>
  </si>
  <si>
    <t>±1,623</t>
  </si>
  <si>
    <t>±1,931</t>
  </si>
  <si>
    <t>±3,443</t>
  </si>
  <si>
    <t>±3,418</t>
  </si>
  <si>
    <t>±1,655</t>
  </si>
  <si>
    <t>±1,595</t>
  </si>
  <si>
    <t>±3,034</t>
  </si>
  <si>
    <t>±4,977</t>
  </si>
  <si>
    <t>±3,429</t>
  </si>
  <si>
    <t>±1,333</t>
  </si>
  <si>
    <t>±10,134</t>
  </si>
  <si>
    <t>±1,529</t>
  </si>
  <si>
    <t>±992</t>
  </si>
  <si>
    <t>±2,253</t>
  </si>
  <si>
    <t>±3,171</t>
  </si>
  <si>
    <t>±4,271</t>
  </si>
  <si>
    <t>Associate's degree</t>
  </si>
  <si>
    <t>±782</t>
  </si>
  <si>
    <t>±4,670</t>
  </si>
  <si>
    <t>±888</t>
  </si>
  <si>
    <t>±1,946</t>
  </si>
  <si>
    <t>±2,857</t>
  </si>
  <si>
    <t>±1,296</t>
  </si>
  <si>
    <t>±3,419</t>
  </si>
  <si>
    <t>±1,956</t>
  </si>
  <si>
    <t>±1,392</t>
  </si>
  <si>
    <t>±1,033</t>
  </si>
  <si>
    <t>±1,537</t>
  </si>
  <si>
    <t>±2,861</t>
  </si>
  <si>
    <t>±678</t>
  </si>
  <si>
    <t>±2,157</t>
  </si>
  <si>
    <t>±2,219</t>
  </si>
  <si>
    <t>±3,609</t>
  </si>
  <si>
    <t>±2,514</t>
  </si>
  <si>
    <t>±1,424</t>
  </si>
  <si>
    <t>±1,680</t>
  </si>
  <si>
    <t>±1,176</t>
  </si>
  <si>
    <t>±2,071</t>
  </si>
  <si>
    <t>±3,170</t>
  </si>
  <si>
    <t>±1,352</t>
  </si>
  <si>
    <t>±1,422</t>
  </si>
  <si>
    <t>±2,952</t>
  </si>
  <si>
    <t>±1,831</t>
  </si>
  <si>
    <t>±1,230</t>
  </si>
  <si>
    <t>±2,491</t>
  </si>
  <si>
    <t>±3,414</t>
  </si>
  <si>
    <t>±2,766</t>
  </si>
  <si>
    <t>±1,057</t>
  </si>
  <si>
    <t>±5,804</t>
  </si>
  <si>
    <t>±1,714</t>
  </si>
  <si>
    <t>±807</t>
  </si>
  <si>
    <t>±1,833</t>
  </si>
  <si>
    <t>±2,985</t>
  </si>
  <si>
    <t>±2,594</t>
  </si>
  <si>
    <t>Bachelor's degree</t>
  </si>
  <si>
    <t>±1,761</t>
  </si>
  <si>
    <t>±7,762</t>
  </si>
  <si>
    <t>±964</t>
  </si>
  <si>
    <t>±3,757</t>
  </si>
  <si>
    <t>±1,924</t>
  </si>
  <si>
    <t>±6,387</t>
  </si>
  <si>
    <t>±2,639</t>
  </si>
  <si>
    <t>±1,538</t>
  </si>
  <si>
    <t>±1,030</t>
  </si>
  <si>
    <t>±2,511</t>
  </si>
  <si>
    <t>±5,262</t>
  </si>
  <si>
    <t>±1,330</t>
  </si>
  <si>
    <t>±919</t>
  </si>
  <si>
    <t>±3,241</t>
  </si>
  <si>
    <t>±3,814</t>
  </si>
  <si>
    <t>±4,707</t>
  </si>
  <si>
    <t>±3,130</t>
  </si>
  <si>
    <t>±1,792</t>
  </si>
  <si>
    <t>±2,296</t>
  </si>
  <si>
    <t>±1,304</t>
  </si>
  <si>
    <t>±4,174</t>
  </si>
  <si>
    <t>±1,125</t>
  </si>
  <si>
    <t>±1,769</t>
  </si>
  <si>
    <t>±3,179</t>
  </si>
  <si>
    <t>±3,082</t>
  </si>
  <si>
    <t>±1,967</t>
  </si>
  <si>
    <t>±1,624</t>
  </si>
  <si>
    <t>±3,503</t>
  </si>
  <si>
    <t>±5,682</t>
  </si>
  <si>
    <t>±3,496</t>
  </si>
  <si>
    <t>±1,586</t>
  </si>
  <si>
    <t>±8,007</t>
  </si>
  <si>
    <t>±1,771</t>
  </si>
  <si>
    <t>±781</t>
  </si>
  <si>
    <t>±2,698</t>
  </si>
  <si>
    <t>±3,323</t>
  </si>
  <si>
    <t>±3,880</t>
  </si>
  <si>
    <t>Graduate or professional degree</t>
  </si>
  <si>
    <t>±1,363</t>
  </si>
  <si>
    <t>±6,069</t>
  </si>
  <si>
    <t>±586</t>
  </si>
  <si>
    <t>±2,490</t>
  </si>
  <si>
    <t>±1,063</t>
  </si>
  <si>
    <t>±4,543</t>
  </si>
  <si>
    <t>±1,917</t>
  </si>
  <si>
    <t>±1,241</t>
  </si>
  <si>
    <t>±941</t>
  </si>
  <si>
    <t>±1,822</t>
  </si>
  <si>
    <t>±3,783</t>
  </si>
  <si>
    <t>±1,134</t>
  </si>
  <si>
    <t>±2,818</t>
  </si>
  <si>
    <t>±2,623</t>
  </si>
  <si>
    <t>±3,959</t>
  </si>
  <si>
    <t>±2,129</t>
  </si>
  <si>
    <t>±1,043</t>
  </si>
  <si>
    <t>±1,568</t>
  </si>
  <si>
    <t>±1,220</t>
  </si>
  <si>
    <t>±2,211</t>
  </si>
  <si>
    <t>±3,557</t>
  </si>
  <si>
    <t>±821</t>
  </si>
  <si>
    <t>±1,965</t>
  </si>
  <si>
    <t>±2,954</t>
  </si>
  <si>
    <t>±2,343</t>
  </si>
  <si>
    <t>±1,300</t>
  </si>
  <si>
    <t>±1,402</t>
  </si>
  <si>
    <t>±2,278</t>
  </si>
  <si>
    <t>±5,866</t>
  </si>
  <si>
    <t>±2,801</t>
  </si>
  <si>
    <t>±927</t>
  </si>
  <si>
    <t>±7,133</t>
  </si>
  <si>
    <t>±1,532</t>
  </si>
  <si>
    <t>±609</t>
  </si>
  <si>
    <t>±2,332</t>
  </si>
  <si>
    <t>±2,881</t>
  </si>
  <si>
    <t>±3,837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</si>
</sst>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6"/>
      <name val="Calibri"/>
    </font>
    <font>
      <b/>
      <sz val="11"/>
      <name val="Calibri"/>
    </font>
  </fonts>
  <fills count="2">
    <fill>
      <patternFill patternType="none"/>
    </fill>
    <fill>
      <patternFill patternType="gray125"/>
    </fill>
  </fills>
  <borders count="3">
    <border>
      <left/>
      <right/>
      <top/>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0" fillId="0" borderId="0" xfId="0" applyAlignment="1">
      <alignment vertical="top" wrapText="1"/>
    </xf>
    <xf numFmtId="0" fontId="0" fillId="0" borderId="1" xfId="0" applyBorder="1"/>
    <xf numFmtId="0" fontId="2" fillId="0" borderId="0" xfId="0" applyFont="1" applyAlignment="1">
      <alignment vertical="top" wrapText="1"/>
    </xf>
    <xf numFmtId="0" fontId="0" fillId="0" borderId="0" xfId="0" applyAlignment="1">
      <alignment wrapText="1"/>
    </xf>
    <xf numFmtId="0" fontId="2" fillId="0" borderId="2" xfId="0" applyFont="1" applyBorder="1" applyAlignment="1">
      <alignment horizontal="left" vertical="center" wrapText="1"/>
    </xf>
    <xf numFmtId="0" fontId="0" fillId="0" borderId="0" xfId="0" applyAlignment="1">
      <alignment wrapText="1" indent="1"/>
    </xf>
    <xf numFmtId="0" fontId="1" fillId="0" borderId="1" xfId="0" applyFont="1" applyBorder="1" applyAlignment="1">
      <alignment horizontal="center" vertical="center" wrapText="1"/>
    </xf>
    <xf numFmtId="0" fontId="0" fillId="0" borderId="0" xfId="0" applyAlignment="1">
      <alignment vertical="top" wrapText="1"/>
    </xf>
    <xf numFmtId="0" fontId="2" fillId="0" borderId="0" xfId="0" applyFont="1"/>
    <xf numFmtId="0" fontId="2" fillId="0" borderId="2"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data.census.gov/cedsci" TargetMode="External"/></Relationships>
</file>

<file path=xl/drawings/drawing1.xml><?xml version="1.0" encoding="utf-8"?>
<xdr:wsDr xmlns:xdr="http://schemas.openxmlformats.org/drawingml/2006/spreadsheetDrawing" xmlns:a="http://schemas.openxmlformats.org/drawingml/2006/main">
  <xdr:oneCellAnchor>
    <xdr:from>
      <xdr:col>2</xdr:col>
      <xdr:colOff>95999</xdr:colOff>
      <xdr:row>0</xdr:row>
      <xdr:rowOff>125999</xdr:rowOff>
    </xdr:from>
    <xdr:ext cx="1228725" cy="476250"/>
    <xdr:pic>
      <xdr:nvPicPr>
        <xdr:cNvPr id="2" name="Picture 1">
          <a:hlinkClick xmlns:r="http://schemas.openxmlformats.org/officeDocument/2006/relationships" r:id="rId1" tooltip="https://data.census.gov/cedsci"/>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39"/>
  <sheetViews>
    <sheetView topLeftCell="A7" workbookViewId="0">
      <selection activeCell="E13" sqref="E13"/>
    </sheetView>
  </sheetViews>
  <sheetFormatPr defaultRowHeight="14.4" x14ac:dyDescent="0.3"/>
  <cols>
    <col min="1" max="1" width="25" style="1" customWidth="1"/>
    <col min="2" max="2" width="80" style="1" customWidth="1"/>
    <col min="3" max="3" width="20" customWidth="1"/>
  </cols>
  <sheetData>
    <row r="1" spans="1:5" ht="48" customHeight="1" x14ac:dyDescent="0.3">
      <c r="A1" s="7" t="s">
        <v>0</v>
      </c>
      <c r="B1" s="7"/>
      <c r="C1" s="2"/>
    </row>
    <row r="2" spans="1:5" x14ac:dyDescent="0.3">
      <c r="A2" s="8"/>
      <c r="B2" s="8"/>
      <c r="C2" s="8"/>
    </row>
    <row r="3" spans="1:5" x14ac:dyDescent="0.3">
      <c r="A3" s="9" t="s">
        <v>1</v>
      </c>
      <c r="B3" s="9"/>
      <c r="C3" s="9"/>
    </row>
    <row r="4" spans="1:5" x14ac:dyDescent="0.3">
      <c r="A4" s="8"/>
      <c r="B4" s="8"/>
      <c r="C4" s="8"/>
    </row>
    <row r="5" spans="1:5" ht="12.75" customHeight="1" x14ac:dyDescent="0.3">
      <c r="A5" s="3" t="s">
        <v>2</v>
      </c>
      <c r="B5" s="8" t="s">
        <v>3</v>
      </c>
      <c r="C5" s="8"/>
    </row>
    <row r="6" spans="1:5" ht="12.75" customHeight="1" x14ac:dyDescent="0.3">
      <c r="A6" s="1" t="s">
        <v>4</v>
      </c>
      <c r="B6" s="8" t="s">
        <v>5</v>
      </c>
      <c r="C6" s="8"/>
    </row>
    <row r="7" spans="1:5" ht="12.75" customHeight="1" x14ac:dyDescent="0.3">
      <c r="A7" s="1" t="s">
        <v>6</v>
      </c>
      <c r="B7" s="8" t="s">
        <v>7</v>
      </c>
      <c r="C7" s="8"/>
    </row>
    <row r="8" spans="1:5" ht="12.75" customHeight="1" x14ac:dyDescent="0.3">
      <c r="A8" s="1" t="s">
        <v>8</v>
      </c>
      <c r="B8" s="8" t="s">
        <v>9</v>
      </c>
      <c r="C8" s="8"/>
    </row>
    <row r="9" spans="1:5" ht="12.75" customHeight="1" x14ac:dyDescent="0.3">
      <c r="A9" s="1" t="s">
        <v>10</v>
      </c>
      <c r="B9" s="8" t="s">
        <v>11</v>
      </c>
      <c r="C9" s="8"/>
    </row>
    <row r="10" spans="1:5" ht="12.75" customHeight="1" x14ac:dyDescent="0.3">
      <c r="A10" s="1" t="s">
        <v>12</v>
      </c>
      <c r="B10" s="8" t="s">
        <v>13</v>
      </c>
      <c r="C10" s="8"/>
    </row>
    <row r="11" spans="1:5" ht="12.75" customHeight="1" x14ac:dyDescent="0.3">
      <c r="A11" s="1" t="s">
        <v>14</v>
      </c>
      <c r="B11" s="8" t="s">
        <v>15</v>
      </c>
      <c r="C11" s="8"/>
    </row>
    <row r="12" spans="1:5" ht="12.75" customHeight="1" x14ac:dyDescent="0.3">
      <c r="A12" s="1" t="s">
        <v>16</v>
      </c>
      <c r="B12" s="8" t="s">
        <v>17</v>
      </c>
      <c r="C12" s="8"/>
    </row>
    <row r="13" spans="1:5" ht="12.75" customHeight="1" x14ac:dyDescent="0.3">
      <c r="A13" s="1" t="s">
        <v>18</v>
      </c>
      <c r="B13" s="8" t="s">
        <v>19</v>
      </c>
      <c r="C13" s="8"/>
      <c r="E13">
        <f>1</f>
        <v>1</v>
      </c>
    </row>
    <row r="14" spans="1:5" x14ac:dyDescent="0.3">
      <c r="A14" s="8"/>
      <c r="B14" s="8"/>
      <c r="C14" s="8"/>
    </row>
    <row r="15" spans="1:5" ht="12.75" customHeight="1" x14ac:dyDescent="0.3">
      <c r="A15" s="3" t="s">
        <v>20</v>
      </c>
      <c r="B15" s="8" t="s">
        <v>3</v>
      </c>
      <c r="C15" s="8"/>
    </row>
    <row r="16" spans="1:5" ht="12.75" customHeight="1" x14ac:dyDescent="0.3">
      <c r="A16" s="1" t="s">
        <v>21</v>
      </c>
      <c r="B16" s="8" t="s">
        <v>22</v>
      </c>
      <c r="C16" s="8"/>
    </row>
    <row r="17" spans="1:3" ht="12.75" customHeight="1" x14ac:dyDescent="0.3">
      <c r="A17" s="1" t="s">
        <v>23</v>
      </c>
      <c r="B17" s="8" t="s">
        <v>9</v>
      </c>
      <c r="C17" s="8"/>
    </row>
    <row r="18" spans="1:3" ht="12.75" customHeight="1" x14ac:dyDescent="0.3">
      <c r="A18" s="1" t="s">
        <v>24</v>
      </c>
      <c r="B18" s="8" t="s">
        <v>25</v>
      </c>
      <c r="C18" s="8"/>
    </row>
    <row r="19" spans="1:3" x14ac:dyDescent="0.3">
      <c r="A19" s="8"/>
      <c r="B19" s="8"/>
      <c r="C19" s="8"/>
    </row>
    <row r="20" spans="1:3" ht="12.75" customHeight="1" x14ac:dyDescent="0.3">
      <c r="A20" s="3" t="s">
        <v>26</v>
      </c>
      <c r="B20" s="8" t="s">
        <v>17</v>
      </c>
      <c r="C20" s="8"/>
    </row>
    <row r="21" spans="1:3" x14ac:dyDescent="0.3">
      <c r="A21" s="8"/>
      <c r="B21" s="8"/>
      <c r="C21" s="8"/>
    </row>
    <row r="22" spans="1:3" ht="12.75" customHeight="1" x14ac:dyDescent="0.3">
      <c r="A22" s="3" t="s">
        <v>27</v>
      </c>
      <c r="B22" s="8" t="s">
        <v>17</v>
      </c>
      <c r="C22" s="8"/>
    </row>
    <row r="23" spans="1:3" x14ac:dyDescent="0.3">
      <c r="A23" s="8"/>
      <c r="B23" s="8"/>
      <c r="C23" s="8"/>
    </row>
    <row r="24" spans="1:3" ht="12.75" customHeight="1" x14ac:dyDescent="0.3">
      <c r="A24" s="3" t="s">
        <v>28</v>
      </c>
      <c r="B24" s="8" t="s">
        <v>17</v>
      </c>
      <c r="C24" s="8"/>
    </row>
    <row r="25" spans="1:3" x14ac:dyDescent="0.3">
      <c r="A25" s="8"/>
      <c r="B25" s="8"/>
      <c r="C25" s="8"/>
    </row>
    <row r="26" spans="1:3" ht="12.75" customHeight="1" x14ac:dyDescent="0.3">
      <c r="A26" s="3" t="s">
        <v>29</v>
      </c>
      <c r="B26" s="8" t="s">
        <v>17</v>
      </c>
      <c r="C26" s="8"/>
    </row>
    <row r="27" spans="1:3" x14ac:dyDescent="0.3">
      <c r="A27" s="8"/>
      <c r="B27" s="8"/>
      <c r="C27" s="8"/>
    </row>
    <row r="28" spans="1:3" ht="25.65" customHeight="1" x14ac:dyDescent="0.3">
      <c r="A28" s="3" t="s">
        <v>30</v>
      </c>
      <c r="B28" s="8" t="s">
        <v>31</v>
      </c>
      <c r="C28" s="8"/>
    </row>
    <row r="29" spans="1:3" x14ac:dyDescent="0.3">
      <c r="A29" s="8"/>
      <c r="B29" s="8"/>
      <c r="C29" s="8"/>
    </row>
    <row r="30" spans="1:3" ht="51.15" customHeight="1" x14ac:dyDescent="0.3">
      <c r="A30" s="3" t="s">
        <v>32</v>
      </c>
      <c r="B30" s="8" t="s">
        <v>33</v>
      </c>
      <c r="C30" s="8"/>
    </row>
    <row r="31" spans="1:3" ht="89.55" customHeight="1" x14ac:dyDescent="0.3">
      <c r="A31" s="1" t="s">
        <v>3</v>
      </c>
      <c r="B31" s="8" t="s">
        <v>34</v>
      </c>
      <c r="C31" s="8"/>
    </row>
    <row r="32" spans="1:3" ht="25.65" customHeight="1" x14ac:dyDescent="0.3">
      <c r="A32" s="1" t="s">
        <v>3</v>
      </c>
      <c r="B32" s="8" t="s">
        <v>35</v>
      </c>
      <c r="C32" s="8"/>
    </row>
    <row r="33" spans="1:3" ht="89.55" customHeight="1" x14ac:dyDescent="0.3">
      <c r="A33" s="1" t="s">
        <v>3</v>
      </c>
      <c r="B33" s="8" t="s">
        <v>36</v>
      </c>
      <c r="C33" s="8"/>
    </row>
    <row r="34" spans="1:3" ht="51.15" customHeight="1" x14ac:dyDescent="0.3">
      <c r="A34" s="1" t="s">
        <v>3</v>
      </c>
      <c r="B34" s="8" t="s">
        <v>37</v>
      </c>
      <c r="C34" s="8"/>
    </row>
    <row r="35" spans="1:3" ht="38.4" customHeight="1" x14ac:dyDescent="0.3">
      <c r="A35" s="1" t="s">
        <v>3</v>
      </c>
      <c r="B35" s="8" t="s">
        <v>38</v>
      </c>
      <c r="C35" s="8"/>
    </row>
    <row r="36" spans="1:3" ht="153.6" customHeight="1" x14ac:dyDescent="0.3">
      <c r="A36" s="1" t="s">
        <v>3</v>
      </c>
      <c r="B36" s="8" t="s">
        <v>39</v>
      </c>
      <c r="C36" s="8"/>
    </row>
    <row r="37" spans="1:3" x14ac:dyDescent="0.3">
      <c r="A37" s="8"/>
      <c r="B37" s="8"/>
      <c r="C37" s="8"/>
    </row>
    <row r="38" spans="1:3" ht="12.75" customHeight="1" x14ac:dyDescent="0.3">
      <c r="A38" s="3" t="s">
        <v>40</v>
      </c>
      <c r="B38" s="8" t="s">
        <v>17</v>
      </c>
      <c r="C38" s="8"/>
    </row>
    <row r="39" spans="1:3" x14ac:dyDescent="0.3">
      <c r="A39" s="8"/>
      <c r="B39" s="8"/>
      <c r="C39" s="8"/>
    </row>
  </sheetData>
  <mergeCells count="39">
    <mergeCell ref="B36:C36"/>
    <mergeCell ref="A37:C37"/>
    <mergeCell ref="B38:C38"/>
    <mergeCell ref="A39:C39"/>
    <mergeCell ref="B31:C31"/>
    <mergeCell ref="B32:C32"/>
    <mergeCell ref="B33:C33"/>
    <mergeCell ref="B34:C34"/>
    <mergeCell ref="B35:C35"/>
    <mergeCell ref="B26:C26"/>
    <mergeCell ref="A27:C27"/>
    <mergeCell ref="B28:C28"/>
    <mergeCell ref="A29:C29"/>
    <mergeCell ref="B30:C30"/>
    <mergeCell ref="A21:C21"/>
    <mergeCell ref="B22:C22"/>
    <mergeCell ref="A23:C23"/>
    <mergeCell ref="B24:C24"/>
    <mergeCell ref="A25:C25"/>
    <mergeCell ref="B16:C16"/>
    <mergeCell ref="B17:C17"/>
    <mergeCell ref="B18:C18"/>
    <mergeCell ref="A19:C19"/>
    <mergeCell ref="B20:C20"/>
    <mergeCell ref="B11:C11"/>
    <mergeCell ref="B12:C12"/>
    <mergeCell ref="B13:C13"/>
    <mergeCell ref="A14:C14"/>
    <mergeCell ref="B15:C15"/>
    <mergeCell ref="B6:C6"/>
    <mergeCell ref="B7:C7"/>
    <mergeCell ref="B8:C8"/>
    <mergeCell ref="B9:C9"/>
    <mergeCell ref="B10:C10"/>
    <mergeCell ref="A1:B1"/>
    <mergeCell ref="A2:C2"/>
    <mergeCell ref="A3:C3"/>
    <mergeCell ref="A4:C4"/>
    <mergeCell ref="B5:C5"/>
  </mergeCells>
  <printOptions gridLines="1"/>
  <pageMargins left="0.7" right="0.7" top="0.75" bottom="0.75" header="0.3" footer="0.3"/>
  <pageSetup fitToHeight="0" orientation="landscape"/>
  <headerFooter>
    <oddHeader>&amp;LTable: ACSDT1Y2021.B29002</oddHeader>
    <oddFooter>&amp;L&amp;Bdata.census.gov&amp;B | Measuring America's People, Places, and Economy &amp;R&amp;P</oddFooter>
    <evenHeader>&amp;LTable: ACSDT1Y2021.B29002</evenHeader>
    <evenFooter>&amp;L&amp;Bdata.census.gov&amp;B | Measuring America's People, Places, and Economy &amp;R&amp;P</even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A10"/>
  <sheetViews>
    <sheetView tabSelected="1" workbookViewId="0">
      <pane xSplit="1" ySplit="2" topLeftCell="B3" activePane="bottomRight" state="frozen"/>
      <selection pane="topRight"/>
      <selection pane="bottomLeft"/>
      <selection pane="bottomRight" activeCell="D18" sqref="D18"/>
    </sheetView>
  </sheetViews>
  <sheetFormatPr defaultRowHeight="14.4" x14ac:dyDescent="0.3"/>
  <cols>
    <col min="1" max="1" width="30" style="4" customWidth="1"/>
    <col min="2" max="79" width="20" style="4" customWidth="1"/>
  </cols>
  <sheetData>
    <row r="1" spans="1:79" ht="30" customHeight="1" x14ac:dyDescent="0.3">
      <c r="A1" s="5" t="s">
        <v>3</v>
      </c>
      <c r="B1" s="10" t="s">
        <v>41</v>
      </c>
      <c r="C1" s="10"/>
      <c r="D1" s="10" t="s">
        <v>42</v>
      </c>
      <c r="E1" s="10"/>
      <c r="F1" s="10" t="s">
        <v>43</v>
      </c>
      <c r="G1" s="10"/>
      <c r="H1" s="10" t="s">
        <v>44</v>
      </c>
      <c r="I1" s="10"/>
      <c r="J1" s="10" t="s">
        <v>45</v>
      </c>
      <c r="K1" s="10"/>
      <c r="L1" s="10" t="s">
        <v>46</v>
      </c>
      <c r="M1" s="10"/>
      <c r="N1" s="10" t="s">
        <v>47</v>
      </c>
      <c r="O1" s="10"/>
      <c r="P1" s="10" t="s">
        <v>48</v>
      </c>
      <c r="Q1" s="10"/>
      <c r="R1" s="10" t="s">
        <v>49</v>
      </c>
      <c r="S1" s="10"/>
      <c r="T1" s="10" t="s">
        <v>50</v>
      </c>
      <c r="U1" s="10"/>
      <c r="V1" s="10" t="s">
        <v>51</v>
      </c>
      <c r="W1" s="10"/>
      <c r="X1" s="10" t="s">
        <v>52</v>
      </c>
      <c r="Y1" s="10"/>
      <c r="Z1" s="10" t="s">
        <v>53</v>
      </c>
      <c r="AA1" s="10"/>
      <c r="AB1" s="10" t="s">
        <v>54</v>
      </c>
      <c r="AC1" s="10"/>
      <c r="AD1" s="10" t="s">
        <v>55</v>
      </c>
      <c r="AE1" s="10"/>
      <c r="AF1" s="10" t="s">
        <v>56</v>
      </c>
      <c r="AG1" s="10"/>
      <c r="AH1" s="10" t="s">
        <v>57</v>
      </c>
      <c r="AI1" s="10"/>
      <c r="AJ1" s="10" t="s">
        <v>58</v>
      </c>
      <c r="AK1" s="10"/>
      <c r="AL1" s="10" t="s">
        <v>59</v>
      </c>
      <c r="AM1" s="10"/>
      <c r="AN1" s="10" t="s">
        <v>60</v>
      </c>
      <c r="AO1" s="10"/>
      <c r="AP1" s="10" t="s">
        <v>61</v>
      </c>
      <c r="AQ1" s="10"/>
      <c r="AR1" s="10" t="s">
        <v>62</v>
      </c>
      <c r="AS1" s="10"/>
      <c r="AT1" s="10" t="s">
        <v>63</v>
      </c>
      <c r="AU1" s="10"/>
      <c r="AV1" s="10" t="s">
        <v>64</v>
      </c>
      <c r="AW1" s="10"/>
      <c r="AX1" s="10" t="s">
        <v>65</v>
      </c>
      <c r="AY1" s="10"/>
      <c r="AZ1" s="10" t="s">
        <v>66</v>
      </c>
      <c r="BA1" s="10"/>
      <c r="BB1" s="10" t="s">
        <v>67</v>
      </c>
      <c r="BC1" s="10"/>
      <c r="BD1" s="10" t="s">
        <v>68</v>
      </c>
      <c r="BE1" s="10"/>
      <c r="BF1" s="10" t="s">
        <v>69</v>
      </c>
      <c r="BG1" s="10"/>
      <c r="BH1" s="10" t="s">
        <v>70</v>
      </c>
      <c r="BI1" s="10"/>
      <c r="BJ1" s="10" t="s">
        <v>71</v>
      </c>
      <c r="BK1" s="10"/>
      <c r="BL1" s="10" t="s">
        <v>72</v>
      </c>
      <c r="BM1" s="10"/>
      <c r="BN1" s="10" t="s">
        <v>73</v>
      </c>
      <c r="BO1" s="10"/>
      <c r="BP1" s="10" t="s">
        <v>74</v>
      </c>
      <c r="BQ1" s="10"/>
      <c r="BR1" s="10" t="s">
        <v>75</v>
      </c>
      <c r="BS1" s="10"/>
      <c r="BT1" s="10" t="s">
        <v>76</v>
      </c>
      <c r="BU1" s="10"/>
      <c r="BV1" s="10" t="s">
        <v>77</v>
      </c>
      <c r="BW1" s="10"/>
      <c r="BX1" s="10" t="s">
        <v>78</v>
      </c>
      <c r="BY1" s="10"/>
      <c r="BZ1" s="10" t="s">
        <v>79</v>
      </c>
      <c r="CA1" s="10"/>
    </row>
    <row r="2" spans="1:79" ht="30" customHeight="1" x14ac:dyDescent="0.3">
      <c r="A2" s="5" t="s">
        <v>80</v>
      </c>
      <c r="B2" s="5" t="s">
        <v>81</v>
      </c>
      <c r="C2" s="5" t="s">
        <v>82</v>
      </c>
      <c r="D2" s="5" t="s">
        <v>81</v>
      </c>
      <c r="E2" s="5" t="s">
        <v>82</v>
      </c>
      <c r="F2" s="5" t="s">
        <v>81</v>
      </c>
      <c r="G2" s="5" t="s">
        <v>82</v>
      </c>
      <c r="H2" s="5" t="s">
        <v>81</v>
      </c>
      <c r="I2" s="5" t="s">
        <v>82</v>
      </c>
      <c r="J2" s="5" t="s">
        <v>81</v>
      </c>
      <c r="K2" s="5" t="s">
        <v>82</v>
      </c>
      <c r="L2" s="5" t="s">
        <v>81</v>
      </c>
      <c r="M2" s="5" t="s">
        <v>82</v>
      </c>
      <c r="N2" s="5" t="s">
        <v>81</v>
      </c>
      <c r="O2" s="5" t="s">
        <v>82</v>
      </c>
      <c r="P2" s="5" t="s">
        <v>81</v>
      </c>
      <c r="Q2" s="5" t="s">
        <v>82</v>
      </c>
      <c r="R2" s="5" t="s">
        <v>81</v>
      </c>
      <c r="S2" s="5" t="s">
        <v>82</v>
      </c>
      <c r="T2" s="5" t="s">
        <v>81</v>
      </c>
      <c r="U2" s="5" t="s">
        <v>82</v>
      </c>
      <c r="V2" s="5" t="s">
        <v>81</v>
      </c>
      <c r="W2" s="5" t="s">
        <v>82</v>
      </c>
      <c r="X2" s="5" t="s">
        <v>81</v>
      </c>
      <c r="Y2" s="5" t="s">
        <v>82</v>
      </c>
      <c r="Z2" s="5" t="s">
        <v>81</v>
      </c>
      <c r="AA2" s="5" t="s">
        <v>82</v>
      </c>
      <c r="AB2" s="5" t="s">
        <v>81</v>
      </c>
      <c r="AC2" s="5" t="s">
        <v>82</v>
      </c>
      <c r="AD2" s="5" t="s">
        <v>81</v>
      </c>
      <c r="AE2" s="5" t="s">
        <v>82</v>
      </c>
      <c r="AF2" s="5" t="s">
        <v>81</v>
      </c>
      <c r="AG2" s="5" t="s">
        <v>82</v>
      </c>
      <c r="AH2" s="5" t="s">
        <v>81</v>
      </c>
      <c r="AI2" s="5" t="s">
        <v>82</v>
      </c>
      <c r="AJ2" s="5" t="s">
        <v>81</v>
      </c>
      <c r="AK2" s="5" t="s">
        <v>82</v>
      </c>
      <c r="AL2" s="5" t="s">
        <v>81</v>
      </c>
      <c r="AM2" s="5" t="s">
        <v>82</v>
      </c>
      <c r="AN2" s="5" t="s">
        <v>81</v>
      </c>
      <c r="AO2" s="5" t="s">
        <v>82</v>
      </c>
      <c r="AP2" s="5" t="s">
        <v>81</v>
      </c>
      <c r="AQ2" s="5" t="s">
        <v>82</v>
      </c>
      <c r="AR2" s="5" t="s">
        <v>81</v>
      </c>
      <c r="AS2" s="5" t="s">
        <v>82</v>
      </c>
      <c r="AT2" s="5" t="s">
        <v>81</v>
      </c>
      <c r="AU2" s="5" t="s">
        <v>82</v>
      </c>
      <c r="AV2" s="5" t="s">
        <v>81</v>
      </c>
      <c r="AW2" s="5" t="s">
        <v>82</v>
      </c>
      <c r="AX2" s="5" t="s">
        <v>81</v>
      </c>
      <c r="AY2" s="5" t="s">
        <v>82</v>
      </c>
      <c r="AZ2" s="5" t="s">
        <v>81</v>
      </c>
      <c r="BA2" s="5" t="s">
        <v>82</v>
      </c>
      <c r="BB2" s="5" t="s">
        <v>81</v>
      </c>
      <c r="BC2" s="5" t="s">
        <v>82</v>
      </c>
      <c r="BD2" s="5" t="s">
        <v>81</v>
      </c>
      <c r="BE2" s="5" t="s">
        <v>82</v>
      </c>
      <c r="BF2" s="5" t="s">
        <v>81</v>
      </c>
      <c r="BG2" s="5" t="s">
        <v>82</v>
      </c>
      <c r="BH2" s="5" t="s">
        <v>81</v>
      </c>
      <c r="BI2" s="5" t="s">
        <v>82</v>
      </c>
      <c r="BJ2" s="5" t="s">
        <v>81</v>
      </c>
      <c r="BK2" s="5" t="s">
        <v>82</v>
      </c>
      <c r="BL2" s="5" t="s">
        <v>81</v>
      </c>
      <c r="BM2" s="5" t="s">
        <v>82</v>
      </c>
      <c r="BN2" s="5" t="s">
        <v>81</v>
      </c>
      <c r="BO2" s="5" t="s">
        <v>82</v>
      </c>
      <c r="BP2" s="5" t="s">
        <v>81</v>
      </c>
      <c r="BQ2" s="5" t="s">
        <v>82</v>
      </c>
      <c r="BR2" s="5" t="s">
        <v>81</v>
      </c>
      <c r="BS2" s="5" t="s">
        <v>82</v>
      </c>
      <c r="BT2" s="5" t="s">
        <v>81</v>
      </c>
      <c r="BU2" s="5" t="s">
        <v>82</v>
      </c>
      <c r="BV2" s="5" t="s">
        <v>81</v>
      </c>
      <c r="BW2" s="5" t="s">
        <v>82</v>
      </c>
      <c r="BX2" s="5" t="s">
        <v>81</v>
      </c>
      <c r="BY2" s="5" t="s">
        <v>82</v>
      </c>
      <c r="BZ2" s="5" t="s">
        <v>81</v>
      </c>
      <c r="CA2" s="5" t="s">
        <v>82</v>
      </c>
    </row>
    <row r="3" spans="1:79" x14ac:dyDescent="0.3">
      <c r="A3" s="4" t="s">
        <v>83</v>
      </c>
      <c r="B3">
        <f>82287*(1)</f>
        <v>82287</v>
      </c>
      <c r="C3" t="s">
        <v>84</v>
      </c>
      <c r="D3">
        <f>970846*(1)</f>
        <v>970846</v>
      </c>
      <c r="E3" t="s">
        <v>85</v>
      </c>
      <c r="F3">
        <f>52754*(1)</f>
        <v>52754</v>
      </c>
      <c r="G3" t="s">
        <v>86</v>
      </c>
      <c r="H3">
        <f>133434*(1)</f>
        <v>133434</v>
      </c>
      <c r="I3" t="s">
        <v>87</v>
      </c>
      <c r="J3">
        <f>320461*(1)</f>
        <v>320461</v>
      </c>
      <c r="K3" t="s">
        <v>88</v>
      </c>
      <c r="L3">
        <f>96181*(1)</f>
        <v>96181</v>
      </c>
      <c r="M3" t="s">
        <v>89</v>
      </c>
      <c r="N3">
        <f>498395*(1)</f>
        <v>498395</v>
      </c>
      <c r="O3" t="s">
        <v>90</v>
      </c>
      <c r="P3">
        <f>155068*(1)</f>
        <v>155068</v>
      </c>
      <c r="Q3" t="s">
        <v>91</v>
      </c>
      <c r="R3">
        <f>106409*(1)</f>
        <v>106409</v>
      </c>
      <c r="S3" t="s">
        <v>92</v>
      </c>
      <c r="T3">
        <f>51801*(1)</f>
        <v>51801</v>
      </c>
      <c r="U3" t="s">
        <v>93</v>
      </c>
      <c r="V3">
        <f>127680*(1)</f>
        <v>127680</v>
      </c>
      <c r="W3" t="s">
        <v>94</v>
      </c>
      <c r="X3">
        <f>397404*(1)</f>
        <v>397404</v>
      </c>
      <c r="Y3" t="s">
        <v>95</v>
      </c>
      <c r="Z3">
        <f>64924*(1)</f>
        <v>64924</v>
      </c>
      <c r="AA3" t="s">
        <v>96</v>
      </c>
      <c r="AB3">
        <f>65926*(1)</f>
        <v>65926</v>
      </c>
      <c r="AC3" t="s">
        <v>97</v>
      </c>
      <c r="AD3">
        <f>202665*(1)</f>
        <v>202665</v>
      </c>
      <c r="AE3" t="s">
        <v>98</v>
      </c>
      <c r="AF3">
        <f>211356*(1)</f>
        <v>211356</v>
      </c>
      <c r="AG3" t="s">
        <v>99</v>
      </c>
      <c r="AH3">
        <f>425769*(1)</f>
        <v>425769</v>
      </c>
      <c r="AI3" t="s">
        <v>100</v>
      </c>
      <c r="AJ3">
        <f>208992*(1)</f>
        <v>208992</v>
      </c>
      <c r="AK3" t="s">
        <v>101</v>
      </c>
      <c r="AL3">
        <f>102229*(1)</f>
        <v>102229</v>
      </c>
      <c r="AM3" t="s">
        <v>102</v>
      </c>
      <c r="AN3">
        <f>120306*(1)</f>
        <v>120306</v>
      </c>
      <c r="AO3" t="s">
        <v>103</v>
      </c>
      <c r="AP3">
        <f>67038*(1)</f>
        <v>67038</v>
      </c>
      <c r="AQ3" t="s">
        <v>104</v>
      </c>
      <c r="AR3">
        <f>166891*(1)</f>
        <v>166891</v>
      </c>
      <c r="AS3" t="s">
        <v>105</v>
      </c>
      <c r="AT3">
        <f>413921*(1)</f>
        <v>413921</v>
      </c>
      <c r="AU3" t="s">
        <v>106</v>
      </c>
      <c r="AV3">
        <f>68020*(1)</f>
        <v>68020</v>
      </c>
      <c r="AW3" t="s">
        <v>107</v>
      </c>
      <c r="AX3">
        <f>109493*(1)</f>
        <v>109493</v>
      </c>
      <c r="AY3" t="s">
        <v>108</v>
      </c>
      <c r="AZ3">
        <f>269124*(1)</f>
        <v>269124</v>
      </c>
      <c r="BA3" t="s">
        <v>109</v>
      </c>
      <c r="BB3">
        <f>244879*(1)</f>
        <v>244879</v>
      </c>
      <c r="BC3" t="s">
        <v>110</v>
      </c>
      <c r="BD3">
        <f>89232*(1)</f>
        <v>89232</v>
      </c>
      <c r="BE3" t="s">
        <v>111</v>
      </c>
      <c r="BF3">
        <f>88506*(1)</f>
        <v>88506</v>
      </c>
      <c r="BG3" t="s">
        <v>112</v>
      </c>
      <c r="BH3">
        <f>130868*(1)</f>
        <v>130868</v>
      </c>
      <c r="BI3" t="s">
        <v>113</v>
      </c>
      <c r="BJ3">
        <f>642943*(1)</f>
        <v>642943</v>
      </c>
      <c r="BK3" t="s">
        <v>114</v>
      </c>
      <c r="BL3">
        <f>243662*(1)</f>
        <v>243662</v>
      </c>
      <c r="BM3" t="s">
        <v>115</v>
      </c>
      <c r="BN3">
        <f>73121*(1)</f>
        <v>73121</v>
      </c>
      <c r="BO3" t="s">
        <v>116</v>
      </c>
      <c r="BP3">
        <f>1131361*(1)</f>
        <v>1131361</v>
      </c>
      <c r="BQ3" t="s">
        <v>117</v>
      </c>
      <c r="BR3">
        <f>113201*(1)</f>
        <v>113201</v>
      </c>
      <c r="BS3" t="s">
        <v>118</v>
      </c>
      <c r="BT3">
        <f>60022*(1)</f>
        <v>60022</v>
      </c>
      <c r="BU3" t="s">
        <v>119</v>
      </c>
      <c r="BV3">
        <f>166955*(1)</f>
        <v>166955</v>
      </c>
      <c r="BW3" t="s">
        <v>120</v>
      </c>
      <c r="BX3">
        <f>286397*(1)</f>
        <v>286397</v>
      </c>
      <c r="BY3" t="s">
        <v>121</v>
      </c>
      <c r="BZ3">
        <f>350990*(1)</f>
        <v>350990</v>
      </c>
      <c r="CA3" t="s">
        <v>122</v>
      </c>
    </row>
    <row r="4" spans="1:79" x14ac:dyDescent="0.3">
      <c r="A4" s="6" t="s">
        <v>123</v>
      </c>
      <c r="B4">
        <f>2045*(1)</f>
        <v>2045</v>
      </c>
      <c r="C4" t="s">
        <v>124</v>
      </c>
      <c r="D4">
        <f>12707*(1)</f>
        <v>12707</v>
      </c>
      <c r="E4" t="s">
        <v>125</v>
      </c>
      <c r="F4">
        <f>1630*(1)</f>
        <v>1630</v>
      </c>
      <c r="G4" t="s">
        <v>126</v>
      </c>
      <c r="H4">
        <f>1803*(1)</f>
        <v>1803</v>
      </c>
      <c r="I4" t="s">
        <v>127</v>
      </c>
      <c r="J4">
        <f>11835*(1)</f>
        <v>11835</v>
      </c>
      <c r="K4" t="s">
        <v>128</v>
      </c>
      <c r="L4">
        <f>1276*(1)</f>
        <v>1276</v>
      </c>
      <c r="M4" t="s">
        <v>129</v>
      </c>
      <c r="N4">
        <f>7677*(1)</f>
        <v>7677</v>
      </c>
      <c r="O4" t="s">
        <v>130</v>
      </c>
      <c r="P4">
        <f>1395*(1)</f>
        <v>1395</v>
      </c>
      <c r="Q4" t="s">
        <v>131</v>
      </c>
      <c r="R4">
        <f>2934*(1)</f>
        <v>2934</v>
      </c>
      <c r="S4" t="s">
        <v>132</v>
      </c>
      <c r="T4">
        <f>948*(1)</f>
        <v>948</v>
      </c>
      <c r="U4" t="s">
        <v>133</v>
      </c>
      <c r="V4">
        <f>3173*(1)</f>
        <v>3173</v>
      </c>
      <c r="W4" t="s">
        <v>134</v>
      </c>
      <c r="X4">
        <f>7445*(1)</f>
        <v>7445</v>
      </c>
      <c r="Y4" t="s">
        <v>135</v>
      </c>
      <c r="Z4">
        <f>2030*(1)</f>
        <v>2030</v>
      </c>
      <c r="AA4" t="s">
        <v>136</v>
      </c>
      <c r="AB4">
        <f>2227*(1)</f>
        <v>2227</v>
      </c>
      <c r="AC4" t="s">
        <v>137</v>
      </c>
      <c r="AD4">
        <f>3061*(1)</f>
        <v>3061</v>
      </c>
      <c r="AE4" t="s">
        <v>138</v>
      </c>
      <c r="AF4">
        <f>5008*(1)</f>
        <v>5008</v>
      </c>
      <c r="AG4" t="s">
        <v>139</v>
      </c>
      <c r="AH4">
        <f>5583*(1)</f>
        <v>5583</v>
      </c>
      <c r="AI4" t="s">
        <v>140</v>
      </c>
      <c r="AJ4">
        <f>2833*(1)</f>
        <v>2833</v>
      </c>
      <c r="AK4" t="s">
        <v>141</v>
      </c>
      <c r="AL4">
        <f>2632*(1)</f>
        <v>2632</v>
      </c>
      <c r="AM4" t="s">
        <v>142</v>
      </c>
      <c r="AN4">
        <f>3128*(1)</f>
        <v>3128</v>
      </c>
      <c r="AO4" t="s">
        <v>143</v>
      </c>
      <c r="AP4">
        <f>2200*(1)</f>
        <v>2200</v>
      </c>
      <c r="AQ4" t="s">
        <v>144</v>
      </c>
      <c r="AR4">
        <f>2437*(1)</f>
        <v>2437</v>
      </c>
      <c r="AS4" t="s">
        <v>145</v>
      </c>
      <c r="AT4">
        <f>23783*(1)</f>
        <v>23783</v>
      </c>
      <c r="AU4" t="s">
        <v>146</v>
      </c>
      <c r="AV4">
        <f>1345*(1)</f>
        <v>1345</v>
      </c>
      <c r="AW4" t="s">
        <v>84</v>
      </c>
      <c r="AX4">
        <f>3754*(1)</f>
        <v>3754</v>
      </c>
      <c r="AY4" t="s">
        <v>147</v>
      </c>
      <c r="AZ4">
        <f>8119*(1)</f>
        <v>8119</v>
      </c>
      <c r="BA4" t="s">
        <v>148</v>
      </c>
      <c r="BB4">
        <f>5685*(1)</f>
        <v>5685</v>
      </c>
      <c r="BC4" t="s">
        <v>149</v>
      </c>
      <c r="BD4">
        <f>1560*(1)</f>
        <v>1560</v>
      </c>
      <c r="BE4" t="s">
        <v>150</v>
      </c>
      <c r="BF4">
        <f>2052*(1)</f>
        <v>2052</v>
      </c>
      <c r="BG4" t="s">
        <v>151</v>
      </c>
      <c r="BH4">
        <f>3019*(1)</f>
        <v>3019</v>
      </c>
      <c r="BI4" t="s">
        <v>152</v>
      </c>
      <c r="BJ4">
        <f>8209*(1)</f>
        <v>8209</v>
      </c>
      <c r="BK4" t="s">
        <v>153</v>
      </c>
      <c r="BL4">
        <f>5195*(1)</f>
        <v>5195</v>
      </c>
      <c r="BM4" t="s">
        <v>154</v>
      </c>
      <c r="BN4">
        <f>1818*(1)</f>
        <v>1818</v>
      </c>
      <c r="BO4" t="s">
        <v>155</v>
      </c>
      <c r="BP4">
        <f>40911*(1)</f>
        <v>40911</v>
      </c>
      <c r="BQ4" t="s">
        <v>156</v>
      </c>
      <c r="BR4">
        <f>3606*(1)</f>
        <v>3606</v>
      </c>
      <c r="BS4" t="s">
        <v>157</v>
      </c>
      <c r="BT4">
        <f>2030*(1)</f>
        <v>2030</v>
      </c>
      <c r="BU4" t="s">
        <v>158</v>
      </c>
      <c r="BV4">
        <f>3279*(1)</f>
        <v>3279</v>
      </c>
      <c r="BW4" t="s">
        <v>159</v>
      </c>
      <c r="BX4">
        <f>3778*(1)</f>
        <v>3778</v>
      </c>
      <c r="BY4" t="s">
        <v>134</v>
      </c>
      <c r="BZ4">
        <f>6410*(1)</f>
        <v>6410</v>
      </c>
      <c r="CA4" t="s">
        <v>160</v>
      </c>
    </row>
    <row r="5" spans="1:79" x14ac:dyDescent="0.3">
      <c r="A5" s="6" t="s">
        <v>161</v>
      </c>
      <c r="B5">
        <f>5838*(1)</f>
        <v>5838</v>
      </c>
      <c r="C5" t="s">
        <v>162</v>
      </c>
      <c r="D5">
        <f>33989*(1)</f>
        <v>33989</v>
      </c>
      <c r="E5" t="s">
        <v>163</v>
      </c>
      <c r="F5">
        <f>2727*(1)</f>
        <v>2727</v>
      </c>
      <c r="G5" t="s">
        <v>164</v>
      </c>
      <c r="H5">
        <f>5201*(1)</f>
        <v>5201</v>
      </c>
      <c r="I5" t="s">
        <v>165</v>
      </c>
      <c r="J5">
        <f>24443*(1)</f>
        <v>24443</v>
      </c>
      <c r="K5" t="s">
        <v>166</v>
      </c>
      <c r="L5">
        <f>3259*(1)</f>
        <v>3259</v>
      </c>
      <c r="M5" t="s">
        <v>167</v>
      </c>
      <c r="N5">
        <f>20280*(1)</f>
        <v>20280</v>
      </c>
      <c r="O5" t="s">
        <v>168</v>
      </c>
      <c r="P5">
        <f>6641*(1)</f>
        <v>6641</v>
      </c>
      <c r="Q5" t="s">
        <v>169</v>
      </c>
      <c r="R5">
        <f>5294*(1)</f>
        <v>5294</v>
      </c>
      <c r="S5" t="s">
        <v>170</v>
      </c>
      <c r="T5">
        <f>4268*(1)</f>
        <v>4268</v>
      </c>
      <c r="U5" t="s">
        <v>171</v>
      </c>
      <c r="V5">
        <f>3894*(1)</f>
        <v>3894</v>
      </c>
      <c r="W5" t="s">
        <v>172</v>
      </c>
      <c r="X5">
        <f>12707*(1)</f>
        <v>12707</v>
      </c>
      <c r="Y5" t="s">
        <v>173</v>
      </c>
      <c r="Z5">
        <f>4663*(1)</f>
        <v>4663</v>
      </c>
      <c r="AA5" t="s">
        <v>174</v>
      </c>
      <c r="AB5">
        <f>3537*(1)</f>
        <v>3537</v>
      </c>
      <c r="AC5" t="s">
        <v>175</v>
      </c>
      <c r="AD5">
        <f>11720*(1)</f>
        <v>11720</v>
      </c>
      <c r="AE5" t="s">
        <v>176</v>
      </c>
      <c r="AF5">
        <f>12390*(1)</f>
        <v>12390</v>
      </c>
      <c r="AG5" t="s">
        <v>177</v>
      </c>
      <c r="AH5">
        <f>16810*(1)</f>
        <v>16810</v>
      </c>
      <c r="AI5" t="s">
        <v>178</v>
      </c>
      <c r="AJ5">
        <f>10852*(1)</f>
        <v>10852</v>
      </c>
      <c r="AK5" t="s">
        <v>179</v>
      </c>
      <c r="AL5">
        <f>9133*(1)</f>
        <v>9133</v>
      </c>
      <c r="AM5" t="s">
        <v>180</v>
      </c>
      <c r="AN5">
        <f>8360*(1)</f>
        <v>8360</v>
      </c>
      <c r="AO5" t="s">
        <v>181</v>
      </c>
      <c r="AP5">
        <f>2873*(1)</f>
        <v>2873</v>
      </c>
      <c r="AQ5" t="s">
        <v>182</v>
      </c>
      <c r="AR5">
        <f>9855*(1)</f>
        <v>9855</v>
      </c>
      <c r="AS5" t="s">
        <v>183</v>
      </c>
      <c r="AT5">
        <f>27291*(1)</f>
        <v>27291</v>
      </c>
      <c r="AU5" t="s">
        <v>184</v>
      </c>
      <c r="AV5">
        <f>4045*(1)</f>
        <v>4045</v>
      </c>
      <c r="AW5" t="s">
        <v>185</v>
      </c>
      <c r="AX5">
        <f>8890*(1)</f>
        <v>8890</v>
      </c>
      <c r="AY5" t="s">
        <v>186</v>
      </c>
      <c r="AZ5">
        <f>17203*(1)</f>
        <v>17203</v>
      </c>
      <c r="BA5" t="s">
        <v>187</v>
      </c>
      <c r="BB5">
        <f>14232*(1)</f>
        <v>14232</v>
      </c>
      <c r="BC5" t="s">
        <v>188</v>
      </c>
      <c r="BD5">
        <f>5865*(1)</f>
        <v>5865</v>
      </c>
      <c r="BE5" t="s">
        <v>189</v>
      </c>
      <c r="BF5">
        <f>4489*(1)</f>
        <v>4489</v>
      </c>
      <c r="BG5" t="s">
        <v>175</v>
      </c>
      <c r="BH5">
        <f>8000*(1)</f>
        <v>8000</v>
      </c>
      <c r="BI5" t="s">
        <v>190</v>
      </c>
      <c r="BJ5">
        <f>23956*(1)</f>
        <v>23956</v>
      </c>
      <c r="BK5" t="s">
        <v>191</v>
      </c>
      <c r="BL5">
        <f>12622*(1)</f>
        <v>12622</v>
      </c>
      <c r="BM5" t="s">
        <v>192</v>
      </c>
      <c r="BN5">
        <f>5187*(1)</f>
        <v>5187</v>
      </c>
      <c r="BO5" t="s">
        <v>193</v>
      </c>
      <c r="BP5">
        <f>87469*(1)</f>
        <v>87469</v>
      </c>
      <c r="BQ5" t="s">
        <v>194</v>
      </c>
      <c r="BR5">
        <f>9783*(1)</f>
        <v>9783</v>
      </c>
      <c r="BS5" t="s">
        <v>195</v>
      </c>
      <c r="BT5">
        <f>3769*(1)</f>
        <v>3769</v>
      </c>
      <c r="BU5" t="s">
        <v>196</v>
      </c>
      <c r="BV5">
        <f>8156*(1)</f>
        <v>8156</v>
      </c>
      <c r="BW5" t="s">
        <v>197</v>
      </c>
      <c r="BX5">
        <f>12728*(1)</f>
        <v>12728</v>
      </c>
      <c r="BY5" t="s">
        <v>198</v>
      </c>
      <c r="BZ5">
        <f>21527*(1)</f>
        <v>21527</v>
      </c>
      <c r="CA5" t="s">
        <v>199</v>
      </c>
    </row>
    <row r="6" spans="1:79" ht="28.8" x14ac:dyDescent="0.3">
      <c r="A6" s="6" t="s">
        <v>200</v>
      </c>
      <c r="B6">
        <f>34807*(1)</f>
        <v>34807</v>
      </c>
      <c r="C6" t="s">
        <v>201</v>
      </c>
      <c r="D6">
        <f>261197*(1)</f>
        <v>261197</v>
      </c>
      <c r="E6" t="s">
        <v>202</v>
      </c>
      <c r="F6">
        <f>25714*(1)</f>
        <v>25714</v>
      </c>
      <c r="G6" t="s">
        <v>203</v>
      </c>
      <c r="H6">
        <f>47922*(1)</f>
        <v>47922</v>
      </c>
      <c r="I6" t="s">
        <v>204</v>
      </c>
      <c r="J6">
        <f>126096*(1)</f>
        <v>126096</v>
      </c>
      <c r="K6" t="s">
        <v>205</v>
      </c>
      <c r="L6">
        <f>47236*(1)</f>
        <v>47236</v>
      </c>
      <c r="M6" t="s">
        <v>206</v>
      </c>
      <c r="N6">
        <f>138998*(1)</f>
        <v>138998</v>
      </c>
      <c r="O6" t="s">
        <v>207</v>
      </c>
      <c r="P6">
        <f>50458*(1)</f>
        <v>50458</v>
      </c>
      <c r="Q6" t="s">
        <v>208</v>
      </c>
      <c r="R6">
        <f>44117*(1)</f>
        <v>44117</v>
      </c>
      <c r="S6" t="s">
        <v>209</v>
      </c>
      <c r="T6">
        <f>24399*(1)</f>
        <v>24399</v>
      </c>
      <c r="U6" t="s">
        <v>198</v>
      </c>
      <c r="V6">
        <f>38934*(1)</f>
        <v>38934</v>
      </c>
      <c r="W6" t="s">
        <v>210</v>
      </c>
      <c r="X6">
        <f>85597*(1)</f>
        <v>85597</v>
      </c>
      <c r="Y6" t="s">
        <v>211</v>
      </c>
      <c r="Z6">
        <f>28850*(1)</f>
        <v>28850</v>
      </c>
      <c r="AA6" t="s">
        <v>212</v>
      </c>
      <c r="AB6">
        <f>29490*(1)</f>
        <v>29490</v>
      </c>
      <c r="AC6" t="s">
        <v>213</v>
      </c>
      <c r="AD6">
        <f>63784*(1)</f>
        <v>63784</v>
      </c>
      <c r="AE6" t="s">
        <v>214</v>
      </c>
      <c r="AF6">
        <f>78050*(1)</f>
        <v>78050</v>
      </c>
      <c r="AG6" t="s">
        <v>215</v>
      </c>
      <c r="AH6">
        <f>114965*(1)</f>
        <v>114965</v>
      </c>
      <c r="AI6" t="s">
        <v>216</v>
      </c>
      <c r="AJ6">
        <f>76916*(1)</f>
        <v>76916</v>
      </c>
      <c r="AK6" t="s">
        <v>217</v>
      </c>
      <c r="AL6">
        <f>47610*(1)</f>
        <v>47610</v>
      </c>
      <c r="AM6" t="s">
        <v>218</v>
      </c>
      <c r="AN6">
        <f>50540*(1)</f>
        <v>50540</v>
      </c>
      <c r="AO6" t="s">
        <v>219</v>
      </c>
      <c r="AP6">
        <f>28041*(1)</f>
        <v>28041</v>
      </c>
      <c r="AQ6" t="s">
        <v>220</v>
      </c>
      <c r="AR6">
        <f>58579*(1)</f>
        <v>58579</v>
      </c>
      <c r="AS6" t="s">
        <v>221</v>
      </c>
      <c r="AT6">
        <f>147864*(1)</f>
        <v>147864</v>
      </c>
      <c r="AU6" t="s">
        <v>222</v>
      </c>
      <c r="AV6">
        <f>28827*(1)</f>
        <v>28827</v>
      </c>
      <c r="AW6" t="s">
        <v>223</v>
      </c>
      <c r="AX6">
        <f>42961*(1)</f>
        <v>42961</v>
      </c>
      <c r="AY6" t="s">
        <v>224</v>
      </c>
      <c r="AZ6">
        <f>87171*(1)</f>
        <v>87171</v>
      </c>
      <c r="BA6" t="s">
        <v>225</v>
      </c>
      <c r="BB6">
        <f>91620*(1)</f>
        <v>91620</v>
      </c>
      <c r="BC6" t="s">
        <v>226</v>
      </c>
      <c r="BD6">
        <f>34730*(1)</f>
        <v>34730</v>
      </c>
      <c r="BE6" t="s">
        <v>227</v>
      </c>
      <c r="BF6">
        <f>36629*(1)</f>
        <v>36629</v>
      </c>
      <c r="BG6" t="s">
        <v>228</v>
      </c>
      <c r="BH6">
        <f>45174*(1)</f>
        <v>45174</v>
      </c>
      <c r="BI6" t="s">
        <v>229</v>
      </c>
      <c r="BJ6">
        <f>146498*(1)</f>
        <v>146498</v>
      </c>
      <c r="BK6" t="s">
        <v>230</v>
      </c>
      <c r="BL6">
        <f>77827*(1)</f>
        <v>77827</v>
      </c>
      <c r="BM6" t="s">
        <v>231</v>
      </c>
      <c r="BN6">
        <f>35178*(1)</f>
        <v>35178</v>
      </c>
      <c r="BO6" t="s">
        <v>232</v>
      </c>
      <c r="BP6">
        <f>344404*(1)</f>
        <v>344404</v>
      </c>
      <c r="BQ6" t="s">
        <v>233</v>
      </c>
      <c r="BR6">
        <f>51892*(1)</f>
        <v>51892</v>
      </c>
      <c r="BS6" t="s">
        <v>234</v>
      </c>
      <c r="BT6">
        <f>31078*(1)</f>
        <v>31078</v>
      </c>
      <c r="BU6" t="s">
        <v>235</v>
      </c>
      <c r="BV6">
        <f>59475*(1)</f>
        <v>59475</v>
      </c>
      <c r="BW6" t="s">
        <v>236</v>
      </c>
      <c r="BX6">
        <f>103729*(1)</f>
        <v>103729</v>
      </c>
      <c r="BY6" t="s">
        <v>237</v>
      </c>
      <c r="BZ6">
        <f>137892*(1)</f>
        <v>137892</v>
      </c>
      <c r="CA6" t="s">
        <v>238</v>
      </c>
    </row>
    <row r="7" spans="1:79" x14ac:dyDescent="0.3">
      <c r="A7" s="6" t="s">
        <v>239</v>
      </c>
      <c r="B7">
        <f>12960*(1)</f>
        <v>12960</v>
      </c>
      <c r="C7" t="s">
        <v>240</v>
      </c>
      <c r="D7">
        <f>161767*(1)</f>
        <v>161767</v>
      </c>
      <c r="E7" t="s">
        <v>241</v>
      </c>
      <c r="F7">
        <f>8068*(1)</f>
        <v>8068</v>
      </c>
      <c r="G7" t="s">
        <v>242</v>
      </c>
      <c r="H7">
        <f>24451*(1)</f>
        <v>24451</v>
      </c>
      <c r="I7" t="s">
        <v>243</v>
      </c>
      <c r="J7">
        <f>50642*(1)</f>
        <v>50642</v>
      </c>
      <c r="K7" t="s">
        <v>244</v>
      </c>
      <c r="L7">
        <f>14102*(1)</f>
        <v>14102</v>
      </c>
      <c r="M7" t="s">
        <v>245</v>
      </c>
      <c r="N7">
        <f>84857*(1)</f>
        <v>84857</v>
      </c>
      <c r="O7" t="s">
        <v>246</v>
      </c>
      <c r="P7">
        <f>23443*(1)</f>
        <v>23443</v>
      </c>
      <c r="Q7" t="s">
        <v>247</v>
      </c>
      <c r="R7">
        <f>19929*(1)</f>
        <v>19929</v>
      </c>
      <c r="S7" t="s">
        <v>203</v>
      </c>
      <c r="T7">
        <f>9312*(1)</f>
        <v>9312</v>
      </c>
      <c r="U7" t="s">
        <v>248</v>
      </c>
      <c r="V7">
        <f>30771*(1)</f>
        <v>30771</v>
      </c>
      <c r="W7" t="s">
        <v>249</v>
      </c>
      <c r="X7">
        <f>63523*(1)</f>
        <v>63523</v>
      </c>
      <c r="Y7" t="s">
        <v>250</v>
      </c>
      <c r="Z7">
        <f>8614*(1)</f>
        <v>8614</v>
      </c>
      <c r="AA7" t="s">
        <v>251</v>
      </c>
      <c r="AB7">
        <f>12308*(1)</f>
        <v>12308</v>
      </c>
      <c r="AC7" t="s">
        <v>252</v>
      </c>
      <c r="AD7">
        <f>37622*(1)</f>
        <v>37622</v>
      </c>
      <c r="AE7" t="s">
        <v>253</v>
      </c>
      <c r="AF7">
        <f>32665*(1)</f>
        <v>32665</v>
      </c>
      <c r="AG7" t="s">
        <v>254</v>
      </c>
      <c r="AH7">
        <f>82663*(1)</f>
        <v>82663</v>
      </c>
      <c r="AI7" t="s">
        <v>255</v>
      </c>
      <c r="AJ7">
        <f>41250*(1)</f>
        <v>41250</v>
      </c>
      <c r="AK7" t="s">
        <v>256</v>
      </c>
      <c r="AL7">
        <f>16209*(1)</f>
        <v>16209</v>
      </c>
      <c r="AM7" t="s">
        <v>257</v>
      </c>
      <c r="AN7">
        <f>19710*(1)</f>
        <v>19710</v>
      </c>
      <c r="AO7" t="s">
        <v>258</v>
      </c>
      <c r="AP7">
        <f>13714*(1)</f>
        <v>13714</v>
      </c>
      <c r="AQ7" t="s">
        <v>259</v>
      </c>
      <c r="AR7">
        <f>31408*(1)</f>
        <v>31408</v>
      </c>
      <c r="AS7" t="s">
        <v>260</v>
      </c>
      <c r="AT7">
        <f>69267*(1)</f>
        <v>69267</v>
      </c>
      <c r="AU7" t="s">
        <v>261</v>
      </c>
      <c r="AV7">
        <f>14335*(1)</f>
        <v>14335</v>
      </c>
      <c r="AW7" t="s">
        <v>262</v>
      </c>
      <c r="AX7">
        <f>20144*(1)</f>
        <v>20144</v>
      </c>
      <c r="AY7" t="s">
        <v>263</v>
      </c>
      <c r="AZ7">
        <f>48023*(1)</f>
        <v>48023</v>
      </c>
      <c r="BA7" t="s">
        <v>264</v>
      </c>
      <c r="BB7">
        <f>46733*(1)</f>
        <v>46733</v>
      </c>
      <c r="BC7" t="s">
        <v>265</v>
      </c>
      <c r="BD7">
        <f>15091*(1)</f>
        <v>15091</v>
      </c>
      <c r="BE7" t="s">
        <v>266</v>
      </c>
      <c r="BF7">
        <f>15915*(1)</f>
        <v>15915</v>
      </c>
      <c r="BG7" t="s">
        <v>267</v>
      </c>
      <c r="BH7">
        <f>27643*(1)</f>
        <v>27643</v>
      </c>
      <c r="BI7" t="s">
        <v>268</v>
      </c>
      <c r="BJ7">
        <f>100151*(1)</f>
        <v>100151</v>
      </c>
      <c r="BK7" t="s">
        <v>269</v>
      </c>
      <c r="BL7">
        <f>48720*(1)</f>
        <v>48720</v>
      </c>
      <c r="BM7" t="s">
        <v>270</v>
      </c>
      <c r="BN7">
        <f>10940*(1)</f>
        <v>10940</v>
      </c>
      <c r="BO7" t="s">
        <v>271</v>
      </c>
      <c r="BP7">
        <f>219925*(1)</f>
        <v>219925</v>
      </c>
      <c r="BQ7" t="s">
        <v>272</v>
      </c>
      <c r="BR7">
        <f>14716*(1)</f>
        <v>14716</v>
      </c>
      <c r="BS7" t="s">
        <v>273</v>
      </c>
      <c r="BT7">
        <f>8366*(1)</f>
        <v>8366</v>
      </c>
      <c r="BU7" t="s">
        <v>274</v>
      </c>
      <c r="BV7">
        <f>26042*(1)</f>
        <v>26042</v>
      </c>
      <c r="BW7" t="s">
        <v>275</v>
      </c>
      <c r="BX7">
        <f>50461*(1)</f>
        <v>50461</v>
      </c>
      <c r="BY7" t="s">
        <v>276</v>
      </c>
      <c r="BZ7">
        <f>64817*(1)</f>
        <v>64817</v>
      </c>
      <c r="CA7" t="s">
        <v>277</v>
      </c>
    </row>
    <row r="8" spans="1:79" x14ac:dyDescent="0.3">
      <c r="A8" s="6" t="s">
        <v>278</v>
      </c>
      <c r="B8">
        <f>5086*(1)</f>
        <v>5086</v>
      </c>
      <c r="C8" t="s">
        <v>279</v>
      </c>
      <c r="D8">
        <f>94558*(1)</f>
        <v>94558</v>
      </c>
      <c r="E8" t="s">
        <v>280</v>
      </c>
      <c r="F8">
        <f>5924*(1)</f>
        <v>5924</v>
      </c>
      <c r="G8" t="s">
        <v>281</v>
      </c>
      <c r="H8">
        <f>17744*(1)</f>
        <v>17744</v>
      </c>
      <c r="I8" t="s">
        <v>282</v>
      </c>
      <c r="J8">
        <f>28955*(1)</f>
        <v>28955</v>
      </c>
      <c r="K8" t="s">
        <v>283</v>
      </c>
      <c r="L8">
        <f>8363*(1)</f>
        <v>8363</v>
      </c>
      <c r="M8" t="s">
        <v>284</v>
      </c>
      <c r="N8">
        <f>37942*(1)</f>
        <v>37942</v>
      </c>
      <c r="O8" t="s">
        <v>285</v>
      </c>
      <c r="P8">
        <f>17113*(1)</f>
        <v>17113</v>
      </c>
      <c r="Q8" t="s">
        <v>286</v>
      </c>
      <c r="R8">
        <f>11264*(1)</f>
        <v>11264</v>
      </c>
      <c r="S8" t="s">
        <v>287</v>
      </c>
      <c r="T8">
        <f>4972*(1)</f>
        <v>4972</v>
      </c>
      <c r="U8" t="s">
        <v>288</v>
      </c>
      <c r="V8">
        <f>6305*(1)</f>
        <v>6305</v>
      </c>
      <c r="W8" t="s">
        <v>289</v>
      </c>
      <c r="X8">
        <f>23754*(1)</f>
        <v>23754</v>
      </c>
      <c r="Y8" t="s">
        <v>290</v>
      </c>
      <c r="Z8">
        <f>6635*(1)</f>
        <v>6635</v>
      </c>
      <c r="AA8" t="s">
        <v>165</v>
      </c>
      <c r="AB8">
        <f>4748*(1)</f>
        <v>4748</v>
      </c>
      <c r="AC8" t="s">
        <v>291</v>
      </c>
      <c r="AD8">
        <f>17614*(1)</f>
        <v>17614</v>
      </c>
      <c r="AE8" t="s">
        <v>292</v>
      </c>
      <c r="AF8">
        <f>18561*(1)</f>
        <v>18561</v>
      </c>
      <c r="AG8" t="s">
        <v>293</v>
      </c>
      <c r="AH8">
        <f>33682*(1)</f>
        <v>33682</v>
      </c>
      <c r="AI8" t="s">
        <v>294</v>
      </c>
      <c r="AJ8">
        <f>20677*(1)</f>
        <v>20677</v>
      </c>
      <c r="AK8" t="s">
        <v>295</v>
      </c>
      <c r="AL8">
        <f>8547*(1)</f>
        <v>8547</v>
      </c>
      <c r="AM8" t="s">
        <v>296</v>
      </c>
      <c r="AN8">
        <f>9961*(1)</f>
        <v>9961</v>
      </c>
      <c r="AO8" t="s">
        <v>297</v>
      </c>
      <c r="AP8">
        <f>6343*(1)</f>
        <v>6343</v>
      </c>
      <c r="AQ8" t="s">
        <v>298</v>
      </c>
      <c r="AR8">
        <f>17537*(1)</f>
        <v>17537</v>
      </c>
      <c r="AS8" t="s">
        <v>299</v>
      </c>
      <c r="AT8">
        <f>31459*(1)</f>
        <v>31459</v>
      </c>
      <c r="AU8" t="s">
        <v>300</v>
      </c>
      <c r="AV8">
        <f>7264*(1)</f>
        <v>7264</v>
      </c>
      <c r="AW8" t="s">
        <v>301</v>
      </c>
      <c r="AX8">
        <f>8164*(1)</f>
        <v>8164</v>
      </c>
      <c r="AY8" t="s">
        <v>302</v>
      </c>
      <c r="AZ8">
        <f>24989*(1)</f>
        <v>24989</v>
      </c>
      <c r="BA8" t="s">
        <v>303</v>
      </c>
      <c r="BB8">
        <f>24973*(1)</f>
        <v>24973</v>
      </c>
      <c r="BC8" t="s">
        <v>304</v>
      </c>
      <c r="BD8">
        <f>9940*(1)</f>
        <v>9940</v>
      </c>
      <c r="BE8" t="s">
        <v>186</v>
      </c>
      <c r="BF8">
        <f>7509*(1)</f>
        <v>7509</v>
      </c>
      <c r="BG8" t="s">
        <v>305</v>
      </c>
      <c r="BH8">
        <f>11185*(1)</f>
        <v>11185</v>
      </c>
      <c r="BI8" t="s">
        <v>306</v>
      </c>
      <c r="BJ8">
        <f>46081*(1)</f>
        <v>46081</v>
      </c>
      <c r="BK8" t="s">
        <v>307</v>
      </c>
      <c r="BL8">
        <f>24259*(1)</f>
        <v>24259</v>
      </c>
      <c r="BM8" t="s">
        <v>308</v>
      </c>
      <c r="BN8">
        <f>5735*(1)</f>
        <v>5735</v>
      </c>
      <c r="BO8" t="s">
        <v>309</v>
      </c>
      <c r="BP8">
        <f>64449*(1)</f>
        <v>64449</v>
      </c>
      <c r="BQ8" t="s">
        <v>310</v>
      </c>
      <c r="BR8">
        <f>11545*(1)</f>
        <v>11545</v>
      </c>
      <c r="BS8" t="s">
        <v>311</v>
      </c>
      <c r="BT8">
        <f>5444*(1)</f>
        <v>5444</v>
      </c>
      <c r="BU8" t="s">
        <v>312</v>
      </c>
      <c r="BV8">
        <f>17695*(1)</f>
        <v>17695</v>
      </c>
      <c r="BW8" t="s">
        <v>313</v>
      </c>
      <c r="BX8">
        <f>32053*(1)</f>
        <v>32053</v>
      </c>
      <c r="BY8" t="s">
        <v>314</v>
      </c>
      <c r="BZ8">
        <f>30476*(1)</f>
        <v>30476</v>
      </c>
      <c r="CA8" t="s">
        <v>315</v>
      </c>
    </row>
    <row r="9" spans="1:79" x14ac:dyDescent="0.3">
      <c r="A9" s="6" t="s">
        <v>316</v>
      </c>
      <c r="B9">
        <f>13079*(1)</f>
        <v>13079</v>
      </c>
      <c r="C9" t="s">
        <v>317</v>
      </c>
      <c r="D9">
        <f>243885*(1)</f>
        <v>243885</v>
      </c>
      <c r="E9" t="s">
        <v>318</v>
      </c>
      <c r="F9">
        <f>5740*(1)</f>
        <v>5740</v>
      </c>
      <c r="G9" t="s">
        <v>319</v>
      </c>
      <c r="H9">
        <f>25896*(1)</f>
        <v>25896</v>
      </c>
      <c r="I9" t="s">
        <v>192</v>
      </c>
      <c r="J9">
        <f>49559*(1)</f>
        <v>49559</v>
      </c>
      <c r="K9" t="s">
        <v>320</v>
      </c>
      <c r="L9">
        <f>16001*(1)</f>
        <v>16001</v>
      </c>
      <c r="M9" t="s">
        <v>321</v>
      </c>
      <c r="N9">
        <f>130238*(1)</f>
        <v>130238</v>
      </c>
      <c r="O9" t="s">
        <v>322</v>
      </c>
      <c r="P9">
        <f>34858*(1)</f>
        <v>34858</v>
      </c>
      <c r="Q9" t="s">
        <v>323</v>
      </c>
      <c r="R9">
        <f>16338*(1)</f>
        <v>16338</v>
      </c>
      <c r="S9" t="s">
        <v>324</v>
      </c>
      <c r="T9">
        <f>5047*(1)</f>
        <v>5047</v>
      </c>
      <c r="U9" t="s">
        <v>325</v>
      </c>
      <c r="V9">
        <f>25170*(1)</f>
        <v>25170</v>
      </c>
      <c r="W9" t="s">
        <v>326</v>
      </c>
      <c r="X9">
        <f>126876*(1)</f>
        <v>126876</v>
      </c>
      <c r="Y9" t="s">
        <v>327</v>
      </c>
      <c r="Z9">
        <f>9525*(1)</f>
        <v>9525</v>
      </c>
      <c r="AA9" t="s">
        <v>328</v>
      </c>
      <c r="AB9">
        <f>8412*(1)</f>
        <v>8412</v>
      </c>
      <c r="AC9" t="s">
        <v>329</v>
      </c>
      <c r="AD9">
        <f>42324*(1)</f>
        <v>42324</v>
      </c>
      <c r="AE9" t="s">
        <v>330</v>
      </c>
      <c r="AF9">
        <f>42101*(1)</f>
        <v>42101</v>
      </c>
      <c r="AG9" t="s">
        <v>331</v>
      </c>
      <c r="AH9">
        <f>100929*(1)</f>
        <v>100929</v>
      </c>
      <c r="AI9" t="s">
        <v>332</v>
      </c>
      <c r="AJ9">
        <f>37426*(1)</f>
        <v>37426</v>
      </c>
      <c r="AK9" t="s">
        <v>333</v>
      </c>
      <c r="AL9">
        <f>12659*(1)</f>
        <v>12659</v>
      </c>
      <c r="AM9" t="s">
        <v>334</v>
      </c>
      <c r="AN9">
        <f>17451*(1)</f>
        <v>17451</v>
      </c>
      <c r="AO9" t="s">
        <v>335</v>
      </c>
      <c r="AP9">
        <f>8595*(1)</f>
        <v>8595</v>
      </c>
      <c r="AQ9" t="s">
        <v>336</v>
      </c>
      <c r="AR9">
        <f>28199*(1)</f>
        <v>28199</v>
      </c>
      <c r="AS9" t="s">
        <v>178</v>
      </c>
      <c r="AT9">
        <f>71879*(1)</f>
        <v>71879</v>
      </c>
      <c r="AU9" t="s">
        <v>337</v>
      </c>
      <c r="AV9">
        <f>8545*(1)</f>
        <v>8545</v>
      </c>
      <c r="AW9" t="s">
        <v>338</v>
      </c>
      <c r="AX9">
        <f>15634*(1)</f>
        <v>15634</v>
      </c>
      <c r="AY9" t="s">
        <v>339</v>
      </c>
      <c r="AZ9">
        <f>52674*(1)</f>
        <v>52674</v>
      </c>
      <c r="BA9" t="s">
        <v>340</v>
      </c>
      <c r="BB9">
        <f>38873*(1)</f>
        <v>38873</v>
      </c>
      <c r="BC9" t="s">
        <v>341</v>
      </c>
      <c r="BD9">
        <f>15139*(1)</f>
        <v>15139</v>
      </c>
      <c r="BE9" t="s">
        <v>342</v>
      </c>
      <c r="BF9">
        <f>14997*(1)</f>
        <v>14997</v>
      </c>
      <c r="BG9" t="s">
        <v>343</v>
      </c>
      <c r="BH9">
        <f>23902*(1)</f>
        <v>23902</v>
      </c>
      <c r="BI9" t="s">
        <v>344</v>
      </c>
      <c r="BJ9">
        <f>183949*(1)</f>
        <v>183949</v>
      </c>
      <c r="BK9" t="s">
        <v>345</v>
      </c>
      <c r="BL9">
        <f>48149*(1)</f>
        <v>48149</v>
      </c>
      <c r="BM9" t="s">
        <v>346</v>
      </c>
      <c r="BN9">
        <f>10309*(1)</f>
        <v>10309</v>
      </c>
      <c r="BO9" t="s">
        <v>347</v>
      </c>
      <c r="BP9">
        <f>217311*(1)</f>
        <v>217311</v>
      </c>
      <c r="BQ9" t="s">
        <v>348</v>
      </c>
      <c r="BR9">
        <f>14100*(1)</f>
        <v>14100</v>
      </c>
      <c r="BS9" t="s">
        <v>349</v>
      </c>
      <c r="BT9">
        <f>6270*(1)</f>
        <v>6270</v>
      </c>
      <c r="BU9" t="s">
        <v>350</v>
      </c>
      <c r="BV9">
        <f>32076*(1)</f>
        <v>32076</v>
      </c>
      <c r="BW9" t="s">
        <v>351</v>
      </c>
      <c r="BX9">
        <f>52701*(1)</f>
        <v>52701</v>
      </c>
      <c r="BY9" t="s">
        <v>352</v>
      </c>
      <c r="BZ9">
        <f>56699*(1)</f>
        <v>56699</v>
      </c>
      <c r="CA9" t="s">
        <v>353</v>
      </c>
    </row>
    <row r="10" spans="1:79" x14ac:dyDescent="0.3">
      <c r="A10" s="6" t="s">
        <v>354</v>
      </c>
      <c r="B10">
        <f>8472*(1)</f>
        <v>8472</v>
      </c>
      <c r="C10" t="s">
        <v>355</v>
      </c>
      <c r="D10">
        <f>162743*(1)</f>
        <v>162743</v>
      </c>
      <c r="E10" t="s">
        <v>356</v>
      </c>
      <c r="F10">
        <f>2951*(1)</f>
        <v>2951</v>
      </c>
      <c r="G10" t="s">
        <v>357</v>
      </c>
      <c r="H10">
        <f>10417*(1)</f>
        <v>10417</v>
      </c>
      <c r="I10" t="s">
        <v>248</v>
      </c>
      <c r="J10">
        <f>28931*(1)</f>
        <v>28931</v>
      </c>
      <c r="K10" t="s">
        <v>358</v>
      </c>
      <c r="L10">
        <f>5944*(1)</f>
        <v>5944</v>
      </c>
      <c r="M10" t="s">
        <v>359</v>
      </c>
      <c r="N10">
        <f>78403*(1)</f>
        <v>78403</v>
      </c>
      <c r="O10" t="s">
        <v>360</v>
      </c>
      <c r="P10">
        <f>21160*(1)</f>
        <v>21160</v>
      </c>
      <c r="Q10" t="s">
        <v>361</v>
      </c>
      <c r="R10">
        <f>6533*(1)</f>
        <v>6533</v>
      </c>
      <c r="S10" t="s">
        <v>362</v>
      </c>
      <c r="T10">
        <f>2855*(1)</f>
        <v>2855</v>
      </c>
      <c r="U10" t="s">
        <v>363</v>
      </c>
      <c r="V10">
        <f>19433*(1)</f>
        <v>19433</v>
      </c>
      <c r="W10" t="s">
        <v>364</v>
      </c>
      <c r="X10">
        <f>77502*(1)</f>
        <v>77502</v>
      </c>
      <c r="Y10" t="s">
        <v>365</v>
      </c>
      <c r="Z10">
        <f>4607*(1)</f>
        <v>4607</v>
      </c>
      <c r="AA10" t="s">
        <v>338</v>
      </c>
      <c r="AB10">
        <f>5204*(1)</f>
        <v>5204</v>
      </c>
      <c r="AC10" t="s">
        <v>366</v>
      </c>
      <c r="AD10">
        <f>26540*(1)</f>
        <v>26540</v>
      </c>
      <c r="AE10" t="s">
        <v>367</v>
      </c>
      <c r="AF10">
        <f>22581*(1)</f>
        <v>22581</v>
      </c>
      <c r="AG10" t="s">
        <v>368</v>
      </c>
      <c r="AH10">
        <f>71137*(1)</f>
        <v>71137</v>
      </c>
      <c r="AI10" t="s">
        <v>369</v>
      </c>
      <c r="AJ10">
        <f>19038*(1)</f>
        <v>19038</v>
      </c>
      <c r="AK10" t="s">
        <v>370</v>
      </c>
      <c r="AL10">
        <f>5439*(1)</f>
        <v>5439</v>
      </c>
      <c r="AM10" t="s">
        <v>371</v>
      </c>
      <c r="AN10">
        <f>11156*(1)</f>
        <v>11156</v>
      </c>
      <c r="AO10" t="s">
        <v>372</v>
      </c>
      <c r="AP10">
        <f>5272*(1)</f>
        <v>5272</v>
      </c>
      <c r="AQ10" t="s">
        <v>373</v>
      </c>
      <c r="AR10">
        <f>18876*(1)</f>
        <v>18876</v>
      </c>
      <c r="AS10" t="s">
        <v>374</v>
      </c>
      <c r="AT10">
        <f>42378*(1)</f>
        <v>42378</v>
      </c>
      <c r="AU10" t="s">
        <v>375</v>
      </c>
      <c r="AV10">
        <f>3659*(1)</f>
        <v>3659</v>
      </c>
      <c r="AW10" t="s">
        <v>376</v>
      </c>
      <c r="AX10">
        <f>9946*(1)</f>
        <v>9946</v>
      </c>
      <c r="AY10" t="s">
        <v>377</v>
      </c>
      <c r="AZ10">
        <f>30945*(1)</f>
        <v>30945</v>
      </c>
      <c r="BA10" t="s">
        <v>378</v>
      </c>
      <c r="BB10">
        <f>22763*(1)</f>
        <v>22763</v>
      </c>
      <c r="BC10" t="s">
        <v>379</v>
      </c>
      <c r="BD10">
        <f>6907*(1)</f>
        <v>6907</v>
      </c>
      <c r="BE10" t="s">
        <v>380</v>
      </c>
      <c r="BF10">
        <f>6915*(1)</f>
        <v>6915</v>
      </c>
      <c r="BG10" t="s">
        <v>381</v>
      </c>
      <c r="BH10">
        <f>11945*(1)</f>
        <v>11945</v>
      </c>
      <c r="BI10" t="s">
        <v>382</v>
      </c>
      <c r="BJ10">
        <f>134099*(1)</f>
        <v>134099</v>
      </c>
      <c r="BK10" t="s">
        <v>383</v>
      </c>
      <c r="BL10">
        <f>26890*(1)</f>
        <v>26890</v>
      </c>
      <c r="BM10" t="s">
        <v>384</v>
      </c>
      <c r="BN10">
        <f>3954*(1)</f>
        <v>3954</v>
      </c>
      <c r="BO10" t="s">
        <v>385</v>
      </c>
      <c r="BP10">
        <f>156892*(1)</f>
        <v>156892</v>
      </c>
      <c r="BQ10" t="s">
        <v>386</v>
      </c>
      <c r="BR10">
        <f>7559*(1)</f>
        <v>7559</v>
      </c>
      <c r="BS10" t="s">
        <v>387</v>
      </c>
      <c r="BT10">
        <f>3065*(1)</f>
        <v>3065</v>
      </c>
      <c r="BU10" t="s">
        <v>388</v>
      </c>
      <c r="BV10">
        <f>20232*(1)</f>
        <v>20232</v>
      </c>
      <c r="BW10" t="s">
        <v>389</v>
      </c>
      <c r="BX10">
        <f>30947*(1)</f>
        <v>30947</v>
      </c>
      <c r="BY10" t="s">
        <v>390</v>
      </c>
      <c r="BZ10">
        <f>33169*(1)</f>
        <v>33169</v>
      </c>
      <c r="CA10" t="s">
        <v>391</v>
      </c>
    </row>
  </sheetData>
  <mergeCells count="39">
    <mergeCell ref="BT1:BU1"/>
    <mergeCell ref="BV1:BW1"/>
    <mergeCell ref="BX1:BY1"/>
    <mergeCell ref="BZ1:CA1"/>
    <mergeCell ref="BJ1:BK1"/>
    <mergeCell ref="BL1:BM1"/>
    <mergeCell ref="BN1:BO1"/>
    <mergeCell ref="BP1:BQ1"/>
    <mergeCell ref="BR1:BS1"/>
    <mergeCell ref="AZ1:BA1"/>
    <mergeCell ref="BB1:BC1"/>
    <mergeCell ref="BD1:BE1"/>
    <mergeCell ref="BF1:BG1"/>
    <mergeCell ref="BH1:BI1"/>
    <mergeCell ref="AP1:AQ1"/>
    <mergeCell ref="AR1:AS1"/>
    <mergeCell ref="AT1:AU1"/>
    <mergeCell ref="AV1:AW1"/>
    <mergeCell ref="AX1:AY1"/>
    <mergeCell ref="AF1:AG1"/>
    <mergeCell ref="AH1:AI1"/>
    <mergeCell ref="AJ1:AK1"/>
    <mergeCell ref="AL1:AM1"/>
    <mergeCell ref="AN1:AO1"/>
    <mergeCell ref="V1:W1"/>
    <mergeCell ref="X1:Y1"/>
    <mergeCell ref="Z1:AA1"/>
    <mergeCell ref="AB1:AC1"/>
    <mergeCell ref="AD1:AE1"/>
    <mergeCell ref="L1:M1"/>
    <mergeCell ref="N1:O1"/>
    <mergeCell ref="P1:Q1"/>
    <mergeCell ref="R1:S1"/>
    <mergeCell ref="T1:U1"/>
    <mergeCell ref="B1:C1"/>
    <mergeCell ref="D1:E1"/>
    <mergeCell ref="F1:G1"/>
    <mergeCell ref="H1:I1"/>
    <mergeCell ref="J1:K1"/>
  </mergeCells>
  <printOptions gridLines="1"/>
  <pageMargins left="0.7" right="0.7" top="0.75" bottom="0.75" header="0.3" footer="0.3"/>
  <pageSetup pageOrder="overThenDown" orientation="landscape"/>
  <headerFooter>
    <oddHeader>&amp;LTable: ACSDT1Y2021.B29002</oddHeader>
    <oddFooter>&amp;L&amp;Bdata.census.gov&amp;B | Measuring America's People, Places, and Economy &amp;R&amp;P</oddFooter>
    <evenHeader>&amp;LTable: ACSDT1Y2021.B29002</evenHeader>
    <evenFooter>&amp;L&amp;Bdata.census.gov&amp;B | Measuring America's People, Places, and Economy &amp;R&amp;P</even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Information</vt:lpstr>
      <vt:lpstr>Data</vt:lpstr>
      <vt:lpstr>Data!Print_Titles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2022-10-24T03:04:23Z</dcterms:created>
  <dcterms:modified xsi:type="dcterms:W3CDTF">2022-10-24T03:05:30Z</dcterms:modified>
</cp:coreProperties>
</file>