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войства для наполнения" sheetId="1" r:id="rId4"/>
    <sheet state="visible" name="Для сопоставления" sheetId="2" r:id="rId5"/>
    <sheet state="visible" name="Класс стерилизатора (тип список" sheetId="3" r:id="rId6"/>
    <sheet state="visible" name="Тип загрузки (список)" sheetId="4" r:id="rId7"/>
    <sheet state="visible" name="Требуемые подключения (список)" sheetId="5" r:id="rId8"/>
    <sheet state="visible" name="Тип вентилятора (список)" sheetId="6" r:id="rId9"/>
    <sheet state="visible" name="Ротаметры (Флоуметры) (список)" sheetId="7" r:id="rId10"/>
    <sheet state="visible" name="Тип конструкции (список)" sheetId="8" r:id="rId11"/>
    <sheet state="visible" name="Источник света (список)" sheetId="9" r:id="rId12"/>
  </sheets>
  <definedNames/>
  <calcPr/>
  <extLst>
    <ext uri="GoogleSheetsCustomDataVersion2">
      <go:sheetsCustomData xmlns:go="http://customooxmlschemas.google.com/" r:id="rId13" roundtripDataChecksum="MXYiweWENhIqkFOCziMtgDRaUP7+36w9pn1z7pJBUhg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M2">
      <text>
        <t xml:space="preserve">======
ID#AAABRngEm-0
maksim    (2024-07-16 11:46:10)
Размер поля для ввода значения</t>
      </text>
    </comment>
    <comment authorId="0" ref="L2">
      <text>
        <t xml:space="preserve">======
ID#AAABRngEm-w
maksim    (2024-07-16 11:46:10)
Размер поля для ввода значения</t>
      </text>
    </comment>
    <comment authorId="0" ref="R2">
      <text>
        <t xml:space="preserve">======
ID#AAABRngEm-s
maksim    (2024-07-16 11:46:10)
Привязка к элементу</t>
      </text>
    </comment>
  </commentList>
  <extLst>
    <ext uri="GoogleSheetsCustomDataVersion2">
      <go:sheetsCustomData xmlns:go="http://customooxmlschemas.google.com/" r:id="rId1" roundtripDataSignature="AMtx7mgYL3MUOXRrIs2TnajWZTjK/bQmFg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">
      <text>
        <t xml:space="preserve">======
ID#AAABUSqbjT0
Анастасия Литвинюк    (2024-08-20 05:35:00)
Символьный код свойства</t>
      </text>
    </comment>
  </commentList>
  <extLst>
    <ext uri="GoogleSheetsCustomDataVersion2">
      <go:sheetsCustomData xmlns:go="http://customooxmlschemas.google.com/" r:id="rId1" roundtripDataSignature="AMtx7mjLCJww67hpwfcf36br6195A4SHdA=="/>
    </ext>
  </extLst>
</comments>
</file>

<file path=xl/sharedStrings.xml><?xml version="1.0" encoding="utf-8"?>
<sst xmlns="http://schemas.openxmlformats.org/spreadsheetml/2006/main" count="2510" uniqueCount="473">
  <si>
    <t>Обязательно для заполнения</t>
  </si>
  <si>
    <t>Необязательно для заполнения!</t>
  </si>
  <si>
    <t>ID</t>
  </si>
  <si>
    <t>Название</t>
  </si>
  <si>
    <t>Акт.</t>
  </si>
  <si>
    <t>Сорт.</t>
  </si>
  <si>
    <t>Символьный код св-ва</t>
  </si>
  <si>
    <t>Тип</t>
  </si>
  <si>
    <t>Множ. (Y/N)</t>
  </si>
  <si>
    <t>Обяз. (Y/N)</t>
  </si>
  <si>
    <t>Значения свойства участвуют в поиске (Y/N)</t>
  </si>
  <si>
    <t>Показывать в 
умном фильтре (Y/N)</t>
  </si>
  <si>
    <t>Значение по умолчанию</t>
  </si>
  <si>
    <t>Строк</t>
  </si>
  <si>
    <t>Столбцов</t>
  </si>
  <si>
    <t>?</t>
  </si>
  <si>
    <t>XML_ID</t>
  </si>
  <si>
    <t>Типы загружаемых файлов</t>
  </si>
  <si>
    <t>Кол-во полей для ввода новых множ. знач.</t>
  </si>
  <si>
    <t>id ИБ, если property_type=E</t>
  </si>
  <si>
    <t>Подсказка</t>
  </si>
  <si>
    <t>Категория, к которой принадлежит свойство</t>
  </si>
  <si>
    <t>old_id</t>
  </si>
  <si>
    <t>name</t>
  </si>
  <si>
    <t>active</t>
  </si>
  <si>
    <t>sort</t>
  </si>
  <si>
    <t>code</t>
  </si>
  <si>
    <t>property_type</t>
  </si>
  <si>
    <t>multiple</t>
  </si>
  <si>
    <t>is_required</t>
  </si>
  <si>
    <t>searchable</t>
  </si>
  <si>
    <t>filtrable</t>
  </si>
  <si>
    <t>default_value</t>
  </si>
  <si>
    <t>row_count</t>
  </si>
  <si>
    <t>col_count</t>
  </si>
  <si>
    <t>list_type</t>
  </si>
  <si>
    <t>xml_id</t>
  </si>
  <si>
    <t>file_type</t>
  </si>
  <si>
    <t>multiple_cnt</t>
  </si>
  <si>
    <t>link_iblock_id</t>
  </si>
  <si>
    <t>with_description</t>
  </si>
  <si>
    <t>version</t>
  </si>
  <si>
    <t>user_type</t>
  </si>
  <si>
    <t>user_type_settings</t>
  </si>
  <si>
    <t>hint</t>
  </si>
  <si>
    <t>Модель</t>
  </si>
  <si>
    <t>Y</t>
  </si>
  <si>
    <t>S</t>
  </si>
  <si>
    <t>N</t>
  </si>
  <si>
    <t>для всех</t>
  </si>
  <si>
    <t>Производитель</t>
  </si>
  <si>
    <t>Страна изготовления</t>
  </si>
  <si>
    <t>Срок гарантии</t>
  </si>
  <si>
    <t>Тип стерилизатора</t>
  </si>
  <si>
    <t>Стерилизаторы</t>
  </si>
  <si>
    <t>Класс стерилизатора</t>
  </si>
  <si>
    <t>L</t>
  </si>
  <si>
    <t>Объем камеры</t>
  </si>
  <si>
    <t>Размер (габариты)</t>
  </si>
  <si>
    <t>УЗИ аппараты</t>
  </si>
  <si>
    <t>Вес</t>
  </si>
  <si>
    <t>Стерилизаторы, Фетальные мониторы, Наркозно-дыхательные аппараты, Прикроватные мониторы, Операционные столы, Офтальмоскопы, Периметры, Радиовизиографы, Электрокоагуляторы, Аспираторы вакуумные, Аудиометры, Налобные осветители, Больничные тележки, дефибрилляторы, Светильники медицинские</t>
  </si>
  <si>
    <t>Мощность</t>
  </si>
  <si>
    <t>Питание</t>
  </si>
  <si>
    <t>Максимальная температура</t>
  </si>
  <si>
    <t>Давление стерилизации</t>
  </si>
  <si>
    <t>Диапазон температур</t>
  </si>
  <si>
    <t>Система контроля качества стерилизации</t>
  </si>
  <si>
    <t>Материал камеры</t>
  </si>
  <si>
    <t>Тип управления</t>
  </si>
  <si>
    <t>Наличие принтера</t>
  </si>
  <si>
    <t>B</t>
  </si>
  <si>
    <t>Наличие дисплея</t>
  </si>
  <si>
    <t>Тип дисплея</t>
  </si>
  <si>
    <t>Наличие звуковой сигнализации</t>
  </si>
  <si>
    <t>Наличие сушильного цикла</t>
  </si>
  <si>
    <t>Тип загрузки</t>
  </si>
  <si>
    <t>Наличие ваккумного насоса</t>
  </si>
  <si>
    <t>Наличие системы блокировки двери</t>
  </si>
  <si>
    <t>Автоматическое выключение</t>
  </si>
  <si>
    <t>Требуемые подключения</t>
  </si>
  <si>
    <t>Уровень стерилизации</t>
  </si>
  <si>
    <t>Комплектация</t>
  </si>
  <si>
    <t>Средняя наработка на отказ</t>
  </si>
  <si>
    <t>Уровень шума</t>
  </si>
  <si>
    <t>Дополнительное описание</t>
  </si>
  <si>
    <t>Стандарт безопасности</t>
  </si>
  <si>
    <t>Ультрафиолетовые камеры для инструментов</t>
  </si>
  <si>
    <t>Тип УФ-камеры</t>
  </si>
  <si>
    <t>Конфигурация (тип) лампы</t>
  </si>
  <si>
    <t>Мощность одной лампы, Вт</t>
  </si>
  <si>
    <t>Общая мощность УФ-излучения</t>
  </si>
  <si>
    <t>Количество ламп, шт</t>
  </si>
  <si>
    <t>Диапазон рабочих температур</t>
  </si>
  <si>
    <t>Таймер длительности УФ-воздействия на пациента</t>
  </si>
  <si>
    <t>Счетчик наработки ламп и индикатор работы ламп</t>
  </si>
  <si>
    <t>Естественная система вентиляции закрытых камер</t>
  </si>
  <si>
    <t>Время непрерывной работы</t>
  </si>
  <si>
    <t>Материал корпуса</t>
  </si>
  <si>
    <t>Габаритные размеры, (ДхШхВ) мм,</t>
  </si>
  <si>
    <t>Масса, кг</t>
  </si>
  <si>
    <t xml:space="preserve">Комплектация </t>
  </si>
  <si>
    <t>Размеры</t>
  </si>
  <si>
    <t>Светильники медицинские</t>
  </si>
  <si>
    <t>Класс (тип)</t>
  </si>
  <si>
    <t>Количество куполов</t>
  </si>
  <si>
    <t>Тип светильника</t>
  </si>
  <si>
    <t>Источник света (тип лампы)</t>
  </si>
  <si>
    <t>Срок службы  ламп (источника)</t>
  </si>
  <si>
    <t>Регулировка направления</t>
  </si>
  <si>
    <t>Регулировка угла наклона</t>
  </si>
  <si>
    <t>Корпус лампы поворачивается вокруг стояка</t>
  </si>
  <si>
    <t>Регулировка цветовой температуры</t>
  </si>
  <si>
    <t>Регулировка яркости</t>
  </si>
  <si>
    <t>Максимальная Центральная Освещенность</t>
  </si>
  <si>
    <t>Размер (диаметр) светового поля (мм)</t>
  </si>
  <si>
    <t>Цветовая температура, К</t>
  </si>
  <si>
    <t>Интенсивность освещения</t>
  </si>
  <si>
    <t>Яркость</t>
  </si>
  <si>
    <t>Эндо-режим</t>
  </si>
  <si>
    <t>Угол распространения света</t>
  </si>
  <si>
    <t>Частота, Гц</t>
  </si>
  <si>
    <t>Минимальная высота установки (мм)</t>
  </si>
  <si>
    <t>Мощность, Вт</t>
  </si>
  <si>
    <t>Общая освещенность (Вт/м2)</t>
  </si>
  <si>
    <t>Номинальная освещенность</t>
  </si>
  <si>
    <t>Диаметр корпуса лампы</t>
  </si>
  <si>
    <t>Дополнительные функции</t>
  </si>
  <si>
    <t>Наличие аккумулятора (для бесперебойной работы)</t>
  </si>
  <si>
    <t xml:space="preserve">Время работы от аккумулятора (указывается в часах) </t>
  </si>
  <si>
    <t>Материал каркаса</t>
  </si>
  <si>
    <t>Гинекологические кресла</t>
  </si>
  <si>
    <t>Материал обивки</t>
  </si>
  <si>
    <t>Высота</t>
  </si>
  <si>
    <t>Гинекологические кресла,  Фетальные мониторы, Наркозно-дыхательные аппараты, Прикроватные мониторы, Операционные столы, Офтальмоскопы, Периметры, Радиовизиографы, Электрокоагуляторы, Аспираторы вакуумные, Аудиометры, Налобные осветители, Больничные тележки, дефибрилляторы</t>
  </si>
  <si>
    <t>Регулировка высоты</t>
  </si>
  <si>
    <t xml:space="preserve">Ширина </t>
  </si>
  <si>
    <t>Налобные осветители, Аудиометры, Аспираторы вакуумные, Электрокоагуляторы, Радиовизиографы, Периметры, Офтальмоскопы, Операционные столы, Дефибрилляторы, Больничные тележки, Прикроватные мониторы, Наркозно-дыхательные аппараты, Фетальные мониторы, Гинекологические кресла</t>
  </si>
  <si>
    <t>Максимальная  нагрузка кг</t>
  </si>
  <si>
    <t>Дополнительные опции</t>
  </si>
  <si>
    <t>Длина</t>
  </si>
  <si>
    <t>Регулировка наклона</t>
  </si>
  <si>
    <t>Подлокотники</t>
  </si>
  <si>
    <t>Подголовник</t>
  </si>
  <si>
    <t>Наличие ножных упоров</t>
  </si>
  <si>
    <t>Градус поворота ножных упоров</t>
  </si>
  <si>
    <t>Наличие колесиков</t>
  </si>
  <si>
    <t>Регулировка спинки</t>
  </si>
  <si>
    <t>Угол поворота регулировки спинки</t>
  </si>
  <si>
    <t>Тип кресла</t>
  </si>
  <si>
    <t>Регулировка высоты, спинной и тазовой секций кресла</t>
  </si>
  <si>
    <t>Независимая регулировка углов наклона спинной и тазовой секции</t>
  </si>
  <si>
    <t>Положение Тренделенбурга</t>
  </si>
  <si>
    <t xml:space="preserve">Если электрическое </t>
  </si>
  <si>
    <t>Описание</t>
  </si>
  <si>
    <t>Фетальные мониторы</t>
  </si>
  <si>
    <t>Наличие монитора</t>
  </si>
  <si>
    <t>Тип монитора</t>
  </si>
  <si>
    <t>Диагональ монитора</t>
  </si>
  <si>
    <t>Печать данных</t>
  </si>
  <si>
    <t>Ширина бумаги мм</t>
  </si>
  <si>
    <t>Аудио-выход для наушников</t>
  </si>
  <si>
    <t>Порт USB для сохранения результатов анализа</t>
  </si>
  <si>
    <t>Порт стандарта VGA для подсоединения внешнего монитора</t>
  </si>
  <si>
    <t>Резервная память</t>
  </si>
  <si>
    <t>Набор зондов</t>
  </si>
  <si>
    <t>Диапазон TOCO, ед.</t>
  </si>
  <si>
    <t>Диапазон определения сердцебиения плода</t>
  </si>
  <si>
    <t>Частота ультразвукового сигнала</t>
  </si>
  <si>
    <t>Диапазон ЧСС</t>
  </si>
  <si>
    <t>Точность ЧСС, ВРМ</t>
  </si>
  <si>
    <t>Колличество иследуемых плодов</t>
  </si>
  <si>
    <t>Область применения</t>
  </si>
  <si>
    <t>Параметры мониторинга</t>
  </si>
  <si>
    <t>Подключение к компьютеру</t>
  </si>
  <si>
    <t>Датчики</t>
  </si>
  <si>
    <t>Встроенные функции</t>
  </si>
  <si>
    <t>Автоматический анализ состояния плода/плодов</t>
  </si>
  <si>
    <t xml:space="preserve">Возможность исследование матери </t>
  </si>
  <si>
    <t>Тип детектора</t>
  </si>
  <si>
    <t>Маммографы</t>
  </si>
  <si>
    <t>Тип аппарата</t>
  </si>
  <si>
    <t>Размер монитора</t>
  </si>
  <si>
    <t>Размер матрицы</t>
  </si>
  <si>
    <t>Сенсорный дисплей</t>
  </si>
  <si>
    <t>Функция увеличения изображения</t>
  </si>
  <si>
    <t>Экран исследований</t>
  </si>
  <si>
    <t>Тип компрессии</t>
  </si>
  <si>
    <t>Память</t>
  </si>
  <si>
    <t>Жесткий диск</t>
  </si>
  <si>
    <t>Скорость и эффективность работы</t>
  </si>
  <si>
    <t>Возможности настройки контрастности и плотности</t>
  </si>
  <si>
    <t>Аксессуары</t>
  </si>
  <si>
    <t>Встроенный привод</t>
  </si>
  <si>
    <t>Угол поворота</t>
  </si>
  <si>
    <t>Требования к электропитанию</t>
  </si>
  <si>
    <t>Томосинтез</t>
  </si>
  <si>
    <t>Возможность биопсии</t>
  </si>
  <si>
    <t>3D-позиционирование пациента</t>
  </si>
  <si>
    <t>Стол для горизонтальной биопсии</t>
  </si>
  <si>
    <t>Размер области сканирования мм</t>
  </si>
  <si>
    <t>Варианты контролирования экспозиции</t>
  </si>
  <si>
    <t>Наклонный штатив</t>
  </si>
  <si>
    <t>Энергия рентгеновского излучения</t>
  </si>
  <si>
    <t>Толщина сжатой ткани мм</t>
  </si>
  <si>
    <t>Доза облучения мЗв</t>
  </si>
  <si>
    <t>Сертификация и стандарты</t>
  </si>
  <si>
    <t>Наркозно-дыхательные аппараты</t>
  </si>
  <si>
    <t>Класс аппарата</t>
  </si>
  <si>
    <t>Экран</t>
  </si>
  <si>
    <t>Размер экрана</t>
  </si>
  <si>
    <t>Тип экрана</t>
  </si>
  <si>
    <t xml:space="preserve">Управление </t>
  </si>
  <si>
    <t>Для новорожденных</t>
  </si>
  <si>
    <t>Возможность регулировки объема вдоха и давления</t>
  </si>
  <si>
    <t>Установка испарителей по анестетик шт</t>
  </si>
  <si>
    <t>Анестетик</t>
  </si>
  <si>
    <t xml:space="preserve">Дополнительные функции </t>
  </si>
  <si>
    <t>Тип контура</t>
  </si>
  <si>
    <t>Источник питания, Автономная работа</t>
  </si>
  <si>
    <t>Тип привода</t>
  </si>
  <si>
    <t>Диапазон давления воздуха</t>
  </si>
  <si>
    <t>Тип вентилятора</t>
  </si>
  <si>
    <t>Рейлинги для крепления и дополнительный ряд розеток</t>
  </si>
  <si>
    <t>Ротаметры (Флоуметры)</t>
  </si>
  <si>
    <t>Дыхательный контур</t>
  </si>
  <si>
    <t>Типы мониторинга</t>
  </si>
  <si>
    <t>Диапазон настройки дыхательного объема</t>
  </si>
  <si>
    <t>Нагревательный элемент</t>
  </si>
  <si>
    <t>Порт связи</t>
  </si>
  <si>
    <t>Режимы просмотра трендов</t>
  </si>
  <si>
    <t>Пульсоксиметрия</t>
  </si>
  <si>
    <t>Модуль НМП (NMT)</t>
  </si>
  <si>
    <t>Модуль BIS</t>
  </si>
  <si>
    <t>Система увлажнения и нагрева</t>
  </si>
  <si>
    <t>Мультигаз без О2 (AG)</t>
  </si>
  <si>
    <t>Капнометрия (СО2) прямой поток</t>
  </si>
  <si>
    <t>Капнометрия (СО2) боковой поток</t>
  </si>
  <si>
    <t>CPAP/PS</t>
  </si>
  <si>
    <t>Динамическая компенсация для свежей газовой смеси</t>
  </si>
  <si>
    <t xml:space="preserve">Компактный дыхательный контур с обходным шунтом
 для СО2 </t>
  </si>
  <si>
    <t xml:space="preserve">Система активного удаления отработанных газов </t>
  </si>
  <si>
    <t xml:space="preserve">Тип подключений </t>
  </si>
  <si>
    <t>Прикроватные мониторы</t>
  </si>
  <si>
    <t xml:space="preserve">Язык меню </t>
  </si>
  <si>
    <t>Размер дисплея</t>
  </si>
  <si>
    <t>Возможность подключения периферии (расходных материалов для мониторирования детей</t>
  </si>
  <si>
    <t xml:space="preserve">Возможность подключения к центральной рабочей станции </t>
  </si>
  <si>
    <t>Термопринтер</t>
  </si>
  <si>
    <t>Пульт ДУ</t>
  </si>
  <si>
    <t>Фиксируемые тренды</t>
  </si>
  <si>
    <t>Число отображаемых кривых 
ЭКГ</t>
  </si>
  <si>
    <t>Капнография (СO2)</t>
  </si>
  <si>
    <t>Звуковая сигнализация
тревог</t>
  </si>
  <si>
    <t>Световая сигнализация</t>
  </si>
  <si>
    <t xml:space="preserve">Встроенный аккумулятор </t>
  </si>
  <si>
    <t>Время работы встроенного 
аккумулятора</t>
  </si>
  <si>
    <t>Напряжение</t>
  </si>
  <si>
    <t xml:space="preserve">Диапазон измерений ЧСС </t>
  </si>
  <si>
    <t>ЭЭГ модуль</t>
  </si>
  <si>
    <t>Количество стандартных отведений</t>
  </si>
  <si>
    <t>Высота матраса см</t>
  </si>
  <si>
    <t>Больничные тележки</t>
  </si>
  <si>
    <t>Тип конструкции</t>
  </si>
  <si>
    <t>Высота от пола</t>
  </si>
  <si>
    <t>Материал изготовления</t>
  </si>
  <si>
    <t>Грузоподъемность кг</t>
  </si>
  <si>
    <t>Количество секций</t>
  </si>
  <si>
    <t>Наклон головной секции</t>
  </si>
  <si>
    <t>Наклон спинной секции</t>
  </si>
  <si>
    <t>Инфузионная стойка</t>
  </si>
  <si>
    <t>Съемные и навесные емкости</t>
  </si>
  <si>
    <t>Тип колес</t>
  </si>
  <si>
    <t>Диаметр колес</t>
  </si>
  <si>
    <t>Глубина мм</t>
  </si>
  <si>
    <t>Дефибрилляторы</t>
  </si>
  <si>
    <t>Тип прибора</t>
  </si>
  <si>
    <t>Способ управления</t>
  </si>
  <si>
    <t>Тип монитора (для дефибрилляторов с монитором)</t>
  </si>
  <si>
    <t>Режим работы</t>
  </si>
  <si>
    <t>Количество разрядов</t>
  </si>
  <si>
    <t>Время заряда батареи ч</t>
  </si>
  <si>
    <t>Мощность разряда</t>
  </si>
  <si>
    <t>Уровень заряда батареи</t>
  </si>
  <si>
    <t>Возможность питания от сети
автомобиля</t>
  </si>
  <si>
    <t>Bluetooth</t>
  </si>
  <si>
    <t>Звуковые сигналы тревоги</t>
  </si>
  <si>
    <t>Запись данных</t>
  </si>
  <si>
    <t>Световые индикаторы</t>
  </si>
  <si>
    <t>Измеряемые параметры</t>
  </si>
  <si>
    <t>Анализ аритмий</t>
  </si>
  <si>
    <t>Дополниельные опции</t>
  </si>
  <si>
    <t>Разъемы</t>
  </si>
  <si>
    <t>Электроды</t>
  </si>
  <si>
    <t>Тип импульса дефибрилляции</t>
  </si>
  <si>
    <t>Грузоподъемность, кг</t>
  </si>
  <si>
    <t>Операционные столы</t>
  </si>
  <si>
    <t>Назначение</t>
  </si>
  <si>
    <t>Конструкция</t>
  </si>
  <si>
    <t>Приводной механизм</t>
  </si>
  <si>
    <t>Рентгенопропускная способность</t>
  </si>
  <si>
    <t>Положение пациента</t>
  </si>
  <si>
    <t>Угла наклона столешницы</t>
  </si>
  <si>
    <t>Угл наклона право/лево</t>
  </si>
  <si>
    <t>Дополнительное оснащение</t>
  </si>
  <si>
    <t>Тип устройства</t>
  </si>
  <si>
    <t>Офтальмоскопы</t>
  </si>
  <si>
    <t xml:space="preserve">Увеличение </t>
  </si>
  <si>
    <t>Источник света</t>
  </si>
  <si>
    <t>Световые фильтры</t>
  </si>
  <si>
    <t>Тип апертуры</t>
  </si>
  <si>
    <t>Колесо апертур</t>
  </si>
  <si>
    <t>Количество линз шт</t>
  </si>
  <si>
    <t>Тип линз</t>
  </si>
  <si>
    <t>Регулировка фокуса</t>
  </si>
  <si>
    <t>Оборудование</t>
  </si>
  <si>
    <t>Периметры</t>
  </si>
  <si>
    <t>Тип периметрии</t>
  </si>
  <si>
    <t>Метод исследования</t>
  </si>
  <si>
    <t>Стратегии</t>
  </si>
  <si>
    <t>Тестовые паттерны</t>
  </si>
  <si>
    <t>Анализ результатов</t>
  </si>
  <si>
    <t>Диаметр дуги мм</t>
  </si>
  <si>
    <t>Расстояние (Глаз - точка фиксации)</t>
  </si>
  <si>
    <t>Поворот дуги вокруг горизонтальной оси</t>
  </si>
  <si>
    <t>Пределы исследования поля зрения</t>
  </si>
  <si>
    <t>Цена деления шкалы дуги</t>
  </si>
  <si>
    <t>Цена деления дисковой шкалы</t>
  </si>
  <si>
    <t>Пределы абсолютной погрешности</t>
  </si>
  <si>
    <t>Диапазон для измерения поля зрения</t>
  </si>
  <si>
    <t>Радиус сферы</t>
  </si>
  <si>
    <t>Число стимулов</t>
  </si>
  <si>
    <t>Параметры стимула</t>
  </si>
  <si>
    <t>Продолжительность предъявления стимула</t>
  </si>
  <si>
    <t>Частота посыла стимулов</t>
  </si>
  <si>
    <t>Цвет пятна стимуляции</t>
  </si>
  <si>
    <t>Время для исследования</t>
  </si>
  <si>
    <t>Звуковая сигнализация</t>
  </si>
  <si>
    <t>Варианты для фиксация взгляда</t>
  </si>
  <si>
    <t>Выбор фиксация взгляда</t>
  </si>
  <si>
    <t>Электропитание</t>
  </si>
  <si>
    <t>Регистрационное удостоверение</t>
  </si>
  <si>
    <t>Радиовизиографы</t>
  </si>
  <si>
    <t>Тип датчика</t>
  </si>
  <si>
    <t>Принцип работы</t>
  </si>
  <si>
    <t>Доза облучения</t>
  </si>
  <si>
    <t>Размер пикселей</t>
  </si>
  <si>
    <t xml:space="preserve">Пиксельная матрица
</t>
  </si>
  <si>
    <t>Тип матрицы</t>
  </si>
  <si>
    <t>Уровень серого</t>
  </si>
  <si>
    <t xml:space="preserve">Оптическое разрешение	</t>
  </si>
  <si>
    <t>Длина кабеля</t>
  </si>
  <si>
    <t>Разъем/тип подключения</t>
  </si>
  <si>
    <t>Диапазон динамического захвата</t>
  </si>
  <si>
    <t>Время экспозиции</t>
  </si>
  <si>
    <t>Защита от влаги и пыли</t>
  </si>
  <si>
    <t>Вес сенсора</t>
  </si>
  <si>
    <t>Размер активной области датчика</t>
  </si>
  <si>
    <t>Толщина датчика</t>
  </si>
  <si>
    <t>Система считывания</t>
  </si>
  <si>
    <t>Защита матрицы</t>
  </si>
  <si>
    <t>Поддерживаемые операционные системы</t>
  </si>
  <si>
    <t>Рабочее напряжение</t>
  </si>
  <si>
    <t>Температурный диапазон эксплуатации</t>
  </si>
  <si>
    <t>Совместимость со стоматологическим ПО</t>
  </si>
  <si>
    <t>Тип работы</t>
  </si>
  <si>
    <t>Электрокоагуляторы</t>
  </si>
  <si>
    <t>Поддержка различных режимов</t>
  </si>
  <si>
    <t>Наличие дополнительных функций</t>
  </si>
  <si>
    <t>Частота работы</t>
  </si>
  <si>
    <t>Размер электрода</t>
  </si>
  <si>
    <t>Тип электрода</t>
  </si>
  <si>
    <t>Система охлаждения</t>
  </si>
  <si>
    <t>Дисплей</t>
  </si>
  <si>
    <t>Возможность подключения 
аргона</t>
  </si>
  <si>
    <t>Мощность\Производительность</t>
  </si>
  <si>
    <t>Аспираторы вакуумные</t>
  </si>
  <si>
    <t>Регулировка мощности\производительности</t>
  </si>
  <si>
    <t>Максимальный вакуум (диапозон)</t>
  </si>
  <si>
    <t>Вместимость емкостей</t>
  </si>
  <si>
    <t>Количество емкостей</t>
  </si>
  <si>
    <t>Тип питания</t>
  </si>
  <si>
    <t>Тип отсасывателя</t>
  </si>
  <si>
    <t>Сменные воздушные фильтры</t>
  </si>
  <si>
    <t>Защита от переливания</t>
  </si>
  <si>
    <t>Оснащение</t>
  </si>
  <si>
    <t>Управление прибором</t>
  </si>
  <si>
    <t>Источник питания</t>
  </si>
  <si>
    <t>Переносная модель</t>
  </si>
  <si>
    <t>Тип аудиометра</t>
  </si>
  <si>
    <t>Аудиометры</t>
  </si>
  <si>
    <t>Тип проводимости</t>
  </si>
  <si>
    <t>Частотный диапазон</t>
  </si>
  <si>
    <t>Уровень громкости</t>
  </si>
  <si>
    <t>Точность измерения</t>
  </si>
  <si>
    <t>Тип теста</t>
  </si>
  <si>
    <t>Программное обеспечение</t>
  </si>
  <si>
    <t>Интерфейсы</t>
  </si>
  <si>
    <t>Печать</t>
  </si>
  <si>
    <t>Встроенный микрофон с регулятором 
громкости</t>
  </si>
  <si>
    <t>S (б)</t>
  </si>
  <si>
    <t>Виды сигналов</t>
  </si>
  <si>
    <t>Маскировка во время исследования 
осуществляется</t>
  </si>
  <si>
    <t>Клинические тесты</t>
  </si>
  <si>
    <t>Речевая аудиометрия</t>
  </si>
  <si>
    <t>Уровень маскировки</t>
  </si>
  <si>
    <t>Совместимость с базой данных NOAH</t>
  </si>
  <si>
    <t>Сохранение аудиограмм в памяти 
аудиометра</t>
  </si>
  <si>
    <t>Автоматическое определение порога слуха</t>
  </si>
  <si>
    <t>Калибровка</t>
  </si>
  <si>
    <t>Портативность</t>
  </si>
  <si>
    <t>Память для данных</t>
  </si>
  <si>
    <t>Тип источника света</t>
  </si>
  <si>
    <t>Налобные осветители</t>
  </si>
  <si>
    <t>Цветовая температура</t>
  </si>
  <si>
    <t>Световой поток</t>
  </si>
  <si>
    <t>Дистанция освещения</t>
  </si>
  <si>
    <t>Время работы от аккумулятора</t>
  </si>
  <si>
    <t>Тип батареи</t>
  </si>
  <si>
    <t>Срок службы ламп</t>
  </si>
  <si>
    <t xml:space="preserve">Яркость </t>
  </si>
  <si>
    <t>Угол наклона</t>
  </si>
  <si>
    <t>Угол светового конуса</t>
  </si>
  <si>
    <t>Аккумулятор, емкость</t>
  </si>
  <si>
    <t>Водонепроницаемость</t>
  </si>
  <si>
    <t>Крепление</t>
  </si>
  <si>
    <t>Регулировка диаметра 
светового круга</t>
  </si>
  <si>
    <t>Регулировка направления света</t>
  </si>
  <si>
    <t>Характеристики бинокулярной лупы</t>
  </si>
  <si>
    <t>Тип файла</t>
  </si>
  <si>
    <t>Число</t>
  </si>
  <si>
    <t>Любые</t>
  </si>
  <si>
    <t>Строка</t>
  </si>
  <si>
    <t>Изображения</t>
  </si>
  <si>
    <t>jpg, gif, bmp, png, jpeg, webp</t>
  </si>
  <si>
    <t>Список</t>
  </si>
  <si>
    <t>Звуки</t>
  </si>
  <si>
    <t>mp3, wav, midi, snd, au, wma</t>
  </si>
  <si>
    <t>Привязка к элементу</t>
  </si>
  <si>
    <t>E</t>
  </si>
  <si>
    <t>Видео</t>
  </si>
  <si>
    <t>mpg, avi, wmv, mpeg, mpe, flv</t>
  </si>
  <si>
    <t>Файл</t>
  </si>
  <si>
    <t>F</t>
  </si>
  <si>
    <t>Документы</t>
  </si>
  <si>
    <t>doc, txt, rtf</t>
  </si>
  <si>
    <t>Булево</t>
  </si>
  <si>
    <t>Значение</t>
  </si>
  <si>
    <t>Умолч.</t>
  </si>
  <si>
    <t>value</t>
  </si>
  <si>
    <t>def</t>
  </si>
  <si>
    <t>property_code</t>
  </si>
  <si>
    <t>Sterilizer class</t>
  </si>
  <si>
    <t>Горизонтальная</t>
  </si>
  <si>
    <t>Load Type</t>
  </si>
  <si>
    <t>Вертикальная</t>
  </si>
  <si>
    <t>Канализация</t>
  </si>
  <si>
    <t>Required Connections</t>
  </si>
  <si>
    <t>Вода</t>
  </si>
  <si>
    <t>Сжатый воздух</t>
  </si>
  <si>
    <t>Пневматический привод</t>
  </si>
  <si>
    <t>Fan type</t>
  </si>
  <si>
    <t>Электрический привод</t>
  </si>
  <si>
    <t>Механический</t>
  </si>
  <si>
    <t>Rotameters (Flowmeters)</t>
  </si>
  <si>
    <t>Электронный</t>
  </si>
  <si>
    <t xml:space="preserve">Жесткая </t>
  </si>
  <si>
    <t>Construction type</t>
  </si>
  <si>
    <t>Мягкая</t>
  </si>
  <si>
    <t>Галогенный</t>
  </si>
  <si>
    <t>Light source</t>
  </si>
  <si>
    <t>Светодиодный</t>
  </si>
  <si>
    <t>Ксеноновый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</si>
</sst>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b/>
      <sz val="10.0"/>
      <color theme="1"/>
      <name val="Calibri"/>
    </font>
    <font>
      <sz val="11.0"/>
      <color theme="1"/>
      <name val="Calibri"/>
    </font>
    <font>
      <sz val="11.0"/>
      <color rgb="FFFF0000"/>
      <name val="Calibri"/>
    </font>
    <font>
      <color theme="1"/>
      <name val="Arial"/>
    </font>
    <font>
      <sz val="11.0"/>
      <color rgb="FF000000"/>
      <name val="Calibri"/>
    </font>
    <font>
      <color theme="1"/>
      <name val="&quot;YS Text&quot;"/>
    </font>
    <font>
      <color rgb="FF000000"/>
      <name val="Arial"/>
    </font>
    <font>
      <sz val="11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  <fill>
      <patternFill patternType="solid">
        <fgColor rgb="FFC55A11"/>
        <bgColor rgb="FFC55A11"/>
      </patternFill>
    </fill>
    <fill>
      <patternFill patternType="solid">
        <fgColor rgb="FFFEF2CB"/>
        <bgColor rgb="FFFEF2CB"/>
      </patternFill>
    </fill>
    <fill>
      <patternFill patternType="solid">
        <fgColor rgb="FFF7CAAC"/>
        <bgColor rgb="FFF7CAAC"/>
      </patternFill>
    </fill>
    <fill>
      <patternFill patternType="solid">
        <fgColor rgb="FFDEEAF6"/>
        <bgColor rgb="FFDEEAF6"/>
      </patternFill>
    </fill>
    <fill>
      <patternFill patternType="solid">
        <fgColor rgb="FFBDD6EE"/>
        <bgColor rgb="FFBDD6EE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5B9BD5"/>
        <bgColor rgb="FF5B9BD5"/>
      </patternFill>
    </fill>
  </fills>
  <borders count="22">
    <border/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000000"/>
      </right>
    </border>
    <border>
      <right style="thin">
        <color rgb="FFFFFFFF"/>
      </right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bottom style="thin">
        <color rgb="FFD8DEE4"/>
      </bottom>
    </border>
    <border>
      <left style="thin">
        <color rgb="FFD0D7DE"/>
      </left>
      <right style="thin">
        <color rgb="FFD0D7DE"/>
      </right>
      <bottom style="thin">
        <color rgb="FFD0D7DE"/>
      </bottom>
    </border>
    <border>
      <left style="thin">
        <color rgb="FFD0D7DE"/>
      </left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0" fontId="2" numFmtId="0" xfId="0" applyBorder="1" applyFont="1"/>
    <xf borderId="3" fillId="0" fontId="2" numFmtId="0" xfId="0" applyBorder="1" applyFont="1"/>
    <xf borderId="1" fillId="3" fontId="1" numFmtId="0" xfId="0" applyAlignment="1" applyBorder="1" applyFill="1" applyFont="1">
      <alignment horizontal="center" shrinkToFit="0" wrapText="1"/>
    </xf>
    <xf borderId="0" fillId="3" fontId="3" numFmtId="0" xfId="0" applyFont="1"/>
    <xf borderId="4" fillId="4" fontId="1" numFmtId="0" xfId="0" applyAlignment="1" applyBorder="1" applyFill="1" applyFont="1">
      <alignment horizontal="center" shrinkToFit="0" vertical="center" wrapText="1"/>
    </xf>
    <xf borderId="4" fillId="5" fontId="1" numFmtId="0" xfId="0" applyAlignment="1" applyBorder="1" applyFill="1" applyFont="1">
      <alignment horizontal="center" readingOrder="0"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4" fillId="5" fontId="4" numFmtId="0" xfId="0" applyAlignment="1" applyBorder="1" applyFont="1">
      <alignment horizontal="center" shrinkToFit="0" vertical="center" wrapText="1"/>
    </xf>
    <xf borderId="0" fillId="5" fontId="3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wrapText="1"/>
    </xf>
    <xf borderId="0" fillId="6" fontId="7" numFmtId="49" xfId="0" applyAlignment="1" applyFill="1" applyFont="1" applyNumberFormat="1">
      <alignment readingOrder="0" shrinkToFit="0" vertical="bottom" wrapText="1"/>
    </xf>
    <xf borderId="0" fillId="0" fontId="6" numFmtId="49" xfId="0" applyAlignment="1" applyFont="1" applyNumberFormat="1">
      <alignment horizontal="center" shrinkToFit="0" wrapText="1"/>
    </xf>
    <xf borderId="0" fillId="0" fontId="6" numFmtId="49" xfId="0" applyAlignment="1" applyFont="1" applyNumberFormat="1">
      <alignment shrinkToFit="0" wrapText="1"/>
    </xf>
    <xf borderId="0" fillId="0" fontId="6" numFmtId="49" xfId="0" applyAlignment="1" applyFont="1" applyNumberFormat="1">
      <alignment horizontal="center" readingOrder="0" shrinkToFit="0" wrapText="1"/>
    </xf>
    <xf borderId="0" fillId="0" fontId="6" numFmtId="0" xfId="0" applyAlignment="1" applyFont="1">
      <alignment shrinkToFit="0" wrapText="1"/>
    </xf>
    <xf borderId="0" fillId="0" fontId="8" numFmtId="0" xfId="0" applyAlignment="1" applyFont="1">
      <alignment readingOrder="0" shrinkToFit="0" wrapText="1"/>
    </xf>
    <xf borderId="0" fillId="0" fontId="6" numFmtId="0" xfId="0" applyFont="1"/>
    <xf borderId="0" fillId="7" fontId="7" numFmtId="49" xfId="0" applyAlignment="1" applyFill="1" applyFont="1" applyNumberFormat="1">
      <alignment shrinkToFit="0" vertical="bottom" wrapText="1"/>
    </xf>
    <xf borderId="0" fillId="7" fontId="7" numFmtId="49" xfId="0" applyAlignment="1" applyFont="1" applyNumberFormat="1">
      <alignment readingOrder="0" shrinkToFit="0" vertical="bottom" wrapText="1"/>
    </xf>
    <xf borderId="0" fillId="0" fontId="5" numFmtId="0" xfId="0" applyAlignment="1" applyFont="1">
      <alignment horizontal="center" shrinkToFit="0" wrapText="1"/>
    </xf>
    <xf borderId="0" fillId="0" fontId="5" numFmtId="49" xfId="0" applyAlignment="1" applyFont="1" applyNumberFormat="1">
      <alignment shrinkToFit="0" wrapText="1"/>
    </xf>
    <xf borderId="0" fillId="0" fontId="3" numFmtId="0" xfId="0" applyAlignment="1" applyFont="1">
      <alignment shrinkToFit="0" wrapText="1"/>
    </xf>
    <xf borderId="0" fillId="0" fontId="5" numFmtId="49" xfId="0" applyAlignment="1" applyFont="1" applyNumberFormat="1">
      <alignment horizontal="center" shrinkToFit="0" wrapText="1"/>
    </xf>
    <xf borderId="5" fillId="7" fontId="7" numFmtId="49" xfId="0" applyAlignment="1" applyBorder="1" applyFont="1" applyNumberFormat="1">
      <alignment shrinkToFit="0" vertical="bottom" wrapText="1"/>
    </xf>
    <xf borderId="6" fillId="7" fontId="7" numFmtId="49" xfId="0" applyAlignment="1" applyBorder="1" applyFont="1" applyNumberFormat="1">
      <alignment readingOrder="0" shrinkToFit="0" vertical="bottom" wrapText="1"/>
    </xf>
    <xf borderId="0" fillId="6" fontId="7" numFmtId="49" xfId="0" applyAlignment="1" applyFont="1" applyNumberFormat="1">
      <alignment shrinkToFit="0" vertical="bottom" wrapText="1"/>
    </xf>
    <xf borderId="0" fillId="0" fontId="5" numFmtId="0" xfId="0" applyAlignment="1" applyFont="1">
      <alignment readingOrder="0" shrinkToFit="0" wrapText="1"/>
    </xf>
    <xf borderId="0" fillId="6" fontId="5" numFmtId="0" xfId="0" applyAlignment="1" applyFont="1">
      <alignment horizontal="center" shrinkToFit="0" wrapText="1"/>
    </xf>
    <xf borderId="7" fillId="8" fontId="9" numFmtId="0" xfId="0" applyAlignment="1" applyBorder="1" applyFill="1" applyFont="1">
      <alignment shrinkToFit="0" vertical="bottom" wrapText="1"/>
    </xf>
    <xf borderId="0" fillId="6" fontId="6" numFmtId="49" xfId="0" applyAlignment="1" applyFont="1" applyNumberFormat="1">
      <alignment horizontal="center" shrinkToFit="0" wrapText="1"/>
    </xf>
    <xf borderId="5" fillId="6" fontId="7" numFmtId="49" xfId="0" applyAlignment="1" applyBorder="1" applyFont="1" applyNumberFormat="1">
      <alignment shrinkToFit="0" vertical="bottom" wrapText="1"/>
    </xf>
    <xf borderId="6" fillId="6" fontId="7" numFmtId="49" xfId="0" applyAlignment="1" applyBorder="1" applyFont="1" applyNumberFormat="1">
      <alignment readingOrder="0" shrinkToFit="0" vertical="bottom" wrapText="1"/>
    </xf>
    <xf borderId="0" fillId="6" fontId="10" numFmtId="0" xfId="0" applyAlignment="1" applyFont="1">
      <alignment horizontal="left" readingOrder="0" shrinkToFit="0" wrapText="1"/>
    </xf>
    <xf borderId="5" fillId="6" fontId="7" numFmtId="0" xfId="0" applyAlignment="1" applyBorder="1" applyFont="1">
      <alignment shrinkToFit="0" vertical="bottom" wrapText="1"/>
    </xf>
    <xf borderId="6" fillId="6" fontId="7" numFmtId="0" xfId="0" applyAlignment="1" applyBorder="1" applyFont="1">
      <alignment readingOrder="0" shrinkToFit="0" vertical="bottom" wrapText="1"/>
    </xf>
    <xf borderId="0" fillId="0" fontId="5" numFmtId="0" xfId="0" applyAlignment="1" applyFont="1">
      <alignment horizontal="center" shrinkToFit="0" wrapText="1"/>
    </xf>
    <xf borderId="0" fillId="0" fontId="5" numFmtId="0" xfId="0" applyAlignment="1" applyFont="1">
      <alignment shrinkToFit="0" wrapText="1"/>
    </xf>
    <xf borderId="5" fillId="7" fontId="7" numFmtId="0" xfId="0" applyAlignment="1" applyBorder="1" applyFont="1">
      <alignment shrinkToFit="0" vertical="bottom" wrapText="1"/>
    </xf>
    <xf borderId="6" fillId="7" fontId="7" numFmtId="0" xfId="0" applyAlignment="1" applyBorder="1" applyFont="1">
      <alignment readingOrder="0" shrinkToFit="0" vertical="bottom" wrapText="1"/>
    </xf>
    <xf borderId="8" fillId="7" fontId="7" numFmtId="0" xfId="0" applyAlignment="1" applyBorder="1" applyFont="1">
      <alignment shrinkToFit="0" vertical="bottom" wrapText="1"/>
    </xf>
    <xf borderId="8" fillId="6" fontId="7" numFmtId="0" xfId="0" applyAlignment="1" applyBorder="1" applyFont="1">
      <alignment shrinkToFit="0" vertical="bottom" wrapText="1"/>
    </xf>
    <xf borderId="9" fillId="7" fontId="7" numFmtId="0" xfId="0" applyAlignment="1" applyBorder="1" applyFont="1">
      <alignment shrinkToFit="0" vertical="bottom" wrapText="1"/>
    </xf>
    <xf borderId="10" fillId="7" fontId="7" numFmtId="0" xfId="0" applyAlignment="1" applyBorder="1" applyFont="1">
      <alignment readingOrder="0" shrinkToFit="0" vertical="bottom" wrapText="1"/>
    </xf>
    <xf borderId="0" fillId="7" fontId="10" numFmtId="0" xfId="0" applyAlignment="1" applyFont="1">
      <alignment horizontal="left" readingOrder="0" shrinkToFit="0" wrapText="1"/>
    </xf>
    <xf borderId="0" fillId="7" fontId="5" numFmtId="0" xfId="0" applyAlignment="1" applyFont="1">
      <alignment horizontal="center" shrinkToFit="0" wrapText="1"/>
    </xf>
    <xf borderId="5" fillId="9" fontId="7" numFmtId="0" xfId="0" applyAlignment="1" applyBorder="1" applyFill="1" applyFont="1">
      <alignment shrinkToFit="0" vertical="bottom" wrapText="1"/>
    </xf>
    <xf borderId="0" fillId="0" fontId="7" numFmtId="0" xfId="0" applyAlignment="1" applyFont="1">
      <alignment readingOrder="0" shrinkToFit="0" vertical="bottom" wrapText="1"/>
    </xf>
    <xf borderId="5" fillId="10" fontId="7" numFmtId="0" xfId="0" applyAlignment="1" applyBorder="1" applyFill="1" applyFont="1">
      <alignment shrinkToFit="0" vertical="bottom" wrapText="1"/>
    </xf>
    <xf borderId="0" fillId="0" fontId="3" numFmtId="0" xfId="0" applyAlignment="1" applyFont="1">
      <alignment readingOrder="0"/>
    </xf>
    <xf borderId="0" fillId="0" fontId="7" numFmtId="0" xfId="0" applyAlignment="1" applyFont="1">
      <alignment shrinkToFit="0" vertical="bottom" wrapText="1"/>
    </xf>
    <xf borderId="0" fillId="6" fontId="7" numFmtId="0" xfId="0" applyAlignment="1" applyFont="1">
      <alignment readingOrder="0" shrinkToFit="0" vertical="bottom" wrapText="1"/>
    </xf>
    <xf borderId="0" fillId="7" fontId="7" numFmtId="0" xfId="0" applyAlignment="1" applyFont="1">
      <alignment readingOrder="0" shrinkToFit="0" vertical="bottom" wrapText="1"/>
    </xf>
    <xf borderId="11" fillId="0" fontId="7" numFmtId="0" xfId="0" applyAlignment="1" applyBorder="1" applyFont="1">
      <alignment readingOrder="0" shrinkToFit="0" vertical="bottom" wrapText="1"/>
    </xf>
    <xf borderId="0" fillId="7" fontId="10" numFmtId="0" xfId="0" applyAlignment="1" applyFont="1">
      <alignment horizontal="left" readingOrder="0"/>
    </xf>
    <xf borderId="11" fillId="0" fontId="7" numFmtId="0" xfId="0" applyAlignment="1" applyBorder="1" applyFont="1">
      <alignment shrinkToFit="0" vertical="bottom" wrapText="1"/>
    </xf>
    <xf borderId="12" fillId="7" fontId="11" numFmtId="0" xfId="0" applyAlignment="1" applyBorder="1" applyFont="1">
      <alignment shrinkToFit="0" vertical="bottom" wrapText="1"/>
    </xf>
    <xf borderId="13" fillId="0" fontId="7" numFmtId="0" xfId="0" applyAlignment="1" applyBorder="1" applyFont="1">
      <alignment readingOrder="0" shrinkToFit="0" vertical="bottom" wrapText="1"/>
    </xf>
    <xf borderId="0" fillId="6" fontId="10" numFmtId="0" xfId="0" applyAlignment="1" applyFont="1">
      <alignment horizontal="left" readingOrder="0"/>
    </xf>
    <xf borderId="0" fillId="0" fontId="7" numFmtId="0" xfId="0" applyAlignment="1" applyFont="1">
      <alignment readingOrder="0" vertical="bottom"/>
    </xf>
    <xf borderId="0" fillId="6" fontId="7" numFmtId="0" xfId="0" applyAlignment="1" applyFont="1">
      <alignment shrinkToFit="0" vertical="bottom" wrapText="1"/>
    </xf>
    <xf borderId="0" fillId="7" fontId="7" numFmtId="0" xfId="0" applyAlignment="1" applyFont="1">
      <alignment shrinkToFit="0" vertical="bottom" wrapText="1"/>
    </xf>
    <xf borderId="0" fillId="0" fontId="7" numFmtId="0" xfId="0" applyAlignment="1" applyFont="1">
      <alignment vertical="bottom"/>
    </xf>
    <xf borderId="0" fillId="0" fontId="5" numFmtId="0" xfId="0" applyAlignment="1" applyFont="1">
      <alignment horizontal="center"/>
    </xf>
    <xf borderId="14" fillId="0" fontId="3" numFmtId="0" xfId="0" applyAlignment="1" applyBorder="1" applyFont="1">
      <alignment horizontal="left" readingOrder="0" shrinkToFit="0" vertical="center" wrapText="1"/>
    </xf>
    <xf borderId="15" fillId="0" fontId="3" numFmtId="0" xfId="0" applyAlignment="1" applyBorder="1" applyFont="1">
      <alignment horizontal="left" readingOrder="0" shrinkToFit="0" vertical="center" wrapText="1"/>
    </xf>
    <xf borderId="15" fillId="0" fontId="3" numFmtId="0" xfId="0" applyAlignment="1" applyBorder="1" applyFont="1">
      <alignment horizontal="left" readingOrder="0" shrinkToFit="0" vertical="center" wrapText="0"/>
    </xf>
    <xf borderId="16" fillId="0" fontId="3" numFmtId="0" xfId="0" applyAlignment="1" applyBorder="1" applyFont="1">
      <alignment shrinkToFit="0" vertical="center" wrapText="1"/>
    </xf>
    <xf borderId="17" fillId="0" fontId="3" numFmtId="0" xfId="0" applyAlignment="1" applyBorder="1" applyFont="1">
      <alignment shrinkToFit="0" vertical="center" wrapText="1"/>
    </xf>
    <xf borderId="17" fillId="0" fontId="3" numFmtId="49" xfId="0" applyAlignment="1" applyBorder="1" applyFont="1" applyNumberFormat="1">
      <alignment shrinkToFit="0" vertical="center" wrapText="0"/>
    </xf>
    <xf borderId="18" fillId="0" fontId="3" numFmtId="0" xfId="0" applyAlignment="1" applyBorder="1" applyFont="1">
      <alignment shrinkToFit="0" vertical="center" wrapText="1"/>
    </xf>
    <xf borderId="19" fillId="0" fontId="3" numFmtId="0" xfId="0" applyAlignment="1" applyBorder="1" applyFont="1">
      <alignment shrinkToFit="0" vertical="center" wrapText="1"/>
    </xf>
    <xf borderId="19" fillId="0" fontId="3" numFmtId="0" xfId="0" applyAlignment="1" applyBorder="1" applyFont="1">
      <alignment shrinkToFit="0" vertical="center" wrapText="0"/>
    </xf>
    <xf borderId="17" fillId="0" fontId="3" numFmtId="0" xfId="0" applyAlignment="1" applyBorder="1" applyFont="1">
      <alignment shrinkToFit="0" vertical="center" wrapText="0"/>
    </xf>
    <xf borderId="20" fillId="0" fontId="3" numFmtId="0" xfId="0" applyAlignment="1" applyBorder="1" applyFont="1">
      <alignment readingOrder="0" shrinkToFit="0" vertical="center" wrapText="0"/>
    </xf>
    <xf borderId="21" fillId="0" fontId="3" numFmtId="0" xfId="0" applyAlignment="1" applyBorder="1" applyFont="1">
      <alignment readingOrder="0" shrinkToFit="0" vertical="center" wrapText="0"/>
    </xf>
    <xf borderId="20" fillId="0" fontId="3" numFmtId="49" xfId="0" applyAlignment="1" applyBorder="1" applyFont="1" applyNumberFormat="1">
      <alignment shrinkToFit="0" vertical="center" wrapText="0"/>
    </xf>
    <xf borderId="21" fillId="0" fontId="3" numFmtId="49" xfId="0" applyAlignment="1" applyBorder="1" applyFont="1" applyNumberFormat="1">
      <alignment shrinkToFit="0" vertical="center" wrapText="0"/>
    </xf>
    <xf borderId="0" fillId="0" fontId="5" numFmtId="0" xfId="0" applyAlignment="1" applyFont="1">
      <alignment horizontal="left"/>
    </xf>
    <xf borderId="4" fillId="4" fontId="5" numFmtId="0" xfId="0" applyAlignment="1" applyBorder="1" applyFont="1">
      <alignment horizontal="center"/>
    </xf>
    <xf borderId="0" fillId="11" fontId="5" numFmtId="0" xfId="0" applyAlignment="1" applyFill="1" applyFont="1">
      <alignment horizontal="center"/>
    </xf>
    <xf borderId="0" fillId="6" fontId="5" numFmtId="49" xfId="0" applyFont="1" applyNumberFormat="1"/>
    <xf borderId="0" fillId="6" fontId="5" numFmtId="49" xfId="0" applyAlignment="1" applyFont="1" applyNumberFormat="1">
      <alignment horizontal="center"/>
    </xf>
    <xf borderId="0" fillId="6" fontId="5" numFmtId="0" xfId="0" applyAlignment="1" applyFont="1">
      <alignment horizontal="center"/>
    </xf>
    <xf borderId="0" fillId="6" fontId="5" numFmtId="49" xfId="0" applyAlignment="1" applyFont="1" applyNumberFormat="1">
      <alignment readingOrder="0"/>
    </xf>
    <xf borderId="0" fillId="7" fontId="5" numFmtId="49" xfId="0" applyFont="1" applyNumberFormat="1"/>
    <xf borderId="0" fillId="7" fontId="5" numFmtId="49" xfId="0" applyAlignment="1" applyFont="1" applyNumberFormat="1">
      <alignment horizontal="center"/>
    </xf>
    <xf borderId="0" fillId="7" fontId="5" numFmtId="0" xfId="0" applyAlignment="1" applyFont="1">
      <alignment horizontal="center"/>
    </xf>
    <xf borderId="4" fillId="4" fontId="5" numFmtId="0" xfId="0" applyAlignment="1" applyBorder="1" applyFont="1">
      <alignment horizontal="center" shrinkToFit="0" wrapText="1"/>
    </xf>
    <xf borderId="4" fillId="4" fontId="5" numFmtId="49" xfId="0" applyAlignment="1" applyBorder="1" applyFont="1" applyNumberFormat="1">
      <alignment horizontal="center" shrinkToFit="0" wrapText="1"/>
    </xf>
    <xf borderId="0" fillId="11" fontId="5" numFmtId="0" xfId="0" applyAlignment="1" applyFont="1">
      <alignment horizontal="center" shrinkToFit="0" wrapText="1"/>
    </xf>
    <xf borderId="0" fillId="11" fontId="5" numFmtId="49" xfId="0" applyAlignment="1" applyFont="1" applyNumberFormat="1">
      <alignment horizontal="center" shrinkToFit="0" wrapText="1"/>
    </xf>
    <xf borderId="0" fillId="7" fontId="5" numFmtId="0" xfId="0" applyFont="1"/>
    <xf borderId="0" fillId="6" fontId="5" numFmtId="0" xfId="0" applyFont="1"/>
    <xf borderId="0" fillId="6" fontId="5" numFmtId="49" xfId="0" applyAlignment="1" applyFont="1" applyNumberFormat="1">
      <alignment horizontal="center"/>
    </xf>
    <xf borderId="0" fillId="6" fontId="5" numFmtId="0" xfId="0" applyAlignment="1" applyFont="1">
      <alignment horizontal="center"/>
    </xf>
    <xf borderId="0" fillId="6" fontId="5" numFmtId="49" xfId="0" applyFont="1" applyNumberFormat="1"/>
    <xf borderId="0" fillId="7" fontId="5" numFmtId="0" xfId="0" applyFont="1"/>
    <xf borderId="0" fillId="7" fontId="5" numFmtId="49" xfId="0" applyAlignment="1" applyFont="1" applyNumberFormat="1">
      <alignment horizontal="center"/>
    </xf>
    <xf borderId="0" fillId="7" fontId="5" numFmtId="49" xfId="0" applyFont="1" applyNumberFormat="1"/>
    <xf borderId="0" fillId="7" fontId="5" numFmtId="0" xfId="0" applyAlignment="1" applyFont="1">
      <alignment horizontal="center"/>
    </xf>
    <xf borderId="0" fillId="7" fontId="5" numFmtId="0" xfId="0" applyAlignment="1" applyFont="1">
      <alignment horizontal="center" shrinkToFit="0" wrapText="1"/>
    </xf>
    <xf borderId="0" fillId="6" fontId="5" numFmtId="0" xfId="0" applyAlignment="1" applyFont="1">
      <alignment shrinkToFit="0" wrapText="1"/>
    </xf>
    <xf borderId="0" fillId="6" fontId="5" numFmtId="49" xfId="0" applyAlignment="1" applyFont="1" applyNumberFormat="1">
      <alignment horizontal="center" shrinkToFit="0" wrapText="1"/>
    </xf>
    <xf borderId="0" fillId="6" fontId="5" numFmtId="0" xfId="0" applyAlignment="1" applyFont="1">
      <alignment horizontal="center" shrinkToFit="0" wrapText="1"/>
    </xf>
    <xf borderId="0" fillId="6" fontId="5" numFmtId="49" xfId="0" applyAlignment="1" applyFont="1" applyNumberFormat="1">
      <alignment shrinkToFit="0" wrapText="1"/>
    </xf>
    <xf borderId="0" fillId="6" fontId="5" numFmtId="0" xfId="0" applyAlignment="1" applyFont="1">
      <alignment horizontal="center" shrinkToFit="0" wrapText="1"/>
    </xf>
    <xf borderId="0" fillId="7" fontId="5" numFmtId="0" xfId="0" applyAlignment="1" applyFont="1">
      <alignment shrinkToFit="0" wrapText="1"/>
    </xf>
    <xf borderId="0" fillId="7" fontId="5" numFmtId="49" xfId="0" applyAlignment="1" applyFont="1" applyNumberFormat="1">
      <alignment horizontal="center" shrinkToFit="0" wrapText="1"/>
    </xf>
    <xf borderId="0" fillId="7" fontId="5" numFmtId="0" xfId="0" applyAlignment="1" applyFont="1">
      <alignment horizontal="center" shrinkToFit="0" wrapText="1"/>
    </xf>
    <xf borderId="0" fillId="7" fontId="5" numFmtId="49" xfId="0" applyAlignment="1" applyFont="1" applyNumberFormat="1">
      <alignment shrinkToFit="0" wrapText="1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6">
    <tableStyle count="3" pivot="0" name="Свойства для наполнения-style">
      <tableStyleElement dxfId="1" type="headerRow"/>
      <tableStyleElement dxfId="2" type="firstRowStripe"/>
      <tableStyleElement dxfId="3" type="secondRowStripe"/>
    </tableStyle>
    <tableStyle count="3" pivot="0" name="Для сопоставления-style">
      <tableStyleElement dxfId="4" type="headerRow"/>
      <tableStyleElement dxfId="5" type="firstRowStripe"/>
      <tableStyleElement dxfId="6" type="secondRowStripe"/>
    </tableStyle>
    <tableStyle count="3" pivot="0" name="Для сопоставления-style 2">
      <tableStyleElement dxfId="4" type="headerRow"/>
      <tableStyleElement dxfId="5" type="firstRowStripe"/>
      <tableStyleElement dxfId="6" type="secondRowStripe"/>
    </tableStyle>
    <tableStyle count="3" pivot="0" name="Класс стерилизатора (тип список-style">
      <tableStyleElement dxfId="1" type="headerRow"/>
      <tableStyleElement dxfId="2" type="firstRowStripe"/>
      <tableStyleElement dxfId="3" type="secondRowStripe"/>
    </tableStyle>
    <tableStyle count="3" pivot="0" name="Тип загрузки (список)-style">
      <tableStyleElement dxfId="1" type="headerRow"/>
      <tableStyleElement dxfId="2" type="firstRowStripe"/>
      <tableStyleElement dxfId="3" type="secondRowStripe"/>
    </tableStyle>
    <tableStyle count="2" pivot="0" name="Тип загрузки (список)-style 2">
      <tableStyleElement dxfId="3" type="firstRowStripe"/>
      <tableStyleElement dxfId="2" type="secondRowStripe"/>
    </tableStyle>
    <tableStyle count="3" pivot="0" name="Требуемые подключения (список)-style">
      <tableStyleElement dxfId="1" type="headerRow"/>
      <tableStyleElement dxfId="2" type="firstRowStripe"/>
      <tableStyleElement dxfId="3" type="secondRowStripe"/>
    </tableStyle>
    <tableStyle count="2" pivot="0" name="Требуемые подключения (список)-style 2">
      <tableStyleElement dxfId="2" type="firstRowStripe"/>
      <tableStyleElement dxfId="3" type="secondRowStripe"/>
    </tableStyle>
    <tableStyle count="3" pivot="0" name="Тип вентилятора (список)-style">
      <tableStyleElement dxfId="1" type="headerRow"/>
      <tableStyleElement dxfId="2" type="firstRowStripe"/>
      <tableStyleElement dxfId="3" type="secondRowStripe"/>
    </tableStyle>
    <tableStyle count="2" pivot="0" name="Тип вентилятора (список)-style 2">
      <tableStyleElement dxfId="3" type="firstRowStripe"/>
      <tableStyleElement dxfId="2" type="secondRowStripe"/>
    </tableStyle>
    <tableStyle count="3" pivot="0" name="Ротаметры (Флоуметры) (список)-style">
      <tableStyleElement dxfId="1" type="headerRow"/>
      <tableStyleElement dxfId="2" type="firstRowStripe"/>
      <tableStyleElement dxfId="3" type="secondRowStripe"/>
    </tableStyle>
    <tableStyle count="2" pivot="0" name="Ротаметры (Флоуметры) (список)-style 2">
      <tableStyleElement dxfId="3" type="firstRowStripe"/>
      <tableStyleElement dxfId="2" type="secondRowStripe"/>
    </tableStyle>
    <tableStyle count="3" pivot="0" name="Тип конструкции (список)-style">
      <tableStyleElement dxfId="1" type="headerRow"/>
      <tableStyleElement dxfId="2" type="firstRowStripe"/>
      <tableStyleElement dxfId="3" type="secondRowStripe"/>
    </tableStyle>
    <tableStyle count="2" pivot="0" name="Тип конструкции (список)-style 2">
      <tableStyleElement dxfId="3" type="firstRowStripe"/>
      <tableStyleElement dxfId="2" type="secondRowStripe"/>
    </tableStyle>
    <tableStyle count="3" pivot="0" name="Источник света (список)-style">
      <tableStyleElement dxfId="1" type="headerRow"/>
      <tableStyleElement dxfId="2" type="firstRowStripe"/>
      <tableStyleElement dxfId="3" type="secondRowStripe"/>
    </tableStyle>
    <tableStyle count="2" pivot="0" name="Источник света (список)-style 2">
      <tableStyleElement dxfId="3" type="firstRowStripe"/>
      <tableStyleElement dxfId="2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3:X387" displayName="Table_1" 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Свойства для наполнения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headerRowCount="0" ref="C3:C4" displayName="Table_8" name="Table_8" id="10">
  <tableColumns count="1">
    <tableColumn name="Column1" id="1"/>
  </tableColumns>
  <tableStyleInfo name="Тип вентилятора (список)-style 2" showColumnStripes="0" showFirstColumn="1" showLastColumn="1" showRowStripes="1"/>
</table>
</file>

<file path=xl/tables/table11.xml><?xml version="1.0" encoding="utf-8"?>
<table xmlns="http://schemas.openxmlformats.org/spreadsheetml/2006/main" headerRowCount="0" ref="A2:E2" displayName="Table_9" name="Table_9" id="11">
  <tableColumns count="5">
    <tableColumn name="Column1" id="1"/>
    <tableColumn name="Column2" id="2"/>
    <tableColumn name="Column3" id="3"/>
    <tableColumn name="Column4" id="4"/>
    <tableColumn name="Column5" id="5"/>
  </tableColumns>
  <tableStyleInfo name="Ротаметры (Флоуметры) (список)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headerRowCount="0" ref="C3:C4" displayName="Table_10" name="Table_10" id="12">
  <tableColumns count="1">
    <tableColumn name="Column1" id="1"/>
  </tableColumns>
  <tableStyleInfo name="Ротаметры (Флоуметры) (список)-style 2" showColumnStripes="0" showFirstColumn="1" showLastColumn="1" showRowStripes="1"/>
</table>
</file>

<file path=xl/tables/table13.xml><?xml version="1.0" encoding="utf-8"?>
<table xmlns="http://schemas.openxmlformats.org/spreadsheetml/2006/main" headerRowCount="0" ref="A2:E2" displayName="Table_11" name="Table_11" id="13">
  <tableColumns count="5">
    <tableColumn name="Column1" id="1"/>
    <tableColumn name="Column2" id="2"/>
    <tableColumn name="Column3" id="3"/>
    <tableColumn name="Column4" id="4"/>
    <tableColumn name="Column5" id="5"/>
  </tableColumns>
  <tableStyleInfo name="Тип конструкции (список)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headerRowCount="0" ref="C3:C4" displayName="Table_12" name="Table_12" id="14">
  <tableColumns count="1">
    <tableColumn name="Column1" id="1"/>
  </tableColumns>
  <tableStyleInfo name="Тип конструкции (список)-style 2" showColumnStripes="0" showFirstColumn="1" showLastColumn="1" showRowStripes="1"/>
</table>
</file>

<file path=xl/tables/table15.xml><?xml version="1.0" encoding="utf-8"?>
<table xmlns="http://schemas.openxmlformats.org/spreadsheetml/2006/main" headerRowCount="0" ref="A2:E2" displayName="Table_13" name="Table_13" id="15">
  <tableColumns count="5">
    <tableColumn name="Column1" id="1"/>
    <tableColumn name="Column2" id="2"/>
    <tableColumn name="Column3" id="3"/>
    <tableColumn name="Column4" id="4"/>
    <tableColumn name="Column5" id="5"/>
  </tableColumns>
  <tableStyleInfo name="Источник света (список)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6.xml><?xml version="1.0" encoding="utf-8"?>
<table xmlns="http://schemas.openxmlformats.org/spreadsheetml/2006/main" headerRowCount="0" ref="C3:C4" displayName="Table_14" name="Table_14" id="16">
  <tableColumns count="1">
    <tableColumn name="Column1" id="1"/>
  </tableColumns>
  <tableStyleInfo name="Источник света (список)-style 2" showColumnStripes="0" showFirstColumn="1" showLastColumn="1" showRowStripes="1"/>
</table>
</file>

<file path=xl/tables/table2.xml><?xml version="1.0" encoding="utf-8"?>
<table xmlns="http://schemas.openxmlformats.org/spreadsheetml/2006/main" ref="A1:B7" displayName="тип_данных" name="тип_данных" id="2">
  <tableColumns count="2">
    <tableColumn name="Тип" id="1"/>
    <tableColumn name="property_type" id="2"/>
  </tableColumns>
  <tableStyleInfo name="Для сопоставления-style" showColumnStripes="0" showFirstColumn="1" showLastColumn="1" showRowStripes="1"/>
</table>
</file>

<file path=xl/tables/table3.xml><?xml version="1.0" encoding="utf-8"?>
<table xmlns="http://schemas.openxmlformats.org/spreadsheetml/2006/main" ref="E1:F7" displayName="тип_файлов" name="тип_файлов" id="3">
  <tableColumns count="2">
    <tableColumn name="Тип файла" id="1"/>
    <tableColumn name="property_type" id="2"/>
  </tableColumns>
  <tableStyleInfo name="Для сопоставления-style 2" showColumnStripes="0" showFirstColumn="1" showLastColumn="1" showRowStripes="1"/>
</table>
</file>

<file path=xl/tables/table4.xml><?xml version="1.0" encoding="utf-8"?>
<table xmlns="http://schemas.openxmlformats.org/spreadsheetml/2006/main" ref="A2:E5" displayName="Table_2" name="Table_2" id="4">
  <tableColumns count="5">
    <tableColumn name="value" id="1"/>
    <tableColumn name="def" id="2"/>
    <tableColumn name="sort" id="3"/>
    <tableColumn name="xml_id" id="4"/>
    <tableColumn name="property_code" id="5"/>
  </tableColumns>
  <tableStyleInfo name="Класс стерилизатора (тип список-style" showColumnStripes="0" showFirstColumn="1" showLastColumn="1" showRowStripes="1"/>
</table>
</file>

<file path=xl/tables/table5.xml><?xml version="1.0" encoding="utf-8"?>
<table xmlns="http://schemas.openxmlformats.org/spreadsheetml/2006/main" headerRowCount="0" ref="A2:E2" displayName="Table_3" name="Table_3" id="5">
  <tableColumns count="5">
    <tableColumn name="Column1" id="1"/>
    <tableColumn name="Column2" id="2"/>
    <tableColumn name="Column3" id="3"/>
    <tableColumn name="Column4" id="4"/>
    <tableColumn name="Column5" id="5"/>
  </tableColumns>
  <tableStyleInfo name="Тип загрузки (список)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A3:E3" displayName="Table_4" name="Table_4" id="6">
  <tableColumns count="5">
    <tableColumn name="Column1" id="1"/>
    <tableColumn name="Column2" id="2"/>
    <tableColumn name="Column3" id="3"/>
    <tableColumn name="Column4" id="4"/>
    <tableColumn name="Column5" id="5"/>
  </tableColumns>
  <tableStyleInfo name="Тип загрузки (список)-style 2" showColumnStripes="0" showFirstColumn="1" showLastColumn="1" showRowStripes="1"/>
</table>
</file>

<file path=xl/tables/table7.xml><?xml version="1.0" encoding="utf-8"?>
<table xmlns="http://schemas.openxmlformats.org/spreadsheetml/2006/main" headerRowCount="0" ref="A2:E2" displayName="Table_5" name="Table_5" id="7">
  <tableColumns count="5">
    <tableColumn name="Column1" id="1"/>
    <tableColumn name="Column2" id="2"/>
    <tableColumn name="Column3" id="3"/>
    <tableColumn name="Column4" id="4"/>
    <tableColumn name="Column5" id="5"/>
  </tableColumns>
  <tableStyleInfo name="Требуемые подключения (список)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C3:C5" displayName="Table_6" name="Table_6" id="8">
  <tableColumns count="1">
    <tableColumn name="Column1" id="1"/>
  </tableColumns>
  <tableStyleInfo name="Требуемые подключения (список)-style 2" showColumnStripes="0" showFirstColumn="1" showLastColumn="1" showRowStripes="1"/>
</table>
</file>

<file path=xl/tables/table9.xml><?xml version="1.0" encoding="utf-8"?>
<table xmlns="http://schemas.openxmlformats.org/spreadsheetml/2006/main" headerRowCount="0" ref="A2:E2" displayName="Table_7" name="Table_7" id="9">
  <tableColumns count="5">
    <tableColumn name="Column1" id="1"/>
    <tableColumn name="Column2" id="2"/>
    <tableColumn name="Column3" id="3"/>
    <tableColumn name="Column4" id="4"/>
    <tableColumn name="Column5" id="5"/>
  </tableColumns>
  <tableStyleInfo name="Тип вентилятора (список)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9.xml"/><Relationship Id="rId5" Type="http://schemas.openxmlformats.org/officeDocument/2006/relationships/table" Target="../tables/table10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4" Type="http://schemas.openxmlformats.org/officeDocument/2006/relationships/table" Target="../tables/table11.xml"/><Relationship Id="rId5" Type="http://schemas.openxmlformats.org/officeDocument/2006/relationships/table" Target="../tables/table12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4" Type="http://schemas.openxmlformats.org/officeDocument/2006/relationships/table" Target="../tables/table13.xml"/><Relationship Id="rId5" Type="http://schemas.openxmlformats.org/officeDocument/2006/relationships/table" Target="../tables/table14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4" Type="http://schemas.openxmlformats.org/officeDocument/2006/relationships/table" Target="../tables/table15.xml"/><Relationship Id="rId5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9.71"/>
    <col customWidth="1" min="3" max="3" width="13.57"/>
    <col customWidth="1" min="4" max="4" width="12.71"/>
    <col customWidth="1" min="5" max="5" width="24.43"/>
    <col customWidth="1" min="6" max="8" width="19.14"/>
    <col customWidth="1" min="9" max="9" width="20.0"/>
    <col customWidth="1" min="10" max="10" width="20.14"/>
    <col customWidth="1" min="11" max="11" width="17.43"/>
    <col customWidth="1" min="12" max="12" width="14.29"/>
    <col customWidth="1" min="13" max="13" width="13.43"/>
    <col customWidth="1" min="14" max="14" width="12.43"/>
    <col customWidth="1" min="15" max="15" width="19.86"/>
    <col customWidth="1" min="16" max="16" width="15.71"/>
    <col customWidth="1" min="17" max="17" width="19.14"/>
    <col customWidth="1" min="18" max="18" width="18.29"/>
    <col customWidth="1" min="19" max="19" width="19.29"/>
    <col customWidth="1" min="20" max="20" width="11.29"/>
    <col customWidth="1" min="21" max="21" width="13.57"/>
    <col customWidth="1" min="22" max="22" width="21.0"/>
    <col customWidth="1" min="23" max="23" width="8.57"/>
    <col customWidth="1" min="24" max="24" width="37.29"/>
    <col customWidth="1" min="25" max="25" width="13.71"/>
    <col customWidth="1" min="26" max="26" width="8.71"/>
  </cols>
  <sheetData>
    <row r="1" ht="14.25" customHeight="1">
      <c r="A1" s="1" t="s">
        <v>0</v>
      </c>
      <c r="B1" s="2"/>
      <c r="C1" s="2"/>
      <c r="D1" s="2"/>
      <c r="E1" s="2"/>
      <c r="F1" s="3"/>
      <c r="G1" s="4" t="s">
        <v>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  <c r="X1" s="5"/>
    </row>
    <row r="2" ht="14.25" customHeight="1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7" t="s">
        <v>8</v>
      </c>
      <c r="H2" s="8" t="s">
        <v>9</v>
      </c>
      <c r="I2" s="9" t="s">
        <v>10</v>
      </c>
      <c r="J2" s="9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9" t="s">
        <v>17</v>
      </c>
      <c r="Q2" s="9" t="s">
        <v>18</v>
      </c>
      <c r="R2" s="9" t="s">
        <v>19</v>
      </c>
      <c r="S2" s="8" t="s">
        <v>20</v>
      </c>
      <c r="T2" s="8" t="s">
        <v>15</v>
      </c>
      <c r="U2" s="8" t="s">
        <v>15</v>
      </c>
      <c r="V2" s="8" t="s">
        <v>15</v>
      </c>
      <c r="W2" s="8" t="s">
        <v>15</v>
      </c>
      <c r="X2" s="10" t="s">
        <v>21</v>
      </c>
      <c r="Y2" s="11"/>
    </row>
    <row r="3" ht="14.25" customHeight="1">
      <c r="A3" s="12" t="s">
        <v>22</v>
      </c>
      <c r="B3" s="12" t="s">
        <v>23</v>
      </c>
      <c r="C3" s="12" t="s">
        <v>24</v>
      </c>
      <c r="D3" s="12" t="s">
        <v>25</v>
      </c>
      <c r="E3" s="12" t="s">
        <v>26</v>
      </c>
      <c r="F3" s="12" t="s">
        <v>27</v>
      </c>
      <c r="G3" s="12" t="s">
        <v>28</v>
      </c>
      <c r="H3" s="12" t="s">
        <v>29</v>
      </c>
      <c r="I3" s="12" t="s">
        <v>30</v>
      </c>
      <c r="J3" s="12" t="s">
        <v>31</v>
      </c>
      <c r="K3" s="12" t="s">
        <v>32</v>
      </c>
      <c r="L3" s="12" t="s">
        <v>33</v>
      </c>
      <c r="M3" s="12" t="s">
        <v>34</v>
      </c>
      <c r="N3" s="12" t="s">
        <v>35</v>
      </c>
      <c r="O3" s="12" t="s">
        <v>36</v>
      </c>
      <c r="P3" s="12" t="s">
        <v>37</v>
      </c>
      <c r="Q3" s="12" t="s">
        <v>38</v>
      </c>
      <c r="R3" s="12" t="s">
        <v>39</v>
      </c>
      <c r="S3" s="12" t="s">
        <v>40</v>
      </c>
      <c r="T3" s="12" t="s">
        <v>41</v>
      </c>
      <c r="U3" s="12" t="s">
        <v>42</v>
      </c>
      <c r="V3" s="12" t="s">
        <v>43</v>
      </c>
      <c r="W3" s="12" t="s">
        <v>44</v>
      </c>
      <c r="X3" s="12"/>
      <c r="Y3" s="13"/>
      <c r="Z3" s="13"/>
    </row>
    <row r="4" ht="14.25" customHeight="1">
      <c r="A4" s="14"/>
      <c r="B4" s="15" t="s">
        <v>45</v>
      </c>
      <c r="C4" s="16" t="s">
        <v>46</v>
      </c>
      <c r="D4" s="14">
        <v>500.0</v>
      </c>
      <c r="E4" s="17" t="str">
        <f>IFERROR(__xludf.DUMMYFUNCTION("REGEXREPLACE(GOOGLETRANSLATE(B4,""RU"",""EN""),"" "",""_"")"),"Model")</f>
        <v>Model</v>
      </c>
      <c r="F4" s="15" t="s">
        <v>47</v>
      </c>
      <c r="G4" s="16" t="s">
        <v>48</v>
      </c>
      <c r="H4" s="16" t="s">
        <v>46</v>
      </c>
      <c r="I4" s="18" t="s">
        <v>46</v>
      </c>
      <c r="J4" s="18" t="s">
        <v>46</v>
      </c>
      <c r="K4" s="17"/>
      <c r="L4" s="14">
        <v>1.0</v>
      </c>
      <c r="M4" s="14">
        <v>30.0</v>
      </c>
      <c r="N4" s="16"/>
      <c r="O4" s="17"/>
      <c r="P4" s="19"/>
      <c r="Q4" s="14"/>
      <c r="R4" s="14"/>
      <c r="S4" s="17"/>
      <c r="T4" s="19"/>
      <c r="U4" s="17"/>
      <c r="V4" s="17"/>
      <c r="W4" s="17"/>
      <c r="X4" s="20" t="s">
        <v>49</v>
      </c>
      <c r="Y4" s="21"/>
      <c r="Z4" s="21"/>
    </row>
    <row r="5" ht="14.25" customHeight="1">
      <c r="A5" s="14"/>
      <c r="B5" s="22" t="s">
        <v>50</v>
      </c>
      <c r="C5" s="16" t="s">
        <v>46</v>
      </c>
      <c r="D5" s="14">
        <v>500.0</v>
      </c>
      <c r="E5" s="17" t="str">
        <f>IFERROR(__xludf.DUMMYFUNCTION("REGEXREPLACE(GOOGLETRANSLATE(B5,""RU"",""EN""),"" "",""_"")"),"Manufacturer")</f>
        <v>Manufacturer</v>
      </c>
      <c r="F5" s="23" t="s">
        <v>47</v>
      </c>
      <c r="G5" s="16" t="s">
        <v>48</v>
      </c>
      <c r="H5" s="16" t="s">
        <v>46</v>
      </c>
      <c r="I5" s="18" t="s">
        <v>46</v>
      </c>
      <c r="J5" s="18" t="s">
        <v>46</v>
      </c>
      <c r="K5" s="17"/>
      <c r="L5" s="14">
        <v>1.0</v>
      </c>
      <c r="M5" s="14">
        <v>30.0</v>
      </c>
      <c r="N5" s="16"/>
      <c r="O5" s="17"/>
      <c r="P5" s="17"/>
      <c r="Q5" s="14"/>
      <c r="R5" s="14"/>
      <c r="S5" s="17"/>
      <c r="T5" s="19"/>
      <c r="U5" s="17"/>
      <c r="V5" s="17"/>
      <c r="W5" s="17"/>
      <c r="X5" s="20" t="s">
        <v>49</v>
      </c>
      <c r="Y5" s="21"/>
      <c r="Z5" s="21"/>
    </row>
    <row r="6" ht="14.25" customHeight="1">
      <c r="A6" s="24"/>
      <c r="B6" s="15" t="s">
        <v>51</v>
      </c>
      <c r="C6" s="16" t="s">
        <v>46</v>
      </c>
      <c r="D6" s="14">
        <v>500.0</v>
      </c>
      <c r="E6" s="17" t="str">
        <f>IFERROR(__xludf.DUMMYFUNCTION("REGEXREPLACE(GOOGLETRANSLATE(B6,""RU"",""EN""),"" "",""_"")"),"Country_of_manufacture")</f>
        <v>Country_of_manufacture</v>
      </c>
      <c r="F6" s="15" t="s">
        <v>47</v>
      </c>
      <c r="G6" s="16" t="s">
        <v>48</v>
      </c>
      <c r="H6" s="16" t="s">
        <v>46</v>
      </c>
      <c r="I6" s="18" t="s">
        <v>46</v>
      </c>
      <c r="J6" s="18" t="s">
        <v>46</v>
      </c>
      <c r="K6" s="25"/>
      <c r="L6" s="26"/>
      <c r="M6" s="26"/>
      <c r="N6" s="27"/>
      <c r="O6" s="25"/>
      <c r="P6" s="25"/>
      <c r="Q6" s="24"/>
      <c r="R6" s="24"/>
      <c r="S6" s="25"/>
      <c r="T6" s="26"/>
      <c r="U6" s="25"/>
      <c r="V6" s="25"/>
      <c r="W6" s="25"/>
      <c r="X6" s="20" t="s">
        <v>49</v>
      </c>
    </row>
    <row r="7" ht="14.25" customHeight="1">
      <c r="A7" s="24"/>
      <c r="B7" s="28" t="s">
        <v>52</v>
      </c>
      <c r="C7" s="16" t="s">
        <v>46</v>
      </c>
      <c r="D7" s="14">
        <v>500.0</v>
      </c>
      <c r="E7" s="17" t="str">
        <f>IFERROR(__xludf.DUMMYFUNCTION("REGEXREPLACE(GOOGLETRANSLATE(B7,""RU"",""EN""),"" "",""_"")"),"Warranty_period")</f>
        <v>Warranty_period</v>
      </c>
      <c r="F7" s="29" t="s">
        <v>48</v>
      </c>
      <c r="G7" s="16" t="s">
        <v>48</v>
      </c>
      <c r="H7" s="16" t="s">
        <v>46</v>
      </c>
      <c r="I7" s="18" t="s">
        <v>46</v>
      </c>
      <c r="J7" s="18" t="s">
        <v>46</v>
      </c>
      <c r="K7" s="25"/>
      <c r="L7" s="26"/>
      <c r="M7" s="26"/>
      <c r="N7" s="27"/>
      <c r="O7" s="25"/>
      <c r="P7" s="25"/>
      <c r="Q7" s="24"/>
      <c r="R7" s="24"/>
      <c r="S7" s="25"/>
      <c r="T7" s="26"/>
      <c r="U7" s="25"/>
      <c r="V7" s="25"/>
      <c r="W7" s="25"/>
      <c r="X7" s="20" t="s">
        <v>49</v>
      </c>
    </row>
    <row r="8" ht="14.25" customHeight="1">
      <c r="A8" s="24"/>
      <c r="B8" s="30" t="s">
        <v>53</v>
      </c>
      <c r="C8" s="16" t="s">
        <v>46</v>
      </c>
      <c r="D8" s="14">
        <v>500.0</v>
      </c>
      <c r="E8" s="17" t="str">
        <f>IFERROR(__xludf.DUMMYFUNCTION("REGEXREPLACE(GOOGLETRANSLATE(B8,""RU"",""EN""),"" "",""_"")"),"Sterilizer_type")</f>
        <v>Sterilizer_type</v>
      </c>
      <c r="F8" s="15" t="s">
        <v>47</v>
      </c>
      <c r="G8" s="16" t="s">
        <v>48</v>
      </c>
      <c r="H8" s="16" t="s">
        <v>46</v>
      </c>
      <c r="I8" s="27"/>
      <c r="J8" s="27"/>
      <c r="K8" s="25"/>
      <c r="L8" s="26"/>
      <c r="M8" s="26"/>
      <c r="N8" s="27"/>
      <c r="O8" s="25"/>
      <c r="P8" s="25"/>
      <c r="Q8" s="24"/>
      <c r="R8" s="24"/>
      <c r="S8" s="25"/>
      <c r="T8" s="26"/>
      <c r="U8" s="25"/>
      <c r="V8" s="25"/>
      <c r="W8" s="25"/>
      <c r="X8" s="31" t="s">
        <v>54</v>
      </c>
    </row>
    <row r="9" ht="14.25" customHeight="1">
      <c r="A9" s="24"/>
      <c r="B9" s="22" t="s">
        <v>55</v>
      </c>
      <c r="C9" s="16" t="s">
        <v>46</v>
      </c>
      <c r="D9" s="14">
        <v>500.0</v>
      </c>
      <c r="E9" s="17" t="str">
        <f>IFERROR(__xludf.DUMMYFUNCTION("REGEXREPLACE(GOOGLETRANSLATE(B9,""RU"",""EN""),"" "",""_"")"),"Sterilizer_class")</f>
        <v>Sterilizer_class</v>
      </c>
      <c r="F9" s="23" t="s">
        <v>56</v>
      </c>
      <c r="G9" s="16" t="s">
        <v>48</v>
      </c>
      <c r="H9" s="16" t="s">
        <v>46</v>
      </c>
      <c r="I9" s="27"/>
      <c r="J9" s="27"/>
      <c r="K9" s="25"/>
      <c r="L9" s="26"/>
      <c r="M9" s="26"/>
      <c r="N9" s="27"/>
      <c r="O9" s="25"/>
      <c r="P9" s="25"/>
      <c r="Q9" s="24"/>
      <c r="R9" s="24"/>
      <c r="S9" s="25"/>
      <c r="T9" s="26"/>
      <c r="U9" s="25"/>
      <c r="V9" s="25"/>
      <c r="W9" s="25"/>
      <c r="X9" s="31" t="s">
        <v>54</v>
      </c>
    </row>
    <row r="10" ht="14.25" customHeight="1">
      <c r="A10" s="24"/>
      <c r="B10" s="30" t="s">
        <v>57</v>
      </c>
      <c r="C10" s="16" t="s">
        <v>46</v>
      </c>
      <c r="D10" s="14">
        <v>500.0</v>
      </c>
      <c r="E10" s="17" t="str">
        <f>IFERROR(__xludf.DUMMYFUNCTION("REGEXREPLACE(GOOGLETRANSLATE(B10,""RU"",""EN""),"" "",""_"")"),"Chamber_volume")</f>
        <v>Chamber_volume</v>
      </c>
      <c r="F10" s="15" t="s">
        <v>47</v>
      </c>
      <c r="G10" s="16" t="s">
        <v>48</v>
      </c>
      <c r="H10" s="16" t="s">
        <v>46</v>
      </c>
      <c r="I10" s="27"/>
      <c r="J10" s="27"/>
      <c r="K10" s="25"/>
      <c r="L10" s="26"/>
      <c r="M10" s="26"/>
      <c r="N10" s="27"/>
      <c r="O10" s="25"/>
      <c r="P10" s="25"/>
      <c r="Q10" s="24"/>
      <c r="R10" s="32"/>
      <c r="S10" s="25"/>
      <c r="T10" s="26"/>
      <c r="U10" s="25"/>
      <c r="V10" s="25"/>
      <c r="W10" s="25"/>
      <c r="X10" s="31" t="s">
        <v>54</v>
      </c>
    </row>
    <row r="11" ht="14.25" customHeight="1">
      <c r="A11" s="24"/>
      <c r="B11" s="22" t="s">
        <v>58</v>
      </c>
      <c r="C11" s="16" t="s">
        <v>46</v>
      </c>
      <c r="D11" s="14">
        <v>500.0</v>
      </c>
      <c r="E11" s="17" t="str">
        <f>IFERROR(__xludf.DUMMYFUNCTION("REGEXREPLACE(GOOGLETRANSLATE(B11,""RU"",""EN""),"" "",""_"")"),"Size_(dimensions)")</f>
        <v>Size_(dimensions)</v>
      </c>
      <c r="F11" s="23" t="s">
        <v>47</v>
      </c>
      <c r="G11" s="16" t="s">
        <v>48</v>
      </c>
      <c r="H11" s="16" t="s">
        <v>46</v>
      </c>
      <c r="I11" s="27"/>
      <c r="J11" s="27"/>
      <c r="K11" s="25"/>
      <c r="L11" s="26"/>
      <c r="M11" s="26"/>
      <c r="N11" s="27"/>
      <c r="O11" s="25"/>
      <c r="P11" s="25"/>
      <c r="Q11" s="24"/>
      <c r="R11" s="24"/>
      <c r="S11" s="25"/>
      <c r="T11" s="26"/>
      <c r="U11" s="25"/>
      <c r="V11" s="25"/>
      <c r="W11" s="25"/>
      <c r="X11" s="33" t="s">
        <v>59</v>
      </c>
    </row>
    <row r="12" ht="141.0" customHeight="1">
      <c r="A12" s="24"/>
      <c r="B12" s="15" t="s">
        <v>60</v>
      </c>
      <c r="C12" s="16" t="s">
        <v>46</v>
      </c>
      <c r="D12" s="14">
        <v>500.0</v>
      </c>
      <c r="E12" s="17" t="str">
        <f>IFERROR(__xludf.DUMMYFUNCTION("REGEXREPLACE(GOOGLETRANSLATE(B12,""RU"",""EN""),"" "",""_"")"),"Weight")</f>
        <v>Weight</v>
      </c>
      <c r="F12" s="15" t="s">
        <v>48</v>
      </c>
      <c r="G12" s="16" t="s">
        <v>48</v>
      </c>
      <c r="H12" s="16" t="s">
        <v>46</v>
      </c>
      <c r="I12" s="27"/>
      <c r="J12" s="27"/>
      <c r="K12" s="25"/>
      <c r="L12" s="26"/>
      <c r="M12" s="26"/>
      <c r="N12" s="27"/>
      <c r="O12" s="25"/>
      <c r="P12" s="25"/>
      <c r="Q12" s="24"/>
      <c r="R12" s="24"/>
      <c r="S12" s="25"/>
      <c r="T12" s="26"/>
      <c r="U12" s="25"/>
      <c r="V12" s="25"/>
      <c r="W12" s="25"/>
      <c r="X12" s="31" t="s">
        <v>61</v>
      </c>
    </row>
    <row r="13" ht="14.25" customHeight="1">
      <c r="A13" s="24"/>
      <c r="B13" s="22" t="s">
        <v>62</v>
      </c>
      <c r="C13" s="16" t="s">
        <v>46</v>
      </c>
      <c r="D13" s="14">
        <v>500.0</v>
      </c>
      <c r="E13" s="17" t="str">
        <f>IFERROR(__xludf.DUMMYFUNCTION("REGEXREPLACE(GOOGLETRANSLATE(B13,""RU"",""EN""),"" "",""_"")"),"Power")</f>
        <v>Power</v>
      </c>
      <c r="F13" s="23" t="s">
        <v>48</v>
      </c>
      <c r="G13" s="16" t="s">
        <v>48</v>
      </c>
      <c r="H13" s="16" t="s">
        <v>46</v>
      </c>
      <c r="I13" s="27"/>
      <c r="J13" s="27"/>
      <c r="K13" s="25"/>
      <c r="L13" s="26"/>
      <c r="M13" s="26"/>
      <c r="N13" s="27"/>
      <c r="O13" s="25"/>
      <c r="P13" s="25"/>
      <c r="Q13" s="24"/>
      <c r="R13" s="24"/>
      <c r="S13" s="25"/>
      <c r="T13" s="26"/>
      <c r="U13" s="25"/>
      <c r="V13" s="25"/>
      <c r="W13" s="25"/>
      <c r="X13" s="31" t="s">
        <v>54</v>
      </c>
    </row>
    <row r="14" ht="14.25" customHeight="1">
      <c r="A14" s="24"/>
      <c r="B14" s="30" t="s">
        <v>63</v>
      </c>
      <c r="C14" s="16" t="s">
        <v>46</v>
      </c>
      <c r="D14" s="14">
        <v>500.0</v>
      </c>
      <c r="E14" s="17" t="str">
        <f>IFERROR(__xludf.DUMMYFUNCTION("REGEXREPLACE(GOOGLETRANSLATE(B14,""RU"",""EN""),"" "",""_"")"),"Nutrition")</f>
        <v>Nutrition</v>
      </c>
      <c r="F14" s="15" t="s">
        <v>48</v>
      </c>
      <c r="G14" s="16" t="s">
        <v>48</v>
      </c>
      <c r="H14" s="16" t="s">
        <v>46</v>
      </c>
      <c r="I14" s="27"/>
      <c r="J14" s="27"/>
      <c r="K14" s="25"/>
      <c r="L14" s="26"/>
      <c r="M14" s="26"/>
      <c r="N14" s="27"/>
      <c r="O14" s="25"/>
      <c r="P14" s="25"/>
      <c r="Q14" s="24"/>
      <c r="R14" s="24"/>
      <c r="S14" s="25"/>
      <c r="T14" s="26"/>
      <c r="U14" s="25"/>
      <c r="V14" s="25"/>
      <c r="W14" s="25"/>
      <c r="X14" s="31" t="s">
        <v>54</v>
      </c>
    </row>
    <row r="15" ht="14.25" customHeight="1">
      <c r="A15" s="24"/>
      <c r="B15" s="22" t="s">
        <v>64</v>
      </c>
      <c r="C15" s="16" t="s">
        <v>46</v>
      </c>
      <c r="D15" s="14">
        <v>500.0</v>
      </c>
      <c r="E15" s="17" t="str">
        <f>IFERROR(__xludf.DUMMYFUNCTION("REGEXREPLACE(GOOGLETRANSLATE(B15,""RU"",""EN""),"" "",""_"")"),"Maximum_temperature")</f>
        <v>Maximum_temperature</v>
      </c>
      <c r="F15" s="23" t="s">
        <v>48</v>
      </c>
      <c r="G15" s="16" t="s">
        <v>48</v>
      </c>
      <c r="H15" s="16" t="s">
        <v>46</v>
      </c>
      <c r="I15" s="27"/>
      <c r="J15" s="27"/>
      <c r="K15" s="25"/>
      <c r="L15" s="26"/>
      <c r="M15" s="26"/>
      <c r="N15" s="27"/>
      <c r="O15" s="25"/>
      <c r="P15" s="25"/>
      <c r="Q15" s="24"/>
      <c r="R15" s="24"/>
      <c r="S15" s="25"/>
      <c r="T15" s="26"/>
      <c r="U15" s="25"/>
      <c r="V15" s="25"/>
      <c r="W15" s="25"/>
      <c r="X15" s="31" t="s">
        <v>54</v>
      </c>
    </row>
    <row r="16" ht="14.25" customHeight="1">
      <c r="A16" s="24"/>
      <c r="B16" s="30" t="s">
        <v>65</v>
      </c>
      <c r="C16" s="16" t="s">
        <v>46</v>
      </c>
      <c r="D16" s="14">
        <v>500.0</v>
      </c>
      <c r="E16" s="17" t="str">
        <f>IFERROR(__xludf.DUMMYFUNCTION("REGEXREPLACE(GOOGLETRANSLATE(B16,""RU"",""EN""),"" "",""_"")"),"Sterilization_pressure")</f>
        <v>Sterilization_pressure</v>
      </c>
      <c r="F16" s="15" t="s">
        <v>48</v>
      </c>
      <c r="G16" s="16" t="s">
        <v>48</v>
      </c>
      <c r="H16" s="16" t="s">
        <v>46</v>
      </c>
      <c r="I16" s="27"/>
      <c r="J16" s="27"/>
      <c r="K16" s="25"/>
      <c r="L16" s="26"/>
      <c r="M16" s="26"/>
      <c r="N16" s="27"/>
      <c r="O16" s="25"/>
      <c r="P16" s="25"/>
      <c r="Q16" s="24"/>
      <c r="R16" s="24"/>
      <c r="S16" s="25"/>
      <c r="T16" s="26"/>
      <c r="U16" s="25"/>
      <c r="V16" s="25"/>
      <c r="W16" s="25"/>
      <c r="X16" s="31" t="s">
        <v>54</v>
      </c>
    </row>
    <row r="17" ht="14.25" customHeight="1">
      <c r="A17" s="24"/>
      <c r="B17" s="22" t="s">
        <v>66</v>
      </c>
      <c r="C17" s="16" t="s">
        <v>46</v>
      </c>
      <c r="D17" s="14">
        <v>500.0</v>
      </c>
      <c r="E17" s="17" t="str">
        <f>IFERROR(__xludf.DUMMYFUNCTION("REGEXREPLACE(GOOGLETRANSLATE(B17,""RU"",""EN""),"" "",""_"")"),"Temperature_range")</f>
        <v>Temperature_range</v>
      </c>
      <c r="F17" s="23" t="s">
        <v>48</v>
      </c>
      <c r="G17" s="16" t="s">
        <v>48</v>
      </c>
      <c r="H17" s="16" t="s">
        <v>46</v>
      </c>
      <c r="I17" s="27"/>
      <c r="J17" s="27"/>
      <c r="K17" s="25"/>
      <c r="L17" s="26"/>
      <c r="M17" s="26"/>
      <c r="N17" s="27"/>
      <c r="O17" s="25"/>
      <c r="P17" s="25"/>
      <c r="Q17" s="24"/>
      <c r="R17" s="24"/>
      <c r="S17" s="25"/>
      <c r="T17" s="26"/>
      <c r="U17" s="25"/>
      <c r="V17" s="25"/>
      <c r="W17" s="25"/>
      <c r="X17" s="31" t="s">
        <v>54</v>
      </c>
    </row>
    <row r="18" ht="14.25" customHeight="1">
      <c r="A18" s="24"/>
      <c r="B18" s="30" t="s">
        <v>67</v>
      </c>
      <c r="C18" s="16" t="s">
        <v>46</v>
      </c>
      <c r="D18" s="14">
        <v>500.0</v>
      </c>
      <c r="E18" s="17" t="str">
        <f>IFERROR(__xludf.DUMMYFUNCTION("REGEXREPLACE(GOOGLETRANSLATE(B18,""RU"",""EN""),"" "",""_"")"),"Sterilization_quality_control_system")</f>
        <v>Sterilization_quality_control_system</v>
      </c>
      <c r="F18" s="15" t="s">
        <v>47</v>
      </c>
      <c r="G18" s="16" t="s">
        <v>48</v>
      </c>
      <c r="H18" s="16" t="s">
        <v>46</v>
      </c>
      <c r="I18" s="27"/>
      <c r="J18" s="27"/>
      <c r="K18" s="25"/>
      <c r="L18" s="26"/>
      <c r="M18" s="26"/>
      <c r="N18" s="27"/>
      <c r="O18" s="25"/>
      <c r="P18" s="25"/>
      <c r="Q18" s="24"/>
      <c r="R18" s="24"/>
      <c r="S18" s="25"/>
      <c r="T18" s="26"/>
      <c r="U18" s="25"/>
      <c r="V18" s="25"/>
      <c r="W18" s="25"/>
      <c r="X18" s="31" t="s">
        <v>54</v>
      </c>
    </row>
    <row r="19" ht="14.25" customHeight="1">
      <c r="A19" s="24"/>
      <c r="B19" s="22" t="s">
        <v>68</v>
      </c>
      <c r="C19" s="16" t="s">
        <v>46</v>
      </c>
      <c r="D19" s="14">
        <v>500.0</v>
      </c>
      <c r="E19" s="17" t="str">
        <f>IFERROR(__xludf.DUMMYFUNCTION("REGEXREPLACE(GOOGLETRANSLATE(B19,""RU"",""EN""),"" "",""_"")"),"Camera_material")</f>
        <v>Camera_material</v>
      </c>
      <c r="F19" s="23" t="s">
        <v>47</v>
      </c>
      <c r="G19" s="16" t="s">
        <v>48</v>
      </c>
      <c r="H19" s="16" t="s">
        <v>46</v>
      </c>
      <c r="I19" s="27"/>
      <c r="J19" s="27"/>
      <c r="K19" s="25"/>
      <c r="L19" s="26"/>
      <c r="M19" s="26"/>
      <c r="N19" s="27"/>
      <c r="O19" s="25"/>
      <c r="P19" s="25"/>
      <c r="Q19" s="24"/>
      <c r="R19" s="24"/>
      <c r="S19" s="25"/>
      <c r="T19" s="26"/>
      <c r="U19" s="25"/>
      <c r="V19" s="25"/>
      <c r="W19" s="25"/>
      <c r="X19" s="31" t="s">
        <v>54</v>
      </c>
    </row>
    <row r="20" ht="14.25" customHeight="1">
      <c r="A20" s="24"/>
      <c r="B20" s="30" t="s">
        <v>69</v>
      </c>
      <c r="C20" s="16" t="s">
        <v>46</v>
      </c>
      <c r="D20" s="14">
        <v>500.0</v>
      </c>
      <c r="E20" s="17" t="str">
        <f>IFERROR(__xludf.DUMMYFUNCTION("REGEXREPLACE(GOOGLETRANSLATE(B20,""RU"",""EN""),"" "",""_"")"),"Control_type")</f>
        <v>Control_type</v>
      </c>
      <c r="F20" s="15" t="s">
        <v>47</v>
      </c>
      <c r="G20" s="16" t="s">
        <v>48</v>
      </c>
      <c r="H20" s="16" t="s">
        <v>46</v>
      </c>
      <c r="I20" s="27"/>
      <c r="J20" s="27"/>
      <c r="K20" s="25"/>
      <c r="L20" s="26"/>
      <c r="M20" s="26"/>
      <c r="N20" s="27"/>
      <c r="O20" s="25"/>
      <c r="P20" s="25"/>
      <c r="Q20" s="24"/>
      <c r="R20" s="24"/>
      <c r="S20" s="25"/>
      <c r="T20" s="26"/>
      <c r="U20" s="25"/>
      <c r="V20" s="25"/>
      <c r="W20" s="25"/>
      <c r="X20" s="31" t="s">
        <v>54</v>
      </c>
    </row>
    <row r="21" ht="14.25" customHeight="1">
      <c r="A21" s="24"/>
      <c r="B21" s="22" t="s">
        <v>70</v>
      </c>
      <c r="C21" s="16" t="s">
        <v>46</v>
      </c>
      <c r="D21" s="14">
        <v>500.0</v>
      </c>
      <c r="E21" s="17" t="str">
        <f>IFERROR(__xludf.DUMMYFUNCTION("REGEXREPLACE(GOOGLETRANSLATE(B21,""RU"",""EN""),"" "",""_"")"),"Availability_of_a_printer")</f>
        <v>Availability_of_a_printer</v>
      </c>
      <c r="F21" s="23" t="s">
        <v>71</v>
      </c>
      <c r="G21" s="16" t="s">
        <v>48</v>
      </c>
      <c r="H21" s="16" t="s">
        <v>46</v>
      </c>
      <c r="I21" s="27"/>
      <c r="J21" s="27"/>
      <c r="K21" s="25"/>
      <c r="L21" s="26"/>
      <c r="M21" s="26"/>
      <c r="N21" s="27"/>
      <c r="O21" s="25"/>
      <c r="P21" s="25"/>
      <c r="Q21" s="24"/>
      <c r="R21" s="24"/>
      <c r="S21" s="25"/>
      <c r="T21" s="26"/>
      <c r="U21" s="25"/>
      <c r="V21" s="25"/>
      <c r="W21" s="25"/>
      <c r="X21" s="31" t="s">
        <v>54</v>
      </c>
    </row>
    <row r="22" ht="14.25" customHeight="1">
      <c r="A22" s="24"/>
      <c r="B22" s="30" t="s">
        <v>72</v>
      </c>
      <c r="C22" s="16" t="s">
        <v>46</v>
      </c>
      <c r="D22" s="14">
        <v>500.0</v>
      </c>
      <c r="E22" s="17" t="str">
        <f>IFERROR(__xludf.DUMMYFUNCTION("REGEXREPLACE(GOOGLETRANSLATE(B22,""RU"",""EN""),"" "",""_"")"),"Availability_of_display")</f>
        <v>Availability_of_display</v>
      </c>
      <c r="F22" s="15" t="s">
        <v>71</v>
      </c>
      <c r="G22" s="16" t="s">
        <v>48</v>
      </c>
      <c r="H22" s="16" t="s">
        <v>46</v>
      </c>
      <c r="I22" s="27"/>
      <c r="J22" s="27"/>
      <c r="K22" s="25"/>
      <c r="L22" s="26"/>
      <c r="M22" s="26"/>
      <c r="N22" s="27"/>
      <c r="O22" s="25"/>
      <c r="P22" s="25"/>
      <c r="Q22" s="24"/>
      <c r="R22" s="24"/>
      <c r="S22" s="25"/>
      <c r="T22" s="26"/>
      <c r="U22" s="25"/>
      <c r="V22" s="25"/>
      <c r="W22" s="25"/>
      <c r="X22" s="31" t="s">
        <v>54</v>
      </c>
    </row>
    <row r="23" ht="14.25" customHeight="1">
      <c r="A23" s="24"/>
      <c r="B23" s="22" t="s">
        <v>73</v>
      </c>
      <c r="C23" s="16" t="s">
        <v>46</v>
      </c>
      <c r="D23" s="14">
        <v>500.0</v>
      </c>
      <c r="E23" s="17" t="str">
        <f>IFERROR(__xludf.DUMMYFUNCTION("REGEXREPLACE(GOOGLETRANSLATE(B23,""RU"",""EN""),"" "",""_"")"),"Display_type")</f>
        <v>Display_type</v>
      </c>
      <c r="F23" s="23" t="s">
        <v>47</v>
      </c>
      <c r="G23" s="16" t="s">
        <v>48</v>
      </c>
      <c r="H23" s="16" t="s">
        <v>46</v>
      </c>
      <c r="I23" s="27"/>
      <c r="J23" s="27"/>
      <c r="K23" s="25"/>
      <c r="L23" s="26"/>
      <c r="M23" s="26"/>
      <c r="N23" s="27"/>
      <c r="O23" s="25"/>
      <c r="P23" s="25"/>
      <c r="Q23" s="24"/>
      <c r="R23" s="24"/>
      <c r="S23" s="25"/>
      <c r="T23" s="26"/>
      <c r="U23" s="25"/>
      <c r="V23" s="25"/>
      <c r="W23" s="25"/>
      <c r="X23" s="31" t="s">
        <v>54</v>
      </c>
    </row>
    <row r="24" ht="14.25" customHeight="1">
      <c r="A24" s="24"/>
      <c r="B24" s="30" t="s">
        <v>74</v>
      </c>
      <c r="C24" s="16" t="s">
        <v>46</v>
      </c>
      <c r="D24" s="14">
        <v>500.0</v>
      </c>
      <c r="E24" s="17" t="str">
        <f>IFERROR(__xludf.DUMMYFUNCTION("REGEXREPLACE(GOOGLETRANSLATE(B24,""RU"",""EN""),"" "",""_"")"),"Availability_of_sound_alarm")</f>
        <v>Availability_of_sound_alarm</v>
      </c>
      <c r="F24" s="15" t="s">
        <v>71</v>
      </c>
      <c r="G24" s="16" t="s">
        <v>48</v>
      </c>
      <c r="H24" s="16" t="s">
        <v>46</v>
      </c>
      <c r="I24" s="27"/>
      <c r="J24" s="27"/>
      <c r="K24" s="25"/>
      <c r="L24" s="26"/>
      <c r="M24" s="26"/>
      <c r="N24" s="27"/>
      <c r="O24" s="25"/>
      <c r="P24" s="25"/>
      <c r="Q24" s="24"/>
      <c r="R24" s="24"/>
      <c r="S24" s="25"/>
      <c r="T24" s="26"/>
      <c r="U24" s="25"/>
      <c r="V24" s="25"/>
      <c r="W24" s="25"/>
      <c r="X24" s="31" t="s">
        <v>54</v>
      </c>
    </row>
    <row r="25" ht="14.25" customHeight="1">
      <c r="A25" s="24"/>
      <c r="B25" s="22" t="s">
        <v>75</v>
      </c>
      <c r="C25" s="16" t="s">
        <v>46</v>
      </c>
      <c r="D25" s="14">
        <v>500.0</v>
      </c>
      <c r="E25" s="17" t="str">
        <f>IFERROR(__xludf.DUMMYFUNCTION("REGEXREPLACE(GOOGLETRANSLATE(B25,""RU"",""EN""),"" "",""_"")"),"Availability_of_a_drying_cycle")</f>
        <v>Availability_of_a_drying_cycle</v>
      </c>
      <c r="F25" s="23" t="s">
        <v>71</v>
      </c>
      <c r="G25" s="16" t="s">
        <v>48</v>
      </c>
      <c r="H25" s="16" t="s">
        <v>46</v>
      </c>
      <c r="I25" s="27"/>
      <c r="J25" s="27"/>
      <c r="K25" s="25"/>
      <c r="L25" s="26"/>
      <c r="M25" s="26"/>
      <c r="N25" s="27"/>
      <c r="O25" s="25"/>
      <c r="P25" s="25"/>
      <c r="Q25" s="24"/>
      <c r="R25" s="24"/>
      <c r="S25" s="25"/>
      <c r="T25" s="26"/>
      <c r="U25" s="25"/>
      <c r="V25" s="25"/>
      <c r="W25" s="25"/>
      <c r="X25" s="31" t="s">
        <v>54</v>
      </c>
    </row>
    <row r="26" ht="14.25" customHeight="1">
      <c r="A26" s="24"/>
      <c r="B26" s="30" t="s">
        <v>76</v>
      </c>
      <c r="C26" s="16" t="s">
        <v>46</v>
      </c>
      <c r="D26" s="14">
        <v>500.0</v>
      </c>
      <c r="E26" s="17" t="str">
        <f>IFERROR(__xludf.DUMMYFUNCTION("REGEXREPLACE(GOOGLETRANSLATE(B26,""RU"",""EN""),"" "",""_"")"),"Load_Type")</f>
        <v>Load_Type</v>
      </c>
      <c r="F26" s="15" t="s">
        <v>56</v>
      </c>
      <c r="G26" s="16" t="s">
        <v>48</v>
      </c>
      <c r="H26" s="16" t="s">
        <v>46</v>
      </c>
      <c r="I26" s="27"/>
      <c r="J26" s="27"/>
      <c r="K26" s="25"/>
      <c r="L26" s="26"/>
      <c r="M26" s="26"/>
      <c r="N26" s="27"/>
      <c r="O26" s="25"/>
      <c r="P26" s="25"/>
      <c r="Q26" s="24"/>
      <c r="R26" s="24"/>
      <c r="S26" s="25"/>
      <c r="T26" s="26"/>
      <c r="U26" s="25"/>
      <c r="V26" s="25"/>
      <c r="W26" s="25"/>
      <c r="X26" s="31" t="s">
        <v>54</v>
      </c>
    </row>
    <row r="27" ht="14.25" customHeight="1">
      <c r="A27" s="24"/>
      <c r="B27" s="22" t="s">
        <v>77</v>
      </c>
      <c r="C27" s="16" t="s">
        <v>46</v>
      </c>
      <c r="D27" s="14">
        <v>500.0</v>
      </c>
      <c r="E27" s="17" t="str">
        <f>IFERROR(__xludf.DUMMYFUNCTION("REGEXREPLACE(GOOGLETRANSLATE(B27,""RU"",""EN""),"" "",""_"")"),"Availability_of_a_vacuum_pump")</f>
        <v>Availability_of_a_vacuum_pump</v>
      </c>
      <c r="F27" s="23" t="s">
        <v>71</v>
      </c>
      <c r="G27" s="16" t="s">
        <v>48</v>
      </c>
      <c r="H27" s="16" t="s">
        <v>46</v>
      </c>
      <c r="I27" s="27"/>
      <c r="J27" s="27"/>
      <c r="K27" s="25"/>
      <c r="L27" s="26"/>
      <c r="M27" s="26"/>
      <c r="N27" s="27"/>
      <c r="O27" s="25"/>
      <c r="P27" s="25"/>
      <c r="Q27" s="24"/>
      <c r="R27" s="24"/>
      <c r="S27" s="25"/>
      <c r="T27" s="26"/>
      <c r="U27" s="25"/>
      <c r="V27" s="25"/>
      <c r="W27" s="25"/>
      <c r="X27" s="31" t="s">
        <v>54</v>
      </c>
    </row>
    <row r="28" ht="14.25" customHeight="1">
      <c r="A28" s="24"/>
      <c r="B28" s="30" t="s">
        <v>78</v>
      </c>
      <c r="C28" s="16" t="s">
        <v>46</v>
      </c>
      <c r="D28" s="14">
        <v>500.0</v>
      </c>
      <c r="E28" s="17" t="str">
        <f>IFERROR(__xludf.DUMMYFUNCTION("REGEXREPLACE(GOOGLETRANSLATE(B28,""RU"",""EN""),"" "",""_"")"),"Availability_of_door_locking_system")</f>
        <v>Availability_of_door_locking_system</v>
      </c>
      <c r="F28" s="15" t="s">
        <v>71</v>
      </c>
      <c r="G28" s="16" t="s">
        <v>48</v>
      </c>
      <c r="H28" s="16" t="s">
        <v>46</v>
      </c>
      <c r="I28" s="27"/>
      <c r="J28" s="27"/>
      <c r="K28" s="25"/>
      <c r="L28" s="26"/>
      <c r="M28" s="26"/>
      <c r="N28" s="27"/>
      <c r="O28" s="25"/>
      <c r="P28" s="25"/>
      <c r="Q28" s="24"/>
      <c r="R28" s="24"/>
      <c r="S28" s="25"/>
      <c r="T28" s="26"/>
      <c r="U28" s="25"/>
      <c r="V28" s="25"/>
      <c r="W28" s="25"/>
      <c r="X28" s="31" t="s">
        <v>54</v>
      </c>
    </row>
    <row r="29" ht="14.25" customHeight="1">
      <c r="A29" s="24"/>
      <c r="B29" s="22" t="s">
        <v>79</v>
      </c>
      <c r="C29" s="16" t="s">
        <v>46</v>
      </c>
      <c r="D29" s="14">
        <v>500.0</v>
      </c>
      <c r="E29" s="17" t="str">
        <f>IFERROR(__xludf.DUMMYFUNCTION("REGEXREPLACE(GOOGLETRANSLATE(B29,""RU"",""EN""),"" "",""_"")"),"Automatic_shutdown")</f>
        <v>Automatic_shutdown</v>
      </c>
      <c r="F29" s="23" t="s">
        <v>71</v>
      </c>
      <c r="G29" s="16" t="s">
        <v>48</v>
      </c>
      <c r="H29" s="16" t="s">
        <v>46</v>
      </c>
      <c r="I29" s="27"/>
      <c r="J29" s="27"/>
      <c r="K29" s="25"/>
      <c r="L29" s="26"/>
      <c r="M29" s="26"/>
      <c r="N29" s="27"/>
      <c r="O29" s="25"/>
      <c r="P29" s="25"/>
      <c r="Q29" s="24"/>
      <c r="R29" s="24"/>
      <c r="S29" s="25"/>
      <c r="T29" s="26"/>
      <c r="U29" s="25"/>
      <c r="V29" s="25"/>
      <c r="W29" s="25"/>
      <c r="X29" s="31" t="s">
        <v>54</v>
      </c>
    </row>
    <row r="30" ht="14.25" customHeight="1">
      <c r="A30" s="24"/>
      <c r="B30" s="30" t="s">
        <v>80</v>
      </c>
      <c r="C30" s="16" t="s">
        <v>46</v>
      </c>
      <c r="D30" s="14">
        <v>500.0</v>
      </c>
      <c r="E30" s="17" t="str">
        <f>IFERROR(__xludf.DUMMYFUNCTION("REGEXREPLACE(GOOGLETRANSLATE(B30,""RU"",""EN""),"" "",""_"")"),"Required_Connections")</f>
        <v>Required_Connections</v>
      </c>
      <c r="F30" s="15" t="s">
        <v>56</v>
      </c>
      <c r="G30" s="16" t="s">
        <v>48</v>
      </c>
      <c r="H30" s="16" t="s">
        <v>46</v>
      </c>
      <c r="I30" s="27"/>
      <c r="J30" s="27"/>
      <c r="K30" s="25"/>
      <c r="L30" s="26"/>
      <c r="M30" s="26"/>
      <c r="N30" s="27"/>
      <c r="O30" s="25"/>
      <c r="P30" s="25"/>
      <c r="Q30" s="24"/>
      <c r="R30" s="24"/>
      <c r="S30" s="25"/>
      <c r="T30" s="26"/>
      <c r="U30" s="25"/>
      <c r="V30" s="25"/>
      <c r="W30" s="25"/>
      <c r="X30" s="31" t="s">
        <v>54</v>
      </c>
    </row>
    <row r="31" ht="14.25" customHeight="1">
      <c r="A31" s="24"/>
      <c r="B31" s="22" t="s">
        <v>81</v>
      </c>
      <c r="C31" s="16" t="s">
        <v>46</v>
      </c>
      <c r="D31" s="14">
        <v>500.0</v>
      </c>
      <c r="E31" s="17" t="str">
        <f>IFERROR(__xludf.DUMMYFUNCTION("REGEXREPLACE(GOOGLETRANSLATE(B31,""RU"",""EN""),"" "",""_"")"),"Sterilization_level")</f>
        <v>Sterilization_level</v>
      </c>
      <c r="F31" s="23" t="s">
        <v>48</v>
      </c>
      <c r="G31" s="16" t="s">
        <v>48</v>
      </c>
      <c r="H31" s="16" t="s">
        <v>46</v>
      </c>
      <c r="I31" s="27"/>
      <c r="J31" s="27"/>
      <c r="K31" s="25"/>
      <c r="L31" s="26"/>
      <c r="M31" s="26"/>
      <c r="N31" s="27"/>
      <c r="O31" s="25"/>
      <c r="P31" s="25"/>
      <c r="Q31" s="24"/>
      <c r="R31" s="24"/>
      <c r="S31" s="25"/>
      <c r="T31" s="26"/>
      <c r="U31" s="25"/>
      <c r="V31" s="25"/>
      <c r="W31" s="25"/>
      <c r="X31" s="31" t="s">
        <v>54</v>
      </c>
    </row>
    <row r="32" ht="14.25" customHeight="1">
      <c r="A32" s="24"/>
      <c r="B32" s="30" t="s">
        <v>82</v>
      </c>
      <c r="C32" s="16" t="s">
        <v>46</v>
      </c>
      <c r="D32" s="14">
        <v>500.0</v>
      </c>
      <c r="E32" s="17" t="str">
        <f>IFERROR(__xludf.DUMMYFUNCTION("REGEXREPLACE(GOOGLETRANSLATE(B32,""RU"",""EN""),"" "",""_"")"),"Equipment")</f>
        <v>Equipment</v>
      </c>
      <c r="F32" s="15" t="s">
        <v>47</v>
      </c>
      <c r="G32" s="16" t="s">
        <v>48</v>
      </c>
      <c r="H32" s="16" t="s">
        <v>46</v>
      </c>
      <c r="I32" s="27"/>
      <c r="J32" s="27"/>
      <c r="K32" s="25"/>
      <c r="L32" s="26"/>
      <c r="M32" s="26"/>
      <c r="N32" s="27"/>
      <c r="O32" s="25"/>
      <c r="P32" s="25"/>
      <c r="Q32" s="24"/>
      <c r="R32" s="24"/>
      <c r="S32" s="25"/>
      <c r="T32" s="26"/>
      <c r="U32" s="25"/>
      <c r="V32" s="25"/>
      <c r="W32" s="25"/>
      <c r="X32" s="31" t="s">
        <v>54</v>
      </c>
    </row>
    <row r="33" ht="14.25" customHeight="1">
      <c r="A33" s="24"/>
      <c r="B33" s="22" t="s">
        <v>83</v>
      </c>
      <c r="C33" s="34" t="s">
        <v>46</v>
      </c>
      <c r="D33" s="14">
        <v>500.0</v>
      </c>
      <c r="E33" s="17" t="str">
        <f>IFERROR(__xludf.DUMMYFUNCTION("REGEXREPLACE(GOOGLETRANSLATE(B33,""RU"",""EN""),"" "",""_"")"),"Mean_time_between_failures")</f>
        <v>Mean_time_between_failures</v>
      </c>
      <c r="F33" s="23" t="s">
        <v>48</v>
      </c>
      <c r="G33" s="16" t="s">
        <v>48</v>
      </c>
      <c r="H33" s="16" t="s">
        <v>46</v>
      </c>
      <c r="I33" s="27"/>
      <c r="J33" s="27"/>
      <c r="K33" s="25"/>
      <c r="L33" s="26"/>
      <c r="M33" s="26"/>
      <c r="N33" s="27"/>
      <c r="O33" s="25"/>
      <c r="P33" s="25"/>
      <c r="Q33" s="24"/>
      <c r="R33" s="24"/>
      <c r="S33" s="25"/>
      <c r="T33" s="26"/>
      <c r="U33" s="25"/>
      <c r="V33" s="25"/>
      <c r="W33" s="25"/>
      <c r="X33" s="31" t="s">
        <v>54</v>
      </c>
    </row>
    <row r="34" ht="14.25" customHeight="1">
      <c r="A34" s="24"/>
      <c r="B34" s="30" t="s">
        <v>84</v>
      </c>
      <c r="C34" s="16" t="s">
        <v>46</v>
      </c>
      <c r="D34" s="14">
        <v>500.0</v>
      </c>
      <c r="E34" s="17" t="str">
        <f>IFERROR(__xludf.DUMMYFUNCTION("REGEXREPLACE(GOOGLETRANSLATE(B34,""RU"",""EN""),"" "",""_"")"),"Noise_level")</f>
        <v>Noise_level</v>
      </c>
      <c r="F34" s="15" t="s">
        <v>48</v>
      </c>
      <c r="G34" s="16" t="s">
        <v>48</v>
      </c>
      <c r="H34" s="16" t="s">
        <v>46</v>
      </c>
      <c r="I34" s="27"/>
      <c r="J34" s="27"/>
      <c r="K34" s="25"/>
      <c r="L34" s="26"/>
      <c r="M34" s="26"/>
      <c r="N34" s="27"/>
      <c r="O34" s="25"/>
      <c r="P34" s="25"/>
      <c r="Q34" s="24"/>
      <c r="R34" s="24"/>
      <c r="S34" s="25"/>
      <c r="T34" s="26"/>
      <c r="U34" s="25"/>
      <c r="V34" s="25"/>
      <c r="W34" s="25"/>
      <c r="X34" s="31" t="s">
        <v>54</v>
      </c>
    </row>
    <row r="35" ht="14.25" customHeight="1">
      <c r="A35" s="24"/>
      <c r="B35" s="22" t="s">
        <v>85</v>
      </c>
      <c r="C35" s="16" t="s">
        <v>46</v>
      </c>
      <c r="D35" s="14">
        <v>500.0</v>
      </c>
      <c r="E35" s="17" t="str">
        <f>IFERROR(__xludf.DUMMYFUNCTION("REGEXREPLACE(GOOGLETRANSLATE(B35,""RU"",""EN""),"" "",""_"")"),"Additional_Description")</f>
        <v>Additional_Description</v>
      </c>
      <c r="F35" s="23" t="s">
        <v>47</v>
      </c>
      <c r="G35" s="16" t="s">
        <v>48</v>
      </c>
      <c r="H35" s="16" t="s">
        <v>46</v>
      </c>
      <c r="I35" s="27"/>
      <c r="J35" s="27"/>
      <c r="K35" s="25"/>
      <c r="L35" s="26"/>
      <c r="M35" s="26"/>
      <c r="N35" s="27"/>
      <c r="O35" s="25"/>
      <c r="P35" s="25"/>
      <c r="Q35" s="24"/>
      <c r="R35" s="24"/>
      <c r="S35" s="25"/>
      <c r="T35" s="26"/>
      <c r="U35" s="25"/>
      <c r="V35" s="25"/>
      <c r="W35" s="25"/>
      <c r="X35" s="31" t="s">
        <v>54</v>
      </c>
    </row>
    <row r="36" ht="14.25" customHeight="1">
      <c r="A36" s="24"/>
      <c r="B36" s="35" t="s">
        <v>86</v>
      </c>
      <c r="C36" s="16" t="s">
        <v>46</v>
      </c>
      <c r="D36" s="14">
        <v>500.0</v>
      </c>
      <c r="E36" s="17" t="str">
        <f>IFERROR(__xludf.DUMMYFUNCTION("REGEXREPLACE(GOOGLETRANSLATE(B36,""RU"",""EN""),"" "",""_"")"),"Safety_standard")</f>
        <v>Safety_standard</v>
      </c>
      <c r="F36" s="36" t="s">
        <v>47</v>
      </c>
      <c r="G36" s="16" t="s">
        <v>48</v>
      </c>
      <c r="H36" s="16" t="s">
        <v>46</v>
      </c>
      <c r="I36" s="27"/>
      <c r="J36" s="27"/>
      <c r="K36" s="25"/>
      <c r="L36" s="26"/>
      <c r="M36" s="26"/>
      <c r="N36" s="27"/>
      <c r="O36" s="25"/>
      <c r="P36" s="25"/>
      <c r="Q36" s="24"/>
      <c r="R36" s="24"/>
      <c r="S36" s="25"/>
      <c r="T36" s="26"/>
      <c r="U36" s="25"/>
      <c r="V36" s="25"/>
      <c r="W36" s="25"/>
      <c r="X36" s="37" t="s">
        <v>87</v>
      </c>
    </row>
    <row r="37" ht="14.25" customHeight="1">
      <c r="A37" s="24"/>
      <c r="B37" s="28" t="s">
        <v>88</v>
      </c>
      <c r="C37" s="16" t="s">
        <v>46</v>
      </c>
      <c r="D37" s="14">
        <v>500.0</v>
      </c>
      <c r="E37" s="17" t="str">
        <f>IFERROR(__xludf.DUMMYFUNCTION("REGEXREPLACE(GOOGLETRANSLATE(B37,""RU"",""EN""),"" "",""_"")"),"UV_camera_type")</f>
        <v>UV_camera_type</v>
      </c>
      <c r="F37" s="29" t="s">
        <v>47</v>
      </c>
      <c r="G37" s="16" t="s">
        <v>48</v>
      </c>
      <c r="H37" s="16" t="s">
        <v>46</v>
      </c>
      <c r="I37" s="27"/>
      <c r="J37" s="27"/>
      <c r="K37" s="25"/>
      <c r="L37" s="26"/>
      <c r="M37" s="26"/>
      <c r="N37" s="27"/>
      <c r="O37" s="25"/>
      <c r="P37" s="25"/>
      <c r="Q37" s="24"/>
      <c r="R37" s="24"/>
      <c r="S37" s="25"/>
      <c r="T37" s="26"/>
      <c r="U37" s="25"/>
      <c r="V37" s="25"/>
      <c r="W37" s="25"/>
      <c r="X37" s="37" t="s">
        <v>87</v>
      </c>
    </row>
    <row r="38" ht="14.25" customHeight="1">
      <c r="A38" s="24"/>
      <c r="B38" s="35" t="s">
        <v>89</v>
      </c>
      <c r="C38" s="16" t="s">
        <v>46</v>
      </c>
      <c r="D38" s="14">
        <v>500.0</v>
      </c>
      <c r="E38" s="17" t="str">
        <f>IFERROR(__xludf.DUMMYFUNCTION("REGEXREPLACE(GOOGLETRANSLATE(B38,""RU"",""EN""),"" "",""_"")"),"Lamp_configuration_(type)")</f>
        <v>Lamp_configuration_(type)</v>
      </c>
      <c r="F38" s="36" t="s">
        <v>47</v>
      </c>
      <c r="G38" s="16" t="s">
        <v>48</v>
      </c>
      <c r="H38" s="16" t="s">
        <v>46</v>
      </c>
      <c r="I38" s="27"/>
      <c r="J38" s="27"/>
      <c r="K38" s="25"/>
      <c r="L38" s="26"/>
      <c r="M38" s="26"/>
      <c r="N38" s="27"/>
      <c r="O38" s="25"/>
      <c r="P38" s="25"/>
      <c r="Q38" s="24"/>
      <c r="R38" s="24"/>
      <c r="S38" s="25"/>
      <c r="T38" s="26"/>
      <c r="U38" s="25"/>
      <c r="V38" s="25"/>
      <c r="W38" s="25"/>
      <c r="X38" s="37" t="s">
        <v>87</v>
      </c>
    </row>
    <row r="39" ht="14.25" customHeight="1">
      <c r="A39" s="24"/>
      <c r="B39" s="28" t="s">
        <v>90</v>
      </c>
      <c r="C39" s="16" t="s">
        <v>46</v>
      </c>
      <c r="D39" s="14">
        <v>500.0</v>
      </c>
      <c r="E39" s="17" t="str">
        <f>IFERROR(__xludf.DUMMYFUNCTION("REGEXREPLACE(GOOGLETRANSLATE(B39,""RU"",""EN""),"" "",""_"")"),"Power_of_one_lamp,_W")</f>
        <v>Power_of_one_lamp,_W</v>
      </c>
      <c r="F39" s="29" t="s">
        <v>48</v>
      </c>
      <c r="G39" s="16" t="s">
        <v>48</v>
      </c>
      <c r="H39" s="16" t="s">
        <v>46</v>
      </c>
      <c r="I39" s="27"/>
      <c r="J39" s="27"/>
      <c r="K39" s="25"/>
      <c r="L39" s="26"/>
      <c r="M39" s="26"/>
      <c r="N39" s="27"/>
      <c r="O39" s="25"/>
      <c r="P39" s="25"/>
      <c r="Q39" s="24"/>
      <c r="R39" s="24"/>
      <c r="S39" s="25"/>
      <c r="T39" s="26"/>
      <c r="U39" s="25"/>
      <c r="V39" s="25"/>
      <c r="W39" s="25"/>
      <c r="X39" s="37" t="s">
        <v>87</v>
      </c>
    </row>
    <row r="40" ht="14.25" customHeight="1">
      <c r="A40" s="24"/>
      <c r="B40" s="35" t="s">
        <v>91</v>
      </c>
      <c r="C40" s="16" t="s">
        <v>46</v>
      </c>
      <c r="D40" s="14">
        <v>500.0</v>
      </c>
      <c r="E40" s="17" t="str">
        <f>IFERROR(__xludf.DUMMYFUNCTION("REGEXREPLACE(GOOGLETRANSLATE(B40,""RU"",""EN""),"" "",""_"")"),"Total_UV_power")</f>
        <v>Total_UV_power</v>
      </c>
      <c r="F40" s="36" t="s">
        <v>47</v>
      </c>
      <c r="G40" s="16" t="s">
        <v>48</v>
      </c>
      <c r="H40" s="16" t="s">
        <v>46</v>
      </c>
      <c r="I40" s="27"/>
      <c r="J40" s="27"/>
      <c r="K40" s="25"/>
      <c r="L40" s="26"/>
      <c r="M40" s="26"/>
      <c r="N40" s="27"/>
      <c r="O40" s="25"/>
      <c r="P40" s="25"/>
      <c r="Q40" s="24"/>
      <c r="R40" s="24"/>
      <c r="S40" s="25"/>
      <c r="T40" s="26"/>
      <c r="U40" s="25"/>
      <c r="V40" s="25"/>
      <c r="W40" s="25"/>
      <c r="X40" s="37" t="s">
        <v>87</v>
      </c>
    </row>
    <row r="41" ht="14.25" customHeight="1">
      <c r="A41" s="24"/>
      <c r="B41" s="28" t="s">
        <v>92</v>
      </c>
      <c r="C41" s="16" t="s">
        <v>46</v>
      </c>
      <c r="D41" s="14">
        <v>500.0</v>
      </c>
      <c r="E41" s="17" t="str">
        <f>IFERROR(__xludf.DUMMYFUNCTION("REGEXREPLACE(GOOGLETRANSLATE(B41,""RU"",""EN""),"" "",""_"")"),"Number_of_lamps,_pcs")</f>
        <v>Number_of_lamps,_pcs</v>
      </c>
      <c r="F41" s="29" t="s">
        <v>47</v>
      </c>
      <c r="G41" s="16" t="s">
        <v>48</v>
      </c>
      <c r="H41" s="16" t="s">
        <v>46</v>
      </c>
      <c r="I41" s="27"/>
      <c r="J41" s="27"/>
      <c r="K41" s="25"/>
      <c r="L41" s="26"/>
      <c r="M41" s="26"/>
      <c r="N41" s="27"/>
      <c r="O41" s="25"/>
      <c r="P41" s="25"/>
      <c r="Q41" s="24"/>
      <c r="R41" s="24"/>
      <c r="S41" s="25"/>
      <c r="T41" s="26"/>
      <c r="U41" s="25"/>
      <c r="V41" s="25"/>
      <c r="W41" s="25"/>
      <c r="X41" s="37" t="s">
        <v>87</v>
      </c>
    </row>
    <row r="42" ht="14.25" customHeight="1">
      <c r="A42" s="24"/>
      <c r="B42" s="35" t="s">
        <v>93</v>
      </c>
      <c r="C42" s="16" t="s">
        <v>46</v>
      </c>
      <c r="D42" s="14">
        <v>500.0</v>
      </c>
      <c r="E42" s="17" t="str">
        <f>IFERROR(__xludf.DUMMYFUNCTION("REGEXREPLACE(GOOGLETRANSLATE(B42,""RU"",""EN""),"" "",""_"")"),"Operating_temperature_range")</f>
        <v>Operating_temperature_range</v>
      </c>
      <c r="F42" s="36" t="s">
        <v>47</v>
      </c>
      <c r="G42" s="16" t="s">
        <v>48</v>
      </c>
      <c r="H42" s="16" t="s">
        <v>46</v>
      </c>
      <c r="I42" s="27"/>
      <c r="J42" s="27"/>
      <c r="K42" s="25"/>
      <c r="L42" s="26"/>
      <c r="M42" s="26"/>
      <c r="N42" s="27"/>
      <c r="O42" s="25"/>
      <c r="P42" s="25"/>
      <c r="Q42" s="24"/>
      <c r="R42" s="24"/>
      <c r="S42" s="25"/>
      <c r="T42" s="26"/>
      <c r="U42" s="25"/>
      <c r="V42" s="25"/>
      <c r="W42" s="25"/>
      <c r="X42" s="37" t="s">
        <v>87</v>
      </c>
    </row>
    <row r="43" ht="14.25" customHeight="1">
      <c r="A43" s="24"/>
      <c r="B43" s="28" t="s">
        <v>94</v>
      </c>
      <c r="C43" s="16" t="s">
        <v>46</v>
      </c>
      <c r="D43" s="14">
        <v>500.0</v>
      </c>
      <c r="E43" s="17" t="str">
        <f>IFERROR(__xludf.DUMMYFUNCTION("REGEXREPLACE(GOOGLETRANSLATE(B43,""RU"",""EN""),"" "",""_"")"),"Timer_for_the_duration_of_UV_exposure_of_the_patient")</f>
        <v>Timer_for_the_duration_of_UV_exposure_of_the_patient</v>
      </c>
      <c r="F43" s="29" t="s">
        <v>47</v>
      </c>
      <c r="G43" s="16" t="s">
        <v>48</v>
      </c>
      <c r="H43" s="16" t="s">
        <v>46</v>
      </c>
      <c r="I43" s="27"/>
      <c r="J43" s="27"/>
      <c r="K43" s="25"/>
      <c r="L43" s="26"/>
      <c r="M43" s="26"/>
      <c r="N43" s="27"/>
      <c r="O43" s="25"/>
      <c r="P43" s="25"/>
      <c r="Q43" s="24"/>
      <c r="R43" s="24"/>
      <c r="S43" s="25"/>
      <c r="T43" s="26"/>
      <c r="U43" s="25"/>
      <c r="V43" s="25"/>
      <c r="W43" s="25"/>
      <c r="X43" s="37" t="s">
        <v>87</v>
      </c>
    </row>
    <row r="44" ht="14.25" customHeight="1">
      <c r="A44" s="24"/>
      <c r="B44" s="35" t="s">
        <v>95</v>
      </c>
      <c r="C44" s="16" t="s">
        <v>46</v>
      </c>
      <c r="D44" s="14">
        <v>500.0</v>
      </c>
      <c r="E44" s="17" t="str">
        <f>IFERROR(__xludf.DUMMYFUNCTION("REGEXREPLACE(GOOGLETRANSLATE(B44,""RU"",""EN""),"" "",""_"")"),"Lamp_hours_counter_and_lamp_operation_indicator")</f>
        <v>Lamp_hours_counter_and_lamp_operation_indicator</v>
      </c>
      <c r="F44" s="36" t="s">
        <v>47</v>
      </c>
      <c r="G44" s="16" t="s">
        <v>48</v>
      </c>
      <c r="H44" s="16" t="s">
        <v>46</v>
      </c>
      <c r="I44" s="27"/>
      <c r="J44" s="27"/>
      <c r="K44" s="25"/>
      <c r="L44" s="26"/>
      <c r="M44" s="26"/>
      <c r="N44" s="27"/>
      <c r="O44" s="25"/>
      <c r="P44" s="25"/>
      <c r="Q44" s="24"/>
      <c r="R44" s="24"/>
      <c r="S44" s="25"/>
      <c r="T44" s="26"/>
      <c r="U44" s="25"/>
      <c r="V44" s="25"/>
      <c r="W44" s="25"/>
      <c r="X44" s="37" t="s">
        <v>87</v>
      </c>
    </row>
    <row r="45" ht="14.25" customHeight="1">
      <c r="A45" s="24"/>
      <c r="B45" s="28" t="s">
        <v>57</v>
      </c>
      <c r="C45" s="16" t="s">
        <v>46</v>
      </c>
      <c r="D45" s="14">
        <v>500.0</v>
      </c>
      <c r="E45" s="17" t="str">
        <f>IFERROR(__xludf.DUMMYFUNCTION("REGEXREPLACE(GOOGLETRANSLATE(B45,""RU"",""EN""),"" "",""_"")"),"Chamber_volume")</f>
        <v>Chamber_volume</v>
      </c>
      <c r="F45" s="29" t="s">
        <v>47</v>
      </c>
      <c r="G45" s="16" t="s">
        <v>48</v>
      </c>
      <c r="H45" s="16" t="s">
        <v>46</v>
      </c>
      <c r="I45" s="27"/>
      <c r="J45" s="27"/>
      <c r="K45" s="25"/>
      <c r="L45" s="26"/>
      <c r="M45" s="26"/>
      <c r="N45" s="27"/>
      <c r="O45" s="25"/>
      <c r="P45" s="25"/>
      <c r="Q45" s="24"/>
      <c r="R45" s="24"/>
      <c r="S45" s="25"/>
      <c r="T45" s="26"/>
      <c r="U45" s="25"/>
      <c r="V45" s="25"/>
      <c r="W45" s="25"/>
      <c r="X45" s="37" t="s">
        <v>87</v>
      </c>
    </row>
    <row r="46" ht="14.25" customHeight="1">
      <c r="A46" s="24"/>
      <c r="B46" s="35" t="s">
        <v>96</v>
      </c>
      <c r="C46" s="16" t="s">
        <v>46</v>
      </c>
      <c r="D46" s="14">
        <v>500.0</v>
      </c>
      <c r="E46" s="17" t="str">
        <f>IFERROR(__xludf.DUMMYFUNCTION("REGEXREPLACE(GOOGLETRANSLATE(B46,""RU"",""EN""),"" "",""_"")"),"Natural_ventilation_system_of_closed_chambers")</f>
        <v>Natural_ventilation_system_of_closed_chambers</v>
      </c>
      <c r="F46" s="36" t="s">
        <v>47</v>
      </c>
      <c r="G46" s="16" t="s">
        <v>48</v>
      </c>
      <c r="H46" s="16" t="s">
        <v>46</v>
      </c>
      <c r="I46" s="27"/>
      <c r="J46" s="27"/>
      <c r="K46" s="25"/>
      <c r="L46" s="26"/>
      <c r="M46" s="26"/>
      <c r="N46" s="27"/>
      <c r="O46" s="25"/>
      <c r="P46" s="25"/>
      <c r="Q46" s="24"/>
      <c r="R46" s="24"/>
      <c r="S46" s="25"/>
      <c r="T46" s="26"/>
      <c r="U46" s="25"/>
      <c r="V46" s="25"/>
      <c r="W46" s="25"/>
      <c r="X46" s="37" t="s">
        <v>87</v>
      </c>
    </row>
    <row r="47" ht="14.25" customHeight="1">
      <c r="A47" s="24"/>
      <c r="B47" s="28" t="s">
        <v>97</v>
      </c>
      <c r="C47" s="16" t="s">
        <v>46</v>
      </c>
      <c r="D47" s="14">
        <v>500.0</v>
      </c>
      <c r="E47" s="17" t="str">
        <f>IFERROR(__xludf.DUMMYFUNCTION("REGEXREPLACE(GOOGLETRANSLATE(B47,""RU"",""EN""),"" "",""_"")"),"Continuous_operation_time")</f>
        <v>Continuous_operation_time</v>
      </c>
      <c r="F47" s="29" t="s">
        <v>48</v>
      </c>
      <c r="G47" s="16" t="s">
        <v>48</v>
      </c>
      <c r="H47" s="16" t="s">
        <v>46</v>
      </c>
      <c r="I47" s="27"/>
      <c r="J47" s="27"/>
      <c r="K47" s="25"/>
      <c r="L47" s="26"/>
      <c r="M47" s="26"/>
      <c r="N47" s="27"/>
      <c r="O47" s="25"/>
      <c r="P47" s="25"/>
      <c r="Q47" s="24"/>
      <c r="R47" s="24"/>
      <c r="S47" s="25"/>
      <c r="T47" s="26"/>
      <c r="U47" s="25"/>
      <c r="V47" s="25"/>
      <c r="W47" s="25"/>
      <c r="X47" s="37" t="s">
        <v>87</v>
      </c>
    </row>
    <row r="48" ht="14.25" customHeight="1">
      <c r="A48" s="24"/>
      <c r="B48" s="38" t="s">
        <v>63</v>
      </c>
      <c r="C48" s="16" t="s">
        <v>46</v>
      </c>
      <c r="D48" s="14">
        <v>500.0</v>
      </c>
      <c r="E48" s="17" t="str">
        <f>IFERROR(__xludf.DUMMYFUNCTION("REGEXREPLACE(GOOGLETRANSLATE(B48,""RU"",""EN""),"" "",""_"")"),"Nutrition")</f>
        <v>Nutrition</v>
      </c>
      <c r="F48" s="39" t="s">
        <v>47</v>
      </c>
      <c r="G48" s="16" t="s">
        <v>48</v>
      </c>
      <c r="H48" s="16" t="s">
        <v>46</v>
      </c>
      <c r="I48" s="40"/>
      <c r="J48" s="40"/>
      <c r="K48" s="41"/>
      <c r="L48" s="26"/>
      <c r="M48" s="26"/>
      <c r="N48" s="24"/>
      <c r="O48" s="41"/>
      <c r="P48" s="41"/>
      <c r="Q48" s="24"/>
      <c r="R48" s="24"/>
      <c r="S48" s="41"/>
      <c r="T48" s="26"/>
      <c r="U48" s="41"/>
      <c r="V48" s="41"/>
      <c r="W48" s="41"/>
      <c r="X48" s="37" t="s">
        <v>87</v>
      </c>
    </row>
    <row r="49" ht="14.25" customHeight="1">
      <c r="A49" s="24"/>
      <c r="B49" s="42" t="s">
        <v>98</v>
      </c>
      <c r="C49" s="16" t="s">
        <v>46</v>
      </c>
      <c r="D49" s="14">
        <v>500.0</v>
      </c>
      <c r="E49" s="17" t="str">
        <f>IFERROR(__xludf.DUMMYFUNCTION("REGEXREPLACE(GOOGLETRANSLATE(B49,""RU"",""EN""),"" "",""_"")"),"Housing_material")</f>
        <v>Housing_material</v>
      </c>
      <c r="F49" s="43" t="s">
        <v>47</v>
      </c>
      <c r="G49" s="16" t="s">
        <v>48</v>
      </c>
      <c r="H49" s="16" t="s">
        <v>46</v>
      </c>
      <c r="I49" s="40"/>
      <c r="J49" s="40"/>
      <c r="K49" s="41"/>
      <c r="L49" s="26"/>
      <c r="M49" s="26"/>
      <c r="N49" s="24"/>
      <c r="O49" s="41"/>
      <c r="P49" s="41"/>
      <c r="Q49" s="24"/>
      <c r="R49" s="24"/>
      <c r="S49" s="41"/>
      <c r="T49" s="26"/>
      <c r="U49" s="41"/>
      <c r="V49" s="41"/>
      <c r="W49" s="41"/>
      <c r="X49" s="37" t="s">
        <v>87</v>
      </c>
    </row>
    <row r="50" ht="14.25" customHeight="1">
      <c r="A50" s="24"/>
      <c r="B50" s="38" t="s">
        <v>99</v>
      </c>
      <c r="C50" s="16" t="s">
        <v>46</v>
      </c>
      <c r="D50" s="14">
        <v>500.0</v>
      </c>
      <c r="E50" s="17" t="str">
        <f>IFERROR(__xludf.DUMMYFUNCTION("REGEXREPLACE(GOOGLETRANSLATE(B50,""RU"",""EN""),"" "",""_"")"),"Overall_dimensions,_(LxWxH)_mm,")</f>
        <v>Overall_dimensions,_(LxWxH)_mm,</v>
      </c>
      <c r="F50" s="39" t="s">
        <v>47</v>
      </c>
      <c r="G50" s="16" t="s">
        <v>48</v>
      </c>
      <c r="H50" s="16" t="s">
        <v>46</v>
      </c>
      <c r="I50" s="40"/>
      <c r="J50" s="40"/>
      <c r="K50" s="41"/>
      <c r="L50" s="26"/>
      <c r="M50" s="26"/>
      <c r="N50" s="24"/>
      <c r="O50" s="41"/>
      <c r="P50" s="41"/>
      <c r="Q50" s="24"/>
      <c r="R50" s="24"/>
      <c r="S50" s="41"/>
      <c r="T50" s="26"/>
      <c r="U50" s="41"/>
      <c r="V50" s="41"/>
      <c r="W50" s="41"/>
      <c r="X50" s="37" t="s">
        <v>87</v>
      </c>
    </row>
    <row r="51" ht="14.25" customHeight="1">
      <c r="A51" s="24"/>
      <c r="B51" s="44" t="s">
        <v>100</v>
      </c>
      <c r="C51" s="16" t="s">
        <v>46</v>
      </c>
      <c r="D51" s="14">
        <v>500.0</v>
      </c>
      <c r="E51" s="17" t="str">
        <f>IFERROR(__xludf.DUMMYFUNCTION("REGEXREPLACE(GOOGLETRANSLATE(B51,""RU"",""EN""),"" "",""_"")"),"Weight,_kg")</f>
        <v>Weight,_kg</v>
      </c>
      <c r="F51" s="43" t="s">
        <v>47</v>
      </c>
      <c r="G51" s="16" t="s">
        <v>48</v>
      </c>
      <c r="H51" s="16" t="s">
        <v>46</v>
      </c>
      <c r="I51" s="40"/>
      <c r="J51" s="40"/>
      <c r="K51" s="41"/>
      <c r="L51" s="26"/>
      <c r="M51" s="26"/>
      <c r="N51" s="24"/>
      <c r="O51" s="41"/>
      <c r="P51" s="41"/>
      <c r="Q51" s="24"/>
      <c r="R51" s="24"/>
      <c r="S51" s="41"/>
      <c r="T51" s="26"/>
      <c r="U51" s="41"/>
      <c r="V51" s="41"/>
      <c r="W51" s="41"/>
      <c r="X51" s="37" t="s">
        <v>87</v>
      </c>
    </row>
    <row r="52" ht="14.25" customHeight="1">
      <c r="A52" s="24"/>
      <c r="B52" s="45" t="s">
        <v>101</v>
      </c>
      <c r="C52" s="34" t="s">
        <v>46</v>
      </c>
      <c r="D52" s="14">
        <v>500.0</v>
      </c>
      <c r="E52" s="17" t="str">
        <f>IFERROR(__xludf.DUMMYFUNCTION("REGEXREPLACE(GOOGLETRANSLATE(B52,""RU"",""EN""),"" "",""_"")"),"Equipment_")</f>
        <v>Equipment_</v>
      </c>
      <c r="F52" s="39" t="s">
        <v>47</v>
      </c>
      <c r="G52" s="16" t="s">
        <v>48</v>
      </c>
      <c r="H52" s="16" t="s">
        <v>46</v>
      </c>
      <c r="I52" s="40"/>
      <c r="J52" s="40"/>
      <c r="K52" s="41"/>
      <c r="L52" s="26"/>
      <c r="M52" s="26"/>
      <c r="N52" s="24"/>
      <c r="O52" s="41"/>
      <c r="P52" s="41"/>
      <c r="Q52" s="24"/>
      <c r="R52" s="24"/>
      <c r="S52" s="41"/>
      <c r="T52" s="26"/>
      <c r="U52" s="41"/>
      <c r="V52" s="41"/>
      <c r="W52" s="41"/>
      <c r="X52" s="37" t="s">
        <v>87</v>
      </c>
    </row>
    <row r="53" ht="14.25" customHeight="1">
      <c r="A53" s="24"/>
      <c r="B53" s="46" t="s">
        <v>102</v>
      </c>
      <c r="C53" s="16" t="s">
        <v>46</v>
      </c>
      <c r="D53" s="14">
        <v>500.0</v>
      </c>
      <c r="E53" s="17" t="str">
        <f>IFERROR(__xludf.DUMMYFUNCTION("REGEXREPLACE(GOOGLETRANSLATE(B53,""RU"",""EN""),"" "",""_"")"),"Dimensions")</f>
        <v>Dimensions</v>
      </c>
      <c r="F53" s="47" t="s">
        <v>48</v>
      </c>
      <c r="G53" s="16" t="s">
        <v>48</v>
      </c>
      <c r="H53" s="16" t="s">
        <v>46</v>
      </c>
      <c r="I53" s="40"/>
      <c r="J53" s="40"/>
      <c r="K53" s="41"/>
      <c r="L53" s="26"/>
      <c r="M53" s="26"/>
      <c r="N53" s="24"/>
      <c r="O53" s="41"/>
      <c r="P53" s="41"/>
      <c r="Q53" s="24"/>
      <c r="R53" s="24"/>
      <c r="S53" s="41"/>
      <c r="T53" s="26"/>
      <c r="U53" s="41"/>
      <c r="V53" s="41"/>
      <c r="W53" s="41"/>
      <c r="X53" s="48" t="s">
        <v>103</v>
      </c>
    </row>
    <row r="54" ht="14.25" customHeight="1">
      <c r="A54" s="24"/>
      <c r="B54" s="42" t="s">
        <v>104</v>
      </c>
      <c r="C54" s="16" t="s">
        <v>46</v>
      </c>
      <c r="D54" s="14">
        <v>500.0</v>
      </c>
      <c r="E54" s="17" t="str">
        <f>IFERROR(__xludf.DUMMYFUNCTION("REGEXREPLACE(GOOGLETRANSLATE(B54,""RU"",""EN""),"" "",""_"")"),"Class_(type)")</f>
        <v>Class_(type)</v>
      </c>
      <c r="F54" s="43" t="s">
        <v>47</v>
      </c>
      <c r="G54" s="16" t="s">
        <v>48</v>
      </c>
      <c r="H54" s="16" t="s">
        <v>46</v>
      </c>
      <c r="I54" s="40"/>
      <c r="J54" s="40"/>
      <c r="K54" s="41"/>
      <c r="L54" s="26"/>
      <c r="M54" s="26"/>
      <c r="N54" s="24"/>
      <c r="O54" s="41"/>
      <c r="P54" s="41"/>
      <c r="Q54" s="24"/>
      <c r="R54" s="24"/>
      <c r="S54" s="41"/>
      <c r="T54" s="26"/>
      <c r="U54" s="41"/>
      <c r="V54" s="41"/>
      <c r="W54" s="41"/>
      <c r="X54" s="48" t="s">
        <v>103</v>
      </c>
    </row>
    <row r="55" ht="14.25" customHeight="1">
      <c r="A55" s="24"/>
      <c r="B55" s="38" t="s">
        <v>105</v>
      </c>
      <c r="C55" s="16" t="s">
        <v>46</v>
      </c>
      <c r="D55" s="14">
        <v>500.0</v>
      </c>
      <c r="E55" s="17" t="str">
        <f>IFERROR(__xludf.DUMMYFUNCTION("REGEXREPLACE(GOOGLETRANSLATE(B55,""RU"",""EN""),"" "",""_"")"),"Number_of_domes")</f>
        <v>Number_of_domes</v>
      </c>
      <c r="F55" s="39" t="s">
        <v>48</v>
      </c>
      <c r="G55" s="16" t="s">
        <v>48</v>
      </c>
      <c r="H55" s="16" t="s">
        <v>46</v>
      </c>
      <c r="I55" s="40"/>
      <c r="J55" s="40"/>
      <c r="K55" s="41"/>
      <c r="L55" s="26"/>
      <c r="M55" s="26"/>
      <c r="N55" s="24"/>
      <c r="O55" s="41"/>
      <c r="P55" s="41"/>
      <c r="Q55" s="24"/>
      <c r="R55" s="24"/>
      <c r="S55" s="41"/>
      <c r="T55" s="26"/>
      <c r="U55" s="41"/>
      <c r="V55" s="41"/>
      <c r="W55" s="41"/>
      <c r="X55" s="48" t="s">
        <v>103</v>
      </c>
    </row>
    <row r="56" ht="14.25" customHeight="1">
      <c r="A56" s="24"/>
      <c r="B56" s="42" t="s">
        <v>106</v>
      </c>
      <c r="C56" s="16" t="s">
        <v>46</v>
      </c>
      <c r="D56" s="14">
        <v>500.0</v>
      </c>
      <c r="E56" s="17" t="str">
        <f>IFERROR(__xludf.DUMMYFUNCTION("REGEXREPLACE(GOOGLETRANSLATE(B56,""RU"",""EN""),"" "",""_"")"),"Lamp_type")</f>
        <v>Lamp_type</v>
      </c>
      <c r="F56" s="43" t="s">
        <v>47</v>
      </c>
      <c r="G56" s="16" t="s">
        <v>48</v>
      </c>
      <c r="H56" s="16" t="s">
        <v>46</v>
      </c>
      <c r="I56" s="40"/>
      <c r="J56" s="40"/>
      <c r="K56" s="41"/>
      <c r="L56" s="26"/>
      <c r="M56" s="26"/>
      <c r="N56" s="24"/>
      <c r="O56" s="41"/>
      <c r="P56" s="41"/>
      <c r="Q56" s="24"/>
      <c r="R56" s="24"/>
      <c r="S56" s="41"/>
      <c r="T56" s="26"/>
      <c r="U56" s="41"/>
      <c r="V56" s="41"/>
      <c r="W56" s="41"/>
      <c r="X56" s="48" t="s">
        <v>103</v>
      </c>
    </row>
    <row r="57" ht="14.25" customHeight="1">
      <c r="A57" s="24"/>
      <c r="B57" s="38" t="s">
        <v>107</v>
      </c>
      <c r="C57" s="16" t="s">
        <v>46</v>
      </c>
      <c r="D57" s="14">
        <v>500.0</v>
      </c>
      <c r="E57" s="17" t="str">
        <f>IFERROR(__xludf.DUMMYFUNCTION("REGEXREPLACE(GOOGLETRANSLATE(B57,""RU"",""EN""),"" "",""_"")"),"Light_source_(lamp_type)")</f>
        <v>Light_source_(lamp_type)</v>
      </c>
      <c r="F57" s="39" t="s">
        <v>47</v>
      </c>
      <c r="G57" s="16" t="s">
        <v>48</v>
      </c>
      <c r="H57" s="16" t="s">
        <v>46</v>
      </c>
      <c r="I57" s="40"/>
      <c r="J57" s="40"/>
      <c r="K57" s="41"/>
      <c r="L57" s="26"/>
      <c r="M57" s="26"/>
      <c r="N57" s="24"/>
      <c r="O57" s="41"/>
      <c r="P57" s="41"/>
      <c r="Q57" s="24"/>
      <c r="R57" s="24"/>
      <c r="S57" s="41"/>
      <c r="T57" s="26"/>
      <c r="U57" s="41"/>
      <c r="V57" s="41"/>
      <c r="W57" s="41"/>
      <c r="X57" s="48" t="s">
        <v>103</v>
      </c>
    </row>
    <row r="58" ht="14.25" customHeight="1">
      <c r="A58" s="49"/>
      <c r="B58" s="42" t="s">
        <v>108</v>
      </c>
      <c r="C58" s="16" t="s">
        <v>46</v>
      </c>
      <c r="D58" s="14">
        <v>500.0</v>
      </c>
      <c r="E58" s="17" t="str">
        <f>IFERROR(__xludf.DUMMYFUNCTION("REGEXREPLACE(GOOGLETRANSLATE(B58,""RU"",""EN""),"" "",""_"")"),"Lamp_life_(source)")</f>
        <v>Lamp_life_(source)</v>
      </c>
      <c r="F58" s="43" t="s">
        <v>48</v>
      </c>
      <c r="G58" s="16" t="s">
        <v>48</v>
      </c>
      <c r="H58" s="16" t="s">
        <v>46</v>
      </c>
      <c r="I58" s="40"/>
      <c r="J58" s="40"/>
      <c r="K58" s="41"/>
      <c r="L58" s="26"/>
      <c r="M58" s="26"/>
      <c r="N58" s="24"/>
      <c r="O58" s="41"/>
      <c r="P58" s="41"/>
      <c r="Q58" s="24"/>
      <c r="R58" s="24"/>
      <c r="S58" s="41"/>
      <c r="T58" s="26"/>
      <c r="U58" s="41"/>
      <c r="V58" s="41"/>
      <c r="W58" s="41"/>
      <c r="X58" s="48" t="s">
        <v>103</v>
      </c>
    </row>
    <row r="59" ht="14.25" customHeight="1">
      <c r="A59" s="24"/>
      <c r="B59" s="38" t="s">
        <v>109</v>
      </c>
      <c r="C59" s="16" t="s">
        <v>46</v>
      </c>
      <c r="D59" s="14">
        <v>500.0</v>
      </c>
      <c r="E59" s="17" t="str">
        <f>IFERROR(__xludf.DUMMYFUNCTION("REGEXREPLACE(GOOGLETRANSLATE(B59,""RU"",""EN""),"" "",""_"")"),"Direction_adjustment")</f>
        <v>Direction_adjustment</v>
      </c>
      <c r="F59" s="39" t="s">
        <v>71</v>
      </c>
      <c r="G59" s="16" t="s">
        <v>48</v>
      </c>
      <c r="H59" s="16" t="s">
        <v>46</v>
      </c>
      <c r="I59" s="40"/>
      <c r="J59" s="40"/>
      <c r="K59" s="41"/>
      <c r="L59" s="26"/>
      <c r="M59" s="26"/>
      <c r="N59" s="24"/>
      <c r="O59" s="41"/>
      <c r="P59" s="41"/>
      <c r="Q59" s="24"/>
      <c r="R59" s="24"/>
      <c r="S59" s="41"/>
      <c r="T59" s="26"/>
      <c r="U59" s="41"/>
      <c r="V59" s="41"/>
      <c r="W59" s="41"/>
      <c r="X59" s="48" t="s">
        <v>103</v>
      </c>
    </row>
    <row r="60" ht="14.25" customHeight="1">
      <c r="A60" s="24"/>
      <c r="B60" s="42" t="s">
        <v>110</v>
      </c>
      <c r="C60" s="16" t="s">
        <v>46</v>
      </c>
      <c r="D60" s="14">
        <v>500.0</v>
      </c>
      <c r="E60" s="17" t="str">
        <f>IFERROR(__xludf.DUMMYFUNCTION("REGEXREPLACE(GOOGLETRANSLATE(B60,""RU"",""EN""),"" "",""_"")"),"Angle_adjustment")</f>
        <v>Angle_adjustment</v>
      </c>
      <c r="F60" s="43" t="s">
        <v>71</v>
      </c>
      <c r="G60" s="16" t="s">
        <v>48</v>
      </c>
      <c r="H60" s="16" t="s">
        <v>46</v>
      </c>
      <c r="I60" s="40"/>
      <c r="J60" s="40"/>
      <c r="K60" s="41"/>
      <c r="L60" s="26"/>
      <c r="M60" s="26"/>
      <c r="N60" s="24"/>
      <c r="O60" s="41"/>
      <c r="P60" s="41"/>
      <c r="Q60" s="24"/>
      <c r="R60" s="24"/>
      <c r="S60" s="41"/>
      <c r="T60" s="26"/>
      <c r="U60" s="41"/>
      <c r="V60" s="41"/>
      <c r="W60" s="41"/>
      <c r="X60" s="48" t="s">
        <v>103</v>
      </c>
    </row>
    <row r="61" ht="14.25" customHeight="1">
      <c r="A61" s="24"/>
      <c r="B61" s="38" t="s">
        <v>111</v>
      </c>
      <c r="C61" s="16" t="s">
        <v>46</v>
      </c>
      <c r="D61" s="14">
        <v>500.0</v>
      </c>
      <c r="E61" s="17" t="str">
        <f>IFERROR(__xludf.DUMMYFUNCTION("REGEXREPLACE(GOOGLETRANSLATE(B61,""RU"",""EN""),"" "",""_"")"),"The_lamp_body_rotates_around_the_riser")</f>
        <v>The_lamp_body_rotates_around_the_riser</v>
      </c>
      <c r="F61" s="39" t="s">
        <v>71</v>
      </c>
      <c r="G61" s="16" t="s">
        <v>48</v>
      </c>
      <c r="H61" s="16" t="s">
        <v>46</v>
      </c>
      <c r="I61" s="40"/>
      <c r="J61" s="40"/>
      <c r="K61" s="41"/>
      <c r="L61" s="26"/>
      <c r="M61" s="26"/>
      <c r="N61" s="24"/>
      <c r="O61" s="41"/>
      <c r="P61" s="41"/>
      <c r="Q61" s="24"/>
      <c r="R61" s="24"/>
      <c r="S61" s="41"/>
      <c r="T61" s="26"/>
      <c r="U61" s="41"/>
      <c r="V61" s="41"/>
      <c r="W61" s="41"/>
      <c r="X61" s="48" t="s">
        <v>103</v>
      </c>
    </row>
    <row r="62" ht="14.25" customHeight="1">
      <c r="A62" s="24"/>
      <c r="B62" s="42" t="s">
        <v>112</v>
      </c>
      <c r="C62" s="16" t="s">
        <v>46</v>
      </c>
      <c r="D62" s="14">
        <v>500.0</v>
      </c>
      <c r="E62" s="17" t="str">
        <f>IFERROR(__xludf.DUMMYFUNCTION("REGEXREPLACE(GOOGLETRANSLATE(B62,""RU"",""EN""),"" "",""_"")"),"Adjusting_color_temperature")</f>
        <v>Adjusting_color_temperature</v>
      </c>
      <c r="F62" s="43" t="s">
        <v>71</v>
      </c>
      <c r="G62" s="16" t="s">
        <v>48</v>
      </c>
      <c r="H62" s="16" t="s">
        <v>46</v>
      </c>
      <c r="I62" s="40"/>
      <c r="J62" s="40"/>
      <c r="K62" s="41"/>
      <c r="L62" s="26"/>
      <c r="M62" s="26"/>
      <c r="N62" s="24"/>
      <c r="O62" s="41"/>
      <c r="P62" s="41"/>
      <c r="Q62" s="24"/>
      <c r="R62" s="24"/>
      <c r="S62" s="41"/>
      <c r="T62" s="26"/>
      <c r="U62" s="41"/>
      <c r="V62" s="41"/>
      <c r="W62" s="41"/>
      <c r="X62" s="48" t="s">
        <v>103</v>
      </c>
    </row>
    <row r="63" ht="14.25" customHeight="1">
      <c r="A63" s="24"/>
      <c r="B63" s="38" t="s">
        <v>113</v>
      </c>
      <c r="C63" s="16" t="s">
        <v>46</v>
      </c>
      <c r="D63" s="14">
        <v>500.0</v>
      </c>
      <c r="E63" s="17" t="str">
        <f>IFERROR(__xludf.DUMMYFUNCTION("REGEXREPLACE(GOOGLETRANSLATE(B63,""RU"",""EN""),"" "",""_"")"),"Brightness_adjustment")</f>
        <v>Brightness_adjustment</v>
      </c>
      <c r="F63" s="39" t="s">
        <v>71</v>
      </c>
      <c r="G63" s="16" t="s">
        <v>48</v>
      </c>
      <c r="H63" s="16" t="s">
        <v>46</v>
      </c>
      <c r="I63" s="40"/>
      <c r="J63" s="40"/>
      <c r="K63" s="41"/>
      <c r="L63" s="26"/>
      <c r="M63" s="26"/>
      <c r="N63" s="24"/>
      <c r="O63" s="41"/>
      <c r="P63" s="41"/>
      <c r="Q63" s="24"/>
      <c r="R63" s="24"/>
      <c r="S63" s="41"/>
      <c r="T63" s="26"/>
      <c r="U63" s="41"/>
      <c r="V63" s="41"/>
      <c r="W63" s="41"/>
      <c r="X63" s="48" t="s">
        <v>103</v>
      </c>
    </row>
    <row r="64" ht="14.25" customHeight="1">
      <c r="A64" s="24"/>
      <c r="B64" s="42" t="s">
        <v>114</v>
      </c>
      <c r="C64" s="16" t="s">
        <v>46</v>
      </c>
      <c r="D64" s="14">
        <v>500.0</v>
      </c>
      <c r="E64" s="17" t="str">
        <f>IFERROR(__xludf.DUMMYFUNCTION("REGEXREPLACE(GOOGLETRANSLATE(B64,""RU"",""EN""),"" "",""_"")"),"Maximum_Central_Illumination")</f>
        <v>Maximum_Central_Illumination</v>
      </c>
      <c r="F64" s="43" t="s">
        <v>48</v>
      </c>
      <c r="G64" s="16" t="s">
        <v>48</v>
      </c>
      <c r="H64" s="16" t="s">
        <v>46</v>
      </c>
      <c r="I64" s="40"/>
      <c r="J64" s="40"/>
      <c r="K64" s="41"/>
      <c r="L64" s="26"/>
      <c r="M64" s="26"/>
      <c r="N64" s="24"/>
      <c r="O64" s="41"/>
      <c r="P64" s="41"/>
      <c r="Q64" s="24"/>
      <c r="R64" s="24"/>
      <c r="S64" s="41"/>
      <c r="T64" s="26"/>
      <c r="U64" s="41"/>
      <c r="V64" s="41"/>
      <c r="W64" s="41"/>
      <c r="X64" s="48" t="s">
        <v>103</v>
      </c>
    </row>
    <row r="65" ht="14.25" customHeight="1">
      <c r="A65" s="24"/>
      <c r="B65" s="38" t="s">
        <v>115</v>
      </c>
      <c r="C65" s="16" t="s">
        <v>46</v>
      </c>
      <c r="D65" s="14">
        <v>500.0</v>
      </c>
      <c r="E65" s="17" t="str">
        <f>IFERROR(__xludf.DUMMYFUNCTION("REGEXREPLACE(GOOGLETRANSLATE(B65,""RU"",""EN""),"" "",""_"")"),"Light_field_size_(diameter)_(mm)")</f>
        <v>Light_field_size_(diameter)_(mm)</v>
      </c>
      <c r="F65" s="39" t="s">
        <v>48</v>
      </c>
      <c r="G65" s="16" t="s">
        <v>48</v>
      </c>
      <c r="H65" s="16" t="s">
        <v>46</v>
      </c>
      <c r="I65" s="40"/>
      <c r="J65" s="40"/>
      <c r="K65" s="41"/>
      <c r="L65" s="26"/>
      <c r="M65" s="26"/>
      <c r="N65" s="24"/>
      <c r="O65" s="41"/>
      <c r="P65" s="41"/>
      <c r="Q65" s="24"/>
      <c r="R65" s="24"/>
      <c r="S65" s="41"/>
      <c r="T65" s="26"/>
      <c r="U65" s="41"/>
      <c r="V65" s="41"/>
      <c r="W65" s="41"/>
      <c r="X65" s="48" t="s">
        <v>103</v>
      </c>
    </row>
    <row r="66" ht="14.25" customHeight="1">
      <c r="A66" s="24"/>
      <c r="B66" s="42" t="s">
        <v>116</v>
      </c>
      <c r="C66" s="16" t="s">
        <v>46</v>
      </c>
      <c r="D66" s="14">
        <v>500.0</v>
      </c>
      <c r="E66" s="17" t="str">
        <f>IFERROR(__xludf.DUMMYFUNCTION("REGEXREPLACE(GOOGLETRANSLATE(B66,""RU"",""EN""),"" "",""_"")"),"Color_temperature,_K")</f>
        <v>Color_temperature,_K</v>
      </c>
      <c r="F66" s="43" t="s">
        <v>47</v>
      </c>
      <c r="G66" s="16" t="s">
        <v>48</v>
      </c>
      <c r="H66" s="16" t="s">
        <v>46</v>
      </c>
      <c r="I66" s="40"/>
      <c r="J66" s="40"/>
      <c r="K66" s="41"/>
      <c r="L66" s="26"/>
      <c r="M66" s="26"/>
      <c r="N66" s="24"/>
      <c r="O66" s="41"/>
      <c r="P66" s="41"/>
      <c r="Q66" s="24"/>
      <c r="R66" s="24"/>
      <c r="S66" s="41"/>
      <c r="T66" s="26"/>
      <c r="U66" s="41"/>
      <c r="V66" s="41"/>
      <c r="W66" s="41"/>
      <c r="X66" s="48" t="s">
        <v>103</v>
      </c>
    </row>
    <row r="67" ht="14.25" customHeight="1">
      <c r="A67" s="24"/>
      <c r="B67" s="38" t="s">
        <v>117</v>
      </c>
      <c r="C67" s="16" t="s">
        <v>46</v>
      </c>
      <c r="D67" s="14">
        <v>500.0</v>
      </c>
      <c r="E67" s="17" t="str">
        <f>IFERROR(__xludf.DUMMYFUNCTION("REGEXREPLACE(GOOGLETRANSLATE(B67,""RU"",""EN""),"" "",""_"")"),"Light_intensity")</f>
        <v>Light_intensity</v>
      </c>
      <c r="F67" s="39" t="s">
        <v>48</v>
      </c>
      <c r="G67" s="16" t="s">
        <v>48</v>
      </c>
      <c r="H67" s="16" t="s">
        <v>46</v>
      </c>
      <c r="I67" s="40"/>
      <c r="J67" s="40"/>
      <c r="K67" s="41"/>
      <c r="L67" s="26"/>
      <c r="M67" s="26"/>
      <c r="N67" s="24"/>
      <c r="O67" s="41"/>
      <c r="P67" s="41"/>
      <c r="Q67" s="24"/>
      <c r="R67" s="24"/>
      <c r="S67" s="41"/>
      <c r="T67" s="26"/>
      <c r="U67" s="41"/>
      <c r="V67" s="41"/>
      <c r="W67" s="41"/>
      <c r="X67" s="48" t="s">
        <v>103</v>
      </c>
    </row>
    <row r="68" ht="14.25" customHeight="1">
      <c r="A68" s="24"/>
      <c r="B68" s="42" t="s">
        <v>118</v>
      </c>
      <c r="C68" s="16" t="s">
        <v>46</v>
      </c>
      <c r="D68" s="14">
        <v>500.0</v>
      </c>
      <c r="E68" s="17" t="str">
        <f>IFERROR(__xludf.DUMMYFUNCTION("REGEXREPLACE(GOOGLETRANSLATE(B68,""RU"",""EN""),"" "",""_"")"),"Brightness")</f>
        <v>Brightness</v>
      </c>
      <c r="F68" s="43" t="s">
        <v>48</v>
      </c>
      <c r="G68" s="16" t="s">
        <v>48</v>
      </c>
      <c r="H68" s="16" t="s">
        <v>46</v>
      </c>
      <c r="I68" s="40"/>
      <c r="J68" s="40"/>
      <c r="K68" s="41"/>
      <c r="L68" s="26"/>
      <c r="M68" s="26"/>
      <c r="N68" s="24"/>
      <c r="O68" s="41"/>
      <c r="P68" s="41"/>
      <c r="Q68" s="24"/>
      <c r="R68" s="24"/>
      <c r="S68" s="41"/>
      <c r="T68" s="26"/>
      <c r="U68" s="41"/>
      <c r="V68" s="41"/>
      <c r="W68" s="41"/>
      <c r="X68" s="48" t="s">
        <v>103</v>
      </c>
    </row>
    <row r="69" ht="14.25" customHeight="1">
      <c r="A69" s="24"/>
      <c r="B69" s="38" t="s">
        <v>119</v>
      </c>
      <c r="C69" s="16" t="s">
        <v>46</v>
      </c>
      <c r="D69" s="14">
        <v>500.0</v>
      </c>
      <c r="E69" s="17" t="str">
        <f>IFERROR(__xludf.DUMMYFUNCTION("REGEXREPLACE(GOOGLETRANSLATE(B69,""RU"",""EN""),"" "",""_"")"),"Endo_mode")</f>
        <v>Endo_mode</v>
      </c>
      <c r="F69" s="39" t="s">
        <v>71</v>
      </c>
      <c r="G69" s="16" t="s">
        <v>48</v>
      </c>
      <c r="H69" s="16" t="s">
        <v>46</v>
      </c>
      <c r="I69" s="40"/>
      <c r="J69" s="40"/>
      <c r="K69" s="41"/>
      <c r="L69" s="26"/>
      <c r="M69" s="26"/>
      <c r="N69" s="24"/>
      <c r="O69" s="41"/>
      <c r="P69" s="41"/>
      <c r="Q69" s="24"/>
      <c r="R69" s="24"/>
      <c r="S69" s="41"/>
      <c r="T69" s="26"/>
      <c r="U69" s="41"/>
      <c r="V69" s="41"/>
      <c r="W69" s="41"/>
      <c r="X69" s="48" t="s">
        <v>103</v>
      </c>
    </row>
    <row r="70" ht="14.25" customHeight="1">
      <c r="A70" s="24"/>
      <c r="B70" s="42" t="s">
        <v>120</v>
      </c>
      <c r="C70" s="16" t="s">
        <v>46</v>
      </c>
      <c r="D70" s="14">
        <v>500.0</v>
      </c>
      <c r="E70" s="17" t="str">
        <f>IFERROR(__xludf.DUMMYFUNCTION("REGEXREPLACE(GOOGLETRANSLATE(B70,""RU"",""EN""),"" "",""_"")"),"Light_propagation_angle")</f>
        <v>Light_propagation_angle</v>
      </c>
      <c r="F70" s="43" t="s">
        <v>48</v>
      </c>
      <c r="G70" s="16" t="s">
        <v>48</v>
      </c>
      <c r="H70" s="16" t="s">
        <v>46</v>
      </c>
      <c r="I70" s="40"/>
      <c r="J70" s="40"/>
      <c r="K70" s="41"/>
      <c r="L70" s="26"/>
      <c r="M70" s="26"/>
      <c r="N70" s="24"/>
      <c r="O70" s="41"/>
      <c r="P70" s="41"/>
      <c r="Q70" s="24"/>
      <c r="R70" s="24"/>
      <c r="S70" s="41"/>
      <c r="T70" s="26"/>
      <c r="U70" s="41"/>
      <c r="V70" s="41"/>
      <c r="W70" s="41"/>
      <c r="X70" s="48" t="s">
        <v>103</v>
      </c>
    </row>
    <row r="71" ht="14.25" customHeight="1">
      <c r="A71" s="24"/>
      <c r="B71" s="38" t="s">
        <v>121</v>
      </c>
      <c r="C71" s="16" t="s">
        <v>46</v>
      </c>
      <c r="D71" s="14">
        <v>500.0</v>
      </c>
      <c r="E71" s="17" t="str">
        <f>IFERROR(__xludf.DUMMYFUNCTION("REGEXREPLACE(GOOGLETRANSLATE(B71,""RU"",""EN""),"" "",""_"")"),"Frequency,_Hz")</f>
        <v>Frequency,_Hz</v>
      </c>
      <c r="F71" s="39" t="s">
        <v>48</v>
      </c>
      <c r="G71" s="16" t="s">
        <v>48</v>
      </c>
      <c r="H71" s="16" t="s">
        <v>46</v>
      </c>
      <c r="I71" s="40"/>
      <c r="J71" s="40"/>
      <c r="K71" s="41"/>
      <c r="L71" s="26"/>
      <c r="M71" s="26"/>
      <c r="N71" s="24"/>
      <c r="O71" s="41"/>
      <c r="P71" s="41"/>
      <c r="Q71" s="24"/>
      <c r="R71" s="24"/>
      <c r="S71" s="41"/>
      <c r="T71" s="26"/>
      <c r="U71" s="41"/>
      <c r="V71" s="41"/>
      <c r="W71" s="41"/>
      <c r="X71" s="48" t="s">
        <v>103</v>
      </c>
    </row>
    <row r="72" ht="14.25" customHeight="1">
      <c r="A72" s="24"/>
      <c r="B72" s="42" t="s">
        <v>98</v>
      </c>
      <c r="C72" s="16" t="s">
        <v>46</v>
      </c>
      <c r="D72" s="14">
        <v>500.0</v>
      </c>
      <c r="E72" s="17" t="str">
        <f>IFERROR(__xludf.DUMMYFUNCTION("REGEXREPLACE(GOOGLETRANSLATE(B72,""RU"",""EN""),"" "",""_"")"),"Housing_material")</f>
        <v>Housing_material</v>
      </c>
      <c r="F72" s="43" t="s">
        <v>47</v>
      </c>
      <c r="G72" s="16" t="s">
        <v>48</v>
      </c>
      <c r="H72" s="16" t="s">
        <v>46</v>
      </c>
      <c r="I72" s="40"/>
      <c r="J72" s="40"/>
      <c r="K72" s="41"/>
      <c r="L72" s="26"/>
      <c r="M72" s="26"/>
      <c r="N72" s="24"/>
      <c r="O72" s="41"/>
      <c r="P72" s="41"/>
      <c r="Q72" s="24"/>
      <c r="R72" s="24"/>
      <c r="S72" s="41"/>
      <c r="T72" s="26"/>
      <c r="U72" s="41"/>
      <c r="V72" s="41"/>
      <c r="W72" s="41"/>
      <c r="X72" s="48" t="s">
        <v>103</v>
      </c>
    </row>
    <row r="73" ht="14.25" customHeight="1">
      <c r="A73" s="24"/>
      <c r="B73" s="38" t="s">
        <v>122</v>
      </c>
      <c r="C73" s="16" t="s">
        <v>46</v>
      </c>
      <c r="D73" s="14">
        <v>500.0</v>
      </c>
      <c r="E73" s="17" t="str">
        <f>IFERROR(__xludf.DUMMYFUNCTION("REGEXREPLACE(GOOGLETRANSLATE(B73,""RU"",""EN""),"" "",""_"")"),"Minimum_installation_height_(mm)")</f>
        <v>Minimum_installation_height_(mm)</v>
      </c>
      <c r="F73" s="39" t="s">
        <v>48</v>
      </c>
      <c r="G73" s="16" t="s">
        <v>48</v>
      </c>
      <c r="H73" s="16" t="s">
        <v>46</v>
      </c>
      <c r="I73" s="40"/>
      <c r="J73" s="40"/>
      <c r="K73" s="41"/>
      <c r="L73" s="26"/>
      <c r="M73" s="26"/>
      <c r="N73" s="24"/>
      <c r="O73" s="41"/>
      <c r="P73" s="41"/>
      <c r="Q73" s="24"/>
      <c r="R73" s="24"/>
      <c r="S73" s="41"/>
      <c r="T73" s="26"/>
      <c r="U73" s="41"/>
      <c r="V73" s="41"/>
      <c r="W73" s="41"/>
      <c r="X73" s="48" t="s">
        <v>103</v>
      </c>
    </row>
    <row r="74" ht="14.25" customHeight="1">
      <c r="A74" s="24"/>
      <c r="B74" s="42" t="s">
        <v>123</v>
      </c>
      <c r="C74" s="16" t="s">
        <v>46</v>
      </c>
      <c r="D74" s="14">
        <v>500.0</v>
      </c>
      <c r="E74" s="17" t="str">
        <f>IFERROR(__xludf.DUMMYFUNCTION("REGEXREPLACE(GOOGLETRANSLATE(B74,""RU"",""EN""),"" "",""_"")"),"Power,_W")</f>
        <v>Power,_W</v>
      </c>
      <c r="F74" s="43" t="s">
        <v>48</v>
      </c>
      <c r="G74" s="16" t="s">
        <v>48</v>
      </c>
      <c r="H74" s="16" t="s">
        <v>46</v>
      </c>
      <c r="I74" s="40"/>
      <c r="J74" s="40"/>
      <c r="K74" s="41"/>
      <c r="L74" s="26"/>
      <c r="M74" s="26"/>
      <c r="N74" s="24"/>
      <c r="O74" s="41"/>
      <c r="P74" s="41"/>
      <c r="Q74" s="24"/>
      <c r="R74" s="24"/>
      <c r="S74" s="41"/>
      <c r="T74" s="26"/>
      <c r="U74" s="41"/>
      <c r="V74" s="41"/>
      <c r="W74" s="41"/>
      <c r="X74" s="48" t="s">
        <v>103</v>
      </c>
    </row>
    <row r="75" ht="14.25" customHeight="1">
      <c r="A75" s="24"/>
      <c r="B75" s="38" t="s">
        <v>124</v>
      </c>
      <c r="C75" s="16" t="s">
        <v>46</v>
      </c>
      <c r="D75" s="14">
        <v>500.0</v>
      </c>
      <c r="E75" s="17" t="str">
        <f>IFERROR(__xludf.DUMMYFUNCTION("REGEXREPLACE(GOOGLETRANSLATE(B75,""RU"",""EN""),"" "",""_"")"),"Total_illuminance_(W/m2)")</f>
        <v>Total_illuminance_(W/m2)</v>
      </c>
      <c r="F75" s="39" t="s">
        <v>48</v>
      </c>
      <c r="G75" s="16" t="s">
        <v>48</v>
      </c>
      <c r="H75" s="16" t="s">
        <v>46</v>
      </c>
      <c r="I75" s="40"/>
      <c r="J75" s="40"/>
      <c r="K75" s="41"/>
      <c r="L75" s="26"/>
      <c r="M75" s="26"/>
      <c r="N75" s="24"/>
      <c r="O75" s="41"/>
      <c r="P75" s="41"/>
      <c r="Q75" s="24"/>
      <c r="R75" s="24"/>
      <c r="S75" s="41"/>
      <c r="T75" s="26"/>
      <c r="U75" s="41"/>
      <c r="V75" s="41"/>
      <c r="W75" s="41"/>
      <c r="X75" s="48" t="s">
        <v>103</v>
      </c>
    </row>
    <row r="76" ht="14.25" customHeight="1">
      <c r="A76" s="24"/>
      <c r="B76" s="42" t="s">
        <v>125</v>
      </c>
      <c r="C76" s="16" t="s">
        <v>46</v>
      </c>
      <c r="D76" s="14">
        <v>500.0</v>
      </c>
      <c r="E76" s="17" t="str">
        <f>IFERROR(__xludf.DUMMYFUNCTION("REGEXREPLACE(GOOGLETRANSLATE(B76,""RU"",""EN""),"" "",""_"")"),"Nominal_illumination")</f>
        <v>Nominal_illumination</v>
      </c>
      <c r="F76" s="43" t="s">
        <v>48</v>
      </c>
      <c r="G76" s="16" t="s">
        <v>48</v>
      </c>
      <c r="H76" s="16" t="s">
        <v>46</v>
      </c>
      <c r="I76" s="40"/>
      <c r="J76" s="40"/>
      <c r="K76" s="41"/>
      <c r="L76" s="26"/>
      <c r="M76" s="26"/>
      <c r="N76" s="24"/>
      <c r="O76" s="41"/>
      <c r="P76" s="41"/>
      <c r="Q76" s="24"/>
      <c r="R76" s="24"/>
      <c r="S76" s="41"/>
      <c r="T76" s="26"/>
      <c r="U76" s="41"/>
      <c r="V76" s="41"/>
      <c r="W76" s="41"/>
      <c r="X76" s="48" t="s">
        <v>103</v>
      </c>
    </row>
    <row r="77" ht="14.25" customHeight="1">
      <c r="A77" s="24"/>
      <c r="B77" s="38" t="s">
        <v>126</v>
      </c>
      <c r="C77" s="16" t="s">
        <v>46</v>
      </c>
      <c r="D77" s="14">
        <v>500.0</v>
      </c>
      <c r="E77" s="17" t="str">
        <f>IFERROR(__xludf.DUMMYFUNCTION("REGEXREPLACE(GOOGLETRANSLATE(B77,""RU"",""EN""),"" "",""_"")"),"Lamp_body_diameter")</f>
        <v>Lamp_body_diameter</v>
      </c>
      <c r="F77" s="39" t="s">
        <v>48</v>
      </c>
      <c r="G77" s="16" t="s">
        <v>48</v>
      </c>
      <c r="H77" s="16" t="s">
        <v>46</v>
      </c>
      <c r="I77" s="40"/>
      <c r="J77" s="40"/>
      <c r="K77" s="41"/>
      <c r="L77" s="26"/>
      <c r="M77" s="26"/>
      <c r="N77" s="24"/>
      <c r="O77" s="41"/>
      <c r="P77" s="41"/>
      <c r="Q77" s="24"/>
      <c r="R77" s="24"/>
      <c r="S77" s="41"/>
      <c r="T77" s="26"/>
      <c r="U77" s="41"/>
      <c r="V77" s="41"/>
      <c r="W77" s="41"/>
      <c r="X77" s="48" t="s">
        <v>103</v>
      </c>
    </row>
    <row r="78" ht="14.25" customHeight="1">
      <c r="A78" s="24"/>
      <c r="B78" s="50" t="s">
        <v>127</v>
      </c>
      <c r="C78" s="16" t="s">
        <v>46</v>
      </c>
      <c r="D78" s="14">
        <v>500.0</v>
      </c>
      <c r="E78" s="17" t="str">
        <f>IFERROR(__xludf.DUMMYFUNCTION("REGEXREPLACE(GOOGLETRANSLATE(B78,""RU"",""EN""),"" "",""_"")"),"Additional_features")</f>
        <v>Additional_features</v>
      </c>
      <c r="F78" s="51" t="s">
        <v>47</v>
      </c>
      <c r="G78" s="16" t="s">
        <v>48</v>
      </c>
      <c r="H78" s="16" t="s">
        <v>46</v>
      </c>
      <c r="I78" s="40"/>
      <c r="J78" s="40"/>
      <c r="K78" s="41"/>
      <c r="L78" s="26"/>
      <c r="M78" s="26"/>
      <c r="N78" s="24"/>
      <c r="O78" s="41"/>
      <c r="P78" s="41"/>
      <c r="Q78" s="24"/>
      <c r="R78" s="24"/>
      <c r="S78" s="41"/>
      <c r="T78" s="26"/>
      <c r="U78" s="41"/>
      <c r="V78" s="41"/>
      <c r="W78" s="41"/>
      <c r="X78" s="48" t="s">
        <v>103</v>
      </c>
    </row>
    <row r="79" ht="14.25" customHeight="1">
      <c r="A79" s="24"/>
      <c r="B79" s="50" t="s">
        <v>128</v>
      </c>
      <c r="C79" s="16" t="s">
        <v>46</v>
      </c>
      <c r="D79" s="14">
        <v>500.0</v>
      </c>
      <c r="E79" s="17" t="str">
        <f>IFERROR(__xludf.DUMMYFUNCTION("REGEXREPLACE(GOOGLETRANSLATE(B79,""RU"",""EN""),"" "",""_"")"),"Availability_of_battery_(for_uninterrupted_operation)")</f>
        <v>Availability_of_battery_(for_uninterrupted_operation)</v>
      </c>
      <c r="F79" s="51" t="s">
        <v>71</v>
      </c>
      <c r="G79" s="16" t="s">
        <v>48</v>
      </c>
      <c r="H79" s="16" t="s">
        <v>46</v>
      </c>
      <c r="I79" s="40"/>
      <c r="J79" s="40"/>
      <c r="K79" s="41"/>
      <c r="L79" s="26"/>
      <c r="M79" s="26"/>
      <c r="N79" s="24"/>
      <c r="O79" s="41"/>
      <c r="P79" s="41"/>
      <c r="Q79" s="24"/>
      <c r="R79" s="24"/>
      <c r="S79" s="41"/>
      <c r="T79" s="26"/>
      <c r="U79" s="41"/>
      <c r="V79" s="41"/>
      <c r="W79" s="41"/>
      <c r="X79" s="48" t="s">
        <v>103</v>
      </c>
    </row>
    <row r="80" ht="14.25" customHeight="1">
      <c r="A80" s="24"/>
      <c r="B80" s="52" t="s">
        <v>129</v>
      </c>
      <c r="C80" s="16" t="s">
        <v>46</v>
      </c>
      <c r="D80" s="14">
        <v>500.0</v>
      </c>
      <c r="E80" s="17" t="str">
        <f>IFERROR(__xludf.DUMMYFUNCTION("REGEXREPLACE(GOOGLETRANSLATE(B80,""RU"",""EN""),"" "",""_"")"),"Battery_life_(indicated_in_hours)_")</f>
        <v>Battery_life_(indicated_in_hours)_</v>
      </c>
      <c r="F80" s="51" t="s">
        <v>48</v>
      </c>
      <c r="G80" s="16" t="s">
        <v>48</v>
      </c>
      <c r="H80" s="16" t="s">
        <v>46</v>
      </c>
      <c r="I80" s="40"/>
      <c r="J80" s="40"/>
      <c r="K80" s="41"/>
      <c r="L80" s="26"/>
      <c r="M80" s="26"/>
      <c r="N80" s="24"/>
      <c r="O80" s="41"/>
      <c r="P80" s="41"/>
      <c r="Q80" s="24"/>
      <c r="R80" s="24"/>
      <c r="S80" s="41"/>
      <c r="T80" s="26"/>
      <c r="U80" s="41"/>
      <c r="V80" s="41"/>
      <c r="W80" s="41"/>
      <c r="X80" s="48" t="s">
        <v>103</v>
      </c>
    </row>
    <row r="81" ht="14.25" customHeight="1">
      <c r="A81" s="24"/>
      <c r="B81" s="53" t="s">
        <v>130</v>
      </c>
      <c r="C81" s="16" t="s">
        <v>46</v>
      </c>
      <c r="D81" s="14">
        <v>500.0</v>
      </c>
      <c r="E81" s="17" t="str">
        <f>IFERROR(__xludf.DUMMYFUNCTION("REGEXREPLACE(GOOGLETRANSLATE(B81,""RU"",""EN""),"" "",""_"")"),"Frame_material")</f>
        <v>Frame_material</v>
      </c>
      <c r="F81" s="51" t="s">
        <v>47</v>
      </c>
      <c r="G81" s="18" t="s">
        <v>48</v>
      </c>
      <c r="H81" s="18" t="s">
        <v>46</v>
      </c>
      <c r="I81" s="40"/>
      <c r="J81" s="40"/>
      <c r="K81" s="41"/>
      <c r="L81" s="26"/>
      <c r="M81" s="26"/>
      <c r="N81" s="24"/>
      <c r="O81" s="41"/>
      <c r="P81" s="41"/>
      <c r="Q81" s="24"/>
      <c r="R81" s="24"/>
      <c r="S81" s="41"/>
      <c r="T81" s="26"/>
      <c r="U81" s="41"/>
      <c r="V81" s="41"/>
      <c r="W81" s="41"/>
      <c r="X81" s="37" t="s">
        <v>131</v>
      </c>
    </row>
    <row r="82" ht="14.25" customHeight="1">
      <c r="A82" s="24"/>
      <c r="B82" s="54" t="s">
        <v>132</v>
      </c>
      <c r="C82" s="16" t="s">
        <v>46</v>
      </c>
      <c r="D82" s="14">
        <v>500.0</v>
      </c>
      <c r="E82" s="17" t="str">
        <f>IFERROR(__xludf.DUMMYFUNCTION("REGEXREPLACE(GOOGLETRANSLATE(B82,""RU"",""EN""),"" "",""_"")"),"Upholstery_material")</f>
        <v>Upholstery_material</v>
      </c>
      <c r="F82" s="51" t="s">
        <v>47</v>
      </c>
      <c r="G82" s="16" t="s">
        <v>48</v>
      </c>
      <c r="H82" s="16" t="s">
        <v>46</v>
      </c>
      <c r="I82" s="40"/>
      <c r="J82" s="40"/>
      <c r="K82" s="41"/>
      <c r="L82" s="26"/>
      <c r="M82" s="26"/>
      <c r="N82" s="24"/>
      <c r="O82" s="41"/>
      <c r="P82" s="41"/>
      <c r="Q82" s="24"/>
      <c r="R82" s="24"/>
      <c r="S82" s="41"/>
      <c r="T82" s="26"/>
      <c r="U82" s="41"/>
      <c r="V82" s="41"/>
      <c r="W82" s="41"/>
      <c r="X82" s="37" t="s">
        <v>131</v>
      </c>
    </row>
    <row r="83" ht="14.25" customHeight="1">
      <c r="A83" s="24"/>
      <c r="B83" s="55" t="s">
        <v>133</v>
      </c>
      <c r="C83" s="16" t="s">
        <v>46</v>
      </c>
      <c r="D83" s="14">
        <v>500.0</v>
      </c>
      <c r="E83" s="17" t="str">
        <f>IFERROR(__xludf.DUMMYFUNCTION("REGEXREPLACE(GOOGLETRANSLATE(B83,""RU"",""EN""),"" "",""_"")"),"Height")</f>
        <v>Height</v>
      </c>
      <c r="F83" s="51" t="s">
        <v>48</v>
      </c>
      <c r="G83" s="16" t="s">
        <v>48</v>
      </c>
      <c r="H83" s="16" t="s">
        <v>46</v>
      </c>
      <c r="I83" s="40"/>
      <c r="J83" s="40"/>
      <c r="K83" s="41"/>
      <c r="L83" s="26"/>
      <c r="M83" s="26"/>
      <c r="N83" s="24"/>
      <c r="O83" s="41"/>
      <c r="P83" s="41"/>
      <c r="Q83" s="24"/>
      <c r="R83" s="24"/>
      <c r="S83" s="41"/>
      <c r="T83" s="26"/>
      <c r="U83" s="41"/>
      <c r="V83" s="41"/>
      <c r="W83" s="41"/>
      <c r="X83" s="37" t="s">
        <v>134</v>
      </c>
    </row>
    <row r="84" ht="14.25" customHeight="1">
      <c r="A84" s="24"/>
      <c r="B84" s="54" t="s">
        <v>135</v>
      </c>
      <c r="C84" s="16" t="s">
        <v>46</v>
      </c>
      <c r="D84" s="14">
        <v>500.0</v>
      </c>
      <c r="E84" s="17" t="str">
        <f>IFERROR(__xludf.DUMMYFUNCTION("REGEXREPLACE(GOOGLETRANSLATE(B84,""RU"",""EN""),"" "",""_"")"),"Height_adjustment")</f>
        <v>Height_adjustment</v>
      </c>
      <c r="F84" s="51" t="s">
        <v>71</v>
      </c>
      <c r="G84" s="16" t="s">
        <v>48</v>
      </c>
      <c r="H84" s="16" t="s">
        <v>46</v>
      </c>
      <c r="I84" s="40"/>
      <c r="J84" s="40"/>
      <c r="K84" s="41"/>
      <c r="L84" s="26"/>
      <c r="M84" s="26"/>
      <c r="N84" s="24"/>
      <c r="O84" s="41"/>
      <c r="P84" s="41"/>
      <c r="Q84" s="24"/>
      <c r="R84" s="24"/>
      <c r="S84" s="41"/>
      <c r="T84" s="26"/>
      <c r="U84" s="41"/>
      <c r="V84" s="41"/>
      <c r="W84" s="41"/>
      <c r="X84" s="37" t="s">
        <v>131</v>
      </c>
    </row>
    <row r="85" ht="14.25" customHeight="1">
      <c r="A85" s="24"/>
      <c r="B85" s="51" t="s">
        <v>136</v>
      </c>
      <c r="C85" s="16" t="s">
        <v>46</v>
      </c>
      <c r="D85" s="14">
        <v>500.0</v>
      </c>
      <c r="E85" s="17" t="str">
        <f>IFERROR(__xludf.DUMMYFUNCTION("REGEXREPLACE(GOOGLETRANSLATE(B85,""RU"",""EN""),"" "",""_"")"),"Width_")</f>
        <v>Width_</v>
      </c>
      <c r="F85" s="51" t="s">
        <v>48</v>
      </c>
      <c r="G85" s="16" t="s">
        <v>48</v>
      </c>
      <c r="H85" s="16" t="s">
        <v>46</v>
      </c>
      <c r="I85" s="40"/>
      <c r="J85" s="40"/>
      <c r="K85" s="41"/>
      <c r="L85" s="26"/>
      <c r="M85" s="26"/>
      <c r="N85" s="24"/>
      <c r="O85" s="41"/>
      <c r="P85" s="41"/>
      <c r="Q85" s="24"/>
      <c r="R85" s="24"/>
      <c r="S85" s="41"/>
      <c r="T85" s="26"/>
      <c r="U85" s="41"/>
      <c r="V85" s="41"/>
      <c r="W85" s="41"/>
      <c r="X85" s="37" t="s">
        <v>137</v>
      </c>
    </row>
    <row r="86" ht="14.25" customHeight="1">
      <c r="A86" s="24"/>
      <c r="B86" s="54" t="s">
        <v>138</v>
      </c>
      <c r="C86" s="16" t="s">
        <v>46</v>
      </c>
      <c r="D86" s="14">
        <v>500.0</v>
      </c>
      <c r="E86" s="17" t="str">
        <f>IFERROR(__xludf.DUMMYFUNCTION("REGEXREPLACE(GOOGLETRANSLATE(B86,""RU"",""EN""),"" "",""_"")"),"Max_load_kg")</f>
        <v>Max_load_kg</v>
      </c>
      <c r="F86" s="51" t="s">
        <v>48</v>
      </c>
      <c r="G86" s="16" t="s">
        <v>48</v>
      </c>
      <c r="H86" s="16" t="s">
        <v>46</v>
      </c>
      <c r="I86" s="40"/>
      <c r="J86" s="40"/>
      <c r="K86" s="41"/>
      <c r="L86" s="26"/>
      <c r="M86" s="26"/>
      <c r="N86" s="24"/>
      <c r="O86" s="41"/>
      <c r="P86" s="41"/>
      <c r="Q86" s="24"/>
      <c r="R86" s="24"/>
      <c r="S86" s="41"/>
      <c r="T86" s="26"/>
      <c r="U86" s="41"/>
      <c r="V86" s="41"/>
      <c r="W86" s="41"/>
      <c r="X86" s="37" t="s">
        <v>131</v>
      </c>
    </row>
    <row r="87" ht="14.25" customHeight="1">
      <c r="A87" s="24"/>
      <c r="B87" s="54" t="s">
        <v>82</v>
      </c>
      <c r="C87" s="16" t="s">
        <v>46</v>
      </c>
      <c r="D87" s="14">
        <v>500.0</v>
      </c>
      <c r="E87" s="17" t="str">
        <f>IFERROR(__xludf.DUMMYFUNCTION("REGEXREPLACE(GOOGLETRANSLATE(B87,""RU"",""EN""),"" "",""_"")"),"Equipment")</f>
        <v>Equipment</v>
      </c>
      <c r="F87" s="51" t="s">
        <v>47</v>
      </c>
      <c r="G87" s="16" t="s">
        <v>48</v>
      </c>
      <c r="H87" s="16" t="s">
        <v>46</v>
      </c>
      <c r="I87" s="40"/>
      <c r="J87" s="40"/>
      <c r="K87" s="41"/>
      <c r="L87" s="26"/>
      <c r="M87" s="26"/>
      <c r="N87" s="24"/>
      <c r="O87" s="41"/>
      <c r="P87" s="41"/>
      <c r="Q87" s="24"/>
      <c r="R87" s="24"/>
      <c r="S87" s="41"/>
      <c r="T87" s="26"/>
      <c r="U87" s="41"/>
      <c r="V87" s="41"/>
      <c r="W87" s="41"/>
      <c r="X87" s="37" t="s">
        <v>131</v>
      </c>
    </row>
    <row r="88" ht="14.25" customHeight="1">
      <c r="A88" s="24"/>
      <c r="B88" s="54" t="s">
        <v>139</v>
      </c>
      <c r="C88" s="16" t="s">
        <v>46</v>
      </c>
      <c r="D88" s="14">
        <v>500.0</v>
      </c>
      <c r="E88" s="17" t="str">
        <f>IFERROR(__xludf.DUMMYFUNCTION("REGEXREPLACE(GOOGLETRANSLATE(B88,""RU"",""EN""),"" "",""_"")"),"Additional_options")</f>
        <v>Additional_options</v>
      </c>
      <c r="F88" s="51" t="s">
        <v>47</v>
      </c>
      <c r="G88" s="16" t="s">
        <v>48</v>
      </c>
      <c r="H88" s="16" t="s">
        <v>46</v>
      </c>
      <c r="I88" s="40"/>
      <c r="J88" s="40"/>
      <c r="K88" s="41"/>
      <c r="L88" s="26"/>
      <c r="M88" s="26"/>
      <c r="N88" s="24"/>
      <c r="O88" s="41"/>
      <c r="P88" s="41"/>
      <c r="Q88" s="24"/>
      <c r="R88" s="24"/>
      <c r="S88" s="41"/>
      <c r="T88" s="26"/>
      <c r="U88" s="41"/>
      <c r="V88" s="41"/>
      <c r="W88" s="41"/>
      <c r="X88" s="37" t="s">
        <v>131</v>
      </c>
    </row>
    <row r="89" ht="14.25" customHeight="1">
      <c r="A89" s="24"/>
      <c r="B89" s="56" t="s">
        <v>140</v>
      </c>
      <c r="C89" s="16" t="s">
        <v>46</v>
      </c>
      <c r="D89" s="14">
        <v>500.0</v>
      </c>
      <c r="E89" s="17" t="str">
        <f>IFERROR(__xludf.DUMMYFUNCTION("REGEXREPLACE(GOOGLETRANSLATE(B89,""RU"",""EN""),"" "",""_"")"),"Length")</f>
        <v>Length</v>
      </c>
      <c r="F89" s="51" t="s">
        <v>48</v>
      </c>
      <c r="G89" s="16" t="s">
        <v>48</v>
      </c>
      <c r="H89" s="16" t="s">
        <v>46</v>
      </c>
      <c r="I89" s="40"/>
      <c r="J89" s="40"/>
      <c r="K89" s="41"/>
      <c r="L89" s="26"/>
      <c r="M89" s="26"/>
      <c r="N89" s="24"/>
      <c r="O89" s="41"/>
      <c r="P89" s="41"/>
      <c r="Q89" s="24"/>
      <c r="R89" s="24"/>
      <c r="S89" s="41"/>
      <c r="T89" s="26"/>
      <c r="U89" s="41"/>
      <c r="V89" s="41"/>
      <c r="W89" s="41"/>
      <c r="X89" s="48" t="s">
        <v>134</v>
      </c>
    </row>
    <row r="90" ht="14.25" customHeight="1">
      <c r="A90" s="24"/>
      <c r="B90" s="54" t="s">
        <v>141</v>
      </c>
      <c r="C90" s="16" t="s">
        <v>46</v>
      </c>
      <c r="D90" s="14">
        <v>500.0</v>
      </c>
      <c r="E90" s="17" t="str">
        <f>IFERROR(__xludf.DUMMYFUNCTION("REGEXREPLACE(GOOGLETRANSLATE(B90,""RU"",""EN""),"" "",""_"")"),"Tilt_adjustment")</f>
        <v>Tilt_adjustment</v>
      </c>
      <c r="F90" s="51" t="s">
        <v>71</v>
      </c>
      <c r="G90" s="16" t="s">
        <v>48</v>
      </c>
      <c r="H90" s="16" t="s">
        <v>46</v>
      </c>
      <c r="I90" s="40"/>
      <c r="J90" s="40"/>
      <c r="K90" s="41"/>
      <c r="L90" s="26"/>
      <c r="M90" s="26"/>
      <c r="N90" s="24"/>
      <c r="O90" s="41"/>
      <c r="P90" s="41"/>
      <c r="Q90" s="24"/>
      <c r="R90" s="24"/>
      <c r="S90" s="41"/>
      <c r="T90" s="26"/>
      <c r="U90" s="41"/>
      <c r="V90" s="41"/>
      <c r="W90" s="41"/>
      <c r="X90" s="37" t="s">
        <v>131</v>
      </c>
    </row>
    <row r="91" ht="14.25" customHeight="1">
      <c r="A91" s="24"/>
      <c r="B91" s="54" t="s">
        <v>142</v>
      </c>
      <c r="C91" s="16" t="s">
        <v>46</v>
      </c>
      <c r="D91" s="14">
        <v>500.0</v>
      </c>
      <c r="E91" s="17" t="str">
        <f>IFERROR(__xludf.DUMMYFUNCTION("REGEXREPLACE(GOOGLETRANSLATE(B91,""RU"",""EN""),"" "",""_"")"),"Armrests")</f>
        <v>Armrests</v>
      </c>
      <c r="F91" s="51" t="s">
        <v>71</v>
      </c>
      <c r="G91" s="16" t="s">
        <v>48</v>
      </c>
      <c r="H91" s="16" t="s">
        <v>46</v>
      </c>
      <c r="I91" s="40"/>
      <c r="J91" s="40"/>
      <c r="K91" s="41"/>
      <c r="L91" s="26"/>
      <c r="M91" s="26"/>
      <c r="N91" s="24"/>
      <c r="O91" s="41"/>
      <c r="P91" s="41"/>
      <c r="Q91" s="24"/>
      <c r="R91" s="24"/>
      <c r="S91" s="41"/>
      <c r="T91" s="26"/>
      <c r="U91" s="41"/>
      <c r="V91" s="41"/>
      <c r="W91" s="41"/>
      <c r="X91" s="37" t="s">
        <v>131</v>
      </c>
    </row>
    <row r="92" ht="14.25" customHeight="1">
      <c r="A92" s="24"/>
      <c r="B92" s="54" t="s">
        <v>143</v>
      </c>
      <c r="C92" s="16" t="s">
        <v>46</v>
      </c>
      <c r="D92" s="14">
        <v>500.0</v>
      </c>
      <c r="E92" s="17" t="str">
        <f>IFERROR(__xludf.DUMMYFUNCTION("REGEXREPLACE(GOOGLETRANSLATE(B92,""RU"",""EN""),"" "",""_"")"),"Headrest")</f>
        <v>Headrest</v>
      </c>
      <c r="F92" s="51" t="s">
        <v>71</v>
      </c>
      <c r="G92" s="16" t="s">
        <v>48</v>
      </c>
      <c r="H92" s="16" t="s">
        <v>46</v>
      </c>
      <c r="I92" s="40"/>
      <c r="J92" s="40"/>
      <c r="K92" s="41"/>
      <c r="L92" s="26"/>
      <c r="M92" s="26"/>
      <c r="N92" s="24"/>
      <c r="O92" s="41"/>
      <c r="P92" s="41"/>
      <c r="Q92" s="24"/>
      <c r="R92" s="24"/>
      <c r="S92" s="41"/>
      <c r="T92" s="26"/>
      <c r="U92" s="41"/>
      <c r="V92" s="41"/>
      <c r="W92" s="41"/>
      <c r="X92" s="37" t="s">
        <v>131</v>
      </c>
    </row>
    <row r="93" ht="14.25" customHeight="1">
      <c r="A93" s="24"/>
      <c r="B93" s="54" t="s">
        <v>144</v>
      </c>
      <c r="C93" s="16" t="s">
        <v>46</v>
      </c>
      <c r="D93" s="14">
        <v>500.0</v>
      </c>
      <c r="E93" s="17" t="str">
        <f>IFERROR(__xludf.DUMMYFUNCTION("REGEXREPLACE(GOOGLETRANSLATE(B93,""RU"",""EN""),"" "",""_"")"),"Presence_of_foot_rests")</f>
        <v>Presence_of_foot_rests</v>
      </c>
      <c r="F93" s="51" t="s">
        <v>71</v>
      </c>
      <c r="G93" s="16" t="s">
        <v>48</v>
      </c>
      <c r="H93" s="16" t="s">
        <v>46</v>
      </c>
      <c r="I93" s="40"/>
      <c r="J93" s="40"/>
      <c r="K93" s="41"/>
      <c r="L93" s="26"/>
      <c r="M93" s="26"/>
      <c r="N93" s="24"/>
      <c r="O93" s="41"/>
      <c r="P93" s="41"/>
      <c r="Q93" s="24"/>
      <c r="R93" s="24"/>
      <c r="S93" s="41"/>
      <c r="T93" s="26"/>
      <c r="U93" s="41"/>
      <c r="V93" s="41"/>
      <c r="W93" s="41"/>
      <c r="X93" s="37" t="s">
        <v>131</v>
      </c>
    </row>
    <row r="94" ht="14.25" customHeight="1">
      <c r="A94" s="24"/>
      <c r="B94" s="54" t="s">
        <v>145</v>
      </c>
      <c r="C94" s="16" t="s">
        <v>46</v>
      </c>
      <c r="D94" s="14">
        <v>500.0</v>
      </c>
      <c r="E94" s="17" t="str">
        <f>IFERROR(__xludf.DUMMYFUNCTION("REGEXREPLACE(GOOGLETRANSLATE(B94,""RU"",""EN""),"" "",""_"")"),"Degree_of_rotation_of_footrests")</f>
        <v>Degree_of_rotation_of_footrests</v>
      </c>
      <c r="F94" s="51" t="s">
        <v>48</v>
      </c>
      <c r="G94" s="16" t="s">
        <v>48</v>
      </c>
      <c r="H94" s="16" t="s">
        <v>46</v>
      </c>
      <c r="I94" s="40"/>
      <c r="J94" s="40"/>
      <c r="K94" s="41"/>
      <c r="L94" s="26"/>
      <c r="M94" s="26"/>
      <c r="N94" s="24"/>
      <c r="O94" s="41"/>
      <c r="P94" s="41"/>
      <c r="Q94" s="24"/>
      <c r="R94" s="24"/>
      <c r="S94" s="41"/>
      <c r="T94" s="26"/>
      <c r="U94" s="41"/>
      <c r="V94" s="41"/>
      <c r="W94" s="41"/>
      <c r="X94" s="37" t="s">
        <v>131</v>
      </c>
    </row>
    <row r="95" ht="14.25" customHeight="1">
      <c r="A95" s="24"/>
      <c r="B95" s="54" t="s">
        <v>146</v>
      </c>
      <c r="C95" s="16" t="s">
        <v>46</v>
      </c>
      <c r="D95" s="14">
        <v>500.0</v>
      </c>
      <c r="E95" s="17" t="str">
        <f>IFERROR(__xludf.DUMMYFUNCTION("REGEXREPLACE(GOOGLETRANSLATE(B95,""RU"",""EN""),"" "",""_"")"),"Availability_of_wheels")</f>
        <v>Availability_of_wheels</v>
      </c>
      <c r="F95" s="51" t="s">
        <v>71</v>
      </c>
      <c r="G95" s="16" t="s">
        <v>48</v>
      </c>
      <c r="H95" s="16" t="s">
        <v>46</v>
      </c>
      <c r="I95" s="40"/>
      <c r="J95" s="40"/>
      <c r="K95" s="41"/>
      <c r="L95" s="26"/>
      <c r="M95" s="26"/>
      <c r="N95" s="24"/>
      <c r="O95" s="41"/>
      <c r="P95" s="41"/>
      <c r="Q95" s="24"/>
      <c r="R95" s="24"/>
      <c r="S95" s="41"/>
      <c r="T95" s="26"/>
      <c r="U95" s="41"/>
      <c r="V95" s="41"/>
      <c r="W95" s="41"/>
      <c r="X95" s="37" t="s">
        <v>131</v>
      </c>
    </row>
    <row r="96" ht="14.25" customHeight="1">
      <c r="A96" s="24"/>
      <c r="B96" s="54" t="s">
        <v>147</v>
      </c>
      <c r="C96" s="16" t="s">
        <v>46</v>
      </c>
      <c r="D96" s="14">
        <v>500.0</v>
      </c>
      <c r="E96" s="17" t="str">
        <f>IFERROR(__xludf.DUMMYFUNCTION("REGEXREPLACE(GOOGLETRANSLATE(B96,""RU"",""EN""),"" "",""_"")"),"Back_adjustment")</f>
        <v>Back_adjustment</v>
      </c>
      <c r="F96" s="51" t="s">
        <v>71</v>
      </c>
      <c r="G96" s="16" t="s">
        <v>48</v>
      </c>
      <c r="H96" s="16" t="s">
        <v>46</v>
      </c>
      <c r="I96" s="40"/>
      <c r="J96" s="40"/>
      <c r="K96" s="41"/>
      <c r="L96" s="26"/>
      <c r="M96" s="26"/>
      <c r="N96" s="24"/>
      <c r="O96" s="41"/>
      <c r="P96" s="41"/>
      <c r="Q96" s="24"/>
      <c r="R96" s="24"/>
      <c r="S96" s="41"/>
      <c r="T96" s="26"/>
      <c r="U96" s="41"/>
      <c r="V96" s="41"/>
      <c r="W96" s="41"/>
      <c r="X96" s="37" t="s">
        <v>131</v>
      </c>
    </row>
    <row r="97" ht="14.25" customHeight="1">
      <c r="A97" s="24"/>
      <c r="B97" s="54" t="s">
        <v>148</v>
      </c>
      <c r="C97" s="16" t="s">
        <v>46</v>
      </c>
      <c r="D97" s="14">
        <v>500.0</v>
      </c>
      <c r="E97" s="17" t="str">
        <f>IFERROR(__xludf.DUMMYFUNCTION("REGEXREPLACE(GOOGLETRANSLATE(B97,""RU"",""EN""),"" "",""_"")"),"Backrest_adjustment_rotation_angle")</f>
        <v>Backrest_adjustment_rotation_angle</v>
      </c>
      <c r="F97" s="51" t="s">
        <v>48</v>
      </c>
      <c r="G97" s="16" t="s">
        <v>48</v>
      </c>
      <c r="H97" s="16" t="s">
        <v>46</v>
      </c>
      <c r="I97" s="40"/>
      <c r="J97" s="40"/>
      <c r="K97" s="41"/>
      <c r="L97" s="26"/>
      <c r="M97" s="26"/>
      <c r="N97" s="24"/>
      <c r="O97" s="41"/>
      <c r="P97" s="41"/>
      <c r="Q97" s="24"/>
      <c r="R97" s="24"/>
      <c r="S97" s="41"/>
      <c r="T97" s="26"/>
      <c r="U97" s="41"/>
      <c r="V97" s="41"/>
      <c r="W97" s="41"/>
      <c r="X97" s="37" t="s">
        <v>131</v>
      </c>
    </row>
    <row r="98" ht="14.25" customHeight="1">
      <c r="A98" s="24"/>
      <c r="B98" s="54" t="s">
        <v>149</v>
      </c>
      <c r="C98" s="16" t="s">
        <v>46</v>
      </c>
      <c r="D98" s="14">
        <v>500.0</v>
      </c>
      <c r="E98" s="17" t="str">
        <f>IFERROR(__xludf.DUMMYFUNCTION("REGEXREPLACE(GOOGLETRANSLATE(B98,""RU"",""EN""),"" "",""_"")"),"Chair_type")</f>
        <v>Chair_type</v>
      </c>
      <c r="F98" s="51" t="s">
        <v>47</v>
      </c>
      <c r="G98" s="16" t="s">
        <v>48</v>
      </c>
      <c r="H98" s="16" t="s">
        <v>46</v>
      </c>
      <c r="I98" s="40"/>
      <c r="J98" s="40"/>
      <c r="K98" s="41"/>
      <c r="L98" s="26"/>
      <c r="M98" s="26"/>
      <c r="N98" s="24"/>
      <c r="O98" s="41"/>
      <c r="P98" s="41"/>
      <c r="Q98" s="24"/>
      <c r="R98" s="24"/>
      <c r="S98" s="41"/>
      <c r="T98" s="26"/>
      <c r="U98" s="41"/>
      <c r="V98" s="41"/>
      <c r="W98" s="41"/>
      <c r="X98" s="37" t="s">
        <v>131</v>
      </c>
    </row>
    <row r="99" ht="14.25" customHeight="1">
      <c r="A99" s="24"/>
      <c r="B99" s="54" t="s">
        <v>150</v>
      </c>
      <c r="C99" s="16" t="s">
        <v>46</v>
      </c>
      <c r="D99" s="14">
        <v>500.0</v>
      </c>
      <c r="E99" s="17" t="str">
        <f>IFERROR(__xludf.DUMMYFUNCTION("REGEXREPLACE(GOOGLETRANSLATE(B99,""RU"",""EN""),"" "",""_"")"),"Adjustment_of_height,_back_and_pelvic_sections_of_the_chair")</f>
        <v>Adjustment_of_height,_back_and_pelvic_sections_of_the_chair</v>
      </c>
      <c r="F99" s="51" t="s">
        <v>47</v>
      </c>
      <c r="G99" s="16" t="s">
        <v>48</v>
      </c>
      <c r="H99" s="16" t="s">
        <v>46</v>
      </c>
      <c r="I99" s="40"/>
      <c r="J99" s="40"/>
      <c r="K99" s="41"/>
      <c r="L99" s="26"/>
      <c r="M99" s="26"/>
      <c r="N99" s="24"/>
      <c r="O99" s="41"/>
      <c r="P99" s="41"/>
      <c r="Q99" s="24"/>
      <c r="R99" s="24"/>
      <c r="S99" s="41"/>
      <c r="T99" s="26"/>
      <c r="U99" s="41"/>
      <c r="V99" s="41"/>
      <c r="W99" s="41"/>
      <c r="X99" s="37" t="s">
        <v>131</v>
      </c>
    </row>
    <row r="100" ht="14.25" customHeight="1">
      <c r="A100" s="24"/>
      <c r="B100" s="54" t="s">
        <v>151</v>
      </c>
      <c r="C100" s="16" t="s">
        <v>46</v>
      </c>
      <c r="D100" s="14">
        <v>500.0</v>
      </c>
      <c r="E100" s="17" t="str">
        <f>IFERROR(__xludf.DUMMYFUNCTION("REGEXREPLACE(GOOGLETRANSLATE(B100,""RU"",""EN""),"" "",""_"")"),"Independent_adjustment_of_the_angles_of_inclination_of_the_dorsal_and_pelvic_sections")</f>
        <v>Independent_adjustment_of_the_angles_of_inclination_of_the_dorsal_and_pelvic_sections</v>
      </c>
      <c r="F100" s="51" t="s">
        <v>47</v>
      </c>
      <c r="G100" s="16" t="s">
        <v>48</v>
      </c>
      <c r="H100" s="16" t="s">
        <v>46</v>
      </c>
      <c r="I100" s="40"/>
      <c r="J100" s="40"/>
      <c r="K100" s="41"/>
      <c r="L100" s="26"/>
      <c r="M100" s="26"/>
      <c r="N100" s="24"/>
      <c r="O100" s="41"/>
      <c r="P100" s="41"/>
      <c r="Q100" s="24"/>
      <c r="R100" s="24"/>
      <c r="S100" s="41"/>
      <c r="T100" s="26"/>
      <c r="U100" s="41"/>
      <c r="V100" s="41"/>
      <c r="W100" s="41"/>
      <c r="X100" s="37" t="s">
        <v>131</v>
      </c>
    </row>
    <row r="101" ht="14.25" customHeight="1">
      <c r="A101" s="24"/>
      <c r="B101" s="54" t="s">
        <v>152</v>
      </c>
      <c r="C101" s="16" t="s">
        <v>46</v>
      </c>
      <c r="D101" s="14">
        <v>500.0</v>
      </c>
      <c r="E101" s="17" t="str">
        <f>IFERROR(__xludf.DUMMYFUNCTION("REGEXREPLACE(GOOGLETRANSLATE(B101,""RU"",""EN""),"" "",""_"")"),"Trendelenburg_position")</f>
        <v>Trendelenburg_position</v>
      </c>
      <c r="F101" s="51" t="s">
        <v>71</v>
      </c>
      <c r="G101" s="16" t="s">
        <v>48</v>
      </c>
      <c r="H101" s="16" t="s">
        <v>46</v>
      </c>
      <c r="I101" s="40"/>
      <c r="J101" s="40"/>
      <c r="K101" s="41"/>
      <c r="L101" s="26"/>
      <c r="M101" s="26"/>
      <c r="N101" s="24"/>
      <c r="O101" s="41"/>
      <c r="P101" s="41"/>
      <c r="Q101" s="24"/>
      <c r="R101" s="24"/>
      <c r="S101" s="41"/>
      <c r="T101" s="26"/>
      <c r="U101" s="41"/>
      <c r="V101" s="41"/>
      <c r="W101" s="41"/>
      <c r="X101" s="37" t="s">
        <v>131</v>
      </c>
    </row>
    <row r="102" ht="14.25" customHeight="1">
      <c r="A102" s="24"/>
      <c r="B102" s="54" t="s">
        <v>153</v>
      </c>
      <c r="C102" s="16" t="s">
        <v>46</v>
      </c>
      <c r="D102" s="14">
        <v>500.0</v>
      </c>
      <c r="E102" s="17" t="str">
        <f>IFERROR(__xludf.DUMMYFUNCTION("REGEXREPLACE(GOOGLETRANSLATE(B102,""RU"",""EN""),"" "",""_"")"),"If_electric_")</f>
        <v>If_electric_</v>
      </c>
      <c r="F102" s="51" t="s">
        <v>47</v>
      </c>
      <c r="G102" s="16" t="s">
        <v>48</v>
      </c>
      <c r="H102" s="16" t="s">
        <v>46</v>
      </c>
      <c r="I102" s="40"/>
      <c r="J102" s="40"/>
      <c r="K102" s="41"/>
      <c r="L102" s="26"/>
      <c r="M102" s="26"/>
      <c r="N102" s="24"/>
      <c r="O102" s="41"/>
      <c r="P102" s="41"/>
      <c r="Q102" s="24"/>
      <c r="R102" s="24"/>
      <c r="S102" s="41"/>
      <c r="T102" s="26"/>
      <c r="U102" s="41"/>
      <c r="V102" s="41"/>
      <c r="W102" s="41"/>
      <c r="X102" s="37" t="s">
        <v>131</v>
      </c>
    </row>
    <row r="103" ht="14.25" customHeight="1">
      <c r="A103" s="24"/>
      <c r="B103" s="54" t="s">
        <v>139</v>
      </c>
      <c r="C103" s="16" t="s">
        <v>46</v>
      </c>
      <c r="D103" s="14">
        <v>500.0</v>
      </c>
      <c r="E103" s="17" t="str">
        <f>IFERROR(__xludf.DUMMYFUNCTION("REGEXREPLACE(GOOGLETRANSLATE(B103,""RU"",""EN""),"" "",""_"")"),"Additional_options")</f>
        <v>Additional_options</v>
      </c>
      <c r="F103" s="57" t="s">
        <v>47</v>
      </c>
      <c r="G103" s="16" t="s">
        <v>48</v>
      </c>
      <c r="H103" s="16" t="s">
        <v>46</v>
      </c>
      <c r="I103" s="40"/>
      <c r="J103" s="40"/>
      <c r="K103" s="41"/>
      <c r="L103" s="26"/>
      <c r="M103" s="26"/>
      <c r="N103" s="24"/>
      <c r="O103" s="41"/>
      <c r="P103" s="41"/>
      <c r="Q103" s="24"/>
      <c r="R103" s="24"/>
      <c r="S103" s="41"/>
      <c r="T103" s="26"/>
      <c r="U103" s="41"/>
      <c r="V103" s="41"/>
      <c r="W103" s="41"/>
      <c r="X103" s="37" t="s">
        <v>131</v>
      </c>
    </row>
    <row r="104" ht="14.25" customHeight="1">
      <c r="A104" s="24"/>
      <c r="B104" s="54" t="s">
        <v>154</v>
      </c>
      <c r="C104" s="16" t="s">
        <v>46</v>
      </c>
      <c r="D104" s="14">
        <v>500.0</v>
      </c>
      <c r="E104" s="17" t="str">
        <f>IFERROR(__xludf.DUMMYFUNCTION("REGEXREPLACE(GOOGLETRANSLATE(B104,""RU"",""EN""),"" "",""_"")"),"Description")</f>
        <v>Description</v>
      </c>
      <c r="F104" s="51" t="s">
        <v>47</v>
      </c>
      <c r="G104" s="16" t="s">
        <v>48</v>
      </c>
      <c r="H104" s="16" t="s">
        <v>46</v>
      </c>
      <c r="I104" s="40"/>
      <c r="J104" s="40"/>
      <c r="K104" s="41"/>
      <c r="L104" s="26"/>
      <c r="M104" s="26"/>
      <c r="N104" s="24"/>
      <c r="O104" s="41"/>
      <c r="P104" s="41"/>
      <c r="Q104" s="24"/>
      <c r="R104" s="24"/>
      <c r="S104" s="41"/>
      <c r="T104" s="26"/>
      <c r="U104" s="41"/>
      <c r="V104" s="41"/>
      <c r="W104" s="41"/>
      <c r="X104" s="48" t="s">
        <v>155</v>
      </c>
    </row>
    <row r="105" ht="14.25" customHeight="1">
      <c r="A105" s="24"/>
      <c r="B105" s="54" t="s">
        <v>156</v>
      </c>
      <c r="C105" s="16" t="s">
        <v>46</v>
      </c>
      <c r="D105" s="14">
        <v>500.0</v>
      </c>
      <c r="E105" s="17" t="str">
        <f>IFERROR(__xludf.DUMMYFUNCTION("REGEXREPLACE(GOOGLETRANSLATE(B105,""RU"",""EN""),"" "",""_"")"),"Availability_of_a_monitor")</f>
        <v>Availability_of_a_monitor</v>
      </c>
      <c r="F105" s="51" t="s">
        <v>71</v>
      </c>
      <c r="G105" s="16" t="s">
        <v>48</v>
      </c>
      <c r="H105" s="16" t="s">
        <v>46</v>
      </c>
      <c r="I105" s="40"/>
      <c r="J105" s="40"/>
      <c r="K105" s="41"/>
      <c r="L105" s="26"/>
      <c r="M105" s="26"/>
      <c r="N105" s="24"/>
      <c r="O105" s="41"/>
      <c r="P105" s="41"/>
      <c r="Q105" s="24"/>
      <c r="R105" s="24"/>
      <c r="S105" s="41"/>
      <c r="T105" s="26"/>
      <c r="U105" s="41"/>
      <c r="V105" s="41"/>
      <c r="W105" s="41"/>
      <c r="X105" s="48" t="s">
        <v>155</v>
      </c>
    </row>
    <row r="106" ht="14.25" customHeight="1">
      <c r="A106" s="24"/>
      <c r="B106" s="54" t="s">
        <v>157</v>
      </c>
      <c r="C106" s="16" t="s">
        <v>46</v>
      </c>
      <c r="D106" s="14">
        <v>500.0</v>
      </c>
      <c r="E106" s="17" t="str">
        <f>IFERROR(__xludf.DUMMYFUNCTION("REGEXREPLACE(GOOGLETRANSLATE(B106,""RU"",""EN""),"" "",""_"")"),"Monitor_type")</f>
        <v>Monitor_type</v>
      </c>
      <c r="F106" s="51" t="s">
        <v>47</v>
      </c>
      <c r="G106" s="16" t="s">
        <v>48</v>
      </c>
      <c r="H106" s="16" t="s">
        <v>46</v>
      </c>
      <c r="I106" s="40"/>
      <c r="J106" s="40"/>
      <c r="K106" s="41"/>
      <c r="L106" s="26"/>
      <c r="M106" s="26"/>
      <c r="N106" s="24"/>
      <c r="O106" s="41"/>
      <c r="P106" s="41"/>
      <c r="Q106" s="24"/>
      <c r="R106" s="24"/>
      <c r="S106" s="41"/>
      <c r="T106" s="26"/>
      <c r="U106" s="41"/>
      <c r="V106" s="41"/>
      <c r="W106" s="41"/>
      <c r="X106" s="48" t="s">
        <v>155</v>
      </c>
    </row>
    <row r="107" ht="14.25" customHeight="1">
      <c r="A107" s="24"/>
      <c r="B107" s="54" t="s">
        <v>158</v>
      </c>
      <c r="C107" s="16" t="s">
        <v>46</v>
      </c>
      <c r="D107" s="14">
        <v>500.0</v>
      </c>
      <c r="E107" s="17" t="str">
        <f>IFERROR(__xludf.DUMMYFUNCTION("REGEXREPLACE(GOOGLETRANSLATE(B107,""RU"",""EN""),"" "",""_"")"),"Monitor_diagonal")</f>
        <v>Monitor_diagonal</v>
      </c>
      <c r="F107" s="51" t="s">
        <v>48</v>
      </c>
      <c r="G107" s="16" t="s">
        <v>48</v>
      </c>
      <c r="H107" s="16" t="s">
        <v>46</v>
      </c>
      <c r="I107" s="40"/>
      <c r="J107" s="40"/>
      <c r="K107" s="41"/>
      <c r="L107" s="26"/>
      <c r="M107" s="26"/>
      <c r="N107" s="24"/>
      <c r="O107" s="41"/>
      <c r="P107" s="41"/>
      <c r="Q107" s="24"/>
      <c r="R107" s="24"/>
      <c r="S107" s="41"/>
      <c r="T107" s="26"/>
      <c r="U107" s="41"/>
      <c r="V107" s="41"/>
      <c r="W107" s="41"/>
      <c r="X107" s="48" t="s">
        <v>155</v>
      </c>
    </row>
    <row r="108" ht="14.25" customHeight="1">
      <c r="A108" s="24"/>
      <c r="B108" s="54" t="s">
        <v>63</v>
      </c>
      <c r="C108" s="16" t="s">
        <v>46</v>
      </c>
      <c r="D108" s="14">
        <v>500.0</v>
      </c>
      <c r="E108" s="17" t="str">
        <f>IFERROR(__xludf.DUMMYFUNCTION("REGEXREPLACE(GOOGLETRANSLATE(B108,""RU"",""EN""),"" "",""_"")"),"Nutrition")</f>
        <v>Nutrition</v>
      </c>
      <c r="F108" s="51" t="s">
        <v>47</v>
      </c>
      <c r="G108" s="16" t="s">
        <v>48</v>
      </c>
      <c r="H108" s="16" t="s">
        <v>46</v>
      </c>
      <c r="I108" s="40"/>
      <c r="J108" s="40"/>
      <c r="K108" s="41"/>
      <c r="L108" s="26"/>
      <c r="M108" s="26"/>
      <c r="N108" s="24"/>
      <c r="O108" s="41"/>
      <c r="P108" s="41"/>
      <c r="Q108" s="24"/>
      <c r="R108" s="24"/>
      <c r="S108" s="41"/>
      <c r="T108" s="26"/>
      <c r="U108" s="41"/>
      <c r="V108" s="41"/>
      <c r="W108" s="41"/>
      <c r="X108" s="48" t="s">
        <v>155</v>
      </c>
    </row>
    <row r="109" ht="14.25" customHeight="1">
      <c r="A109" s="24"/>
      <c r="B109" s="54" t="s">
        <v>159</v>
      </c>
      <c r="C109" s="16" t="s">
        <v>46</v>
      </c>
      <c r="D109" s="14">
        <v>500.0</v>
      </c>
      <c r="E109" s="17" t="str">
        <f>IFERROR(__xludf.DUMMYFUNCTION("REGEXREPLACE(GOOGLETRANSLATE(B109,""RU"",""EN""),"" "",""_"")"),"Printing_data")</f>
        <v>Printing_data</v>
      </c>
      <c r="F109" s="51" t="s">
        <v>47</v>
      </c>
      <c r="G109" s="16" t="s">
        <v>48</v>
      </c>
      <c r="H109" s="16" t="s">
        <v>46</v>
      </c>
      <c r="I109" s="40"/>
      <c r="J109" s="40"/>
      <c r="K109" s="41"/>
      <c r="L109" s="26"/>
      <c r="M109" s="26"/>
      <c r="N109" s="24"/>
      <c r="O109" s="41"/>
      <c r="P109" s="41"/>
      <c r="Q109" s="24"/>
      <c r="R109" s="24"/>
      <c r="S109" s="41"/>
      <c r="T109" s="26"/>
      <c r="U109" s="41"/>
      <c r="V109" s="41"/>
      <c r="W109" s="41"/>
      <c r="X109" s="48" t="s">
        <v>155</v>
      </c>
    </row>
    <row r="110" ht="14.25" customHeight="1">
      <c r="A110" s="24"/>
      <c r="B110" s="54" t="s">
        <v>160</v>
      </c>
      <c r="C110" s="16" t="s">
        <v>46</v>
      </c>
      <c r="D110" s="14">
        <v>500.0</v>
      </c>
      <c r="E110" s="17" t="str">
        <f>IFERROR(__xludf.DUMMYFUNCTION("REGEXREPLACE(GOOGLETRANSLATE(B110,""RU"",""EN""),"" "",""_"")"),"Paper_width_mm")</f>
        <v>Paper_width_mm</v>
      </c>
      <c r="F110" s="51" t="s">
        <v>48</v>
      </c>
      <c r="G110" s="16" t="s">
        <v>48</v>
      </c>
      <c r="H110" s="16" t="s">
        <v>46</v>
      </c>
      <c r="I110" s="40"/>
      <c r="J110" s="40"/>
      <c r="K110" s="41"/>
      <c r="L110" s="26"/>
      <c r="M110" s="26"/>
      <c r="N110" s="24"/>
      <c r="O110" s="41"/>
      <c r="P110" s="41"/>
      <c r="Q110" s="24"/>
      <c r="R110" s="24"/>
      <c r="S110" s="41"/>
      <c r="T110" s="26"/>
      <c r="U110" s="41"/>
      <c r="V110" s="41"/>
      <c r="W110" s="41"/>
      <c r="X110" s="48" t="s">
        <v>155</v>
      </c>
    </row>
    <row r="111" ht="14.25" customHeight="1">
      <c r="A111" s="24"/>
      <c r="B111" s="54" t="s">
        <v>161</v>
      </c>
      <c r="C111" s="16" t="s">
        <v>46</v>
      </c>
      <c r="D111" s="14">
        <v>500.0</v>
      </c>
      <c r="E111" s="17" t="str">
        <f>IFERROR(__xludf.DUMMYFUNCTION("REGEXREPLACE(GOOGLETRANSLATE(B111,""RU"",""EN""),"" "",""_"")"),"Audio_output_for_headphones")</f>
        <v>Audio_output_for_headphones</v>
      </c>
      <c r="F111" s="51" t="s">
        <v>71</v>
      </c>
      <c r="G111" s="16" t="s">
        <v>48</v>
      </c>
      <c r="H111" s="16" t="s">
        <v>46</v>
      </c>
      <c r="I111" s="40"/>
      <c r="J111" s="40"/>
      <c r="K111" s="41"/>
      <c r="L111" s="26"/>
      <c r="M111" s="26"/>
      <c r="N111" s="24"/>
      <c r="O111" s="41"/>
      <c r="P111" s="41"/>
      <c r="Q111" s="24"/>
      <c r="R111" s="24"/>
      <c r="S111" s="41"/>
      <c r="T111" s="26"/>
      <c r="U111" s="41"/>
      <c r="V111" s="41"/>
      <c r="W111" s="41"/>
      <c r="X111" s="48" t="s">
        <v>155</v>
      </c>
    </row>
    <row r="112" ht="14.25" customHeight="1">
      <c r="A112" s="24"/>
      <c r="B112" s="54" t="s">
        <v>162</v>
      </c>
      <c r="C112" s="16" t="s">
        <v>46</v>
      </c>
      <c r="D112" s="14">
        <v>500.0</v>
      </c>
      <c r="E112" s="17" t="str">
        <f>IFERROR(__xludf.DUMMYFUNCTION("REGEXREPLACE(GOOGLETRANSLATE(B112,""RU"",""EN""),"" "",""_"")"),"USB_port_for_saving_analysis_results")</f>
        <v>USB_port_for_saving_analysis_results</v>
      </c>
      <c r="F112" s="51" t="s">
        <v>71</v>
      </c>
      <c r="G112" s="16" t="s">
        <v>48</v>
      </c>
      <c r="H112" s="16" t="s">
        <v>46</v>
      </c>
      <c r="I112" s="40"/>
      <c r="J112" s="40"/>
      <c r="K112" s="41"/>
      <c r="L112" s="26"/>
      <c r="M112" s="26"/>
      <c r="N112" s="24"/>
      <c r="O112" s="41"/>
      <c r="P112" s="41"/>
      <c r="Q112" s="24"/>
      <c r="R112" s="24"/>
      <c r="S112" s="41"/>
      <c r="T112" s="26"/>
      <c r="U112" s="41"/>
      <c r="V112" s="41"/>
      <c r="W112" s="41"/>
      <c r="X112" s="48" t="s">
        <v>155</v>
      </c>
    </row>
    <row r="113" ht="14.25" customHeight="1">
      <c r="A113" s="24"/>
      <c r="B113" s="54" t="s">
        <v>163</v>
      </c>
      <c r="C113" s="16" t="s">
        <v>46</v>
      </c>
      <c r="D113" s="14">
        <v>500.0</v>
      </c>
      <c r="E113" s="17" t="str">
        <f>IFERROR(__xludf.DUMMYFUNCTION("REGEXREPLACE(GOOGLETRANSLATE(B113,""RU"",""EN""),"" "",""_"")"),"VGA_port_for_connecting_an_external_monitor")</f>
        <v>VGA_port_for_connecting_an_external_monitor</v>
      </c>
      <c r="F113" s="51" t="s">
        <v>47</v>
      </c>
      <c r="G113" s="16" t="s">
        <v>48</v>
      </c>
      <c r="H113" s="16" t="s">
        <v>46</v>
      </c>
      <c r="I113" s="40"/>
      <c r="J113" s="40"/>
      <c r="K113" s="41"/>
      <c r="L113" s="26"/>
      <c r="M113" s="26"/>
      <c r="N113" s="24"/>
      <c r="O113" s="41"/>
      <c r="P113" s="41"/>
      <c r="Q113" s="24"/>
      <c r="R113" s="24"/>
      <c r="S113" s="41"/>
      <c r="T113" s="26"/>
      <c r="U113" s="41"/>
      <c r="V113" s="41"/>
      <c r="W113" s="41"/>
      <c r="X113" s="48" t="s">
        <v>155</v>
      </c>
    </row>
    <row r="114" ht="14.25" customHeight="1">
      <c r="A114" s="24"/>
      <c r="B114" s="54" t="s">
        <v>164</v>
      </c>
      <c r="C114" s="16" t="s">
        <v>46</v>
      </c>
      <c r="D114" s="14">
        <v>500.0</v>
      </c>
      <c r="E114" s="17" t="str">
        <f>IFERROR(__xludf.DUMMYFUNCTION("REGEXREPLACE(GOOGLETRANSLATE(B114,""RU"",""EN""),"" "",""_"")"),"Backup_memory")</f>
        <v>Backup_memory</v>
      </c>
      <c r="F114" s="51" t="s">
        <v>71</v>
      </c>
      <c r="G114" s="16" t="s">
        <v>48</v>
      </c>
      <c r="H114" s="16" t="s">
        <v>46</v>
      </c>
      <c r="I114" s="40"/>
      <c r="J114" s="40"/>
      <c r="K114" s="41"/>
      <c r="L114" s="26"/>
      <c r="M114" s="26"/>
      <c r="N114" s="24"/>
      <c r="O114" s="41"/>
      <c r="P114" s="41"/>
      <c r="Q114" s="24"/>
      <c r="R114" s="24"/>
      <c r="S114" s="41"/>
      <c r="T114" s="26"/>
      <c r="U114" s="41"/>
      <c r="V114" s="41"/>
      <c r="W114" s="41"/>
      <c r="X114" s="48" t="s">
        <v>155</v>
      </c>
    </row>
    <row r="115" ht="14.25" customHeight="1">
      <c r="A115" s="24"/>
      <c r="B115" s="54" t="s">
        <v>82</v>
      </c>
      <c r="C115" s="16" t="s">
        <v>46</v>
      </c>
      <c r="D115" s="14">
        <v>500.0</v>
      </c>
      <c r="E115" s="17" t="str">
        <f>IFERROR(__xludf.DUMMYFUNCTION("REGEXREPLACE(GOOGLETRANSLATE(B115,""RU"",""EN""),"" "",""_"")"),"Equipment")</f>
        <v>Equipment</v>
      </c>
      <c r="F115" s="51" t="s">
        <v>47</v>
      </c>
      <c r="G115" s="16" t="s">
        <v>48</v>
      </c>
      <c r="H115" s="16" t="s">
        <v>46</v>
      </c>
      <c r="I115" s="40"/>
      <c r="J115" s="40"/>
      <c r="K115" s="41"/>
      <c r="L115" s="26"/>
      <c r="M115" s="26"/>
      <c r="N115" s="24"/>
      <c r="O115" s="41"/>
      <c r="P115" s="41"/>
      <c r="Q115" s="24"/>
      <c r="R115" s="24"/>
      <c r="S115" s="41"/>
      <c r="T115" s="26"/>
      <c r="U115" s="41"/>
      <c r="V115" s="41"/>
      <c r="W115" s="41"/>
      <c r="X115" s="48" t="s">
        <v>155</v>
      </c>
    </row>
    <row r="116" ht="14.25" customHeight="1">
      <c r="A116" s="24"/>
      <c r="B116" s="54" t="s">
        <v>165</v>
      </c>
      <c r="C116" s="16" t="s">
        <v>46</v>
      </c>
      <c r="D116" s="14">
        <v>500.0</v>
      </c>
      <c r="E116" s="17" t="str">
        <f>IFERROR(__xludf.DUMMYFUNCTION("REGEXREPLACE(GOOGLETRANSLATE(B116,""RU"",""EN""),"" "",""_"")"),"Probe_set")</f>
        <v>Probe_set</v>
      </c>
      <c r="F116" s="51" t="s">
        <v>47</v>
      </c>
      <c r="G116" s="16" t="s">
        <v>48</v>
      </c>
      <c r="H116" s="16" t="s">
        <v>46</v>
      </c>
      <c r="I116" s="40"/>
      <c r="J116" s="40"/>
      <c r="K116" s="41"/>
      <c r="L116" s="26"/>
      <c r="M116" s="26"/>
      <c r="N116" s="24"/>
      <c r="O116" s="41"/>
      <c r="P116" s="41"/>
      <c r="Q116" s="24"/>
      <c r="R116" s="24"/>
      <c r="S116" s="41"/>
      <c r="T116" s="26"/>
      <c r="U116" s="41"/>
      <c r="V116" s="41"/>
      <c r="W116" s="41"/>
      <c r="X116" s="48" t="s">
        <v>155</v>
      </c>
    </row>
    <row r="117" ht="14.25" customHeight="1">
      <c r="A117" s="24"/>
      <c r="B117" s="54" t="s">
        <v>166</v>
      </c>
      <c r="C117" s="16" t="s">
        <v>46</v>
      </c>
      <c r="D117" s="14">
        <v>500.0</v>
      </c>
      <c r="E117" s="17" t="str">
        <f>IFERROR(__xludf.DUMMYFUNCTION("REGEXREPLACE(GOOGLETRANSLATE(B117,""RU"",""EN""),"" "",""_"")"),"TOCO_range,_units")</f>
        <v>TOCO_range,_units</v>
      </c>
      <c r="F117" s="51" t="s">
        <v>48</v>
      </c>
      <c r="G117" s="16" t="s">
        <v>48</v>
      </c>
      <c r="H117" s="16" t="s">
        <v>46</v>
      </c>
      <c r="I117" s="40"/>
      <c r="J117" s="40"/>
      <c r="K117" s="41"/>
      <c r="L117" s="26"/>
      <c r="M117" s="26"/>
      <c r="N117" s="24"/>
      <c r="O117" s="41"/>
      <c r="P117" s="41"/>
      <c r="Q117" s="24"/>
      <c r="R117" s="24"/>
      <c r="S117" s="41"/>
      <c r="T117" s="26"/>
      <c r="U117" s="41"/>
      <c r="V117" s="41"/>
      <c r="W117" s="41"/>
      <c r="X117" s="48" t="s">
        <v>155</v>
      </c>
    </row>
    <row r="118" ht="14.25" customHeight="1">
      <c r="A118" s="24"/>
      <c r="B118" s="54" t="s">
        <v>167</v>
      </c>
      <c r="C118" s="16" t="s">
        <v>46</v>
      </c>
      <c r="D118" s="14">
        <v>500.0</v>
      </c>
      <c r="E118" s="17" t="str">
        <f>IFERROR(__xludf.DUMMYFUNCTION("REGEXREPLACE(GOOGLETRANSLATE(B118,""RU"",""EN""),"" "",""_"")"),"Fetal_heart_rate_detection_range")</f>
        <v>Fetal_heart_rate_detection_range</v>
      </c>
      <c r="F118" s="51" t="s">
        <v>48</v>
      </c>
      <c r="G118" s="16" t="s">
        <v>48</v>
      </c>
      <c r="H118" s="16" t="s">
        <v>46</v>
      </c>
      <c r="I118" s="40"/>
      <c r="J118" s="40"/>
      <c r="K118" s="41"/>
      <c r="L118" s="26"/>
      <c r="M118" s="26"/>
      <c r="N118" s="24"/>
      <c r="O118" s="41"/>
      <c r="P118" s="41"/>
      <c r="Q118" s="24"/>
      <c r="R118" s="24"/>
      <c r="S118" s="41"/>
      <c r="T118" s="26"/>
      <c r="U118" s="41"/>
      <c r="V118" s="41"/>
      <c r="W118" s="41"/>
      <c r="X118" s="48" t="s">
        <v>155</v>
      </c>
    </row>
    <row r="119" ht="14.25" customHeight="1">
      <c r="A119" s="24"/>
      <c r="B119" s="54" t="s">
        <v>168</v>
      </c>
      <c r="C119" s="16" t="s">
        <v>46</v>
      </c>
      <c r="D119" s="14">
        <v>500.0</v>
      </c>
      <c r="E119" s="17" t="str">
        <f>IFERROR(__xludf.DUMMYFUNCTION("REGEXREPLACE(GOOGLETRANSLATE(B119,""RU"",""EN""),"" "",""_"")"),"Ultrasonic_frequency")</f>
        <v>Ultrasonic_frequency</v>
      </c>
      <c r="F119" s="51" t="s">
        <v>48</v>
      </c>
      <c r="G119" s="16" t="s">
        <v>48</v>
      </c>
      <c r="H119" s="16" t="s">
        <v>46</v>
      </c>
      <c r="I119" s="40"/>
      <c r="J119" s="40"/>
      <c r="K119" s="41"/>
      <c r="L119" s="26"/>
      <c r="M119" s="26"/>
      <c r="N119" s="24"/>
      <c r="O119" s="41"/>
      <c r="P119" s="41"/>
      <c r="Q119" s="24"/>
      <c r="R119" s="24"/>
      <c r="S119" s="41"/>
      <c r="T119" s="26"/>
      <c r="U119" s="41"/>
      <c r="V119" s="41"/>
      <c r="W119" s="41"/>
      <c r="X119" s="48" t="s">
        <v>155</v>
      </c>
    </row>
    <row r="120" ht="14.25" customHeight="1">
      <c r="A120" s="24"/>
      <c r="B120" s="54" t="s">
        <v>169</v>
      </c>
      <c r="C120" s="16" t="s">
        <v>46</v>
      </c>
      <c r="D120" s="14">
        <v>500.0</v>
      </c>
      <c r="E120" s="17" t="str">
        <f>IFERROR(__xludf.DUMMYFUNCTION("REGEXREPLACE(GOOGLETRANSLATE(B120,""RU"",""EN""),"" "",""_"")"),"Heart_rate_range")</f>
        <v>Heart_rate_range</v>
      </c>
      <c r="F120" s="51" t="s">
        <v>48</v>
      </c>
      <c r="G120" s="16" t="s">
        <v>48</v>
      </c>
      <c r="H120" s="16" t="s">
        <v>46</v>
      </c>
      <c r="I120" s="40"/>
      <c r="J120" s="40"/>
      <c r="K120" s="41"/>
      <c r="L120" s="26"/>
      <c r="M120" s="26"/>
      <c r="N120" s="24"/>
      <c r="O120" s="41"/>
      <c r="P120" s="41"/>
      <c r="Q120" s="24"/>
      <c r="R120" s="24"/>
      <c r="S120" s="41"/>
      <c r="T120" s="26"/>
      <c r="U120" s="41"/>
      <c r="V120" s="41"/>
      <c r="W120" s="41"/>
      <c r="X120" s="48" t="s">
        <v>155</v>
      </c>
    </row>
    <row r="121" ht="14.25" customHeight="1">
      <c r="A121" s="24"/>
      <c r="B121" s="54" t="s">
        <v>170</v>
      </c>
      <c r="C121" s="16" t="s">
        <v>46</v>
      </c>
      <c r="D121" s="14">
        <v>500.0</v>
      </c>
      <c r="E121" s="17" t="str">
        <f>IFERROR(__xludf.DUMMYFUNCTION("REGEXREPLACE(GOOGLETRANSLATE(B121,""RU"",""EN""),"" "",""_"")"),"Accuracy_of_HR,_BRM")</f>
        <v>Accuracy_of_HR,_BRM</v>
      </c>
      <c r="F121" s="51" t="s">
        <v>48</v>
      </c>
      <c r="G121" s="16" t="s">
        <v>48</v>
      </c>
      <c r="H121" s="16" t="s">
        <v>46</v>
      </c>
      <c r="I121" s="40"/>
      <c r="J121" s="40"/>
      <c r="K121" s="41"/>
      <c r="L121" s="26"/>
      <c r="M121" s="26"/>
      <c r="N121" s="24"/>
      <c r="O121" s="41"/>
      <c r="P121" s="41"/>
      <c r="Q121" s="24"/>
      <c r="R121" s="24"/>
      <c r="S121" s="41"/>
      <c r="T121" s="26"/>
      <c r="U121" s="41"/>
      <c r="V121" s="41"/>
      <c r="W121" s="41"/>
      <c r="X121" s="48" t="s">
        <v>155</v>
      </c>
    </row>
    <row r="122" ht="14.25" customHeight="1">
      <c r="A122" s="24"/>
      <c r="B122" s="54" t="s">
        <v>171</v>
      </c>
      <c r="C122" s="16" t="s">
        <v>46</v>
      </c>
      <c r="D122" s="14">
        <v>500.0</v>
      </c>
      <c r="E122" s="17" t="str">
        <f>IFERROR(__xludf.DUMMYFUNCTION("REGEXREPLACE(GOOGLETRANSLATE(B122,""RU"",""EN""),"" "",""_"")"),"Number_of_fruits_studied")</f>
        <v>Number_of_fruits_studied</v>
      </c>
      <c r="F122" s="51" t="s">
        <v>48</v>
      </c>
      <c r="G122" s="16" t="s">
        <v>48</v>
      </c>
      <c r="H122" s="16" t="s">
        <v>46</v>
      </c>
      <c r="I122" s="40"/>
      <c r="J122" s="40"/>
      <c r="K122" s="41"/>
      <c r="L122" s="26"/>
      <c r="M122" s="26"/>
      <c r="N122" s="24"/>
      <c r="O122" s="41"/>
      <c r="P122" s="41"/>
      <c r="Q122" s="24"/>
      <c r="R122" s="24"/>
      <c r="S122" s="41"/>
      <c r="T122" s="26"/>
      <c r="U122" s="41"/>
      <c r="V122" s="41"/>
      <c r="W122" s="41"/>
      <c r="X122" s="48" t="s">
        <v>155</v>
      </c>
    </row>
    <row r="123" ht="14.25" customHeight="1">
      <c r="A123" s="24"/>
      <c r="B123" s="54" t="s">
        <v>172</v>
      </c>
      <c r="C123" s="16" t="s">
        <v>46</v>
      </c>
      <c r="D123" s="14">
        <v>500.0</v>
      </c>
      <c r="E123" s="17" t="str">
        <f>IFERROR(__xludf.DUMMYFUNCTION("REGEXREPLACE(GOOGLETRANSLATE(B123,""RU"",""EN""),"" "",""_"")"),"Scope_of_application")</f>
        <v>Scope_of_application</v>
      </c>
      <c r="F123" s="51" t="s">
        <v>47</v>
      </c>
      <c r="G123" s="16" t="s">
        <v>48</v>
      </c>
      <c r="H123" s="16" t="s">
        <v>46</v>
      </c>
      <c r="I123" s="40"/>
      <c r="J123" s="40"/>
      <c r="K123" s="41"/>
      <c r="L123" s="26"/>
      <c r="M123" s="26"/>
      <c r="N123" s="24"/>
      <c r="O123" s="41"/>
      <c r="P123" s="41"/>
      <c r="Q123" s="24"/>
      <c r="R123" s="24"/>
      <c r="S123" s="41"/>
      <c r="T123" s="26"/>
      <c r="U123" s="41"/>
      <c r="V123" s="41"/>
      <c r="W123" s="41"/>
      <c r="X123" s="48" t="s">
        <v>155</v>
      </c>
    </row>
    <row r="124" ht="14.25" customHeight="1">
      <c r="A124" s="24"/>
      <c r="B124" s="54" t="s">
        <v>173</v>
      </c>
      <c r="C124" s="16" t="s">
        <v>46</v>
      </c>
      <c r="D124" s="14">
        <v>500.0</v>
      </c>
      <c r="E124" s="17" t="str">
        <f>IFERROR(__xludf.DUMMYFUNCTION("REGEXREPLACE(GOOGLETRANSLATE(B124,""RU"",""EN""),"" "",""_"")"),"Monitoring_options")</f>
        <v>Monitoring_options</v>
      </c>
      <c r="F124" s="51" t="s">
        <v>47</v>
      </c>
      <c r="G124" s="16" t="s">
        <v>48</v>
      </c>
      <c r="H124" s="16" t="s">
        <v>46</v>
      </c>
      <c r="I124" s="40"/>
      <c r="J124" s="40"/>
      <c r="K124" s="41"/>
      <c r="L124" s="26"/>
      <c r="M124" s="26"/>
      <c r="N124" s="24"/>
      <c r="O124" s="41"/>
      <c r="P124" s="41"/>
      <c r="Q124" s="24"/>
      <c r="R124" s="24"/>
      <c r="S124" s="41"/>
      <c r="T124" s="26"/>
      <c r="U124" s="41"/>
      <c r="V124" s="41"/>
      <c r="W124" s="41"/>
      <c r="X124" s="48" t="s">
        <v>155</v>
      </c>
    </row>
    <row r="125" ht="14.25" customHeight="1">
      <c r="A125" s="24"/>
      <c r="B125" s="54" t="s">
        <v>174</v>
      </c>
      <c r="C125" s="16" t="s">
        <v>46</v>
      </c>
      <c r="D125" s="14">
        <v>500.0</v>
      </c>
      <c r="E125" s="17" t="str">
        <f>IFERROR(__xludf.DUMMYFUNCTION("REGEXREPLACE(GOOGLETRANSLATE(B125,""RU"",""EN""),"" "",""_"")"),"Connecting_to_a_computer")</f>
        <v>Connecting_to_a_computer</v>
      </c>
      <c r="F125" s="51" t="s">
        <v>47</v>
      </c>
      <c r="G125" s="16" t="s">
        <v>48</v>
      </c>
      <c r="H125" s="16" t="s">
        <v>46</v>
      </c>
      <c r="I125" s="40"/>
      <c r="J125" s="40"/>
      <c r="K125" s="41"/>
      <c r="L125" s="26"/>
      <c r="M125" s="26"/>
      <c r="N125" s="24"/>
      <c r="O125" s="41"/>
      <c r="P125" s="41"/>
      <c r="Q125" s="24"/>
      <c r="R125" s="24"/>
      <c r="S125" s="41"/>
      <c r="T125" s="26"/>
      <c r="U125" s="41"/>
      <c r="V125" s="41"/>
      <c r="W125" s="41"/>
      <c r="X125" s="48" t="s">
        <v>155</v>
      </c>
    </row>
    <row r="126" ht="14.25" customHeight="1">
      <c r="A126" s="24"/>
      <c r="B126" s="54" t="s">
        <v>175</v>
      </c>
      <c r="C126" s="16" t="s">
        <v>46</v>
      </c>
      <c r="D126" s="14">
        <v>500.0</v>
      </c>
      <c r="E126" s="17" t="str">
        <f>IFERROR(__xludf.DUMMYFUNCTION("REGEXREPLACE(GOOGLETRANSLATE(B126,""RU"",""EN""),"" "",""_"")"),"Sensors")</f>
        <v>Sensors</v>
      </c>
      <c r="F126" s="51" t="s">
        <v>47</v>
      </c>
      <c r="G126" s="16" t="s">
        <v>48</v>
      </c>
      <c r="H126" s="16" t="s">
        <v>46</v>
      </c>
      <c r="I126" s="40"/>
      <c r="J126" s="40"/>
      <c r="K126" s="41"/>
      <c r="L126" s="26"/>
      <c r="M126" s="26"/>
      <c r="N126" s="24"/>
      <c r="O126" s="41"/>
      <c r="P126" s="41"/>
      <c r="Q126" s="24"/>
      <c r="R126" s="24"/>
      <c r="S126" s="41"/>
      <c r="T126" s="26"/>
      <c r="U126" s="41"/>
      <c r="V126" s="41"/>
      <c r="W126" s="41"/>
      <c r="X126" s="48" t="s">
        <v>155</v>
      </c>
    </row>
    <row r="127" ht="14.25" customHeight="1">
      <c r="A127" s="24"/>
      <c r="B127" s="54" t="s">
        <v>176</v>
      </c>
      <c r="C127" s="16" t="s">
        <v>46</v>
      </c>
      <c r="D127" s="14">
        <v>500.0</v>
      </c>
      <c r="E127" s="17" t="str">
        <f>IFERROR(__xludf.DUMMYFUNCTION("REGEXREPLACE(GOOGLETRANSLATE(B127,""RU"",""EN""),"" "",""_"")"),"Built-in_functions")</f>
        <v>Built-in_functions</v>
      </c>
      <c r="F127" s="51" t="s">
        <v>47</v>
      </c>
      <c r="G127" s="16" t="s">
        <v>48</v>
      </c>
      <c r="H127" s="16" t="s">
        <v>46</v>
      </c>
      <c r="I127" s="40"/>
      <c r="J127" s="40"/>
      <c r="K127" s="41"/>
      <c r="L127" s="26"/>
      <c r="M127" s="26"/>
      <c r="N127" s="24"/>
      <c r="O127" s="41"/>
      <c r="P127" s="41"/>
      <c r="Q127" s="24"/>
      <c r="R127" s="24"/>
      <c r="S127" s="41"/>
      <c r="T127" s="26"/>
      <c r="U127" s="41"/>
      <c r="V127" s="41"/>
      <c r="W127" s="41"/>
      <c r="X127" s="48" t="s">
        <v>155</v>
      </c>
    </row>
    <row r="128" ht="14.25" customHeight="1">
      <c r="A128" s="24"/>
      <c r="B128" s="54" t="s">
        <v>177</v>
      </c>
      <c r="C128" s="16" t="s">
        <v>46</v>
      </c>
      <c r="D128" s="14">
        <v>500.0</v>
      </c>
      <c r="E128" s="17" t="str">
        <f>IFERROR(__xludf.DUMMYFUNCTION("REGEXREPLACE(GOOGLETRANSLATE(B128,""RU"",""EN""),"" "",""_"")"),"Automatic_analysis_of_the_condition_of_the_fetus/fetuses")</f>
        <v>Automatic_analysis_of_the_condition_of_the_fetus/fetuses</v>
      </c>
      <c r="F128" s="51" t="s">
        <v>47</v>
      </c>
      <c r="G128" s="16" t="s">
        <v>48</v>
      </c>
      <c r="H128" s="16" t="s">
        <v>46</v>
      </c>
      <c r="I128" s="40"/>
      <c r="J128" s="40"/>
      <c r="K128" s="41"/>
      <c r="L128" s="26"/>
      <c r="M128" s="26"/>
      <c r="N128" s="24"/>
      <c r="O128" s="41"/>
      <c r="P128" s="41"/>
      <c r="Q128" s="24"/>
      <c r="R128" s="24"/>
      <c r="S128" s="41"/>
      <c r="T128" s="26"/>
      <c r="U128" s="41"/>
      <c r="V128" s="41"/>
      <c r="W128" s="41"/>
      <c r="X128" s="48" t="s">
        <v>155</v>
      </c>
    </row>
    <row r="129" ht="14.25" customHeight="1">
      <c r="A129" s="24"/>
      <c r="B129" s="54" t="s">
        <v>178</v>
      </c>
      <c r="C129" s="16" t="s">
        <v>46</v>
      </c>
      <c r="D129" s="14">
        <v>500.0</v>
      </c>
      <c r="E129" s="17" t="str">
        <f>IFERROR(__xludf.DUMMYFUNCTION("REGEXREPLACE(GOOGLETRANSLATE(B129,""RU"",""EN""),"" "",""_"")"),"Opportunity_to_study_the_mother_")</f>
        <v>Opportunity_to_study_the_mother_</v>
      </c>
      <c r="F129" s="51" t="s">
        <v>47</v>
      </c>
      <c r="G129" s="16" t="s">
        <v>48</v>
      </c>
      <c r="H129" s="16" t="s">
        <v>46</v>
      </c>
      <c r="I129" s="40"/>
      <c r="J129" s="40"/>
      <c r="K129" s="41"/>
      <c r="L129" s="26"/>
      <c r="M129" s="26"/>
      <c r="N129" s="24"/>
      <c r="O129" s="41"/>
      <c r="P129" s="41"/>
      <c r="Q129" s="24"/>
      <c r="R129" s="24"/>
      <c r="S129" s="41"/>
      <c r="T129" s="26"/>
      <c r="U129" s="41"/>
      <c r="V129" s="41"/>
      <c r="W129" s="41"/>
      <c r="X129" s="48" t="s">
        <v>155</v>
      </c>
    </row>
    <row r="130" ht="14.25" customHeight="1">
      <c r="A130" s="24"/>
      <c r="B130" s="54" t="s">
        <v>179</v>
      </c>
      <c r="C130" s="16" t="s">
        <v>46</v>
      </c>
      <c r="D130" s="14">
        <v>500.0</v>
      </c>
      <c r="E130" s="17" t="str">
        <f>IFERROR(__xludf.DUMMYFUNCTION("REGEXREPLACE(GOOGLETRANSLATE(B130,""RU"",""EN""),"" "",""_"")"),"Detector_type")</f>
        <v>Detector_type</v>
      </c>
      <c r="F130" s="51" t="s">
        <v>47</v>
      </c>
      <c r="G130" s="16" t="s">
        <v>48</v>
      </c>
      <c r="H130" s="16" t="s">
        <v>46</v>
      </c>
      <c r="I130" s="40"/>
      <c r="J130" s="40"/>
      <c r="K130" s="41"/>
      <c r="L130" s="26"/>
      <c r="M130" s="26"/>
      <c r="N130" s="24"/>
      <c r="O130" s="41"/>
      <c r="P130" s="41"/>
      <c r="Q130" s="24"/>
      <c r="R130" s="24"/>
      <c r="S130" s="41"/>
      <c r="T130" s="26"/>
      <c r="U130" s="41"/>
      <c r="V130" s="41"/>
      <c r="W130" s="41"/>
      <c r="X130" s="58" t="s">
        <v>180</v>
      </c>
    </row>
    <row r="131" ht="14.25" customHeight="1">
      <c r="A131" s="24"/>
      <c r="B131" s="54" t="s">
        <v>181</v>
      </c>
      <c r="C131" s="16" t="s">
        <v>46</v>
      </c>
      <c r="D131" s="14">
        <v>500.0</v>
      </c>
      <c r="E131" s="17" t="str">
        <f>IFERROR(__xludf.DUMMYFUNCTION("REGEXREPLACE(GOOGLETRANSLATE(B131,""RU"",""EN""),"" "",""_"")"),"Device_type")</f>
        <v>Device_type</v>
      </c>
      <c r="F131" s="51" t="s">
        <v>47</v>
      </c>
      <c r="G131" s="16" t="s">
        <v>48</v>
      </c>
      <c r="H131" s="16" t="s">
        <v>46</v>
      </c>
      <c r="I131" s="40"/>
      <c r="J131" s="40"/>
      <c r="K131" s="41"/>
      <c r="L131" s="26"/>
      <c r="M131" s="26"/>
      <c r="N131" s="24"/>
      <c r="O131" s="41"/>
      <c r="P131" s="41"/>
      <c r="Q131" s="24"/>
      <c r="R131" s="24"/>
      <c r="S131" s="41"/>
      <c r="T131" s="26"/>
      <c r="U131" s="41"/>
      <c r="V131" s="41"/>
      <c r="W131" s="41"/>
      <c r="X131" s="58" t="s">
        <v>180</v>
      </c>
    </row>
    <row r="132" ht="14.25" customHeight="1">
      <c r="A132" s="24"/>
      <c r="B132" s="54" t="s">
        <v>157</v>
      </c>
      <c r="C132" s="16" t="s">
        <v>46</v>
      </c>
      <c r="D132" s="14">
        <v>500.0</v>
      </c>
      <c r="E132" s="17" t="str">
        <f>IFERROR(__xludf.DUMMYFUNCTION("REGEXREPLACE(GOOGLETRANSLATE(B132,""RU"",""EN""),"" "",""_"")"),"Monitor_type")</f>
        <v>Monitor_type</v>
      </c>
      <c r="F132" s="51" t="s">
        <v>47</v>
      </c>
      <c r="G132" s="16" t="s">
        <v>48</v>
      </c>
      <c r="H132" s="16" t="s">
        <v>46</v>
      </c>
      <c r="I132" s="40"/>
      <c r="J132" s="40"/>
      <c r="K132" s="41"/>
      <c r="L132" s="26"/>
      <c r="M132" s="26"/>
      <c r="N132" s="24"/>
      <c r="O132" s="41"/>
      <c r="P132" s="41"/>
      <c r="Q132" s="24"/>
      <c r="R132" s="24"/>
      <c r="S132" s="41"/>
      <c r="T132" s="26"/>
      <c r="U132" s="41"/>
      <c r="V132" s="41"/>
      <c r="W132" s="41"/>
      <c r="X132" s="58" t="s">
        <v>180</v>
      </c>
    </row>
    <row r="133" ht="14.25" customHeight="1">
      <c r="A133" s="24"/>
      <c r="B133" s="54" t="s">
        <v>182</v>
      </c>
      <c r="C133" s="16" t="s">
        <v>46</v>
      </c>
      <c r="D133" s="14">
        <v>500.0</v>
      </c>
      <c r="E133" s="17" t="str">
        <f>IFERROR(__xludf.DUMMYFUNCTION("REGEXREPLACE(GOOGLETRANSLATE(B133,""RU"",""EN""),"" "",""_"")"),"Monitor_size")</f>
        <v>Monitor_size</v>
      </c>
      <c r="F133" s="51" t="s">
        <v>48</v>
      </c>
      <c r="G133" s="16" t="s">
        <v>48</v>
      </c>
      <c r="H133" s="16" t="s">
        <v>46</v>
      </c>
      <c r="I133" s="40"/>
      <c r="J133" s="40"/>
      <c r="K133" s="41"/>
      <c r="L133" s="26"/>
      <c r="M133" s="26"/>
      <c r="N133" s="24"/>
      <c r="O133" s="41"/>
      <c r="P133" s="41"/>
      <c r="Q133" s="24"/>
      <c r="R133" s="24"/>
      <c r="S133" s="41"/>
      <c r="T133" s="26"/>
      <c r="U133" s="41"/>
      <c r="V133" s="41"/>
      <c r="W133" s="41"/>
      <c r="X133" s="58" t="s">
        <v>180</v>
      </c>
    </row>
    <row r="134" ht="14.25" customHeight="1">
      <c r="A134" s="24"/>
      <c r="B134" s="54" t="s">
        <v>183</v>
      </c>
      <c r="C134" s="16" t="s">
        <v>46</v>
      </c>
      <c r="D134" s="14">
        <v>500.0</v>
      </c>
      <c r="E134" s="17" t="str">
        <f>IFERROR(__xludf.DUMMYFUNCTION("REGEXREPLACE(GOOGLETRANSLATE(B134,""RU"",""EN""),"" "",""_"")"),"Matrix_size")</f>
        <v>Matrix_size</v>
      </c>
      <c r="F134" s="51" t="s">
        <v>48</v>
      </c>
      <c r="G134" s="16" t="s">
        <v>48</v>
      </c>
      <c r="H134" s="16" t="s">
        <v>46</v>
      </c>
      <c r="I134" s="40"/>
      <c r="J134" s="40"/>
      <c r="K134" s="41"/>
      <c r="L134" s="26"/>
      <c r="M134" s="26"/>
      <c r="N134" s="24"/>
      <c r="O134" s="41"/>
      <c r="P134" s="41"/>
      <c r="Q134" s="24"/>
      <c r="R134" s="24"/>
      <c r="S134" s="41"/>
      <c r="T134" s="26"/>
      <c r="U134" s="41"/>
      <c r="V134" s="41"/>
      <c r="W134" s="41"/>
      <c r="X134" s="58" t="s">
        <v>180</v>
      </c>
    </row>
    <row r="135" ht="14.25" customHeight="1">
      <c r="A135" s="24"/>
      <c r="B135" s="54" t="s">
        <v>184</v>
      </c>
      <c r="C135" s="16" t="s">
        <v>46</v>
      </c>
      <c r="D135" s="14">
        <v>500.0</v>
      </c>
      <c r="E135" s="17" t="str">
        <f>IFERROR(__xludf.DUMMYFUNCTION("REGEXREPLACE(GOOGLETRANSLATE(B135,""RU"",""EN""),"" "",""_"")"),"Touch_display")</f>
        <v>Touch_display</v>
      </c>
      <c r="F135" s="51" t="s">
        <v>71</v>
      </c>
      <c r="G135" s="16" t="s">
        <v>48</v>
      </c>
      <c r="H135" s="16" t="s">
        <v>46</v>
      </c>
      <c r="I135" s="40"/>
      <c r="J135" s="40"/>
      <c r="K135" s="41"/>
      <c r="L135" s="26"/>
      <c r="M135" s="26"/>
      <c r="N135" s="24"/>
      <c r="O135" s="41"/>
      <c r="P135" s="41"/>
      <c r="Q135" s="24"/>
      <c r="R135" s="24"/>
      <c r="S135" s="41"/>
      <c r="T135" s="26"/>
      <c r="U135" s="41"/>
      <c r="V135" s="41"/>
      <c r="W135" s="41"/>
      <c r="X135" s="58" t="s">
        <v>180</v>
      </c>
    </row>
    <row r="136" ht="14.25" customHeight="1">
      <c r="A136" s="24"/>
      <c r="B136" s="54" t="s">
        <v>185</v>
      </c>
      <c r="C136" s="16" t="s">
        <v>46</v>
      </c>
      <c r="D136" s="14">
        <v>500.0</v>
      </c>
      <c r="E136" s="17" t="str">
        <f>IFERROR(__xludf.DUMMYFUNCTION("REGEXREPLACE(GOOGLETRANSLATE(B136,""RU"",""EN""),"" "",""_"")"),"Zoom_function")</f>
        <v>Zoom_function</v>
      </c>
      <c r="F136" s="51" t="s">
        <v>71</v>
      </c>
      <c r="G136" s="16" t="s">
        <v>48</v>
      </c>
      <c r="H136" s="16" t="s">
        <v>46</v>
      </c>
      <c r="I136" s="40"/>
      <c r="J136" s="40"/>
      <c r="K136" s="41"/>
      <c r="L136" s="26"/>
      <c r="M136" s="26"/>
      <c r="N136" s="24"/>
      <c r="O136" s="41"/>
      <c r="P136" s="41"/>
      <c r="Q136" s="24"/>
      <c r="R136" s="24"/>
      <c r="S136" s="41"/>
      <c r="T136" s="26"/>
      <c r="U136" s="41"/>
      <c r="V136" s="41"/>
      <c r="W136" s="41"/>
      <c r="X136" s="58" t="s">
        <v>180</v>
      </c>
    </row>
    <row r="137" ht="14.25" customHeight="1">
      <c r="A137" s="24"/>
      <c r="B137" s="54" t="s">
        <v>186</v>
      </c>
      <c r="C137" s="16" t="s">
        <v>46</v>
      </c>
      <c r="D137" s="14">
        <v>500.0</v>
      </c>
      <c r="E137" s="17" t="str">
        <f>IFERROR(__xludf.DUMMYFUNCTION("REGEXREPLACE(GOOGLETRANSLATE(B137,""RU"",""EN""),"" "",""_"")"),"Research_Screen")</f>
        <v>Research_Screen</v>
      </c>
      <c r="F137" s="51" t="s">
        <v>47</v>
      </c>
      <c r="G137" s="16" t="s">
        <v>48</v>
      </c>
      <c r="H137" s="16" t="s">
        <v>46</v>
      </c>
      <c r="I137" s="40"/>
      <c r="J137" s="40"/>
      <c r="K137" s="41"/>
      <c r="L137" s="26"/>
      <c r="M137" s="26"/>
      <c r="N137" s="24"/>
      <c r="O137" s="41"/>
      <c r="P137" s="41"/>
      <c r="Q137" s="24"/>
      <c r="R137" s="24"/>
      <c r="S137" s="41"/>
      <c r="T137" s="26"/>
      <c r="U137" s="41"/>
      <c r="V137" s="41"/>
      <c r="W137" s="41"/>
      <c r="X137" s="58" t="s">
        <v>180</v>
      </c>
    </row>
    <row r="138" ht="14.25" customHeight="1">
      <c r="A138" s="24"/>
      <c r="B138" s="54" t="s">
        <v>187</v>
      </c>
      <c r="C138" s="16" t="s">
        <v>46</v>
      </c>
      <c r="D138" s="14">
        <v>500.0</v>
      </c>
      <c r="E138" s="17" t="str">
        <f>IFERROR(__xludf.DUMMYFUNCTION("REGEXREPLACE(GOOGLETRANSLATE(B138,""RU"",""EN""),"" "",""_"")"),"Compression_type")</f>
        <v>Compression_type</v>
      </c>
      <c r="F138" s="51" t="s">
        <v>47</v>
      </c>
      <c r="G138" s="16" t="s">
        <v>48</v>
      </c>
      <c r="H138" s="16" t="s">
        <v>46</v>
      </c>
      <c r="I138" s="40"/>
      <c r="J138" s="40"/>
      <c r="K138" s="41"/>
      <c r="L138" s="26"/>
      <c r="M138" s="26"/>
      <c r="N138" s="24"/>
      <c r="O138" s="41"/>
      <c r="P138" s="41"/>
      <c r="Q138" s="24"/>
      <c r="R138" s="24"/>
      <c r="S138" s="41"/>
      <c r="T138" s="26"/>
      <c r="U138" s="41"/>
      <c r="V138" s="41"/>
      <c r="W138" s="41"/>
      <c r="X138" s="58" t="s">
        <v>180</v>
      </c>
    </row>
    <row r="139" ht="14.25" customHeight="1">
      <c r="A139" s="24"/>
      <c r="B139" s="54" t="s">
        <v>188</v>
      </c>
      <c r="C139" s="16" t="s">
        <v>46</v>
      </c>
      <c r="D139" s="14">
        <v>500.0</v>
      </c>
      <c r="E139" s="17" t="str">
        <f>IFERROR(__xludf.DUMMYFUNCTION("REGEXREPLACE(GOOGLETRANSLATE(B139,""RU"",""EN""),"" "",""_"")"),"Memory")</f>
        <v>Memory</v>
      </c>
      <c r="F139" s="51" t="s">
        <v>48</v>
      </c>
      <c r="G139" s="16" t="s">
        <v>48</v>
      </c>
      <c r="H139" s="16" t="s">
        <v>46</v>
      </c>
      <c r="I139" s="40"/>
      <c r="J139" s="40"/>
      <c r="K139" s="41"/>
      <c r="L139" s="26"/>
      <c r="M139" s="26"/>
      <c r="N139" s="24"/>
      <c r="O139" s="41"/>
      <c r="P139" s="41"/>
      <c r="Q139" s="24"/>
      <c r="R139" s="24"/>
      <c r="S139" s="41"/>
      <c r="T139" s="26"/>
      <c r="U139" s="41"/>
      <c r="V139" s="41"/>
      <c r="W139" s="41"/>
      <c r="X139" s="58" t="s">
        <v>180</v>
      </c>
    </row>
    <row r="140" ht="14.25" customHeight="1">
      <c r="A140" s="24"/>
      <c r="B140" s="54" t="s">
        <v>189</v>
      </c>
      <c r="C140" s="16" t="s">
        <v>46</v>
      </c>
      <c r="D140" s="14">
        <v>500.0</v>
      </c>
      <c r="E140" s="17" t="str">
        <f>IFERROR(__xludf.DUMMYFUNCTION("REGEXREPLACE(GOOGLETRANSLATE(B140,""RU"",""EN""),"" "",""_"")"),"Hard_drive")</f>
        <v>Hard_drive</v>
      </c>
      <c r="F140" s="51" t="s">
        <v>48</v>
      </c>
      <c r="G140" s="16" t="s">
        <v>48</v>
      </c>
      <c r="H140" s="16" t="s">
        <v>46</v>
      </c>
      <c r="I140" s="40"/>
      <c r="J140" s="40"/>
      <c r="K140" s="41"/>
      <c r="L140" s="26"/>
      <c r="M140" s="26"/>
      <c r="N140" s="24"/>
      <c r="O140" s="41"/>
      <c r="P140" s="41"/>
      <c r="Q140" s="24"/>
      <c r="R140" s="24"/>
      <c r="S140" s="41"/>
      <c r="T140" s="26"/>
      <c r="U140" s="41"/>
      <c r="V140" s="41"/>
      <c r="W140" s="41"/>
      <c r="X140" s="58" t="s">
        <v>180</v>
      </c>
    </row>
    <row r="141" ht="14.25" customHeight="1">
      <c r="A141" s="24"/>
      <c r="B141" s="54" t="s">
        <v>190</v>
      </c>
      <c r="C141" s="16" t="s">
        <v>46</v>
      </c>
      <c r="D141" s="14">
        <v>500.0</v>
      </c>
      <c r="E141" s="17" t="str">
        <f>IFERROR(__xludf.DUMMYFUNCTION("REGEXREPLACE(GOOGLETRANSLATE(B141,""RU"",""EN""),"" "",""_"")"),"Speed_​​and_efficiency")</f>
        <v>Speed_​​and_efficiency</v>
      </c>
      <c r="F141" s="51" t="s">
        <v>48</v>
      </c>
      <c r="G141" s="16" t="s">
        <v>48</v>
      </c>
      <c r="H141" s="16" t="s">
        <v>46</v>
      </c>
      <c r="I141" s="40"/>
      <c r="J141" s="40"/>
      <c r="K141" s="41"/>
      <c r="L141" s="26"/>
      <c r="M141" s="26"/>
      <c r="N141" s="24"/>
      <c r="O141" s="41"/>
      <c r="P141" s="41"/>
      <c r="Q141" s="24"/>
      <c r="R141" s="24"/>
      <c r="S141" s="41"/>
      <c r="T141" s="26"/>
      <c r="U141" s="41"/>
      <c r="V141" s="41"/>
      <c r="W141" s="41"/>
      <c r="X141" s="58" t="s">
        <v>180</v>
      </c>
    </row>
    <row r="142" ht="14.25" customHeight="1">
      <c r="A142" s="24"/>
      <c r="B142" s="54" t="s">
        <v>191</v>
      </c>
      <c r="C142" s="16" t="s">
        <v>46</v>
      </c>
      <c r="D142" s="14">
        <v>500.0</v>
      </c>
      <c r="E142" s="17" t="str">
        <f>IFERROR(__xludf.DUMMYFUNCTION("REGEXREPLACE(GOOGLETRANSLATE(B142,""RU"",""EN""),"" "",""_"")"),"Contrast_and_density_settings")</f>
        <v>Contrast_and_density_settings</v>
      </c>
      <c r="F142" s="51" t="s">
        <v>47</v>
      </c>
      <c r="G142" s="16" t="s">
        <v>48</v>
      </c>
      <c r="H142" s="16" t="s">
        <v>46</v>
      </c>
      <c r="I142" s="40"/>
      <c r="J142" s="40"/>
      <c r="K142" s="41"/>
      <c r="L142" s="26"/>
      <c r="M142" s="26"/>
      <c r="N142" s="24"/>
      <c r="O142" s="41"/>
      <c r="P142" s="41"/>
      <c r="Q142" s="24"/>
      <c r="R142" s="24"/>
      <c r="S142" s="41"/>
      <c r="T142" s="26"/>
      <c r="U142" s="41"/>
      <c r="V142" s="41"/>
      <c r="W142" s="41"/>
      <c r="X142" s="58" t="s">
        <v>180</v>
      </c>
    </row>
    <row r="143" ht="14.25" customHeight="1">
      <c r="A143" s="24"/>
      <c r="B143" s="54" t="s">
        <v>192</v>
      </c>
      <c r="C143" s="16" t="s">
        <v>46</v>
      </c>
      <c r="D143" s="14">
        <v>500.0</v>
      </c>
      <c r="E143" s="17" t="str">
        <f>IFERROR(__xludf.DUMMYFUNCTION("REGEXREPLACE(GOOGLETRANSLATE(B143,""RU"",""EN""),"" "",""_"")"),"Accessories")</f>
        <v>Accessories</v>
      </c>
      <c r="F143" s="51" t="s">
        <v>47</v>
      </c>
      <c r="G143" s="16" t="s">
        <v>48</v>
      </c>
      <c r="H143" s="16" t="s">
        <v>46</v>
      </c>
      <c r="I143" s="40"/>
      <c r="J143" s="40"/>
      <c r="K143" s="41"/>
      <c r="L143" s="26"/>
      <c r="M143" s="26"/>
      <c r="N143" s="24"/>
      <c r="O143" s="41"/>
      <c r="P143" s="41"/>
      <c r="Q143" s="24"/>
      <c r="R143" s="24"/>
      <c r="S143" s="41"/>
      <c r="T143" s="26"/>
      <c r="U143" s="41"/>
      <c r="V143" s="41"/>
      <c r="W143" s="41"/>
      <c r="X143" s="58" t="s">
        <v>180</v>
      </c>
    </row>
    <row r="144" ht="14.25" customHeight="1">
      <c r="A144" s="24"/>
      <c r="B144" s="54" t="s">
        <v>193</v>
      </c>
      <c r="C144" s="16" t="s">
        <v>46</v>
      </c>
      <c r="D144" s="14">
        <v>500.0</v>
      </c>
      <c r="E144" s="17" t="str">
        <f>IFERROR(__xludf.DUMMYFUNCTION("REGEXREPLACE(GOOGLETRANSLATE(B144,""RU"",""EN""),"" "",""_"")"),"Built-in_drive")</f>
        <v>Built-in_drive</v>
      </c>
      <c r="F144" s="51" t="s">
        <v>71</v>
      </c>
      <c r="G144" s="16" t="s">
        <v>48</v>
      </c>
      <c r="H144" s="16" t="s">
        <v>46</v>
      </c>
      <c r="I144" s="40"/>
      <c r="J144" s="40"/>
      <c r="K144" s="41"/>
      <c r="L144" s="26"/>
      <c r="M144" s="26"/>
      <c r="N144" s="24"/>
      <c r="O144" s="41"/>
      <c r="P144" s="41"/>
      <c r="Q144" s="24"/>
      <c r="R144" s="24"/>
      <c r="S144" s="41"/>
      <c r="T144" s="26"/>
      <c r="U144" s="41"/>
      <c r="V144" s="41"/>
      <c r="W144" s="41"/>
      <c r="X144" s="58" t="s">
        <v>180</v>
      </c>
    </row>
    <row r="145" ht="14.25" customHeight="1">
      <c r="A145" s="24"/>
      <c r="B145" s="54" t="s">
        <v>194</v>
      </c>
      <c r="C145" s="16" t="s">
        <v>46</v>
      </c>
      <c r="D145" s="14">
        <v>500.0</v>
      </c>
      <c r="E145" s="17" t="str">
        <f>IFERROR(__xludf.DUMMYFUNCTION("REGEXREPLACE(GOOGLETRANSLATE(B145,""RU"",""EN""),"" "",""_"")"),"Rotation_angle")</f>
        <v>Rotation_angle</v>
      </c>
      <c r="F145" s="51" t="s">
        <v>48</v>
      </c>
      <c r="G145" s="16" t="s">
        <v>48</v>
      </c>
      <c r="H145" s="16" t="s">
        <v>46</v>
      </c>
      <c r="I145" s="40"/>
      <c r="J145" s="40"/>
      <c r="K145" s="41"/>
      <c r="L145" s="26"/>
      <c r="M145" s="26"/>
      <c r="N145" s="24"/>
      <c r="O145" s="41"/>
      <c r="P145" s="41"/>
      <c r="Q145" s="24"/>
      <c r="R145" s="24"/>
      <c r="S145" s="41"/>
      <c r="T145" s="26"/>
      <c r="U145" s="41"/>
      <c r="V145" s="41"/>
      <c r="W145" s="41"/>
      <c r="X145" s="58" t="s">
        <v>180</v>
      </c>
    </row>
    <row r="146" ht="14.25" customHeight="1">
      <c r="A146" s="24"/>
      <c r="B146" s="54" t="s">
        <v>195</v>
      </c>
      <c r="C146" s="16" t="s">
        <v>46</v>
      </c>
      <c r="D146" s="14">
        <v>500.0</v>
      </c>
      <c r="E146" s="17" t="str">
        <f>IFERROR(__xludf.DUMMYFUNCTION("REGEXREPLACE(GOOGLETRANSLATE(B146,""RU"",""EN""),"" "",""_"")"),"Power_Requirements")</f>
        <v>Power_Requirements</v>
      </c>
      <c r="F146" s="51" t="s">
        <v>48</v>
      </c>
      <c r="G146" s="16" t="s">
        <v>48</v>
      </c>
      <c r="H146" s="16" t="s">
        <v>46</v>
      </c>
      <c r="I146" s="40"/>
      <c r="J146" s="40"/>
      <c r="K146" s="41"/>
      <c r="L146" s="26"/>
      <c r="M146" s="26"/>
      <c r="N146" s="24"/>
      <c r="O146" s="41"/>
      <c r="P146" s="41"/>
      <c r="Q146" s="24"/>
      <c r="R146" s="24"/>
      <c r="S146" s="41"/>
      <c r="T146" s="26"/>
      <c r="U146" s="41"/>
      <c r="V146" s="41"/>
      <c r="W146" s="41"/>
      <c r="X146" s="58" t="s">
        <v>180</v>
      </c>
    </row>
    <row r="147" ht="14.25" customHeight="1">
      <c r="A147" s="24"/>
      <c r="B147" s="54" t="s">
        <v>196</v>
      </c>
      <c r="C147" s="16" t="s">
        <v>46</v>
      </c>
      <c r="D147" s="14">
        <v>500.0</v>
      </c>
      <c r="E147" s="17" t="str">
        <f>IFERROR(__xludf.DUMMYFUNCTION("REGEXREPLACE(GOOGLETRANSLATE(B147,""RU"",""EN""),"" "",""_"")"),"Tomosynthesis")</f>
        <v>Tomosynthesis</v>
      </c>
      <c r="F147" s="51" t="s">
        <v>71</v>
      </c>
      <c r="G147" s="16" t="s">
        <v>48</v>
      </c>
      <c r="H147" s="16" t="s">
        <v>46</v>
      </c>
      <c r="I147" s="40"/>
      <c r="J147" s="40"/>
      <c r="K147" s="41"/>
      <c r="L147" s="26"/>
      <c r="M147" s="26"/>
      <c r="N147" s="24"/>
      <c r="O147" s="41"/>
      <c r="P147" s="41"/>
      <c r="Q147" s="24"/>
      <c r="R147" s="24"/>
      <c r="S147" s="41"/>
      <c r="T147" s="26"/>
      <c r="U147" s="41"/>
      <c r="V147" s="41"/>
      <c r="W147" s="41"/>
      <c r="X147" s="58" t="s">
        <v>180</v>
      </c>
    </row>
    <row r="148" ht="14.25" customHeight="1">
      <c r="A148" s="24"/>
      <c r="B148" s="54" t="s">
        <v>197</v>
      </c>
      <c r="C148" s="16" t="s">
        <v>46</v>
      </c>
      <c r="D148" s="14">
        <v>500.0</v>
      </c>
      <c r="E148" s="17" t="str">
        <f>IFERROR(__xludf.DUMMYFUNCTION("REGEXREPLACE(GOOGLETRANSLATE(B148,""RU"",""EN""),"" "",""_"")"),"Possibility_of_biopsy")</f>
        <v>Possibility_of_biopsy</v>
      </c>
      <c r="F148" s="51" t="s">
        <v>71</v>
      </c>
      <c r="G148" s="16" t="s">
        <v>48</v>
      </c>
      <c r="H148" s="16" t="s">
        <v>46</v>
      </c>
      <c r="I148" s="40"/>
      <c r="J148" s="40"/>
      <c r="K148" s="41"/>
      <c r="L148" s="26"/>
      <c r="M148" s="26"/>
      <c r="N148" s="24"/>
      <c r="O148" s="41"/>
      <c r="P148" s="41"/>
      <c r="Q148" s="24"/>
      <c r="R148" s="24"/>
      <c r="S148" s="41"/>
      <c r="T148" s="26"/>
      <c r="U148" s="41"/>
      <c r="V148" s="41"/>
      <c r="W148" s="41"/>
      <c r="X148" s="58" t="s">
        <v>180</v>
      </c>
    </row>
    <row r="149" ht="14.25" customHeight="1">
      <c r="A149" s="24"/>
      <c r="B149" s="54" t="s">
        <v>198</v>
      </c>
      <c r="C149" s="16" t="s">
        <v>46</v>
      </c>
      <c r="D149" s="14">
        <v>500.0</v>
      </c>
      <c r="E149" s="17" t="str">
        <f>IFERROR(__xludf.DUMMYFUNCTION("REGEXREPLACE(GOOGLETRANSLATE(B149,""RU"",""EN""),"" "",""_"")"),"3D_patient_positioning")</f>
        <v>3D_patient_positioning</v>
      </c>
      <c r="F149" s="51" t="s">
        <v>71</v>
      </c>
      <c r="G149" s="16" t="s">
        <v>48</v>
      </c>
      <c r="H149" s="16" t="s">
        <v>46</v>
      </c>
      <c r="I149" s="40"/>
      <c r="J149" s="40"/>
      <c r="K149" s="41"/>
      <c r="L149" s="26"/>
      <c r="M149" s="26"/>
      <c r="N149" s="24"/>
      <c r="O149" s="41"/>
      <c r="P149" s="41"/>
      <c r="Q149" s="24"/>
      <c r="R149" s="24"/>
      <c r="S149" s="41"/>
      <c r="T149" s="26"/>
      <c r="U149" s="41"/>
      <c r="V149" s="41"/>
      <c r="W149" s="41"/>
      <c r="X149" s="58" t="s">
        <v>180</v>
      </c>
    </row>
    <row r="150" ht="14.25" customHeight="1">
      <c r="A150" s="24"/>
      <c r="B150" s="54" t="s">
        <v>199</v>
      </c>
      <c r="C150" s="16" t="s">
        <v>46</v>
      </c>
      <c r="D150" s="14">
        <v>500.0</v>
      </c>
      <c r="E150" s="17" t="str">
        <f>IFERROR(__xludf.DUMMYFUNCTION("REGEXREPLACE(GOOGLETRANSLATE(B150,""RU"",""EN""),"" "",""_"")"),"Horizontal_biopsy_table")</f>
        <v>Horizontal_biopsy_table</v>
      </c>
      <c r="F150" s="51" t="s">
        <v>71</v>
      </c>
      <c r="G150" s="16" t="s">
        <v>48</v>
      </c>
      <c r="H150" s="16" t="s">
        <v>46</v>
      </c>
      <c r="I150" s="40"/>
      <c r="J150" s="40"/>
      <c r="K150" s="41"/>
      <c r="L150" s="26"/>
      <c r="M150" s="26"/>
      <c r="N150" s="24"/>
      <c r="O150" s="41"/>
      <c r="P150" s="41"/>
      <c r="Q150" s="24"/>
      <c r="R150" s="24"/>
      <c r="S150" s="41"/>
      <c r="T150" s="26"/>
      <c r="U150" s="41"/>
      <c r="V150" s="41"/>
      <c r="W150" s="41"/>
      <c r="X150" s="58" t="s">
        <v>180</v>
      </c>
    </row>
    <row r="151" ht="14.25" customHeight="1">
      <c r="A151" s="24"/>
      <c r="B151" s="54" t="s">
        <v>196</v>
      </c>
      <c r="C151" s="16" t="s">
        <v>46</v>
      </c>
      <c r="D151" s="14">
        <v>500.0</v>
      </c>
      <c r="E151" s="17" t="str">
        <f>IFERROR(__xludf.DUMMYFUNCTION("REGEXREPLACE(GOOGLETRANSLATE(B151,""RU"",""EN""),"" "",""_"")"),"Tomosynthesis")</f>
        <v>Tomosynthesis</v>
      </c>
      <c r="F151" s="51" t="s">
        <v>71</v>
      </c>
      <c r="G151" s="16" t="s">
        <v>48</v>
      </c>
      <c r="H151" s="16" t="s">
        <v>46</v>
      </c>
      <c r="I151" s="40"/>
      <c r="J151" s="40"/>
      <c r="K151" s="41"/>
      <c r="L151" s="26"/>
      <c r="M151" s="26"/>
      <c r="N151" s="24"/>
      <c r="O151" s="41"/>
      <c r="P151" s="41"/>
      <c r="Q151" s="24"/>
      <c r="R151" s="24"/>
      <c r="S151" s="41"/>
      <c r="T151" s="26"/>
      <c r="U151" s="41"/>
      <c r="V151" s="41"/>
      <c r="W151" s="41"/>
      <c r="X151" s="58" t="s">
        <v>180</v>
      </c>
    </row>
    <row r="152" ht="14.25" customHeight="1">
      <c r="A152" s="24"/>
      <c r="B152" s="54" t="s">
        <v>200</v>
      </c>
      <c r="C152" s="16" t="s">
        <v>46</v>
      </c>
      <c r="D152" s="14">
        <v>500.0</v>
      </c>
      <c r="E152" s="17" t="str">
        <f>IFERROR(__xludf.DUMMYFUNCTION("REGEXREPLACE(GOOGLETRANSLATE(B152,""RU"",""EN""),"" "",""_"")"),"Scanning_area_mm")</f>
        <v>Scanning_area_mm</v>
      </c>
      <c r="F152" s="51" t="s">
        <v>48</v>
      </c>
      <c r="G152" s="16" t="s">
        <v>48</v>
      </c>
      <c r="H152" s="16" t="s">
        <v>46</v>
      </c>
      <c r="I152" s="40"/>
      <c r="J152" s="40"/>
      <c r="K152" s="41"/>
      <c r="L152" s="26"/>
      <c r="M152" s="26"/>
      <c r="N152" s="24"/>
      <c r="O152" s="41"/>
      <c r="P152" s="41"/>
      <c r="Q152" s="24"/>
      <c r="R152" s="24"/>
      <c r="S152" s="41"/>
      <c r="T152" s="26"/>
      <c r="U152" s="41"/>
      <c r="V152" s="41"/>
      <c r="W152" s="41"/>
      <c r="X152" s="58" t="s">
        <v>180</v>
      </c>
    </row>
    <row r="153" ht="14.25" customHeight="1">
      <c r="A153" s="24"/>
      <c r="B153" s="54" t="s">
        <v>201</v>
      </c>
      <c r="C153" s="16" t="s">
        <v>46</v>
      </c>
      <c r="D153" s="14">
        <v>500.0</v>
      </c>
      <c r="E153" s="17" t="str">
        <f>IFERROR(__xludf.DUMMYFUNCTION("REGEXREPLACE(GOOGLETRANSLATE(B153,""RU"",""EN""),"" "",""_"")"),"Exposure_Control_Options")</f>
        <v>Exposure_Control_Options</v>
      </c>
      <c r="F153" s="51" t="s">
        <v>47</v>
      </c>
      <c r="G153" s="16" t="s">
        <v>48</v>
      </c>
      <c r="H153" s="16" t="s">
        <v>46</v>
      </c>
      <c r="I153" s="40"/>
      <c r="J153" s="40"/>
      <c r="K153" s="41"/>
      <c r="L153" s="26"/>
      <c r="M153" s="26"/>
      <c r="N153" s="24"/>
      <c r="O153" s="41"/>
      <c r="P153" s="41"/>
      <c r="Q153" s="24"/>
      <c r="R153" s="24"/>
      <c r="S153" s="41"/>
      <c r="T153" s="26"/>
      <c r="U153" s="41"/>
      <c r="V153" s="41"/>
      <c r="W153" s="41"/>
      <c r="X153" s="58" t="s">
        <v>180</v>
      </c>
    </row>
    <row r="154" ht="14.25" customHeight="1">
      <c r="A154" s="24"/>
      <c r="B154" s="54" t="s">
        <v>202</v>
      </c>
      <c r="C154" s="16" t="s">
        <v>46</v>
      </c>
      <c r="D154" s="14">
        <v>500.0</v>
      </c>
      <c r="E154" s="17" t="str">
        <f>IFERROR(__xludf.DUMMYFUNCTION("REGEXREPLACE(GOOGLETRANSLATE(B154,""RU"",""EN""),"" "",""_"")"),"Tilt_tripod")</f>
        <v>Tilt_tripod</v>
      </c>
      <c r="F154" s="51" t="s">
        <v>71</v>
      </c>
      <c r="G154" s="16" t="s">
        <v>48</v>
      </c>
      <c r="H154" s="16" t="s">
        <v>46</v>
      </c>
      <c r="I154" s="40"/>
      <c r="J154" s="40"/>
      <c r="K154" s="41"/>
      <c r="L154" s="26"/>
      <c r="M154" s="26"/>
      <c r="N154" s="24"/>
      <c r="O154" s="41"/>
      <c r="P154" s="41"/>
      <c r="Q154" s="24"/>
      <c r="R154" s="24"/>
      <c r="S154" s="41"/>
      <c r="T154" s="26"/>
      <c r="U154" s="41"/>
      <c r="V154" s="41"/>
      <c r="W154" s="41"/>
      <c r="X154" s="58" t="s">
        <v>180</v>
      </c>
    </row>
    <row r="155" ht="14.25" customHeight="1">
      <c r="A155" s="24"/>
      <c r="B155" s="54" t="s">
        <v>203</v>
      </c>
      <c r="C155" s="16" t="s">
        <v>46</v>
      </c>
      <c r="D155" s="14">
        <v>500.0</v>
      </c>
      <c r="E155" s="17" t="str">
        <f>IFERROR(__xludf.DUMMYFUNCTION("REGEXREPLACE(GOOGLETRANSLATE(B155,""RU"",""EN""),"" "",""_"")"),"X-ray_energy")</f>
        <v>X-ray_energy</v>
      </c>
      <c r="F155" s="51" t="s">
        <v>48</v>
      </c>
      <c r="G155" s="16" t="s">
        <v>48</v>
      </c>
      <c r="H155" s="16" t="s">
        <v>46</v>
      </c>
      <c r="I155" s="40"/>
      <c r="J155" s="40"/>
      <c r="K155" s="41"/>
      <c r="L155" s="26"/>
      <c r="M155" s="26"/>
      <c r="N155" s="24"/>
      <c r="O155" s="41"/>
      <c r="P155" s="41"/>
      <c r="Q155" s="24"/>
      <c r="R155" s="24"/>
      <c r="S155" s="41"/>
      <c r="T155" s="26"/>
      <c r="U155" s="41"/>
      <c r="V155" s="41"/>
      <c r="W155" s="41"/>
      <c r="X155" s="58" t="s">
        <v>180</v>
      </c>
    </row>
    <row r="156" ht="14.25" customHeight="1">
      <c r="A156" s="24"/>
      <c r="B156" s="54" t="s">
        <v>204</v>
      </c>
      <c r="C156" s="16" t="s">
        <v>46</v>
      </c>
      <c r="D156" s="14">
        <v>500.0</v>
      </c>
      <c r="E156" s="17" t="str">
        <f>IFERROR(__xludf.DUMMYFUNCTION("REGEXREPLACE(GOOGLETRANSLATE(B156,""RU"",""EN""),"" "",""_"")"),"Thickness_of_compressed_fabric_mm")</f>
        <v>Thickness_of_compressed_fabric_mm</v>
      </c>
      <c r="F156" s="51" t="s">
        <v>48</v>
      </c>
      <c r="G156" s="16" t="s">
        <v>48</v>
      </c>
      <c r="H156" s="16" t="s">
        <v>46</v>
      </c>
      <c r="I156" s="40"/>
      <c r="J156" s="40"/>
      <c r="K156" s="41"/>
      <c r="L156" s="26"/>
      <c r="M156" s="26"/>
      <c r="N156" s="24"/>
      <c r="O156" s="41"/>
      <c r="P156" s="41"/>
      <c r="Q156" s="24"/>
      <c r="R156" s="24"/>
      <c r="S156" s="41"/>
      <c r="T156" s="26"/>
      <c r="U156" s="41"/>
      <c r="V156" s="41"/>
      <c r="W156" s="41"/>
      <c r="X156" s="58" t="s">
        <v>180</v>
      </c>
    </row>
    <row r="157" ht="14.25" customHeight="1">
      <c r="A157" s="24"/>
      <c r="B157" s="54" t="s">
        <v>205</v>
      </c>
      <c r="C157" s="16" t="s">
        <v>46</v>
      </c>
      <c r="D157" s="14">
        <v>500.0</v>
      </c>
      <c r="E157" s="17" t="str">
        <f>IFERROR(__xludf.DUMMYFUNCTION("REGEXREPLACE(GOOGLETRANSLATE(B157,""RU"",""EN""),"" "",""_"")"),"Radiation_dose_mSv")</f>
        <v>Radiation_dose_mSv</v>
      </c>
      <c r="F157" s="51" t="s">
        <v>48</v>
      </c>
      <c r="G157" s="16" t="s">
        <v>48</v>
      </c>
      <c r="H157" s="16" t="s">
        <v>46</v>
      </c>
      <c r="I157" s="40"/>
      <c r="J157" s="40"/>
      <c r="K157" s="41"/>
      <c r="L157" s="26"/>
      <c r="M157" s="26"/>
      <c r="N157" s="24"/>
      <c r="O157" s="41"/>
      <c r="P157" s="41"/>
      <c r="Q157" s="24"/>
      <c r="R157" s="24"/>
      <c r="S157" s="41"/>
      <c r="T157" s="26"/>
      <c r="U157" s="41"/>
      <c r="V157" s="41"/>
      <c r="W157" s="41"/>
      <c r="X157" s="58" t="s">
        <v>180</v>
      </c>
    </row>
    <row r="158" ht="14.25" customHeight="1">
      <c r="A158" s="24"/>
      <c r="B158" s="54" t="s">
        <v>82</v>
      </c>
      <c r="C158" s="16" t="s">
        <v>46</v>
      </c>
      <c r="D158" s="14">
        <v>500.0</v>
      </c>
      <c r="E158" s="17" t="str">
        <f>IFERROR(__xludf.DUMMYFUNCTION("REGEXREPLACE(GOOGLETRANSLATE(B158,""RU"",""EN""),"" "",""_"")"),"Equipment")</f>
        <v>Equipment</v>
      </c>
      <c r="F158" s="51" t="s">
        <v>47</v>
      </c>
      <c r="G158" s="16" t="s">
        <v>48</v>
      </c>
      <c r="H158" s="16" t="s">
        <v>46</v>
      </c>
      <c r="I158" s="40"/>
      <c r="J158" s="40"/>
      <c r="K158" s="41"/>
      <c r="L158" s="26"/>
      <c r="M158" s="26"/>
      <c r="N158" s="24"/>
      <c r="O158" s="41"/>
      <c r="P158" s="41"/>
      <c r="Q158" s="24"/>
      <c r="R158" s="24"/>
      <c r="S158" s="41"/>
      <c r="T158" s="26"/>
      <c r="U158" s="41"/>
      <c r="V158" s="41"/>
      <c r="W158" s="41"/>
      <c r="X158" s="58" t="s">
        <v>180</v>
      </c>
    </row>
    <row r="159" ht="14.25" customHeight="1">
      <c r="A159" s="24"/>
      <c r="B159" s="54" t="s">
        <v>98</v>
      </c>
      <c r="C159" s="16" t="s">
        <v>46</v>
      </c>
      <c r="D159" s="14">
        <v>500.0</v>
      </c>
      <c r="E159" s="17" t="str">
        <f>IFERROR(__xludf.DUMMYFUNCTION("REGEXREPLACE(GOOGLETRANSLATE(B159,""RU"",""EN""),"" "",""_"")"),"Housing_material")</f>
        <v>Housing_material</v>
      </c>
      <c r="F159" s="51" t="s">
        <v>47</v>
      </c>
      <c r="G159" s="16" t="s">
        <v>48</v>
      </c>
      <c r="H159" s="16" t="s">
        <v>46</v>
      </c>
      <c r="I159" s="40"/>
      <c r="J159" s="40"/>
      <c r="K159" s="41"/>
      <c r="L159" s="26"/>
      <c r="M159" s="26"/>
      <c r="N159" s="24"/>
      <c r="O159" s="41"/>
      <c r="P159" s="41"/>
      <c r="Q159" s="24"/>
      <c r="R159" s="24"/>
      <c r="S159" s="41"/>
      <c r="T159" s="26"/>
      <c r="U159" s="41"/>
      <c r="V159" s="41"/>
      <c r="W159" s="41"/>
      <c r="X159" s="58" t="s">
        <v>180</v>
      </c>
    </row>
    <row r="160" ht="14.25" customHeight="1">
      <c r="A160" s="24"/>
      <c r="B160" s="54" t="s">
        <v>206</v>
      </c>
      <c r="C160" s="16" t="s">
        <v>46</v>
      </c>
      <c r="D160" s="14">
        <v>500.0</v>
      </c>
      <c r="E160" s="17" t="str">
        <f>IFERROR(__xludf.DUMMYFUNCTION("REGEXREPLACE(GOOGLETRANSLATE(B160,""RU"",""EN""),"" "",""_"")"),"Certification_and_Standards")</f>
        <v>Certification_and_Standards</v>
      </c>
      <c r="F160" s="51" t="s">
        <v>47</v>
      </c>
      <c r="G160" s="16" t="s">
        <v>48</v>
      </c>
      <c r="H160" s="16" t="s">
        <v>46</v>
      </c>
      <c r="I160" s="40"/>
      <c r="J160" s="40"/>
      <c r="K160" s="41"/>
      <c r="L160" s="26"/>
      <c r="M160" s="26"/>
      <c r="N160" s="24"/>
      <c r="O160" s="41"/>
      <c r="P160" s="41"/>
      <c r="Q160" s="24"/>
      <c r="R160" s="24"/>
      <c r="S160" s="41"/>
      <c r="T160" s="26"/>
      <c r="U160" s="41"/>
      <c r="V160" s="41"/>
      <c r="W160" s="41"/>
      <c r="X160" s="48" t="s">
        <v>207</v>
      </c>
    </row>
    <row r="161" ht="14.25" customHeight="1">
      <c r="A161" s="24"/>
      <c r="B161" s="54" t="s">
        <v>208</v>
      </c>
      <c r="C161" s="16" t="s">
        <v>46</v>
      </c>
      <c r="D161" s="14">
        <v>500.0</v>
      </c>
      <c r="E161" s="17" t="str">
        <f>IFERROR(__xludf.DUMMYFUNCTION("REGEXREPLACE(GOOGLETRANSLATE(B161,""RU"",""EN""),"" "",""_"")"),"Device_class")</f>
        <v>Device_class</v>
      </c>
      <c r="F161" s="51" t="s">
        <v>47</v>
      </c>
      <c r="G161" s="16" t="s">
        <v>48</v>
      </c>
      <c r="H161" s="16" t="s">
        <v>46</v>
      </c>
      <c r="I161" s="40"/>
      <c r="J161" s="40"/>
      <c r="K161" s="41"/>
      <c r="L161" s="26"/>
      <c r="M161" s="26"/>
      <c r="N161" s="24"/>
      <c r="O161" s="41"/>
      <c r="P161" s="41"/>
      <c r="Q161" s="24"/>
      <c r="R161" s="24"/>
      <c r="S161" s="41"/>
      <c r="T161" s="26"/>
      <c r="U161" s="41"/>
      <c r="V161" s="41"/>
      <c r="W161" s="41"/>
      <c r="X161" s="48" t="s">
        <v>207</v>
      </c>
    </row>
    <row r="162" ht="14.25" customHeight="1">
      <c r="A162" s="24"/>
      <c r="B162" s="54" t="s">
        <v>209</v>
      </c>
      <c r="C162" s="16" t="s">
        <v>46</v>
      </c>
      <c r="D162" s="14">
        <v>500.0</v>
      </c>
      <c r="E162" s="17" t="str">
        <f>IFERROR(__xludf.DUMMYFUNCTION("REGEXREPLACE(GOOGLETRANSLATE(B162,""RU"",""EN""),"" "",""_"")"),"Screen")</f>
        <v>Screen</v>
      </c>
      <c r="F162" s="51" t="s">
        <v>71</v>
      </c>
      <c r="G162" s="16" t="s">
        <v>48</v>
      </c>
      <c r="H162" s="16" t="s">
        <v>46</v>
      </c>
      <c r="I162" s="40"/>
      <c r="J162" s="40"/>
      <c r="K162" s="41"/>
      <c r="L162" s="26"/>
      <c r="M162" s="26"/>
      <c r="N162" s="24"/>
      <c r="O162" s="41"/>
      <c r="P162" s="41"/>
      <c r="Q162" s="24"/>
      <c r="R162" s="24"/>
      <c r="S162" s="41"/>
      <c r="T162" s="26"/>
      <c r="U162" s="41"/>
      <c r="V162" s="41"/>
      <c r="W162" s="41"/>
      <c r="X162" s="48" t="s">
        <v>207</v>
      </c>
    </row>
    <row r="163" ht="14.25" customHeight="1">
      <c r="A163" s="24"/>
      <c r="B163" s="54" t="s">
        <v>210</v>
      </c>
      <c r="C163" s="16" t="s">
        <v>46</v>
      </c>
      <c r="D163" s="14">
        <v>500.0</v>
      </c>
      <c r="E163" s="17" t="str">
        <f>IFERROR(__xludf.DUMMYFUNCTION("REGEXREPLACE(GOOGLETRANSLATE(B163,""RU"",""EN""),"" "",""_"")"),"Screen_size")</f>
        <v>Screen_size</v>
      </c>
      <c r="F163" s="51" t="s">
        <v>48</v>
      </c>
      <c r="G163" s="16" t="s">
        <v>48</v>
      </c>
      <c r="H163" s="16" t="s">
        <v>46</v>
      </c>
      <c r="I163" s="40"/>
      <c r="J163" s="40"/>
      <c r="K163" s="41"/>
      <c r="L163" s="26"/>
      <c r="M163" s="26"/>
      <c r="N163" s="24"/>
      <c r="O163" s="41"/>
      <c r="P163" s="41"/>
      <c r="Q163" s="24"/>
      <c r="R163" s="24"/>
      <c r="S163" s="41"/>
      <c r="T163" s="26"/>
      <c r="U163" s="41"/>
      <c r="V163" s="41"/>
      <c r="W163" s="41"/>
      <c r="X163" s="48" t="s">
        <v>207</v>
      </c>
    </row>
    <row r="164" ht="14.25" customHeight="1">
      <c r="A164" s="24"/>
      <c r="B164" s="54" t="s">
        <v>211</v>
      </c>
      <c r="C164" s="16" t="s">
        <v>46</v>
      </c>
      <c r="D164" s="14">
        <v>500.0</v>
      </c>
      <c r="E164" s="17" t="str">
        <f>IFERROR(__xludf.DUMMYFUNCTION("REGEXREPLACE(GOOGLETRANSLATE(B164,""RU"",""EN""),"" "",""_"")"),"Screen_type")</f>
        <v>Screen_type</v>
      </c>
      <c r="F164" s="51" t="s">
        <v>47</v>
      </c>
      <c r="G164" s="16" t="s">
        <v>48</v>
      </c>
      <c r="H164" s="16" t="s">
        <v>46</v>
      </c>
      <c r="I164" s="40"/>
      <c r="J164" s="40"/>
      <c r="K164" s="41"/>
      <c r="L164" s="26"/>
      <c r="M164" s="26"/>
      <c r="N164" s="24"/>
      <c r="O164" s="41"/>
      <c r="P164" s="41"/>
      <c r="Q164" s="24"/>
      <c r="R164" s="24"/>
      <c r="S164" s="41"/>
      <c r="T164" s="26"/>
      <c r="U164" s="41"/>
      <c r="V164" s="41"/>
      <c r="W164" s="41"/>
      <c r="X164" s="48" t="s">
        <v>207</v>
      </c>
    </row>
    <row r="165" ht="14.25" customHeight="1">
      <c r="A165" s="24"/>
      <c r="B165" s="54" t="s">
        <v>212</v>
      </c>
      <c r="C165" s="16" t="s">
        <v>46</v>
      </c>
      <c r="D165" s="14">
        <v>500.0</v>
      </c>
      <c r="E165" s="17" t="str">
        <f>IFERROR(__xludf.DUMMYFUNCTION("REGEXREPLACE(GOOGLETRANSLATE(B165,""RU"",""EN""),"" "",""_"")"),"Control_")</f>
        <v>Control_</v>
      </c>
      <c r="F165" s="51" t="s">
        <v>47</v>
      </c>
      <c r="G165" s="16" t="s">
        <v>48</v>
      </c>
      <c r="H165" s="16" t="s">
        <v>46</v>
      </c>
      <c r="I165" s="40"/>
      <c r="J165" s="40"/>
      <c r="K165" s="41"/>
      <c r="L165" s="26"/>
      <c r="M165" s="26"/>
      <c r="N165" s="24"/>
      <c r="O165" s="41"/>
      <c r="P165" s="41"/>
      <c r="Q165" s="24"/>
      <c r="R165" s="24"/>
      <c r="S165" s="41"/>
      <c r="T165" s="26"/>
      <c r="U165" s="41"/>
      <c r="V165" s="41"/>
      <c r="W165" s="41"/>
      <c r="X165" s="48" t="s">
        <v>207</v>
      </c>
    </row>
    <row r="166" ht="14.25" customHeight="1">
      <c r="A166" s="24"/>
      <c r="B166" s="54" t="s">
        <v>213</v>
      </c>
      <c r="C166" s="16" t="s">
        <v>46</v>
      </c>
      <c r="D166" s="14">
        <v>500.0</v>
      </c>
      <c r="E166" s="17" t="str">
        <f>IFERROR(__xludf.DUMMYFUNCTION("REGEXREPLACE(GOOGLETRANSLATE(B166,""RU"",""EN""),"" "",""_"")"),"For_newborns")</f>
        <v>For_newborns</v>
      </c>
      <c r="F166" s="51" t="s">
        <v>71</v>
      </c>
      <c r="G166" s="16" t="s">
        <v>48</v>
      </c>
      <c r="H166" s="16" t="s">
        <v>46</v>
      </c>
      <c r="I166" s="40"/>
      <c r="J166" s="40"/>
      <c r="K166" s="41"/>
      <c r="L166" s="26"/>
      <c r="M166" s="26"/>
      <c r="N166" s="24"/>
      <c r="O166" s="41"/>
      <c r="P166" s="41"/>
      <c r="Q166" s="24"/>
      <c r="R166" s="24"/>
      <c r="S166" s="41"/>
      <c r="T166" s="26"/>
      <c r="U166" s="41"/>
      <c r="V166" s="41"/>
      <c r="W166" s="41"/>
      <c r="X166" s="48" t="s">
        <v>207</v>
      </c>
    </row>
    <row r="167" ht="14.25" customHeight="1">
      <c r="A167" s="24"/>
      <c r="B167" s="54" t="s">
        <v>214</v>
      </c>
      <c r="C167" s="16" t="s">
        <v>46</v>
      </c>
      <c r="D167" s="14">
        <v>500.0</v>
      </c>
      <c r="E167" s="17" t="str">
        <f>IFERROR(__xludf.DUMMYFUNCTION("REGEXREPLACE(GOOGLETRANSLATE(B167,""RU"",""EN""),"" "",""_"")"),"Possibility_of_adjusting_inhalation_volume_and_pressure")</f>
        <v>Possibility_of_adjusting_inhalation_volume_and_pressure</v>
      </c>
      <c r="F167" s="51" t="s">
        <v>71</v>
      </c>
      <c r="G167" s="16" t="s">
        <v>48</v>
      </c>
      <c r="H167" s="16" t="s">
        <v>46</v>
      </c>
      <c r="I167" s="40"/>
      <c r="J167" s="40"/>
      <c r="K167" s="41"/>
      <c r="L167" s="26"/>
      <c r="M167" s="26"/>
      <c r="N167" s="24"/>
      <c r="O167" s="41"/>
      <c r="P167" s="41"/>
      <c r="Q167" s="24"/>
      <c r="R167" s="24"/>
      <c r="S167" s="41"/>
      <c r="T167" s="26"/>
      <c r="U167" s="41"/>
      <c r="V167" s="41"/>
      <c r="W167" s="41"/>
      <c r="X167" s="48" t="s">
        <v>207</v>
      </c>
    </row>
    <row r="168" ht="14.25" customHeight="1">
      <c r="A168" s="24"/>
      <c r="B168" s="54" t="s">
        <v>215</v>
      </c>
      <c r="C168" s="16" t="s">
        <v>46</v>
      </c>
      <c r="D168" s="14">
        <v>500.0</v>
      </c>
      <c r="E168" s="17" t="str">
        <f>IFERROR(__xludf.DUMMYFUNCTION("REGEXREPLACE(GOOGLETRANSLATE(B168,""RU"",""EN""),"" "",""_"")"),"Installation_of_evaporators_for_anesthetic_units")</f>
        <v>Installation_of_evaporators_for_anesthetic_units</v>
      </c>
      <c r="F168" s="51" t="s">
        <v>48</v>
      </c>
      <c r="G168" s="16" t="s">
        <v>48</v>
      </c>
      <c r="H168" s="16" t="s">
        <v>46</v>
      </c>
      <c r="I168" s="40"/>
      <c r="J168" s="40"/>
      <c r="K168" s="41"/>
      <c r="L168" s="26"/>
      <c r="M168" s="26"/>
      <c r="N168" s="24"/>
      <c r="O168" s="41"/>
      <c r="P168" s="41"/>
      <c r="Q168" s="24"/>
      <c r="R168" s="24"/>
      <c r="S168" s="41"/>
      <c r="T168" s="26"/>
      <c r="U168" s="41"/>
      <c r="V168" s="41"/>
      <c r="W168" s="41"/>
      <c r="X168" s="48" t="s">
        <v>207</v>
      </c>
    </row>
    <row r="169" ht="14.25" customHeight="1">
      <c r="A169" s="24"/>
      <c r="B169" s="54" t="s">
        <v>216</v>
      </c>
      <c r="C169" s="16" t="s">
        <v>46</v>
      </c>
      <c r="D169" s="14">
        <v>500.0</v>
      </c>
      <c r="E169" s="17" t="str">
        <f>IFERROR(__xludf.DUMMYFUNCTION("REGEXREPLACE(GOOGLETRANSLATE(B169,""RU"",""EN""),"" "",""_"")"),"Anesthetic")</f>
        <v>Anesthetic</v>
      </c>
      <c r="F169" s="51" t="s">
        <v>47</v>
      </c>
      <c r="G169" s="16" t="s">
        <v>48</v>
      </c>
      <c r="H169" s="16" t="s">
        <v>46</v>
      </c>
      <c r="I169" s="40"/>
      <c r="J169" s="40"/>
      <c r="K169" s="41"/>
      <c r="L169" s="26"/>
      <c r="M169" s="26"/>
      <c r="N169" s="24"/>
      <c r="O169" s="41"/>
      <c r="P169" s="41"/>
      <c r="Q169" s="24"/>
      <c r="R169" s="24"/>
      <c r="S169" s="41"/>
      <c r="T169" s="26"/>
      <c r="U169" s="41"/>
      <c r="V169" s="41"/>
      <c r="W169" s="41"/>
      <c r="X169" s="48" t="s">
        <v>207</v>
      </c>
    </row>
    <row r="170" ht="14.25" customHeight="1">
      <c r="A170" s="24"/>
      <c r="B170" s="59" t="s">
        <v>217</v>
      </c>
      <c r="C170" s="16" t="s">
        <v>46</v>
      </c>
      <c r="D170" s="14">
        <v>500.0</v>
      </c>
      <c r="E170" s="17" t="str">
        <f>IFERROR(__xludf.DUMMYFUNCTION("REGEXREPLACE(GOOGLETRANSLATE(B170,""RU"",""EN""),"" "",""_"")"),"Additional_features_")</f>
        <v>Additional_features_</v>
      </c>
      <c r="F170" s="51" t="s">
        <v>47</v>
      </c>
      <c r="G170" s="16" t="s">
        <v>48</v>
      </c>
      <c r="H170" s="16" t="s">
        <v>46</v>
      </c>
      <c r="I170" s="40"/>
      <c r="J170" s="40"/>
      <c r="K170" s="41"/>
      <c r="L170" s="26"/>
      <c r="M170" s="26"/>
      <c r="N170" s="24"/>
      <c r="O170" s="41"/>
      <c r="P170" s="41"/>
      <c r="Q170" s="24"/>
      <c r="R170" s="24"/>
      <c r="S170" s="41"/>
      <c r="T170" s="26"/>
      <c r="U170" s="41"/>
      <c r="V170" s="41"/>
      <c r="W170" s="41"/>
      <c r="X170" s="48" t="s">
        <v>207</v>
      </c>
    </row>
    <row r="171" ht="14.25" customHeight="1">
      <c r="A171" s="24"/>
      <c r="B171" s="60" t="s">
        <v>181</v>
      </c>
      <c r="C171" s="16" t="s">
        <v>46</v>
      </c>
      <c r="D171" s="14">
        <v>500.0</v>
      </c>
      <c r="E171" s="17" t="str">
        <f>IFERROR(__xludf.DUMMYFUNCTION("REGEXREPLACE(GOOGLETRANSLATE(B171,""RU"",""EN""),"" "",""_"")"),"Device_type")</f>
        <v>Device_type</v>
      </c>
      <c r="F171" s="61" t="s">
        <v>47</v>
      </c>
      <c r="G171" s="16" t="s">
        <v>48</v>
      </c>
      <c r="H171" s="16" t="s">
        <v>46</v>
      </c>
      <c r="I171" s="40"/>
      <c r="J171" s="40"/>
      <c r="K171" s="41"/>
      <c r="L171" s="26"/>
      <c r="M171" s="26"/>
      <c r="N171" s="24"/>
      <c r="O171" s="41"/>
      <c r="P171" s="41"/>
      <c r="Q171" s="24"/>
      <c r="R171" s="24"/>
      <c r="S171" s="41"/>
      <c r="T171" s="26"/>
      <c r="U171" s="41"/>
      <c r="V171" s="41"/>
      <c r="W171" s="41"/>
      <c r="X171" s="48" t="s">
        <v>207</v>
      </c>
    </row>
    <row r="172" ht="14.25" customHeight="1">
      <c r="A172" s="24"/>
      <c r="B172" s="54" t="s">
        <v>218</v>
      </c>
      <c r="C172" s="16" t="s">
        <v>46</v>
      </c>
      <c r="D172" s="14">
        <v>500.0</v>
      </c>
      <c r="E172" s="17" t="str">
        <f>IFERROR(__xludf.DUMMYFUNCTION("REGEXREPLACE(GOOGLETRANSLATE(B172,""RU"",""EN""),"" "",""_"")"),"Circuit_type")</f>
        <v>Circuit_type</v>
      </c>
      <c r="F172" s="51" t="s">
        <v>47</v>
      </c>
      <c r="G172" s="16" t="s">
        <v>48</v>
      </c>
      <c r="H172" s="16" t="s">
        <v>46</v>
      </c>
      <c r="I172" s="40"/>
      <c r="J172" s="40"/>
      <c r="K172" s="41"/>
      <c r="L172" s="26"/>
      <c r="M172" s="26"/>
      <c r="N172" s="24"/>
      <c r="O172" s="41"/>
      <c r="P172" s="41"/>
      <c r="Q172" s="24"/>
      <c r="R172" s="24"/>
      <c r="S172" s="41"/>
      <c r="T172" s="26"/>
      <c r="U172" s="41"/>
      <c r="V172" s="41"/>
      <c r="W172" s="41"/>
      <c r="X172" s="48" t="s">
        <v>207</v>
      </c>
    </row>
    <row r="173" ht="14.25" customHeight="1">
      <c r="A173" s="24"/>
      <c r="B173" s="54" t="s">
        <v>219</v>
      </c>
      <c r="C173" s="16" t="s">
        <v>46</v>
      </c>
      <c r="D173" s="14">
        <v>500.0</v>
      </c>
      <c r="E173" s="17" t="str">
        <f>IFERROR(__xludf.DUMMYFUNCTION("REGEXREPLACE(GOOGLETRANSLATE(B173,""RU"",""EN""),"" "",""_"")"),"Power_supply,_Autonomous_operation")</f>
        <v>Power_supply,_Autonomous_operation</v>
      </c>
      <c r="F173" s="51" t="s">
        <v>47</v>
      </c>
      <c r="G173" s="16" t="s">
        <v>48</v>
      </c>
      <c r="H173" s="16" t="s">
        <v>46</v>
      </c>
      <c r="I173" s="40"/>
      <c r="J173" s="40"/>
      <c r="K173" s="41"/>
      <c r="L173" s="26"/>
      <c r="M173" s="26"/>
      <c r="N173" s="24"/>
      <c r="O173" s="41"/>
      <c r="P173" s="41"/>
      <c r="Q173" s="24"/>
      <c r="R173" s="24"/>
      <c r="S173" s="41"/>
      <c r="T173" s="26"/>
      <c r="U173" s="41"/>
      <c r="V173" s="41"/>
      <c r="W173" s="41"/>
      <c r="X173" s="48" t="s">
        <v>207</v>
      </c>
    </row>
    <row r="174" ht="14.25" customHeight="1">
      <c r="A174" s="24"/>
      <c r="B174" s="54" t="s">
        <v>220</v>
      </c>
      <c r="C174" s="16" t="s">
        <v>46</v>
      </c>
      <c r="D174" s="14">
        <v>500.0</v>
      </c>
      <c r="E174" s="17" t="str">
        <f>IFERROR(__xludf.DUMMYFUNCTION("REGEXREPLACE(GOOGLETRANSLATE(B174,""RU"",""EN""),"" "",""_"")"),"Drive_type")</f>
        <v>Drive_type</v>
      </c>
      <c r="F174" s="51" t="s">
        <v>47</v>
      </c>
      <c r="G174" s="16" t="s">
        <v>48</v>
      </c>
      <c r="H174" s="16" t="s">
        <v>46</v>
      </c>
      <c r="I174" s="40"/>
      <c r="J174" s="40"/>
      <c r="K174" s="41"/>
      <c r="L174" s="26"/>
      <c r="M174" s="26"/>
      <c r="N174" s="24"/>
      <c r="O174" s="41"/>
      <c r="P174" s="41"/>
      <c r="Q174" s="24"/>
      <c r="R174" s="24"/>
      <c r="S174" s="41"/>
      <c r="T174" s="26"/>
      <c r="U174" s="41"/>
      <c r="V174" s="41"/>
      <c r="W174" s="41"/>
      <c r="X174" s="48" t="s">
        <v>207</v>
      </c>
    </row>
    <row r="175" ht="14.25" customHeight="1">
      <c r="A175" s="24"/>
      <c r="B175" s="54" t="s">
        <v>221</v>
      </c>
      <c r="C175" s="16" t="s">
        <v>46</v>
      </c>
      <c r="D175" s="14">
        <v>500.0</v>
      </c>
      <c r="E175" s="17" t="str">
        <f>IFERROR(__xludf.DUMMYFUNCTION("REGEXREPLACE(GOOGLETRANSLATE(B175,""RU"",""EN""),"" "",""_"")"),"Air_pressure_range")</f>
        <v>Air_pressure_range</v>
      </c>
      <c r="F175" s="51" t="s">
        <v>48</v>
      </c>
      <c r="G175" s="16" t="s">
        <v>48</v>
      </c>
      <c r="H175" s="16" t="s">
        <v>46</v>
      </c>
      <c r="I175" s="40"/>
      <c r="J175" s="40"/>
      <c r="K175" s="41"/>
      <c r="L175" s="26"/>
      <c r="M175" s="26"/>
      <c r="N175" s="24"/>
      <c r="O175" s="41"/>
      <c r="P175" s="41"/>
      <c r="Q175" s="24"/>
      <c r="R175" s="24"/>
      <c r="S175" s="41"/>
      <c r="T175" s="26"/>
      <c r="U175" s="41"/>
      <c r="V175" s="41"/>
      <c r="W175" s="41"/>
      <c r="X175" s="48" t="s">
        <v>207</v>
      </c>
    </row>
    <row r="176" ht="14.25" customHeight="1">
      <c r="A176" s="24"/>
      <c r="B176" s="54" t="s">
        <v>222</v>
      </c>
      <c r="C176" s="16" t="s">
        <v>46</v>
      </c>
      <c r="D176" s="14">
        <v>500.0</v>
      </c>
      <c r="E176" s="17" t="str">
        <f>IFERROR(__xludf.DUMMYFUNCTION("REGEXREPLACE(GOOGLETRANSLATE(B176,""RU"",""EN""),"" "",""_"")"),"Fan_type")</f>
        <v>Fan_type</v>
      </c>
      <c r="F176" s="51" t="s">
        <v>56</v>
      </c>
      <c r="G176" s="16" t="s">
        <v>48</v>
      </c>
      <c r="H176" s="16" t="s">
        <v>46</v>
      </c>
      <c r="I176" s="40"/>
      <c r="J176" s="40"/>
      <c r="K176" s="41"/>
      <c r="L176" s="26"/>
      <c r="M176" s="26"/>
      <c r="N176" s="24"/>
      <c r="O176" s="41"/>
      <c r="P176" s="41"/>
      <c r="Q176" s="24"/>
      <c r="R176" s="24"/>
      <c r="S176" s="41"/>
      <c r="T176" s="26"/>
      <c r="U176" s="41"/>
      <c r="V176" s="41"/>
      <c r="W176" s="41"/>
      <c r="X176" s="48" t="s">
        <v>207</v>
      </c>
    </row>
    <row r="177" ht="14.25" customHeight="1">
      <c r="A177" s="24"/>
      <c r="B177" s="54" t="s">
        <v>223</v>
      </c>
      <c r="C177" s="16" t="s">
        <v>46</v>
      </c>
      <c r="D177" s="14">
        <v>500.0</v>
      </c>
      <c r="E177" s="17" t="str">
        <f>IFERROR(__xludf.DUMMYFUNCTION("REGEXREPLACE(GOOGLETRANSLATE(B177,""RU"",""EN""),"" "",""_"")"),"Rails_for_fastening_and_an_additional_row_of_sockets")</f>
        <v>Rails_for_fastening_and_an_additional_row_of_sockets</v>
      </c>
      <c r="F177" s="51" t="s">
        <v>47</v>
      </c>
      <c r="G177" s="16" t="s">
        <v>48</v>
      </c>
      <c r="H177" s="16" t="s">
        <v>46</v>
      </c>
      <c r="I177" s="40"/>
      <c r="J177" s="40"/>
      <c r="K177" s="41"/>
      <c r="L177" s="26"/>
      <c r="M177" s="26"/>
      <c r="N177" s="24"/>
      <c r="O177" s="41"/>
      <c r="P177" s="41"/>
      <c r="Q177" s="24"/>
      <c r="R177" s="24"/>
      <c r="S177" s="41"/>
      <c r="T177" s="26"/>
      <c r="U177" s="41"/>
      <c r="V177" s="41"/>
      <c r="W177" s="41"/>
      <c r="X177" s="48" t="s">
        <v>207</v>
      </c>
    </row>
    <row r="178" ht="14.25" customHeight="1">
      <c r="A178" s="24"/>
      <c r="B178" s="54" t="s">
        <v>224</v>
      </c>
      <c r="C178" s="16" t="s">
        <v>46</v>
      </c>
      <c r="D178" s="14">
        <v>500.0</v>
      </c>
      <c r="E178" s="17" t="str">
        <f>IFERROR(__xludf.DUMMYFUNCTION("REGEXREPLACE(GOOGLETRANSLATE(B178,""RU"",""EN""),"" "",""_"")"),"Rotameters_(Flowmeters)")</f>
        <v>Rotameters_(Flowmeters)</v>
      </c>
      <c r="F178" s="51" t="s">
        <v>56</v>
      </c>
      <c r="G178" s="16" t="s">
        <v>48</v>
      </c>
      <c r="H178" s="16" t="s">
        <v>46</v>
      </c>
      <c r="I178" s="40"/>
      <c r="J178" s="40"/>
      <c r="K178" s="41"/>
      <c r="L178" s="26"/>
      <c r="M178" s="26"/>
      <c r="N178" s="24"/>
      <c r="O178" s="41"/>
      <c r="P178" s="41"/>
      <c r="Q178" s="24"/>
      <c r="R178" s="24"/>
      <c r="S178" s="41"/>
      <c r="T178" s="26"/>
      <c r="U178" s="41"/>
      <c r="V178" s="41"/>
      <c r="W178" s="41"/>
      <c r="X178" s="48" t="s">
        <v>207</v>
      </c>
    </row>
    <row r="179" ht="14.25" customHeight="1">
      <c r="A179" s="24"/>
      <c r="B179" s="54" t="s">
        <v>225</v>
      </c>
      <c r="C179" s="16" t="s">
        <v>46</v>
      </c>
      <c r="D179" s="14">
        <v>500.0</v>
      </c>
      <c r="E179" s="17" t="str">
        <f>IFERROR(__xludf.DUMMYFUNCTION("REGEXREPLACE(GOOGLETRANSLATE(B179,""RU"",""EN""),"" "",""_"")"),"Breathing_circuit")</f>
        <v>Breathing_circuit</v>
      </c>
      <c r="F179" s="51" t="s">
        <v>47</v>
      </c>
      <c r="G179" s="16" t="s">
        <v>48</v>
      </c>
      <c r="H179" s="16" t="s">
        <v>46</v>
      </c>
      <c r="I179" s="40"/>
      <c r="J179" s="40"/>
      <c r="K179" s="41"/>
      <c r="L179" s="26"/>
      <c r="M179" s="26"/>
      <c r="N179" s="24"/>
      <c r="O179" s="41"/>
      <c r="P179" s="41"/>
      <c r="Q179" s="24"/>
      <c r="R179" s="24"/>
      <c r="S179" s="41"/>
      <c r="T179" s="26"/>
      <c r="U179" s="41"/>
      <c r="V179" s="41"/>
      <c r="W179" s="41"/>
      <c r="X179" s="48" t="s">
        <v>207</v>
      </c>
    </row>
    <row r="180" ht="14.25" customHeight="1">
      <c r="A180" s="24"/>
      <c r="B180" s="54" t="s">
        <v>226</v>
      </c>
      <c r="C180" s="16" t="s">
        <v>46</v>
      </c>
      <c r="D180" s="14">
        <v>500.0</v>
      </c>
      <c r="E180" s="17" t="str">
        <f>IFERROR(__xludf.DUMMYFUNCTION("REGEXREPLACE(GOOGLETRANSLATE(B180,""RU"",""EN""),"" "",""_"")"),"Types_of_monitoring")</f>
        <v>Types_of_monitoring</v>
      </c>
      <c r="F180" s="51" t="s">
        <v>47</v>
      </c>
      <c r="G180" s="16" t="s">
        <v>48</v>
      </c>
      <c r="H180" s="16" t="s">
        <v>46</v>
      </c>
      <c r="I180" s="40"/>
      <c r="J180" s="40"/>
      <c r="K180" s="41"/>
      <c r="L180" s="26"/>
      <c r="M180" s="26"/>
      <c r="N180" s="24"/>
      <c r="O180" s="41"/>
      <c r="P180" s="41"/>
      <c r="Q180" s="24"/>
      <c r="R180" s="24"/>
      <c r="S180" s="41"/>
      <c r="T180" s="26"/>
      <c r="U180" s="41"/>
      <c r="V180" s="41"/>
      <c r="W180" s="41"/>
      <c r="X180" s="48" t="s">
        <v>207</v>
      </c>
    </row>
    <row r="181" ht="14.25" customHeight="1">
      <c r="A181" s="24"/>
      <c r="B181" s="54" t="s">
        <v>227</v>
      </c>
      <c r="C181" s="16" t="s">
        <v>46</v>
      </c>
      <c r="D181" s="14">
        <v>500.0</v>
      </c>
      <c r="E181" s="17" t="str">
        <f>IFERROR(__xludf.DUMMYFUNCTION("REGEXREPLACE(GOOGLETRANSLATE(B181,""RU"",""EN""),"" "",""_"")"),"Tidal_volume_setting_range")</f>
        <v>Tidal_volume_setting_range</v>
      </c>
      <c r="F181" s="51" t="s">
        <v>47</v>
      </c>
      <c r="G181" s="16" t="s">
        <v>48</v>
      </c>
      <c r="H181" s="16" t="s">
        <v>46</v>
      </c>
      <c r="I181" s="40"/>
      <c r="J181" s="40"/>
      <c r="K181" s="41"/>
      <c r="L181" s="26"/>
      <c r="M181" s="26"/>
      <c r="N181" s="24"/>
      <c r="O181" s="41"/>
      <c r="P181" s="41"/>
      <c r="Q181" s="24"/>
      <c r="R181" s="24"/>
      <c r="S181" s="41"/>
      <c r="T181" s="26"/>
      <c r="U181" s="41"/>
      <c r="V181" s="41"/>
      <c r="W181" s="41"/>
      <c r="X181" s="48" t="s">
        <v>207</v>
      </c>
    </row>
    <row r="182" ht="14.25" customHeight="1">
      <c r="A182" s="24"/>
      <c r="B182" s="54" t="s">
        <v>228</v>
      </c>
      <c r="C182" s="16" t="s">
        <v>46</v>
      </c>
      <c r="D182" s="14">
        <v>500.0</v>
      </c>
      <c r="E182" s="17" t="str">
        <f>IFERROR(__xludf.DUMMYFUNCTION("REGEXREPLACE(GOOGLETRANSLATE(B182,""RU"",""EN""),"" "",""_"")"),"Heating_element")</f>
        <v>Heating_element</v>
      </c>
      <c r="F182" s="51" t="s">
        <v>47</v>
      </c>
      <c r="G182" s="16" t="s">
        <v>48</v>
      </c>
      <c r="H182" s="16" t="s">
        <v>46</v>
      </c>
      <c r="I182" s="40"/>
      <c r="J182" s="40"/>
      <c r="K182" s="41"/>
      <c r="L182" s="26"/>
      <c r="M182" s="26"/>
      <c r="N182" s="24"/>
      <c r="O182" s="41"/>
      <c r="P182" s="41"/>
      <c r="Q182" s="24"/>
      <c r="R182" s="24"/>
      <c r="S182" s="41"/>
      <c r="T182" s="26"/>
      <c r="U182" s="41"/>
      <c r="V182" s="41"/>
      <c r="W182" s="41"/>
      <c r="X182" s="48" t="s">
        <v>207</v>
      </c>
    </row>
    <row r="183" ht="14.25" customHeight="1">
      <c r="A183" s="24"/>
      <c r="B183" s="54" t="s">
        <v>229</v>
      </c>
      <c r="C183" s="16" t="s">
        <v>46</v>
      </c>
      <c r="D183" s="14">
        <v>500.0</v>
      </c>
      <c r="E183" s="17" t="str">
        <f>IFERROR(__xludf.DUMMYFUNCTION("REGEXREPLACE(GOOGLETRANSLATE(B183,""RU"",""EN""),"" "",""_"")"),"Communication_port")</f>
        <v>Communication_port</v>
      </c>
      <c r="F183" s="51" t="s">
        <v>71</v>
      </c>
      <c r="G183" s="16" t="s">
        <v>48</v>
      </c>
      <c r="H183" s="16" t="s">
        <v>46</v>
      </c>
      <c r="I183" s="40"/>
      <c r="J183" s="40"/>
      <c r="K183" s="41"/>
      <c r="L183" s="26"/>
      <c r="M183" s="26"/>
      <c r="N183" s="24"/>
      <c r="O183" s="41"/>
      <c r="P183" s="41"/>
      <c r="Q183" s="24"/>
      <c r="R183" s="24"/>
      <c r="S183" s="41"/>
      <c r="T183" s="26"/>
      <c r="U183" s="41"/>
      <c r="V183" s="41"/>
      <c r="W183" s="41"/>
      <c r="X183" s="48" t="s">
        <v>207</v>
      </c>
    </row>
    <row r="184" ht="14.25" customHeight="1">
      <c r="A184" s="24"/>
      <c r="B184" s="54" t="s">
        <v>230</v>
      </c>
      <c r="C184" s="16" t="s">
        <v>46</v>
      </c>
      <c r="D184" s="14">
        <v>500.0</v>
      </c>
      <c r="E184" s="17" t="str">
        <f>IFERROR(__xludf.DUMMYFUNCTION("REGEXREPLACE(GOOGLETRANSLATE(B184,""RU"",""EN""),"" "",""_"")"),"Trend_Views")</f>
        <v>Trend_Views</v>
      </c>
      <c r="F184" s="51" t="s">
        <v>47</v>
      </c>
      <c r="G184" s="16" t="s">
        <v>48</v>
      </c>
      <c r="H184" s="16" t="s">
        <v>46</v>
      </c>
      <c r="I184" s="40"/>
      <c r="J184" s="40"/>
      <c r="K184" s="41"/>
      <c r="L184" s="26"/>
      <c r="M184" s="26"/>
      <c r="N184" s="24"/>
      <c r="O184" s="41"/>
      <c r="P184" s="41"/>
      <c r="Q184" s="24"/>
      <c r="R184" s="24"/>
      <c r="S184" s="41"/>
      <c r="T184" s="26"/>
      <c r="U184" s="41"/>
      <c r="V184" s="41"/>
      <c r="W184" s="41"/>
      <c r="X184" s="48" t="s">
        <v>207</v>
      </c>
    </row>
    <row r="185" ht="14.25" customHeight="1">
      <c r="A185" s="24"/>
      <c r="B185" s="54" t="s">
        <v>231</v>
      </c>
      <c r="C185" s="16" t="s">
        <v>46</v>
      </c>
      <c r="D185" s="14">
        <v>500.0</v>
      </c>
      <c r="E185" s="17" t="str">
        <f>IFERROR(__xludf.DUMMYFUNCTION("REGEXREPLACE(GOOGLETRANSLATE(B185,""RU"",""EN""),"" "",""_"")"),"Pulse_oximetry")</f>
        <v>Pulse_oximetry</v>
      </c>
      <c r="F185" s="51" t="s">
        <v>71</v>
      </c>
      <c r="G185" s="16" t="s">
        <v>48</v>
      </c>
      <c r="H185" s="16" t="s">
        <v>46</v>
      </c>
      <c r="I185" s="40"/>
      <c r="J185" s="40"/>
      <c r="K185" s="41"/>
      <c r="L185" s="26"/>
      <c r="M185" s="26"/>
      <c r="N185" s="24"/>
      <c r="O185" s="41"/>
      <c r="P185" s="41"/>
      <c r="Q185" s="24"/>
      <c r="R185" s="24"/>
      <c r="S185" s="41"/>
      <c r="T185" s="26"/>
      <c r="U185" s="41"/>
      <c r="V185" s="41"/>
      <c r="W185" s="41"/>
      <c r="X185" s="48" t="s">
        <v>207</v>
      </c>
    </row>
    <row r="186" ht="14.25" customHeight="1">
      <c r="A186" s="24"/>
      <c r="B186" s="54" t="s">
        <v>232</v>
      </c>
      <c r="C186" s="16" t="s">
        <v>46</v>
      </c>
      <c r="D186" s="14">
        <v>500.0</v>
      </c>
      <c r="E186" s="17" t="str">
        <f>IFERROR(__xludf.DUMMYFUNCTION("REGEXREPLACE(GOOGLETRANSLATE(B186,""RU"",""EN""),"" "",""_"")"),"NMT_module")</f>
        <v>NMT_module</v>
      </c>
      <c r="F186" s="51" t="s">
        <v>71</v>
      </c>
      <c r="G186" s="16" t="s">
        <v>48</v>
      </c>
      <c r="H186" s="16" t="s">
        <v>46</v>
      </c>
      <c r="I186" s="40"/>
      <c r="J186" s="40"/>
      <c r="K186" s="41"/>
      <c r="L186" s="26"/>
      <c r="M186" s="26"/>
      <c r="N186" s="24"/>
      <c r="O186" s="41"/>
      <c r="P186" s="41"/>
      <c r="Q186" s="24"/>
      <c r="R186" s="24"/>
      <c r="S186" s="41"/>
      <c r="T186" s="26"/>
      <c r="U186" s="41"/>
      <c r="V186" s="41"/>
      <c r="W186" s="41"/>
      <c r="X186" s="48" t="s">
        <v>207</v>
      </c>
    </row>
    <row r="187" ht="14.25" customHeight="1">
      <c r="A187" s="24"/>
      <c r="B187" s="54" t="s">
        <v>233</v>
      </c>
      <c r="C187" s="16" t="s">
        <v>46</v>
      </c>
      <c r="D187" s="14">
        <v>500.0</v>
      </c>
      <c r="E187" s="17" t="str">
        <f>IFERROR(__xludf.DUMMYFUNCTION("REGEXREPLACE(GOOGLETRANSLATE(B187,""RU"",""EN""),"" "",""_"")"),"BIS_module")</f>
        <v>BIS_module</v>
      </c>
      <c r="F187" s="51" t="s">
        <v>71</v>
      </c>
      <c r="G187" s="16" t="s">
        <v>48</v>
      </c>
      <c r="H187" s="16" t="s">
        <v>46</v>
      </c>
      <c r="I187" s="40"/>
      <c r="J187" s="40"/>
      <c r="K187" s="41"/>
      <c r="L187" s="26"/>
      <c r="M187" s="26"/>
      <c r="N187" s="24"/>
      <c r="O187" s="41"/>
      <c r="P187" s="41"/>
      <c r="Q187" s="24"/>
      <c r="R187" s="24"/>
      <c r="S187" s="41"/>
      <c r="T187" s="26"/>
      <c r="U187" s="41"/>
      <c r="V187" s="41"/>
      <c r="W187" s="41"/>
      <c r="X187" s="48" t="s">
        <v>207</v>
      </c>
    </row>
    <row r="188" ht="14.25" customHeight="1">
      <c r="A188" s="24"/>
      <c r="B188" s="54" t="s">
        <v>234</v>
      </c>
      <c r="C188" s="16" t="s">
        <v>46</v>
      </c>
      <c r="D188" s="14">
        <v>500.0</v>
      </c>
      <c r="E188" s="17" t="str">
        <f>IFERROR(__xludf.DUMMYFUNCTION("REGEXREPLACE(GOOGLETRANSLATE(B188,""RU"",""EN""),"" "",""_"")"),"Humidification_and_heating_system")</f>
        <v>Humidification_and_heating_system</v>
      </c>
      <c r="F188" s="51" t="s">
        <v>47</v>
      </c>
      <c r="G188" s="16" t="s">
        <v>48</v>
      </c>
      <c r="H188" s="16" t="s">
        <v>46</v>
      </c>
      <c r="I188" s="40"/>
      <c r="J188" s="40"/>
      <c r="K188" s="41"/>
      <c r="L188" s="26"/>
      <c r="M188" s="26"/>
      <c r="N188" s="24"/>
      <c r="O188" s="41"/>
      <c r="P188" s="41"/>
      <c r="Q188" s="24"/>
      <c r="R188" s="24"/>
      <c r="S188" s="41"/>
      <c r="T188" s="26"/>
      <c r="U188" s="41"/>
      <c r="V188" s="41"/>
      <c r="W188" s="41"/>
      <c r="X188" s="48" t="s">
        <v>207</v>
      </c>
    </row>
    <row r="189" ht="14.25" customHeight="1">
      <c r="A189" s="24"/>
      <c r="B189" s="54" t="s">
        <v>235</v>
      </c>
      <c r="C189" s="16" t="s">
        <v>46</v>
      </c>
      <c r="D189" s="14">
        <v>500.0</v>
      </c>
      <c r="E189" s="17" t="str">
        <f>IFERROR(__xludf.DUMMYFUNCTION("REGEXREPLACE(GOOGLETRANSLATE(B189,""RU"",""EN""),"" "",""_"")"),"Multigas_without_O2_(AG)")</f>
        <v>Multigas_without_O2_(AG)</v>
      </c>
      <c r="F189" s="51" t="s">
        <v>47</v>
      </c>
      <c r="G189" s="16" t="s">
        <v>48</v>
      </c>
      <c r="H189" s="16" t="s">
        <v>46</v>
      </c>
      <c r="I189" s="40"/>
      <c r="J189" s="40"/>
      <c r="K189" s="41"/>
      <c r="L189" s="26"/>
      <c r="M189" s="26"/>
      <c r="N189" s="24"/>
      <c r="O189" s="41"/>
      <c r="P189" s="41"/>
      <c r="Q189" s="24"/>
      <c r="R189" s="24"/>
      <c r="S189" s="41"/>
      <c r="T189" s="26"/>
      <c r="U189" s="41"/>
      <c r="V189" s="41"/>
      <c r="W189" s="41"/>
      <c r="X189" s="48" t="s">
        <v>207</v>
      </c>
    </row>
    <row r="190" ht="14.25" customHeight="1">
      <c r="A190" s="24"/>
      <c r="B190" s="54" t="s">
        <v>236</v>
      </c>
      <c r="C190" s="16" t="s">
        <v>46</v>
      </c>
      <c r="D190" s="14">
        <v>500.0</v>
      </c>
      <c r="E190" s="17" t="str">
        <f>IFERROR(__xludf.DUMMYFUNCTION("REGEXREPLACE(GOOGLETRANSLATE(B190,""RU"",""EN""),"" "",""_"")"),"Capnometry_(CO2)_direct_flow")</f>
        <v>Capnometry_(CO2)_direct_flow</v>
      </c>
      <c r="F190" s="51" t="s">
        <v>71</v>
      </c>
      <c r="G190" s="16" t="s">
        <v>48</v>
      </c>
      <c r="H190" s="16" t="s">
        <v>46</v>
      </c>
      <c r="I190" s="40"/>
      <c r="J190" s="40"/>
      <c r="K190" s="41"/>
      <c r="L190" s="26"/>
      <c r="M190" s="26"/>
      <c r="N190" s="24"/>
      <c r="O190" s="41"/>
      <c r="P190" s="41"/>
      <c r="Q190" s="24"/>
      <c r="R190" s="24"/>
      <c r="S190" s="41"/>
      <c r="T190" s="26"/>
      <c r="U190" s="41"/>
      <c r="V190" s="41"/>
      <c r="W190" s="41"/>
      <c r="X190" s="48" t="s">
        <v>207</v>
      </c>
    </row>
    <row r="191" ht="14.25" customHeight="1">
      <c r="A191" s="24"/>
      <c r="B191" s="54" t="s">
        <v>237</v>
      </c>
      <c r="C191" s="16" t="s">
        <v>46</v>
      </c>
      <c r="D191" s="14">
        <v>500.0</v>
      </c>
      <c r="E191" s="17" t="str">
        <f>IFERROR(__xludf.DUMMYFUNCTION("REGEXREPLACE(GOOGLETRANSLATE(B191,""RU"",""EN""),"" "",""_"")"),"Capnometry_(CO2)_lateral_flow")</f>
        <v>Capnometry_(CO2)_lateral_flow</v>
      </c>
      <c r="F191" s="51" t="s">
        <v>47</v>
      </c>
      <c r="G191" s="16" t="s">
        <v>48</v>
      </c>
      <c r="H191" s="16" t="s">
        <v>46</v>
      </c>
      <c r="I191" s="40"/>
      <c r="J191" s="40"/>
      <c r="K191" s="41"/>
      <c r="L191" s="26"/>
      <c r="M191" s="26"/>
      <c r="N191" s="24"/>
      <c r="O191" s="41"/>
      <c r="P191" s="41"/>
      <c r="Q191" s="24"/>
      <c r="R191" s="24"/>
      <c r="S191" s="41"/>
      <c r="T191" s="26"/>
      <c r="U191" s="41"/>
      <c r="V191" s="41"/>
      <c r="W191" s="41"/>
      <c r="X191" s="48" t="s">
        <v>207</v>
      </c>
    </row>
    <row r="192" ht="14.25" customHeight="1">
      <c r="A192" s="24"/>
      <c r="B192" s="54" t="s">
        <v>238</v>
      </c>
      <c r="C192" s="16" t="s">
        <v>46</v>
      </c>
      <c r="D192" s="14">
        <v>500.0</v>
      </c>
      <c r="E192" s="17" t="str">
        <f>IFERROR(__xludf.DUMMYFUNCTION("REGEXREPLACE(GOOGLETRANSLATE(B192,""RU"",""EN""),"" "",""_"")"),"CPAP/PS")</f>
        <v>CPAP/PS</v>
      </c>
      <c r="F192" s="51" t="s">
        <v>71</v>
      </c>
      <c r="G192" s="16" t="s">
        <v>48</v>
      </c>
      <c r="H192" s="16" t="s">
        <v>46</v>
      </c>
      <c r="I192" s="40"/>
      <c r="J192" s="40"/>
      <c r="K192" s="41"/>
      <c r="L192" s="26"/>
      <c r="M192" s="26"/>
      <c r="N192" s="24"/>
      <c r="O192" s="41"/>
      <c r="P192" s="41"/>
      <c r="Q192" s="24"/>
      <c r="R192" s="24"/>
      <c r="S192" s="41"/>
      <c r="T192" s="26"/>
      <c r="U192" s="41"/>
      <c r="V192" s="41"/>
      <c r="W192" s="41"/>
      <c r="X192" s="48" t="s">
        <v>207</v>
      </c>
    </row>
    <row r="193" ht="14.25" customHeight="1">
      <c r="A193" s="24"/>
      <c r="B193" s="54" t="s">
        <v>239</v>
      </c>
      <c r="C193" s="16" t="s">
        <v>46</v>
      </c>
      <c r="D193" s="14">
        <v>500.0</v>
      </c>
      <c r="E193" s="17" t="str">
        <f>IFERROR(__xludf.DUMMYFUNCTION("REGEXREPLACE(GOOGLETRANSLATE(B193,""RU"",""EN""),"" "",""_"")"),"Dynamic_compensation_for_fresh_gas_mixture")</f>
        <v>Dynamic_compensation_for_fresh_gas_mixture</v>
      </c>
      <c r="F193" s="51" t="s">
        <v>47</v>
      </c>
      <c r="G193" s="16" t="s">
        <v>48</v>
      </c>
      <c r="H193" s="16" t="s">
        <v>46</v>
      </c>
      <c r="I193" s="40"/>
      <c r="J193" s="40"/>
      <c r="K193" s="41"/>
      <c r="L193" s="26"/>
      <c r="M193" s="26"/>
      <c r="N193" s="24"/>
      <c r="O193" s="41"/>
      <c r="P193" s="41"/>
      <c r="Q193" s="24"/>
      <c r="R193" s="24"/>
      <c r="S193" s="41"/>
      <c r="T193" s="26"/>
      <c r="U193" s="41"/>
      <c r="V193" s="41"/>
      <c r="W193" s="41"/>
      <c r="X193" s="48" t="s">
        <v>207</v>
      </c>
    </row>
    <row r="194" ht="14.25" customHeight="1">
      <c r="A194" s="24"/>
      <c r="B194" s="54" t="s">
        <v>240</v>
      </c>
      <c r="C194" s="16" t="s">
        <v>46</v>
      </c>
      <c r="D194" s="14">
        <v>500.0</v>
      </c>
      <c r="E194" s="17" t="str">
        <f>IFERROR(__xludf.DUMMYFUNCTION("REGEXREPLACE(GOOGLETRANSLATE(B194,""RU"",""EN""),"" "",""_"")"),"Compact_breathing_circuit_with_bypass
_for_CO2_")</f>
        <v>Compact_breathing_circuit_with_bypass
_for_CO2_</v>
      </c>
      <c r="F194" s="51" t="s">
        <v>71</v>
      </c>
      <c r="G194" s="16" t="s">
        <v>48</v>
      </c>
      <c r="H194" s="16" t="s">
        <v>46</v>
      </c>
      <c r="I194" s="40"/>
      <c r="J194" s="40"/>
      <c r="K194" s="41"/>
      <c r="L194" s="26"/>
      <c r="M194" s="26"/>
      <c r="N194" s="24"/>
      <c r="O194" s="41"/>
      <c r="P194" s="41"/>
      <c r="Q194" s="24"/>
      <c r="R194" s="24"/>
      <c r="S194" s="41"/>
      <c r="T194" s="26"/>
      <c r="U194" s="41"/>
      <c r="V194" s="41"/>
      <c r="W194" s="41"/>
      <c r="X194" s="48" t="s">
        <v>207</v>
      </c>
    </row>
    <row r="195" ht="14.25" customHeight="1">
      <c r="A195" s="24"/>
      <c r="B195" s="54" t="s">
        <v>241</v>
      </c>
      <c r="C195" s="16" t="s">
        <v>46</v>
      </c>
      <c r="D195" s="14">
        <v>500.0</v>
      </c>
      <c r="E195" s="17" t="str">
        <f>IFERROR(__xludf.DUMMYFUNCTION("REGEXREPLACE(GOOGLETRANSLATE(B195,""RU"",""EN""),"" "",""_"")"),"Active_exhaust_gas_removal_system_")</f>
        <v>Active_exhaust_gas_removal_system_</v>
      </c>
      <c r="F195" s="51" t="s">
        <v>71</v>
      </c>
      <c r="G195" s="16" t="s">
        <v>48</v>
      </c>
      <c r="H195" s="16" t="s">
        <v>46</v>
      </c>
      <c r="I195" s="40"/>
      <c r="J195" s="40"/>
      <c r="K195" s="41"/>
      <c r="L195" s="26"/>
      <c r="M195" s="26"/>
      <c r="N195" s="24"/>
      <c r="O195" s="41"/>
      <c r="P195" s="41"/>
      <c r="Q195" s="24"/>
      <c r="R195" s="24"/>
      <c r="S195" s="41"/>
      <c r="T195" s="26"/>
      <c r="U195" s="41"/>
      <c r="V195" s="41"/>
      <c r="W195" s="41"/>
      <c r="X195" s="48" t="s">
        <v>207</v>
      </c>
    </row>
    <row r="196" ht="14.25" customHeight="1">
      <c r="A196" s="24"/>
      <c r="B196" s="54" t="s">
        <v>242</v>
      </c>
      <c r="C196" s="16" t="s">
        <v>46</v>
      </c>
      <c r="D196" s="14">
        <v>500.0</v>
      </c>
      <c r="E196" s="17" t="str">
        <f>IFERROR(__xludf.DUMMYFUNCTION("REGEXREPLACE(GOOGLETRANSLATE(B196,""RU"",""EN""),"" "",""_"")"),"Type_of_connections_")</f>
        <v>Type_of_connections_</v>
      </c>
      <c r="F196" s="51" t="s">
        <v>47</v>
      </c>
      <c r="G196" s="16" t="s">
        <v>48</v>
      </c>
      <c r="H196" s="16" t="s">
        <v>46</v>
      </c>
      <c r="I196" s="40"/>
      <c r="J196" s="40"/>
      <c r="K196" s="41"/>
      <c r="L196" s="26"/>
      <c r="M196" s="26"/>
      <c r="N196" s="24"/>
      <c r="O196" s="41"/>
      <c r="P196" s="41"/>
      <c r="Q196" s="24"/>
      <c r="R196" s="24"/>
      <c r="S196" s="41"/>
      <c r="T196" s="26"/>
      <c r="U196" s="41"/>
      <c r="V196" s="41"/>
      <c r="W196" s="41"/>
      <c r="X196" s="37" t="s">
        <v>243</v>
      </c>
    </row>
    <row r="197" ht="14.25" customHeight="1">
      <c r="A197" s="24"/>
      <c r="B197" s="54" t="s">
        <v>244</v>
      </c>
      <c r="C197" s="16" t="s">
        <v>46</v>
      </c>
      <c r="D197" s="14">
        <v>500.0</v>
      </c>
      <c r="E197" s="17" t="str">
        <f>IFERROR(__xludf.DUMMYFUNCTION("REGEXREPLACE(GOOGLETRANSLATE(B197,""RU"",""EN""),"" "",""_"")"),"Menu_language_")</f>
        <v>Menu_language_</v>
      </c>
      <c r="F197" s="51" t="s">
        <v>47</v>
      </c>
      <c r="G197" s="16" t="s">
        <v>48</v>
      </c>
      <c r="H197" s="16" t="s">
        <v>46</v>
      </c>
      <c r="I197" s="40"/>
      <c r="J197" s="40"/>
      <c r="K197" s="41"/>
      <c r="L197" s="26"/>
      <c r="M197" s="26"/>
      <c r="N197" s="24"/>
      <c r="O197" s="41"/>
      <c r="P197" s="41"/>
      <c r="Q197" s="24"/>
      <c r="R197" s="24"/>
      <c r="S197" s="41"/>
      <c r="T197" s="26"/>
      <c r="U197" s="41"/>
      <c r="V197" s="41"/>
      <c r="W197" s="41"/>
      <c r="X197" s="37" t="s">
        <v>243</v>
      </c>
    </row>
    <row r="198" ht="14.25" customHeight="1">
      <c r="A198" s="24"/>
      <c r="B198" s="54" t="s">
        <v>73</v>
      </c>
      <c r="C198" s="16" t="s">
        <v>46</v>
      </c>
      <c r="D198" s="14">
        <v>500.0</v>
      </c>
      <c r="E198" s="17" t="str">
        <f>IFERROR(__xludf.DUMMYFUNCTION("REGEXREPLACE(GOOGLETRANSLATE(B198,""RU"",""EN""),"" "",""_"")"),"Display_type")</f>
        <v>Display_type</v>
      </c>
      <c r="F198" s="51" t="s">
        <v>48</v>
      </c>
      <c r="G198" s="16" t="s">
        <v>48</v>
      </c>
      <c r="H198" s="16" t="s">
        <v>46</v>
      </c>
      <c r="I198" s="40"/>
      <c r="J198" s="40"/>
      <c r="K198" s="41"/>
      <c r="L198" s="26"/>
      <c r="M198" s="26"/>
      <c r="N198" s="24"/>
      <c r="O198" s="41"/>
      <c r="P198" s="41"/>
      <c r="Q198" s="24"/>
      <c r="R198" s="24"/>
      <c r="S198" s="41"/>
      <c r="T198" s="26"/>
      <c r="U198" s="41"/>
      <c r="V198" s="41"/>
      <c r="W198" s="41"/>
      <c r="X198" s="37" t="s">
        <v>243</v>
      </c>
    </row>
    <row r="199" ht="14.25" customHeight="1">
      <c r="A199" s="24"/>
      <c r="B199" s="54" t="s">
        <v>245</v>
      </c>
      <c r="C199" s="16" t="s">
        <v>46</v>
      </c>
      <c r="D199" s="14">
        <v>500.0</v>
      </c>
      <c r="E199" s="17" t="str">
        <f>IFERROR(__xludf.DUMMYFUNCTION("REGEXREPLACE(GOOGLETRANSLATE(B199,""RU"",""EN""),"" "",""_"")"),"Display_size")</f>
        <v>Display_size</v>
      </c>
      <c r="F199" s="51" t="s">
        <v>48</v>
      </c>
      <c r="G199" s="16" t="s">
        <v>48</v>
      </c>
      <c r="H199" s="16" t="s">
        <v>46</v>
      </c>
      <c r="I199" s="40"/>
      <c r="J199" s="40"/>
      <c r="K199" s="41"/>
      <c r="L199" s="26"/>
      <c r="M199" s="26"/>
      <c r="N199" s="24"/>
      <c r="O199" s="41"/>
      <c r="P199" s="41"/>
      <c r="Q199" s="24"/>
      <c r="R199" s="24"/>
      <c r="S199" s="41"/>
      <c r="T199" s="26"/>
      <c r="U199" s="41"/>
      <c r="V199" s="41"/>
      <c r="W199" s="41"/>
      <c r="X199" s="37" t="s">
        <v>243</v>
      </c>
    </row>
    <row r="200" ht="14.25" customHeight="1">
      <c r="A200" s="24"/>
      <c r="B200" s="54" t="s">
        <v>246</v>
      </c>
      <c r="C200" s="16" t="s">
        <v>46</v>
      </c>
      <c r="D200" s="14">
        <v>500.0</v>
      </c>
      <c r="E200" s="17" t="str">
        <f>IFERROR(__xludf.DUMMYFUNCTION("REGEXREPLACE(GOOGLETRANSLATE(B200,""RU"",""EN""),"" "",""_"")"),"Possibility_of_connecting_peripherals_(consumables_for_monitoring_children")</f>
        <v>Possibility_of_connecting_peripherals_(consumables_for_monitoring_children</v>
      </c>
      <c r="F200" s="51" t="s">
        <v>71</v>
      </c>
      <c r="G200" s="16" t="s">
        <v>48</v>
      </c>
      <c r="H200" s="16" t="s">
        <v>46</v>
      </c>
      <c r="I200" s="40"/>
      <c r="J200" s="40"/>
      <c r="K200" s="41"/>
      <c r="L200" s="26"/>
      <c r="M200" s="26"/>
      <c r="N200" s="24"/>
      <c r="O200" s="41"/>
      <c r="P200" s="41"/>
      <c r="Q200" s="24"/>
      <c r="R200" s="24"/>
      <c r="S200" s="41"/>
      <c r="T200" s="26"/>
      <c r="U200" s="41"/>
      <c r="V200" s="41"/>
      <c r="W200" s="41"/>
      <c r="X200" s="37" t="s">
        <v>243</v>
      </c>
    </row>
    <row r="201" ht="14.25" customHeight="1">
      <c r="A201" s="24"/>
      <c r="B201" s="54" t="s">
        <v>247</v>
      </c>
      <c r="C201" s="16" t="s">
        <v>46</v>
      </c>
      <c r="D201" s="14">
        <v>500.0</v>
      </c>
      <c r="E201" s="17" t="str">
        <f>IFERROR(__xludf.DUMMYFUNCTION("REGEXREPLACE(GOOGLETRANSLATE(B201,""RU"",""EN""),"" "",""_"")"),"Possibility_of_connection_to_a_central_workstation_")</f>
        <v>Possibility_of_connection_to_a_central_workstation_</v>
      </c>
      <c r="F201" s="51" t="s">
        <v>71</v>
      </c>
      <c r="G201" s="16" t="s">
        <v>48</v>
      </c>
      <c r="H201" s="16" t="s">
        <v>46</v>
      </c>
      <c r="I201" s="40"/>
      <c r="J201" s="40"/>
      <c r="K201" s="41"/>
      <c r="L201" s="26"/>
      <c r="M201" s="26"/>
      <c r="N201" s="24"/>
      <c r="O201" s="41"/>
      <c r="P201" s="41"/>
      <c r="Q201" s="24"/>
      <c r="R201" s="24"/>
      <c r="S201" s="41"/>
      <c r="T201" s="26"/>
      <c r="U201" s="41"/>
      <c r="V201" s="41"/>
      <c r="W201" s="41"/>
      <c r="X201" s="37" t="s">
        <v>243</v>
      </c>
    </row>
    <row r="202" ht="14.25" customHeight="1">
      <c r="A202" s="24"/>
      <c r="B202" s="54" t="s">
        <v>248</v>
      </c>
      <c r="C202" s="16" t="s">
        <v>46</v>
      </c>
      <c r="D202" s="14">
        <v>500.0</v>
      </c>
      <c r="E202" s="17" t="str">
        <f>IFERROR(__xludf.DUMMYFUNCTION("REGEXREPLACE(GOOGLETRANSLATE(B202,""RU"",""EN""),"" "",""_"")"),"Thermal_printer")</f>
        <v>Thermal_printer</v>
      </c>
      <c r="F202" s="51" t="s">
        <v>47</v>
      </c>
      <c r="G202" s="16" t="s">
        <v>48</v>
      </c>
      <c r="H202" s="16" t="s">
        <v>46</v>
      </c>
      <c r="I202" s="40"/>
      <c r="J202" s="40"/>
      <c r="K202" s="41"/>
      <c r="L202" s="26"/>
      <c r="M202" s="26"/>
      <c r="N202" s="24"/>
      <c r="O202" s="41"/>
      <c r="P202" s="41"/>
      <c r="Q202" s="24"/>
      <c r="R202" s="24"/>
      <c r="S202" s="41"/>
      <c r="T202" s="26"/>
      <c r="U202" s="41"/>
      <c r="V202" s="41"/>
      <c r="W202" s="41"/>
      <c r="X202" s="37" t="s">
        <v>243</v>
      </c>
    </row>
    <row r="203" ht="14.25" customHeight="1">
      <c r="A203" s="24"/>
      <c r="B203" s="54" t="s">
        <v>249</v>
      </c>
      <c r="C203" s="16" t="s">
        <v>46</v>
      </c>
      <c r="D203" s="14">
        <v>500.0</v>
      </c>
      <c r="E203" s="17" t="str">
        <f>IFERROR(__xludf.DUMMYFUNCTION("REGEXREPLACE(GOOGLETRANSLATE(B203,""RU"",""EN""),"" "",""_"")"),"Remote_control")</f>
        <v>Remote_control</v>
      </c>
      <c r="F203" s="51" t="s">
        <v>71</v>
      </c>
      <c r="G203" s="16" t="s">
        <v>48</v>
      </c>
      <c r="H203" s="16" t="s">
        <v>46</v>
      </c>
      <c r="I203" s="40"/>
      <c r="J203" s="40"/>
      <c r="K203" s="41"/>
      <c r="L203" s="26"/>
      <c r="M203" s="26"/>
      <c r="N203" s="24"/>
      <c r="O203" s="41"/>
      <c r="P203" s="41"/>
      <c r="Q203" s="24"/>
      <c r="R203" s="24"/>
      <c r="S203" s="41"/>
      <c r="T203" s="26"/>
      <c r="U203" s="41"/>
      <c r="V203" s="41"/>
      <c r="W203" s="41"/>
      <c r="X203" s="37" t="s">
        <v>243</v>
      </c>
    </row>
    <row r="204" ht="14.25" customHeight="1">
      <c r="A204" s="24"/>
      <c r="B204" s="54" t="s">
        <v>250</v>
      </c>
      <c r="C204" s="16" t="s">
        <v>46</v>
      </c>
      <c r="D204" s="14">
        <v>500.0</v>
      </c>
      <c r="E204" s="17" t="str">
        <f>IFERROR(__xludf.DUMMYFUNCTION("REGEXREPLACE(GOOGLETRANSLATE(B204,""RU"",""EN""),"" "",""_"")"),"Fixed_trends")</f>
        <v>Fixed_trends</v>
      </c>
      <c r="F204" s="51" t="s">
        <v>47</v>
      </c>
      <c r="G204" s="16" t="s">
        <v>48</v>
      </c>
      <c r="H204" s="16" t="s">
        <v>46</v>
      </c>
      <c r="I204" s="40"/>
      <c r="J204" s="40"/>
      <c r="K204" s="41"/>
      <c r="L204" s="26"/>
      <c r="M204" s="26"/>
      <c r="N204" s="24"/>
      <c r="O204" s="41"/>
      <c r="P204" s="41"/>
      <c r="Q204" s="24"/>
      <c r="R204" s="24"/>
      <c r="S204" s="41"/>
      <c r="T204" s="26"/>
      <c r="U204" s="41"/>
      <c r="V204" s="41"/>
      <c r="W204" s="41"/>
      <c r="X204" s="37" t="s">
        <v>243</v>
      </c>
    </row>
    <row r="205" ht="14.25" customHeight="1">
      <c r="A205" s="24"/>
      <c r="B205" s="54" t="s">
        <v>251</v>
      </c>
      <c r="C205" s="16" t="s">
        <v>46</v>
      </c>
      <c r="D205" s="14">
        <v>500.0</v>
      </c>
      <c r="E205" s="17" t="str">
        <f>IFERROR(__xludf.DUMMYFUNCTION("REGEXREPLACE(GOOGLETRANSLATE(B205,""RU"",""EN""),"" "",""_"")"),"Number_of_curves_displayed_
ECG")</f>
        <v>Number_of_curves_displayed_
ECG</v>
      </c>
      <c r="F205" s="51" t="s">
        <v>47</v>
      </c>
      <c r="G205" s="16" t="s">
        <v>48</v>
      </c>
      <c r="H205" s="16" t="s">
        <v>46</v>
      </c>
      <c r="I205" s="40"/>
      <c r="J205" s="40"/>
      <c r="K205" s="41"/>
      <c r="L205" s="26"/>
      <c r="M205" s="26"/>
      <c r="N205" s="24"/>
      <c r="O205" s="41"/>
      <c r="P205" s="41"/>
      <c r="Q205" s="24"/>
      <c r="R205" s="24"/>
      <c r="S205" s="41"/>
      <c r="T205" s="26"/>
      <c r="U205" s="41"/>
      <c r="V205" s="41"/>
      <c r="W205" s="41"/>
      <c r="X205" s="37" t="s">
        <v>243</v>
      </c>
    </row>
    <row r="206" ht="14.25" customHeight="1">
      <c r="A206" s="24"/>
      <c r="B206" s="54" t="s">
        <v>252</v>
      </c>
      <c r="C206" s="16" t="s">
        <v>46</v>
      </c>
      <c r="D206" s="14">
        <v>500.0</v>
      </c>
      <c r="E206" s="17" t="str">
        <f>IFERROR(__xludf.DUMMYFUNCTION("REGEXREPLACE(GOOGLETRANSLATE(B206,""RU"",""EN""),"" "",""_"")"),"Capnography_(CO2)")</f>
        <v>Capnography_(CO2)</v>
      </c>
      <c r="F206" s="51" t="s">
        <v>71</v>
      </c>
      <c r="G206" s="16" t="s">
        <v>48</v>
      </c>
      <c r="H206" s="16" t="s">
        <v>46</v>
      </c>
      <c r="I206" s="40"/>
      <c r="J206" s="40"/>
      <c r="K206" s="41"/>
      <c r="L206" s="26"/>
      <c r="M206" s="26"/>
      <c r="N206" s="24"/>
      <c r="O206" s="41"/>
      <c r="P206" s="41"/>
      <c r="Q206" s="24"/>
      <c r="R206" s="24"/>
      <c r="S206" s="41"/>
      <c r="T206" s="26"/>
      <c r="U206" s="41"/>
      <c r="V206" s="41"/>
      <c r="W206" s="41"/>
      <c r="X206" s="37" t="s">
        <v>243</v>
      </c>
    </row>
    <row r="207" ht="14.25" customHeight="1">
      <c r="A207" s="24"/>
      <c r="B207" s="54" t="s">
        <v>253</v>
      </c>
      <c r="C207" s="16" t="s">
        <v>46</v>
      </c>
      <c r="D207" s="14">
        <v>500.0</v>
      </c>
      <c r="E207" s="17" t="str">
        <f>IFERROR(__xludf.DUMMYFUNCTION("REGEXREPLACE(GOOGLETRANSLATE(B207,""RU"",""EN""),"" "",""_"")"),"Sound_alarm
alarms")</f>
        <v>Sound_alarm
alarms</v>
      </c>
      <c r="F207" s="51" t="s">
        <v>71</v>
      </c>
      <c r="G207" s="16" t="s">
        <v>48</v>
      </c>
      <c r="H207" s="16" t="s">
        <v>46</v>
      </c>
      <c r="I207" s="40"/>
      <c r="J207" s="40"/>
      <c r="K207" s="41"/>
      <c r="L207" s="26"/>
      <c r="M207" s="26"/>
      <c r="N207" s="24"/>
      <c r="O207" s="41"/>
      <c r="P207" s="41"/>
      <c r="Q207" s="24"/>
      <c r="R207" s="24"/>
      <c r="S207" s="41"/>
      <c r="T207" s="26"/>
      <c r="U207" s="41"/>
      <c r="V207" s="41"/>
      <c r="W207" s="41"/>
      <c r="X207" s="37" t="s">
        <v>243</v>
      </c>
    </row>
    <row r="208" ht="14.25" customHeight="1">
      <c r="A208" s="24"/>
      <c r="B208" s="54" t="s">
        <v>254</v>
      </c>
      <c r="C208" s="16" t="s">
        <v>46</v>
      </c>
      <c r="D208" s="14">
        <v>500.0</v>
      </c>
      <c r="E208" s="17" t="str">
        <f>IFERROR(__xludf.DUMMYFUNCTION("REGEXREPLACE(GOOGLETRANSLATE(B208,""RU"",""EN""),"" "",""_"")"),"Light_signaling")</f>
        <v>Light_signaling</v>
      </c>
      <c r="F208" s="51" t="s">
        <v>71</v>
      </c>
      <c r="G208" s="16" t="s">
        <v>48</v>
      </c>
      <c r="H208" s="16" t="s">
        <v>46</v>
      </c>
      <c r="I208" s="40"/>
      <c r="J208" s="40"/>
      <c r="K208" s="41"/>
      <c r="L208" s="26"/>
      <c r="M208" s="26"/>
      <c r="N208" s="24"/>
      <c r="O208" s="41"/>
      <c r="P208" s="41"/>
      <c r="Q208" s="24"/>
      <c r="R208" s="24"/>
      <c r="S208" s="41"/>
      <c r="T208" s="26"/>
      <c r="U208" s="41"/>
      <c r="V208" s="41"/>
      <c r="W208" s="41"/>
      <c r="X208" s="37" t="s">
        <v>243</v>
      </c>
    </row>
    <row r="209" ht="14.25" customHeight="1">
      <c r="A209" s="24"/>
      <c r="B209" s="54" t="s">
        <v>255</v>
      </c>
      <c r="C209" s="16" t="s">
        <v>46</v>
      </c>
      <c r="D209" s="14">
        <v>500.0</v>
      </c>
      <c r="E209" s="17" t="str">
        <f>IFERROR(__xludf.DUMMYFUNCTION("REGEXREPLACE(GOOGLETRANSLATE(B209,""RU"",""EN""),"" "",""_"")"),"Built-in_battery_")</f>
        <v>Built-in_battery_</v>
      </c>
      <c r="F209" s="51" t="s">
        <v>71</v>
      </c>
      <c r="G209" s="16" t="s">
        <v>48</v>
      </c>
      <c r="H209" s="16" t="s">
        <v>46</v>
      </c>
      <c r="I209" s="40"/>
      <c r="J209" s="40"/>
      <c r="K209" s="41"/>
      <c r="L209" s="26"/>
      <c r="M209" s="26"/>
      <c r="N209" s="24"/>
      <c r="O209" s="41"/>
      <c r="P209" s="41"/>
      <c r="Q209" s="24"/>
      <c r="R209" s="24"/>
      <c r="S209" s="41"/>
      <c r="T209" s="26"/>
      <c r="U209" s="41"/>
      <c r="V209" s="41"/>
      <c r="W209" s="41"/>
      <c r="X209" s="37" t="s">
        <v>243</v>
      </c>
    </row>
    <row r="210" ht="14.25" customHeight="1">
      <c r="A210" s="24"/>
      <c r="B210" s="54" t="s">
        <v>256</v>
      </c>
      <c r="C210" s="16" t="s">
        <v>46</v>
      </c>
      <c r="D210" s="14">
        <v>500.0</v>
      </c>
      <c r="E210" s="17" t="str">
        <f>IFERROR(__xludf.DUMMYFUNCTION("REGEXREPLACE(GOOGLETRANSLATE(B210,""RU"",""EN""),"" "",""_"")"),"Built-in_operating_time_
battery")</f>
        <v>Built-in_operating_time_
battery</v>
      </c>
      <c r="F210" s="51" t="s">
        <v>48</v>
      </c>
      <c r="G210" s="16" t="s">
        <v>48</v>
      </c>
      <c r="H210" s="16" t="s">
        <v>46</v>
      </c>
      <c r="I210" s="40"/>
      <c r="J210" s="40"/>
      <c r="K210" s="41"/>
      <c r="L210" s="26"/>
      <c r="M210" s="26"/>
      <c r="N210" s="24"/>
      <c r="O210" s="41"/>
      <c r="P210" s="41"/>
      <c r="Q210" s="24"/>
      <c r="R210" s="24"/>
      <c r="S210" s="41"/>
      <c r="T210" s="26"/>
      <c r="U210" s="41"/>
      <c r="V210" s="41"/>
      <c r="W210" s="41"/>
      <c r="X210" s="37" t="s">
        <v>243</v>
      </c>
    </row>
    <row r="211" ht="14.25" customHeight="1">
      <c r="A211" s="24"/>
      <c r="B211" s="54" t="s">
        <v>257</v>
      </c>
      <c r="C211" s="16" t="s">
        <v>46</v>
      </c>
      <c r="D211" s="14">
        <v>500.0</v>
      </c>
      <c r="E211" s="17" t="str">
        <f>IFERROR(__xludf.DUMMYFUNCTION("REGEXREPLACE(GOOGLETRANSLATE(B211,""RU"",""EN""),"" "",""_"")"),"Voltage")</f>
        <v>Voltage</v>
      </c>
      <c r="F211" s="51" t="s">
        <v>48</v>
      </c>
      <c r="G211" s="16" t="s">
        <v>48</v>
      </c>
      <c r="H211" s="16" t="s">
        <v>46</v>
      </c>
      <c r="I211" s="40"/>
      <c r="J211" s="40"/>
      <c r="K211" s="41"/>
      <c r="L211" s="26"/>
      <c r="M211" s="26"/>
      <c r="N211" s="24"/>
      <c r="O211" s="41"/>
      <c r="P211" s="41"/>
      <c r="Q211" s="24"/>
      <c r="R211" s="24"/>
      <c r="S211" s="41"/>
      <c r="T211" s="26"/>
      <c r="U211" s="41"/>
      <c r="V211" s="41"/>
      <c r="W211" s="41"/>
      <c r="X211" s="37" t="s">
        <v>243</v>
      </c>
    </row>
    <row r="212" ht="14.25" customHeight="1">
      <c r="A212" s="24"/>
      <c r="B212" s="54" t="s">
        <v>258</v>
      </c>
      <c r="C212" s="16" t="s">
        <v>46</v>
      </c>
      <c r="D212" s="14">
        <v>500.0</v>
      </c>
      <c r="E212" s="17" t="str">
        <f>IFERROR(__xludf.DUMMYFUNCTION("REGEXREPLACE(GOOGLETRANSLATE(B212,""RU"",""EN""),"" "",""_"")"),"Heart_rate_measurement_range_")</f>
        <v>Heart_rate_measurement_range_</v>
      </c>
      <c r="F212" s="51" t="s">
        <v>48</v>
      </c>
      <c r="G212" s="16" t="s">
        <v>48</v>
      </c>
      <c r="H212" s="16" t="s">
        <v>46</v>
      </c>
      <c r="I212" s="40"/>
      <c r="J212" s="40"/>
      <c r="K212" s="41"/>
      <c r="L212" s="26"/>
      <c r="M212" s="26"/>
      <c r="N212" s="24"/>
      <c r="O212" s="41"/>
      <c r="P212" s="41"/>
      <c r="Q212" s="24"/>
      <c r="R212" s="24"/>
      <c r="S212" s="41"/>
      <c r="T212" s="26"/>
      <c r="U212" s="41"/>
      <c r="V212" s="41"/>
      <c r="W212" s="41"/>
      <c r="X212" s="37" t="s">
        <v>243</v>
      </c>
    </row>
    <row r="213" ht="14.25" customHeight="1">
      <c r="A213" s="24"/>
      <c r="B213" s="54" t="s">
        <v>259</v>
      </c>
      <c r="C213" s="16" t="s">
        <v>46</v>
      </c>
      <c r="D213" s="14">
        <v>500.0</v>
      </c>
      <c r="E213" s="17" t="str">
        <f>IFERROR(__xludf.DUMMYFUNCTION("REGEXREPLACE(GOOGLETRANSLATE(B213,""RU"",""EN""),"" "",""_"")"),"EEG_module")</f>
        <v>EEG_module</v>
      </c>
      <c r="F213" s="51" t="s">
        <v>71</v>
      </c>
      <c r="G213" s="16" t="s">
        <v>48</v>
      </c>
      <c r="H213" s="16" t="s">
        <v>46</v>
      </c>
      <c r="I213" s="40"/>
      <c r="J213" s="40"/>
      <c r="K213" s="41"/>
      <c r="L213" s="26"/>
      <c r="M213" s="26"/>
      <c r="N213" s="24"/>
      <c r="O213" s="41"/>
      <c r="P213" s="41"/>
      <c r="Q213" s="24"/>
      <c r="R213" s="24"/>
      <c r="S213" s="41"/>
      <c r="T213" s="26"/>
      <c r="U213" s="41"/>
      <c r="V213" s="41"/>
      <c r="W213" s="41"/>
      <c r="X213" s="37" t="s">
        <v>243</v>
      </c>
    </row>
    <row r="214" ht="14.25" customHeight="1">
      <c r="A214" s="24"/>
      <c r="B214" s="54" t="s">
        <v>260</v>
      </c>
      <c r="C214" s="16" t="s">
        <v>46</v>
      </c>
      <c r="D214" s="14">
        <v>500.0</v>
      </c>
      <c r="E214" s="17" t="str">
        <f>IFERROR(__xludf.DUMMYFUNCTION("REGEXREPLACE(GOOGLETRANSLATE(B214,""RU"",""EN""),"" "",""_"")"),"Number_of_standard_leads")</f>
        <v>Number_of_standard_leads</v>
      </c>
      <c r="F214" s="51" t="s">
        <v>47</v>
      </c>
      <c r="G214" s="16" t="s">
        <v>48</v>
      </c>
      <c r="H214" s="16" t="s">
        <v>46</v>
      </c>
      <c r="I214" s="40"/>
      <c r="J214" s="40"/>
      <c r="K214" s="41"/>
      <c r="L214" s="26"/>
      <c r="M214" s="26"/>
      <c r="N214" s="24"/>
      <c r="O214" s="41"/>
      <c r="P214" s="41"/>
      <c r="Q214" s="24"/>
      <c r="R214" s="24"/>
      <c r="S214" s="41"/>
      <c r="T214" s="26"/>
      <c r="U214" s="41"/>
      <c r="V214" s="41"/>
      <c r="W214" s="41"/>
      <c r="X214" s="37" t="s">
        <v>243</v>
      </c>
    </row>
    <row r="215" ht="14.25" customHeight="1">
      <c r="A215" s="24"/>
      <c r="B215" s="54" t="s">
        <v>261</v>
      </c>
      <c r="C215" s="16" t="s">
        <v>46</v>
      </c>
      <c r="D215" s="14">
        <v>500.0</v>
      </c>
      <c r="E215" s="17" t="str">
        <f>IFERROR(__xludf.DUMMYFUNCTION("REGEXREPLACE(GOOGLETRANSLATE(B215,""RU"",""EN""),"" "",""_"")"),"Mattress_height_cm")</f>
        <v>Mattress_height_cm</v>
      </c>
      <c r="F215" s="51" t="s">
        <v>48</v>
      </c>
      <c r="G215" s="16" t="s">
        <v>48</v>
      </c>
      <c r="H215" s="16" t="s">
        <v>46</v>
      </c>
      <c r="I215" s="40"/>
      <c r="J215" s="40"/>
      <c r="K215" s="41"/>
      <c r="L215" s="26"/>
      <c r="M215" s="26"/>
      <c r="N215" s="24"/>
      <c r="O215" s="41"/>
      <c r="P215" s="41"/>
      <c r="Q215" s="24"/>
      <c r="R215" s="24"/>
      <c r="S215" s="41"/>
      <c r="T215" s="26"/>
      <c r="U215" s="41"/>
      <c r="V215" s="41"/>
      <c r="W215" s="41"/>
      <c r="X215" s="31" t="s">
        <v>262</v>
      </c>
    </row>
    <row r="216" ht="14.25" customHeight="1">
      <c r="A216" s="24"/>
      <c r="B216" s="54" t="s">
        <v>263</v>
      </c>
      <c r="C216" s="16" t="s">
        <v>46</v>
      </c>
      <c r="D216" s="14">
        <v>500.0</v>
      </c>
      <c r="E216" s="17" t="str">
        <f>IFERROR(__xludf.DUMMYFUNCTION("REGEXREPLACE(GOOGLETRANSLATE(B216,""RU"",""EN""),"" "",""_"")"),"Construction_type")</f>
        <v>Construction_type</v>
      </c>
      <c r="F216" s="51" t="s">
        <v>56</v>
      </c>
      <c r="G216" s="16" t="s">
        <v>48</v>
      </c>
      <c r="H216" s="16" t="s">
        <v>46</v>
      </c>
      <c r="I216" s="40"/>
      <c r="J216" s="40"/>
      <c r="K216" s="41"/>
      <c r="L216" s="26"/>
      <c r="M216" s="26"/>
      <c r="N216" s="24"/>
      <c r="O216" s="41"/>
      <c r="P216" s="41"/>
      <c r="Q216" s="24"/>
      <c r="R216" s="24"/>
      <c r="S216" s="41"/>
      <c r="T216" s="26"/>
      <c r="U216" s="41"/>
      <c r="V216" s="41"/>
      <c r="W216" s="41"/>
      <c r="X216" s="31" t="s">
        <v>262</v>
      </c>
    </row>
    <row r="217" ht="14.25" customHeight="1">
      <c r="A217" s="24"/>
      <c r="B217" s="54" t="s">
        <v>149</v>
      </c>
      <c r="C217" s="16" t="s">
        <v>46</v>
      </c>
      <c r="D217" s="14">
        <v>500.0</v>
      </c>
      <c r="E217" s="17" t="str">
        <f>IFERROR(__xludf.DUMMYFUNCTION("REGEXREPLACE(GOOGLETRANSLATE(B217,""RU"",""EN""),"" "",""_"")"),"Chair_type")</f>
        <v>Chair_type</v>
      </c>
      <c r="F217" s="51" t="s">
        <v>47</v>
      </c>
      <c r="G217" s="16" t="s">
        <v>48</v>
      </c>
      <c r="H217" s="16" t="s">
        <v>46</v>
      </c>
      <c r="I217" s="40"/>
      <c r="J217" s="40"/>
      <c r="K217" s="41"/>
      <c r="L217" s="26"/>
      <c r="M217" s="26"/>
      <c r="N217" s="24"/>
      <c r="O217" s="41"/>
      <c r="P217" s="41"/>
      <c r="Q217" s="24"/>
      <c r="R217" s="24"/>
      <c r="S217" s="41"/>
      <c r="T217" s="26"/>
      <c r="U217" s="41"/>
      <c r="V217" s="41"/>
      <c r="W217" s="41"/>
      <c r="X217" s="31" t="s">
        <v>262</v>
      </c>
    </row>
    <row r="218" ht="14.25" customHeight="1">
      <c r="A218" s="24"/>
      <c r="B218" s="54" t="s">
        <v>264</v>
      </c>
      <c r="C218" s="16" t="s">
        <v>46</v>
      </c>
      <c r="D218" s="14">
        <v>500.0</v>
      </c>
      <c r="E218" s="17" t="str">
        <f>IFERROR(__xludf.DUMMYFUNCTION("REGEXREPLACE(GOOGLETRANSLATE(B218,""RU"",""EN""),"" "",""_"")"),"Height_from_floor")</f>
        <v>Height_from_floor</v>
      </c>
      <c r="F218" s="51" t="s">
        <v>48</v>
      </c>
      <c r="G218" s="16" t="s">
        <v>48</v>
      </c>
      <c r="H218" s="16" t="s">
        <v>46</v>
      </c>
      <c r="I218" s="40"/>
      <c r="J218" s="40"/>
      <c r="K218" s="41"/>
      <c r="L218" s="26"/>
      <c r="M218" s="26"/>
      <c r="N218" s="24"/>
      <c r="O218" s="41"/>
      <c r="P218" s="41"/>
      <c r="Q218" s="24"/>
      <c r="R218" s="24"/>
      <c r="S218" s="41"/>
      <c r="T218" s="26"/>
      <c r="U218" s="41"/>
      <c r="V218" s="41"/>
      <c r="W218" s="41"/>
      <c r="X218" s="31" t="s">
        <v>262</v>
      </c>
    </row>
    <row r="219" ht="14.25" customHeight="1">
      <c r="A219" s="24"/>
      <c r="B219" s="54" t="s">
        <v>265</v>
      </c>
      <c r="C219" s="16" t="s">
        <v>46</v>
      </c>
      <c r="D219" s="14">
        <v>500.0</v>
      </c>
      <c r="E219" s="17" t="str">
        <f>IFERROR(__xludf.DUMMYFUNCTION("REGEXREPLACE(GOOGLETRANSLATE(B219,""RU"",""EN""),"" "",""_"")"),"Material_of_manufacture")</f>
        <v>Material_of_manufacture</v>
      </c>
      <c r="F219" s="51" t="s">
        <v>47</v>
      </c>
      <c r="G219" s="16" t="s">
        <v>48</v>
      </c>
      <c r="H219" s="16" t="s">
        <v>46</v>
      </c>
      <c r="I219" s="40"/>
      <c r="J219" s="40"/>
      <c r="K219" s="41"/>
      <c r="L219" s="26"/>
      <c r="M219" s="26"/>
      <c r="N219" s="24"/>
      <c r="O219" s="41"/>
      <c r="P219" s="41"/>
      <c r="Q219" s="24"/>
      <c r="R219" s="24"/>
      <c r="S219" s="41"/>
      <c r="T219" s="26"/>
      <c r="U219" s="41"/>
      <c r="V219" s="41"/>
      <c r="W219" s="41"/>
      <c r="X219" s="31" t="s">
        <v>262</v>
      </c>
    </row>
    <row r="220" ht="14.25" customHeight="1">
      <c r="A220" s="24"/>
      <c r="B220" s="54" t="s">
        <v>266</v>
      </c>
      <c r="C220" s="16" t="s">
        <v>46</v>
      </c>
      <c r="D220" s="14">
        <v>500.0</v>
      </c>
      <c r="E220" s="17" t="str">
        <f>IFERROR(__xludf.DUMMYFUNCTION("REGEXREPLACE(GOOGLETRANSLATE(B220,""RU"",""EN""),"" "",""_"")"),"Load_capacity_kg")</f>
        <v>Load_capacity_kg</v>
      </c>
      <c r="F220" s="51" t="s">
        <v>48</v>
      </c>
      <c r="G220" s="16" t="s">
        <v>48</v>
      </c>
      <c r="H220" s="16" t="s">
        <v>46</v>
      </c>
      <c r="I220" s="40"/>
      <c r="J220" s="40"/>
      <c r="K220" s="41"/>
      <c r="L220" s="26"/>
      <c r="M220" s="26"/>
      <c r="N220" s="24"/>
      <c r="O220" s="41"/>
      <c r="P220" s="41"/>
      <c r="Q220" s="24"/>
      <c r="R220" s="24"/>
      <c r="S220" s="41"/>
      <c r="T220" s="26"/>
      <c r="U220" s="41"/>
      <c r="V220" s="41"/>
      <c r="W220" s="41"/>
      <c r="X220" s="31" t="s">
        <v>262</v>
      </c>
    </row>
    <row r="221" ht="14.25" customHeight="1">
      <c r="A221" s="24"/>
      <c r="B221" s="54" t="s">
        <v>135</v>
      </c>
      <c r="C221" s="16" t="s">
        <v>46</v>
      </c>
      <c r="D221" s="14">
        <v>500.0</v>
      </c>
      <c r="E221" s="17" t="str">
        <f>IFERROR(__xludf.DUMMYFUNCTION("REGEXREPLACE(GOOGLETRANSLATE(B221,""RU"",""EN""),"" "",""_"")"),"Height_adjustment")</f>
        <v>Height_adjustment</v>
      </c>
      <c r="F221" s="51" t="s">
        <v>71</v>
      </c>
      <c r="G221" s="16" t="s">
        <v>48</v>
      </c>
      <c r="H221" s="16" t="s">
        <v>46</v>
      </c>
      <c r="I221" s="40"/>
      <c r="J221" s="40"/>
      <c r="K221" s="41"/>
      <c r="L221" s="26"/>
      <c r="M221" s="26"/>
      <c r="N221" s="24"/>
      <c r="O221" s="41"/>
      <c r="P221" s="41"/>
      <c r="Q221" s="24"/>
      <c r="R221" s="24"/>
      <c r="S221" s="41"/>
      <c r="T221" s="26"/>
      <c r="U221" s="41"/>
      <c r="V221" s="41"/>
      <c r="W221" s="41"/>
      <c r="X221" s="31" t="s">
        <v>262</v>
      </c>
    </row>
    <row r="222" ht="14.25" customHeight="1">
      <c r="A222" s="24"/>
      <c r="B222" s="54" t="s">
        <v>267</v>
      </c>
      <c r="C222" s="16" t="s">
        <v>46</v>
      </c>
      <c r="D222" s="14">
        <v>500.0</v>
      </c>
      <c r="E222" s="17" t="str">
        <f>IFERROR(__xludf.DUMMYFUNCTION("REGEXREPLACE(GOOGLETRANSLATE(B222,""RU"",""EN""),"" "",""_"")"),"Number_of_sections")</f>
        <v>Number_of_sections</v>
      </c>
      <c r="F222" s="51" t="s">
        <v>48</v>
      </c>
      <c r="G222" s="16" t="s">
        <v>48</v>
      </c>
      <c r="H222" s="16" t="s">
        <v>46</v>
      </c>
      <c r="I222" s="40"/>
      <c r="J222" s="40"/>
      <c r="K222" s="41"/>
      <c r="L222" s="26"/>
      <c r="M222" s="26"/>
      <c r="N222" s="24"/>
      <c r="O222" s="41"/>
      <c r="P222" s="41"/>
      <c r="Q222" s="24"/>
      <c r="R222" s="24"/>
      <c r="S222" s="41"/>
      <c r="T222" s="26"/>
      <c r="U222" s="41"/>
      <c r="V222" s="41"/>
      <c r="W222" s="41"/>
      <c r="X222" s="31" t="s">
        <v>262</v>
      </c>
    </row>
    <row r="223" ht="14.25" customHeight="1">
      <c r="A223" s="24"/>
      <c r="B223" s="54" t="s">
        <v>268</v>
      </c>
      <c r="C223" s="16" t="s">
        <v>46</v>
      </c>
      <c r="D223" s="14">
        <v>500.0</v>
      </c>
      <c r="E223" s="17" t="str">
        <f>IFERROR(__xludf.DUMMYFUNCTION("REGEXREPLACE(GOOGLETRANSLATE(B223,""RU"",""EN""),"" "",""_"")"),"Head_section_tilt")</f>
        <v>Head_section_tilt</v>
      </c>
      <c r="F223" s="51" t="s">
        <v>71</v>
      </c>
      <c r="G223" s="16" t="s">
        <v>48</v>
      </c>
      <c r="H223" s="16" t="s">
        <v>46</v>
      </c>
      <c r="I223" s="40"/>
      <c r="J223" s="40"/>
      <c r="K223" s="41"/>
      <c r="L223" s="26"/>
      <c r="M223" s="26"/>
      <c r="N223" s="24"/>
      <c r="O223" s="41"/>
      <c r="P223" s="41"/>
      <c r="Q223" s="24"/>
      <c r="R223" s="24"/>
      <c r="S223" s="41"/>
      <c r="T223" s="26"/>
      <c r="U223" s="41"/>
      <c r="V223" s="41"/>
      <c r="W223" s="41"/>
      <c r="X223" s="31" t="s">
        <v>262</v>
      </c>
    </row>
    <row r="224" ht="14.25" customHeight="1">
      <c r="A224" s="24"/>
      <c r="B224" s="54" t="s">
        <v>269</v>
      </c>
      <c r="C224" s="16" t="s">
        <v>46</v>
      </c>
      <c r="D224" s="14">
        <v>500.0</v>
      </c>
      <c r="E224" s="17" t="str">
        <f>IFERROR(__xludf.DUMMYFUNCTION("REGEXREPLACE(GOOGLETRANSLATE(B224,""RU"",""EN""),"" "",""_"")"),"Back_section_tilt")</f>
        <v>Back_section_tilt</v>
      </c>
      <c r="F224" s="51" t="s">
        <v>71</v>
      </c>
      <c r="G224" s="16" t="s">
        <v>48</v>
      </c>
      <c r="H224" s="16" t="s">
        <v>46</v>
      </c>
      <c r="I224" s="40"/>
      <c r="J224" s="40"/>
      <c r="K224" s="41"/>
      <c r="L224" s="26"/>
      <c r="M224" s="26"/>
      <c r="N224" s="24"/>
      <c r="O224" s="41"/>
      <c r="P224" s="41"/>
      <c r="Q224" s="24"/>
      <c r="R224" s="24"/>
      <c r="S224" s="41"/>
      <c r="T224" s="26"/>
      <c r="U224" s="41"/>
      <c r="V224" s="41"/>
      <c r="W224" s="41"/>
      <c r="X224" s="31" t="s">
        <v>262</v>
      </c>
    </row>
    <row r="225" ht="14.25" customHeight="1">
      <c r="A225" s="24"/>
      <c r="B225" s="54" t="s">
        <v>270</v>
      </c>
      <c r="C225" s="16" t="s">
        <v>46</v>
      </c>
      <c r="D225" s="14">
        <v>500.0</v>
      </c>
      <c r="E225" s="17" t="str">
        <f>IFERROR(__xludf.DUMMYFUNCTION("REGEXREPLACE(GOOGLETRANSLATE(B225,""RU"",""EN""),"" "",""_"")"),"Infusion_stand")</f>
        <v>Infusion_stand</v>
      </c>
      <c r="F225" s="51" t="s">
        <v>71</v>
      </c>
      <c r="G225" s="16" t="s">
        <v>48</v>
      </c>
      <c r="H225" s="16" t="s">
        <v>46</v>
      </c>
      <c r="I225" s="40"/>
      <c r="J225" s="40"/>
      <c r="K225" s="41"/>
      <c r="L225" s="26"/>
      <c r="M225" s="26"/>
      <c r="N225" s="24"/>
      <c r="O225" s="41"/>
      <c r="P225" s="41"/>
      <c r="Q225" s="24"/>
      <c r="R225" s="24"/>
      <c r="S225" s="41"/>
      <c r="T225" s="26"/>
      <c r="U225" s="41"/>
      <c r="V225" s="41"/>
      <c r="W225" s="41"/>
      <c r="X225" s="31" t="s">
        <v>262</v>
      </c>
    </row>
    <row r="226" ht="14.25" customHeight="1">
      <c r="A226" s="24"/>
      <c r="B226" s="54" t="s">
        <v>271</v>
      </c>
      <c r="C226" s="16" t="s">
        <v>46</v>
      </c>
      <c r="D226" s="14">
        <v>500.0</v>
      </c>
      <c r="E226" s="17" t="str">
        <f>IFERROR(__xludf.DUMMYFUNCTION("REGEXREPLACE(GOOGLETRANSLATE(B226,""RU"",""EN""),"" "",""_"")"),"Removable_and_hanging_containers")</f>
        <v>Removable_and_hanging_containers</v>
      </c>
      <c r="F226" s="51" t="s">
        <v>71</v>
      </c>
      <c r="G226" s="16" t="s">
        <v>48</v>
      </c>
      <c r="H226" s="16" t="s">
        <v>46</v>
      </c>
      <c r="I226" s="40"/>
      <c r="J226" s="40"/>
      <c r="K226" s="41"/>
      <c r="L226" s="26"/>
      <c r="M226" s="26"/>
      <c r="N226" s="24"/>
      <c r="O226" s="41"/>
      <c r="P226" s="41"/>
      <c r="Q226" s="24"/>
      <c r="R226" s="24"/>
      <c r="S226" s="41"/>
      <c r="T226" s="26"/>
      <c r="U226" s="41"/>
      <c r="V226" s="41"/>
      <c r="W226" s="41"/>
      <c r="X226" s="31" t="s">
        <v>262</v>
      </c>
    </row>
    <row r="227" ht="14.25" customHeight="1">
      <c r="A227" s="24"/>
      <c r="B227" s="54" t="s">
        <v>272</v>
      </c>
      <c r="C227" s="16" t="s">
        <v>46</v>
      </c>
      <c r="D227" s="14">
        <v>500.0</v>
      </c>
      <c r="E227" s="17" t="str">
        <f>IFERROR(__xludf.DUMMYFUNCTION("REGEXREPLACE(GOOGLETRANSLATE(B227,""RU"",""EN""),"" "",""_"")"),"Wheel_type")</f>
        <v>Wheel_type</v>
      </c>
      <c r="F227" s="51" t="s">
        <v>47</v>
      </c>
      <c r="G227" s="16" t="s">
        <v>48</v>
      </c>
      <c r="H227" s="16" t="s">
        <v>46</v>
      </c>
      <c r="I227" s="40"/>
      <c r="J227" s="40"/>
      <c r="K227" s="41"/>
      <c r="L227" s="26"/>
      <c r="M227" s="26"/>
      <c r="N227" s="24"/>
      <c r="O227" s="41"/>
      <c r="P227" s="41"/>
      <c r="Q227" s="24"/>
      <c r="R227" s="24"/>
      <c r="S227" s="41"/>
      <c r="T227" s="26"/>
      <c r="U227" s="41"/>
      <c r="V227" s="41"/>
      <c r="W227" s="41"/>
      <c r="X227" s="31" t="s">
        <v>262</v>
      </c>
    </row>
    <row r="228" ht="14.25" customHeight="1">
      <c r="A228" s="24"/>
      <c r="B228" s="54" t="s">
        <v>273</v>
      </c>
      <c r="C228" s="16" t="s">
        <v>46</v>
      </c>
      <c r="D228" s="14">
        <v>500.0</v>
      </c>
      <c r="E228" s="17" t="str">
        <f>IFERROR(__xludf.DUMMYFUNCTION("REGEXREPLACE(GOOGLETRANSLATE(B228,""RU"",""EN""),"" "",""_"")"),"Wheel_diameter")</f>
        <v>Wheel_diameter</v>
      </c>
      <c r="F228" s="51" t="s">
        <v>48</v>
      </c>
      <c r="G228" s="16" t="s">
        <v>48</v>
      </c>
      <c r="H228" s="16" t="s">
        <v>46</v>
      </c>
      <c r="I228" s="40"/>
      <c r="J228" s="40"/>
      <c r="K228" s="41"/>
      <c r="L228" s="26"/>
      <c r="M228" s="26"/>
      <c r="N228" s="24"/>
      <c r="O228" s="41"/>
      <c r="P228" s="41"/>
      <c r="Q228" s="24"/>
      <c r="R228" s="24"/>
      <c r="S228" s="41"/>
      <c r="T228" s="26"/>
      <c r="U228" s="41"/>
      <c r="V228" s="41"/>
      <c r="W228" s="41"/>
      <c r="X228" s="31" t="s">
        <v>262</v>
      </c>
    </row>
    <row r="229" ht="14.25" customHeight="1">
      <c r="A229" s="24"/>
      <c r="B229" s="54" t="s">
        <v>127</v>
      </c>
      <c r="C229" s="16" t="s">
        <v>46</v>
      </c>
      <c r="D229" s="14">
        <v>500.0</v>
      </c>
      <c r="E229" s="17" t="str">
        <f>IFERROR(__xludf.DUMMYFUNCTION("REGEXREPLACE(GOOGLETRANSLATE(B229,""RU"",""EN""),"" "",""_"")"),"Additional_features")</f>
        <v>Additional_features</v>
      </c>
      <c r="F229" s="51" t="s">
        <v>47</v>
      </c>
      <c r="G229" s="16" t="s">
        <v>48</v>
      </c>
      <c r="H229" s="16" t="s">
        <v>46</v>
      </c>
      <c r="I229" s="40"/>
      <c r="J229" s="40"/>
      <c r="K229" s="41"/>
      <c r="L229" s="26"/>
      <c r="M229" s="26"/>
      <c r="N229" s="24"/>
      <c r="O229" s="41"/>
      <c r="P229" s="41"/>
      <c r="Q229" s="24"/>
      <c r="R229" s="24"/>
      <c r="S229" s="41"/>
      <c r="T229" s="26"/>
      <c r="U229" s="41"/>
      <c r="V229" s="41"/>
      <c r="W229" s="41"/>
      <c r="X229" s="31" t="s">
        <v>262</v>
      </c>
    </row>
    <row r="230" ht="14.25" customHeight="1">
      <c r="A230" s="24"/>
      <c r="B230" s="54" t="s">
        <v>274</v>
      </c>
      <c r="C230" s="16" t="s">
        <v>46</v>
      </c>
      <c r="D230" s="14">
        <v>500.0</v>
      </c>
      <c r="E230" s="17" t="str">
        <f>IFERROR(__xludf.DUMMYFUNCTION("REGEXREPLACE(GOOGLETRANSLATE(B230,""RU"",""EN""),"" "",""_"")"),"Depth_mm")</f>
        <v>Depth_mm</v>
      </c>
      <c r="F230" s="51" t="s">
        <v>48</v>
      </c>
      <c r="G230" s="16" t="s">
        <v>48</v>
      </c>
      <c r="H230" s="16" t="s">
        <v>46</v>
      </c>
      <c r="I230" s="40"/>
      <c r="J230" s="40"/>
      <c r="K230" s="41"/>
      <c r="L230" s="26"/>
      <c r="M230" s="26"/>
      <c r="N230" s="24"/>
      <c r="O230" s="41"/>
      <c r="P230" s="41"/>
      <c r="Q230" s="24"/>
      <c r="R230" s="24"/>
      <c r="S230" s="41"/>
      <c r="T230" s="26"/>
      <c r="U230" s="41"/>
      <c r="V230" s="41"/>
      <c r="W230" s="41"/>
      <c r="X230" s="37" t="s">
        <v>275</v>
      </c>
    </row>
    <row r="231" ht="14.25" customHeight="1">
      <c r="A231" s="24"/>
      <c r="B231" s="54" t="s">
        <v>276</v>
      </c>
      <c r="C231" s="16" t="s">
        <v>46</v>
      </c>
      <c r="D231" s="14">
        <v>500.0</v>
      </c>
      <c r="E231" s="17" t="str">
        <f>IFERROR(__xludf.DUMMYFUNCTION("REGEXREPLACE(GOOGLETRANSLATE(B231,""RU"",""EN""),"" "",""_"")"),"Device_type")</f>
        <v>Device_type</v>
      </c>
      <c r="F231" s="51" t="s">
        <v>47</v>
      </c>
      <c r="G231" s="16" t="s">
        <v>48</v>
      </c>
      <c r="H231" s="16" t="s">
        <v>46</v>
      </c>
      <c r="I231" s="40"/>
      <c r="J231" s="40"/>
      <c r="K231" s="41"/>
      <c r="L231" s="26"/>
      <c r="M231" s="26"/>
      <c r="N231" s="24"/>
      <c r="O231" s="41"/>
      <c r="P231" s="41"/>
      <c r="Q231" s="24"/>
      <c r="R231" s="24"/>
      <c r="S231" s="41"/>
      <c r="T231" s="26"/>
      <c r="U231" s="41"/>
      <c r="V231" s="41"/>
      <c r="W231" s="41"/>
      <c r="X231" s="37" t="s">
        <v>275</v>
      </c>
    </row>
    <row r="232" ht="14.25" customHeight="1">
      <c r="A232" s="24"/>
      <c r="B232" s="54" t="s">
        <v>277</v>
      </c>
      <c r="C232" s="16" t="s">
        <v>46</v>
      </c>
      <c r="D232" s="14">
        <v>500.0</v>
      </c>
      <c r="E232" s="17" t="str">
        <f>IFERROR(__xludf.DUMMYFUNCTION("REGEXREPLACE(GOOGLETRANSLATE(B232,""RU"",""EN""),"" "",""_"")"),"Control_method")</f>
        <v>Control_method</v>
      </c>
      <c r="F232" s="51" t="s">
        <v>47</v>
      </c>
      <c r="G232" s="16" t="s">
        <v>48</v>
      </c>
      <c r="H232" s="16" t="s">
        <v>46</v>
      </c>
      <c r="I232" s="40"/>
      <c r="J232" s="40"/>
      <c r="K232" s="41"/>
      <c r="L232" s="26"/>
      <c r="M232" s="26"/>
      <c r="N232" s="24"/>
      <c r="O232" s="41"/>
      <c r="P232" s="41"/>
      <c r="Q232" s="24"/>
      <c r="R232" s="24"/>
      <c r="S232" s="41"/>
      <c r="T232" s="26"/>
      <c r="U232" s="41"/>
      <c r="V232" s="41"/>
      <c r="W232" s="41"/>
      <c r="X232" s="37" t="s">
        <v>275</v>
      </c>
    </row>
    <row r="233" ht="14.25" customHeight="1">
      <c r="A233" s="24"/>
      <c r="B233" s="54" t="s">
        <v>278</v>
      </c>
      <c r="C233" s="16" t="s">
        <v>46</v>
      </c>
      <c r="D233" s="14">
        <v>500.0</v>
      </c>
      <c r="E233" s="17" t="str">
        <f>IFERROR(__xludf.DUMMYFUNCTION("REGEXREPLACE(GOOGLETRANSLATE(B233,""RU"",""EN""),"" "",""_"")"),"Monitor_type_(for_defibrillators_with_a_monitor)")</f>
        <v>Monitor_type_(for_defibrillators_with_a_monitor)</v>
      </c>
      <c r="F233" s="51" t="s">
        <v>71</v>
      </c>
      <c r="G233" s="16" t="s">
        <v>48</v>
      </c>
      <c r="H233" s="16" t="s">
        <v>46</v>
      </c>
      <c r="I233" s="40"/>
      <c r="J233" s="40"/>
      <c r="K233" s="41"/>
      <c r="L233" s="26"/>
      <c r="M233" s="26"/>
      <c r="N233" s="24"/>
      <c r="O233" s="41"/>
      <c r="P233" s="41"/>
      <c r="Q233" s="24"/>
      <c r="R233" s="24"/>
      <c r="S233" s="41"/>
      <c r="T233" s="26"/>
      <c r="U233" s="41"/>
      <c r="V233" s="41"/>
      <c r="W233" s="41"/>
      <c r="X233" s="37" t="s">
        <v>275</v>
      </c>
    </row>
    <row r="234" ht="14.25" customHeight="1">
      <c r="A234" s="24"/>
      <c r="B234" s="54" t="s">
        <v>279</v>
      </c>
      <c r="C234" s="16" t="s">
        <v>46</v>
      </c>
      <c r="D234" s="14">
        <v>500.0</v>
      </c>
      <c r="E234" s="17" t="str">
        <f>IFERROR(__xludf.DUMMYFUNCTION("REGEXREPLACE(GOOGLETRANSLATE(B234,""RU"",""EN""),"" "",""_"")"),"Operating_mode")</f>
        <v>Operating_mode</v>
      </c>
      <c r="F234" s="51" t="s">
        <v>47</v>
      </c>
      <c r="G234" s="16" t="s">
        <v>48</v>
      </c>
      <c r="H234" s="16" t="s">
        <v>46</v>
      </c>
      <c r="I234" s="40"/>
      <c r="J234" s="40"/>
      <c r="K234" s="41"/>
      <c r="L234" s="26"/>
      <c r="M234" s="26"/>
      <c r="N234" s="24"/>
      <c r="O234" s="41"/>
      <c r="P234" s="41"/>
      <c r="Q234" s="24"/>
      <c r="R234" s="24"/>
      <c r="S234" s="41"/>
      <c r="T234" s="26"/>
      <c r="U234" s="41"/>
      <c r="V234" s="41"/>
      <c r="W234" s="41"/>
      <c r="X234" s="37" t="s">
        <v>275</v>
      </c>
    </row>
    <row r="235" ht="14.25" customHeight="1">
      <c r="A235" s="24"/>
      <c r="B235" s="54" t="s">
        <v>280</v>
      </c>
      <c r="C235" s="16" t="s">
        <v>46</v>
      </c>
      <c r="D235" s="14">
        <v>500.0</v>
      </c>
      <c r="E235" s="17" t="str">
        <f>IFERROR(__xludf.DUMMYFUNCTION("REGEXREPLACE(GOOGLETRANSLATE(B235,""RU"",""EN""),"" "",""_"")"),"Number_of_digits")</f>
        <v>Number_of_digits</v>
      </c>
      <c r="F235" s="51" t="s">
        <v>47</v>
      </c>
      <c r="G235" s="16" t="s">
        <v>48</v>
      </c>
      <c r="H235" s="16" t="s">
        <v>46</v>
      </c>
      <c r="I235" s="40"/>
      <c r="J235" s="40"/>
      <c r="K235" s="41"/>
      <c r="L235" s="26"/>
      <c r="M235" s="26"/>
      <c r="N235" s="24"/>
      <c r="O235" s="41"/>
      <c r="P235" s="41"/>
      <c r="Q235" s="24"/>
      <c r="R235" s="24"/>
      <c r="S235" s="41"/>
      <c r="T235" s="26"/>
      <c r="U235" s="41"/>
      <c r="V235" s="41"/>
      <c r="W235" s="41"/>
      <c r="X235" s="37" t="s">
        <v>275</v>
      </c>
    </row>
    <row r="236" ht="14.25" customHeight="1">
      <c r="A236" s="24"/>
      <c r="B236" s="54" t="s">
        <v>281</v>
      </c>
      <c r="C236" s="16" t="s">
        <v>46</v>
      </c>
      <c r="D236" s="14">
        <v>500.0</v>
      </c>
      <c r="E236" s="17" t="str">
        <f>IFERROR(__xludf.DUMMYFUNCTION("REGEXREPLACE(GOOGLETRANSLATE(B236,""RU"",""EN""),"" "",""_"")"),"Battery_charging_time_h")</f>
        <v>Battery_charging_time_h</v>
      </c>
      <c r="F236" s="51" t="s">
        <v>48</v>
      </c>
      <c r="G236" s="16" t="s">
        <v>48</v>
      </c>
      <c r="H236" s="16" t="s">
        <v>46</v>
      </c>
      <c r="I236" s="40"/>
      <c r="J236" s="40"/>
      <c r="K236" s="41"/>
      <c r="L236" s="26"/>
      <c r="M236" s="26"/>
      <c r="N236" s="24"/>
      <c r="O236" s="41"/>
      <c r="P236" s="41"/>
      <c r="Q236" s="24"/>
      <c r="R236" s="24"/>
      <c r="S236" s="41"/>
      <c r="T236" s="26"/>
      <c r="U236" s="41"/>
      <c r="V236" s="41"/>
      <c r="W236" s="41"/>
      <c r="X236" s="37" t="s">
        <v>275</v>
      </c>
    </row>
    <row r="237" ht="14.25" customHeight="1">
      <c r="A237" s="24"/>
      <c r="B237" s="54" t="s">
        <v>282</v>
      </c>
      <c r="C237" s="16" t="s">
        <v>46</v>
      </c>
      <c r="D237" s="14">
        <v>500.0</v>
      </c>
      <c r="E237" s="17" t="str">
        <f>IFERROR(__xludf.DUMMYFUNCTION("REGEXREPLACE(GOOGLETRANSLATE(B237,""RU"",""EN""),"" "",""_"")"),"Discharge_power")</f>
        <v>Discharge_power</v>
      </c>
      <c r="F237" s="51" t="s">
        <v>48</v>
      </c>
      <c r="G237" s="16" t="s">
        <v>48</v>
      </c>
      <c r="H237" s="16" t="s">
        <v>46</v>
      </c>
      <c r="I237" s="40"/>
      <c r="J237" s="40"/>
      <c r="K237" s="41"/>
      <c r="L237" s="26"/>
      <c r="M237" s="26"/>
      <c r="N237" s="24"/>
      <c r="O237" s="41"/>
      <c r="P237" s="41"/>
      <c r="Q237" s="24"/>
      <c r="R237" s="24"/>
      <c r="S237" s="41"/>
      <c r="T237" s="26"/>
      <c r="U237" s="41"/>
      <c r="V237" s="41"/>
      <c r="W237" s="41"/>
      <c r="X237" s="37" t="s">
        <v>275</v>
      </c>
    </row>
    <row r="238" ht="14.25" customHeight="1">
      <c r="A238" s="24"/>
      <c r="B238" s="54" t="s">
        <v>283</v>
      </c>
      <c r="C238" s="16" t="s">
        <v>46</v>
      </c>
      <c r="D238" s="14">
        <v>500.0</v>
      </c>
      <c r="E238" s="17" t="str">
        <f>IFERROR(__xludf.DUMMYFUNCTION("REGEXREPLACE(GOOGLETRANSLATE(B238,""RU"",""EN""),"" "",""_"")"),"Battery_level")</f>
        <v>Battery_level</v>
      </c>
      <c r="F238" s="51" t="s">
        <v>71</v>
      </c>
      <c r="G238" s="16" t="s">
        <v>48</v>
      </c>
      <c r="H238" s="16" t="s">
        <v>46</v>
      </c>
      <c r="I238" s="40"/>
      <c r="J238" s="40"/>
      <c r="K238" s="41"/>
      <c r="L238" s="26"/>
      <c r="M238" s="26"/>
      <c r="N238" s="24"/>
      <c r="O238" s="41"/>
      <c r="P238" s="41"/>
      <c r="Q238" s="24"/>
      <c r="R238" s="24"/>
      <c r="S238" s="41"/>
      <c r="T238" s="26"/>
      <c r="U238" s="41"/>
      <c r="V238" s="41"/>
      <c r="W238" s="41"/>
      <c r="X238" s="37" t="s">
        <v>275</v>
      </c>
    </row>
    <row r="239" ht="14.25" customHeight="1">
      <c r="A239" s="24"/>
      <c r="B239" s="54" t="s">
        <v>284</v>
      </c>
      <c r="C239" s="16" t="s">
        <v>46</v>
      </c>
      <c r="D239" s="14">
        <v>500.0</v>
      </c>
      <c r="E239" s="17" t="str">
        <f>IFERROR(__xludf.DUMMYFUNCTION("REGEXREPLACE(GOOGLETRANSLATE(B239,""RU"",""EN""),"" "",""_"")"),"Possibility_of_mains_power_supply
car")</f>
        <v>Possibility_of_mains_power_supply
car</v>
      </c>
      <c r="F239" s="51" t="s">
        <v>71</v>
      </c>
      <c r="G239" s="16" t="s">
        <v>48</v>
      </c>
      <c r="H239" s="16" t="s">
        <v>46</v>
      </c>
      <c r="I239" s="40"/>
      <c r="J239" s="40"/>
      <c r="K239" s="41"/>
      <c r="L239" s="26"/>
      <c r="M239" s="26"/>
      <c r="N239" s="24"/>
      <c r="O239" s="41"/>
      <c r="P239" s="41"/>
      <c r="Q239" s="24"/>
      <c r="R239" s="24"/>
      <c r="S239" s="41"/>
      <c r="T239" s="26"/>
      <c r="U239" s="41"/>
      <c r="V239" s="41"/>
      <c r="W239" s="41"/>
      <c r="X239" s="37" t="s">
        <v>275</v>
      </c>
    </row>
    <row r="240" ht="14.25" customHeight="1">
      <c r="A240" s="24"/>
      <c r="B240" s="54" t="s">
        <v>285</v>
      </c>
      <c r="C240" s="16" t="s">
        <v>46</v>
      </c>
      <c r="D240" s="14">
        <v>500.0</v>
      </c>
      <c r="E240" s="17" t="str">
        <f>IFERROR(__xludf.DUMMYFUNCTION("REGEXREPLACE(GOOGLETRANSLATE(B240,""RU"",""EN""),"" "",""_"")"),"Bluetooth")</f>
        <v>Bluetooth</v>
      </c>
      <c r="F240" s="51" t="s">
        <v>71</v>
      </c>
      <c r="G240" s="16" t="s">
        <v>48</v>
      </c>
      <c r="H240" s="16" t="s">
        <v>46</v>
      </c>
      <c r="I240" s="40"/>
      <c r="J240" s="40"/>
      <c r="K240" s="41"/>
      <c r="L240" s="26"/>
      <c r="M240" s="26"/>
      <c r="N240" s="24"/>
      <c r="O240" s="41"/>
      <c r="P240" s="41"/>
      <c r="Q240" s="24"/>
      <c r="R240" s="24"/>
      <c r="S240" s="41"/>
      <c r="T240" s="26"/>
      <c r="U240" s="41"/>
      <c r="V240" s="41"/>
      <c r="W240" s="41"/>
      <c r="X240" s="37" t="s">
        <v>275</v>
      </c>
    </row>
    <row r="241" ht="14.25" customHeight="1">
      <c r="A241" s="24"/>
      <c r="B241" s="54" t="s">
        <v>286</v>
      </c>
      <c r="C241" s="16" t="s">
        <v>46</v>
      </c>
      <c r="D241" s="14">
        <v>500.0</v>
      </c>
      <c r="E241" s="17" t="str">
        <f>IFERROR(__xludf.DUMMYFUNCTION("REGEXREPLACE(GOOGLETRANSLATE(B241,""RU"",""EN""),"" "",""_"")"),"Sound_alarms")</f>
        <v>Sound_alarms</v>
      </c>
      <c r="F241" s="51" t="s">
        <v>71</v>
      </c>
      <c r="G241" s="16" t="s">
        <v>48</v>
      </c>
      <c r="H241" s="16" t="s">
        <v>46</v>
      </c>
      <c r="I241" s="40"/>
      <c r="J241" s="40"/>
      <c r="K241" s="41"/>
      <c r="L241" s="26"/>
      <c r="M241" s="26"/>
      <c r="N241" s="24"/>
      <c r="O241" s="41"/>
      <c r="P241" s="41"/>
      <c r="Q241" s="24"/>
      <c r="R241" s="24"/>
      <c r="S241" s="41"/>
      <c r="T241" s="26"/>
      <c r="U241" s="41"/>
      <c r="V241" s="41"/>
      <c r="W241" s="41"/>
      <c r="X241" s="37" t="s">
        <v>275</v>
      </c>
    </row>
    <row r="242" ht="14.25" customHeight="1">
      <c r="A242" s="24"/>
      <c r="B242" s="54" t="s">
        <v>287</v>
      </c>
      <c r="C242" s="16" t="s">
        <v>46</v>
      </c>
      <c r="D242" s="14">
        <v>500.0</v>
      </c>
      <c r="E242" s="17" t="str">
        <f>IFERROR(__xludf.DUMMYFUNCTION("REGEXREPLACE(GOOGLETRANSLATE(B242,""RU"",""EN""),"" "",""_"")"),"Data_recording")</f>
        <v>Data_recording</v>
      </c>
      <c r="F242" s="51" t="s">
        <v>71</v>
      </c>
      <c r="G242" s="16" t="s">
        <v>48</v>
      </c>
      <c r="H242" s="16" t="s">
        <v>46</v>
      </c>
      <c r="I242" s="40"/>
      <c r="J242" s="40"/>
      <c r="K242" s="41"/>
      <c r="L242" s="26"/>
      <c r="M242" s="26"/>
      <c r="N242" s="24"/>
      <c r="O242" s="41"/>
      <c r="P242" s="41"/>
      <c r="Q242" s="24"/>
      <c r="R242" s="24"/>
      <c r="S242" s="41"/>
      <c r="T242" s="26"/>
      <c r="U242" s="41"/>
      <c r="V242" s="41"/>
      <c r="W242" s="41"/>
      <c r="X242" s="37" t="s">
        <v>275</v>
      </c>
    </row>
    <row r="243" ht="14.25" customHeight="1">
      <c r="A243" s="24"/>
      <c r="B243" s="54" t="s">
        <v>288</v>
      </c>
      <c r="C243" s="16" t="s">
        <v>46</v>
      </c>
      <c r="D243" s="14">
        <v>500.0</v>
      </c>
      <c r="E243" s="17" t="str">
        <f>IFERROR(__xludf.DUMMYFUNCTION("REGEXREPLACE(GOOGLETRANSLATE(B243,""RU"",""EN""),"" "",""_"")"),"Light_indicators")</f>
        <v>Light_indicators</v>
      </c>
      <c r="F243" s="51" t="s">
        <v>71</v>
      </c>
      <c r="G243" s="16" t="s">
        <v>48</v>
      </c>
      <c r="H243" s="16" t="s">
        <v>46</v>
      </c>
      <c r="I243" s="40"/>
      <c r="J243" s="40"/>
      <c r="K243" s="41"/>
      <c r="L243" s="26"/>
      <c r="M243" s="26"/>
      <c r="N243" s="24"/>
      <c r="O243" s="41"/>
      <c r="P243" s="41"/>
      <c r="Q243" s="24"/>
      <c r="R243" s="24"/>
      <c r="S243" s="41"/>
      <c r="T243" s="26"/>
      <c r="U243" s="41"/>
      <c r="V243" s="41"/>
      <c r="W243" s="41"/>
      <c r="X243" s="37" t="s">
        <v>275</v>
      </c>
    </row>
    <row r="244" ht="14.25" customHeight="1">
      <c r="A244" s="24"/>
      <c r="B244" s="54" t="s">
        <v>289</v>
      </c>
      <c r="C244" s="16" t="s">
        <v>46</v>
      </c>
      <c r="D244" s="14">
        <v>500.0</v>
      </c>
      <c r="E244" s="17" t="str">
        <f>IFERROR(__xludf.DUMMYFUNCTION("REGEXREPLACE(GOOGLETRANSLATE(B244,""RU"",""EN""),"" "",""_"")"),"Measured_parameters")</f>
        <v>Measured_parameters</v>
      </c>
      <c r="F244" s="51" t="s">
        <v>47</v>
      </c>
      <c r="G244" s="16" t="s">
        <v>48</v>
      </c>
      <c r="H244" s="16" t="s">
        <v>46</v>
      </c>
      <c r="I244" s="40"/>
      <c r="J244" s="40"/>
      <c r="K244" s="41"/>
      <c r="L244" s="26"/>
      <c r="M244" s="26"/>
      <c r="N244" s="24"/>
      <c r="O244" s="41"/>
      <c r="P244" s="41"/>
      <c r="Q244" s="24"/>
      <c r="R244" s="24"/>
      <c r="S244" s="41"/>
      <c r="T244" s="26"/>
      <c r="U244" s="41"/>
      <c r="V244" s="41"/>
      <c r="W244" s="41"/>
      <c r="X244" s="37" t="s">
        <v>275</v>
      </c>
    </row>
    <row r="245" ht="14.25" customHeight="1">
      <c r="A245" s="24"/>
      <c r="B245" s="54" t="s">
        <v>290</v>
      </c>
      <c r="C245" s="16" t="s">
        <v>46</v>
      </c>
      <c r="D245" s="14">
        <v>500.0</v>
      </c>
      <c r="E245" s="17" t="str">
        <f>IFERROR(__xludf.DUMMYFUNCTION("REGEXREPLACE(GOOGLETRANSLATE(B245,""RU"",""EN""),"" "",""_"")"),"Arrhythmia_analysis")</f>
        <v>Arrhythmia_analysis</v>
      </c>
      <c r="F245" s="51" t="s">
        <v>71</v>
      </c>
      <c r="G245" s="16" t="s">
        <v>48</v>
      </c>
      <c r="H245" s="16" t="s">
        <v>46</v>
      </c>
      <c r="I245" s="40"/>
      <c r="J245" s="40"/>
      <c r="K245" s="41"/>
      <c r="L245" s="26"/>
      <c r="M245" s="26"/>
      <c r="N245" s="24"/>
      <c r="O245" s="41"/>
      <c r="P245" s="41"/>
      <c r="Q245" s="24"/>
      <c r="R245" s="24"/>
      <c r="S245" s="41"/>
      <c r="T245" s="26"/>
      <c r="U245" s="41"/>
      <c r="V245" s="41"/>
      <c r="W245" s="41"/>
      <c r="X245" s="37" t="s">
        <v>275</v>
      </c>
    </row>
    <row r="246" ht="14.25" customHeight="1">
      <c r="A246" s="24"/>
      <c r="B246" s="54" t="s">
        <v>291</v>
      </c>
      <c r="C246" s="16" t="s">
        <v>46</v>
      </c>
      <c r="D246" s="14">
        <v>500.0</v>
      </c>
      <c r="E246" s="17" t="str">
        <f>IFERROR(__xludf.DUMMYFUNCTION("REGEXREPLACE(GOOGLETRANSLATE(B246,""RU"",""EN""),"" "",""_"")"),"Additional_options")</f>
        <v>Additional_options</v>
      </c>
      <c r="F246" s="51" t="s">
        <v>47</v>
      </c>
      <c r="G246" s="16" t="s">
        <v>48</v>
      </c>
      <c r="H246" s="16" t="s">
        <v>46</v>
      </c>
      <c r="I246" s="40"/>
      <c r="J246" s="40"/>
      <c r="K246" s="41"/>
      <c r="L246" s="26"/>
      <c r="M246" s="26"/>
      <c r="N246" s="24"/>
      <c r="O246" s="41"/>
      <c r="P246" s="41"/>
      <c r="Q246" s="24"/>
      <c r="R246" s="24"/>
      <c r="S246" s="41"/>
      <c r="T246" s="26"/>
      <c r="U246" s="41"/>
      <c r="V246" s="41"/>
      <c r="W246" s="41"/>
      <c r="X246" s="37" t="s">
        <v>275</v>
      </c>
    </row>
    <row r="247" ht="14.25" customHeight="1">
      <c r="A247" s="24"/>
      <c r="B247" s="54" t="s">
        <v>292</v>
      </c>
      <c r="C247" s="16" t="s">
        <v>46</v>
      </c>
      <c r="D247" s="14">
        <v>500.0</v>
      </c>
      <c r="E247" s="17" t="str">
        <f>IFERROR(__xludf.DUMMYFUNCTION("REGEXREPLACE(GOOGLETRANSLATE(B247,""RU"",""EN""),"" "",""_"")"),"Connectors")</f>
        <v>Connectors</v>
      </c>
      <c r="F247" s="51" t="s">
        <v>47</v>
      </c>
      <c r="G247" s="16" t="s">
        <v>48</v>
      </c>
      <c r="H247" s="16" t="s">
        <v>46</v>
      </c>
      <c r="I247" s="40"/>
      <c r="J247" s="40"/>
      <c r="K247" s="41"/>
      <c r="L247" s="26"/>
      <c r="M247" s="26"/>
      <c r="N247" s="24"/>
      <c r="O247" s="41"/>
      <c r="P247" s="41"/>
      <c r="Q247" s="24"/>
      <c r="R247" s="24"/>
      <c r="S247" s="41"/>
      <c r="T247" s="26"/>
      <c r="U247" s="41"/>
      <c r="V247" s="41"/>
      <c r="W247" s="41"/>
      <c r="X247" s="37" t="s">
        <v>275</v>
      </c>
    </row>
    <row r="248" ht="14.25" customHeight="1">
      <c r="A248" s="24"/>
      <c r="B248" s="54" t="s">
        <v>293</v>
      </c>
      <c r="C248" s="16" t="s">
        <v>46</v>
      </c>
      <c r="D248" s="14">
        <v>500.0</v>
      </c>
      <c r="E248" s="17" t="str">
        <f>IFERROR(__xludf.DUMMYFUNCTION("REGEXREPLACE(GOOGLETRANSLATE(B248,""RU"",""EN""),"" "",""_"")"),"Electrodes")</f>
        <v>Electrodes</v>
      </c>
      <c r="F248" s="51" t="s">
        <v>47</v>
      </c>
      <c r="G248" s="16" t="s">
        <v>48</v>
      </c>
      <c r="H248" s="16" t="s">
        <v>46</v>
      </c>
      <c r="I248" s="40"/>
      <c r="J248" s="40"/>
      <c r="K248" s="41"/>
      <c r="L248" s="26"/>
      <c r="M248" s="26"/>
      <c r="N248" s="24"/>
      <c r="O248" s="41"/>
      <c r="P248" s="41"/>
      <c r="Q248" s="24"/>
      <c r="R248" s="24"/>
      <c r="S248" s="41"/>
      <c r="T248" s="26"/>
      <c r="U248" s="41"/>
      <c r="V248" s="41"/>
      <c r="W248" s="41"/>
      <c r="X248" s="37" t="s">
        <v>275</v>
      </c>
    </row>
    <row r="249" ht="14.25" customHeight="1">
      <c r="A249" s="24"/>
      <c r="B249" s="54" t="s">
        <v>294</v>
      </c>
      <c r="C249" s="16" t="s">
        <v>46</v>
      </c>
      <c r="D249" s="14">
        <v>500.0</v>
      </c>
      <c r="E249" s="17" t="str">
        <f>IFERROR(__xludf.DUMMYFUNCTION("REGEXREPLACE(GOOGLETRANSLATE(B249,""RU"",""EN""),"" "",""_"")"),"Defibrillation_pulse_type")</f>
        <v>Defibrillation_pulse_type</v>
      </c>
      <c r="F249" s="51" t="s">
        <v>47</v>
      </c>
      <c r="G249" s="16" t="s">
        <v>48</v>
      </c>
      <c r="H249" s="16" t="s">
        <v>46</v>
      </c>
      <c r="I249" s="40"/>
      <c r="J249" s="40"/>
      <c r="K249" s="41"/>
      <c r="L249" s="26"/>
      <c r="M249" s="26"/>
      <c r="N249" s="24"/>
      <c r="O249" s="41"/>
      <c r="P249" s="41"/>
      <c r="Q249" s="24"/>
      <c r="R249" s="24"/>
      <c r="S249" s="41"/>
      <c r="T249" s="26"/>
      <c r="U249" s="41"/>
      <c r="V249" s="41"/>
      <c r="W249" s="41"/>
      <c r="X249" s="37" t="s">
        <v>275</v>
      </c>
    </row>
    <row r="250" ht="14.25" customHeight="1">
      <c r="A250" s="24"/>
      <c r="B250" s="54" t="s">
        <v>295</v>
      </c>
      <c r="C250" s="16" t="s">
        <v>46</v>
      </c>
      <c r="D250" s="14">
        <v>500.0</v>
      </c>
      <c r="E250" s="17" t="str">
        <f>IFERROR(__xludf.DUMMYFUNCTION("REGEXREPLACE(GOOGLETRANSLATE(B250,""RU"",""EN""),"" "",""_"")"),"Load_capacity,_kg")</f>
        <v>Load_capacity,_kg</v>
      </c>
      <c r="F250" s="51" t="s">
        <v>48</v>
      </c>
      <c r="G250" s="16" t="s">
        <v>48</v>
      </c>
      <c r="H250" s="16" t="s">
        <v>46</v>
      </c>
      <c r="I250" s="40"/>
      <c r="J250" s="40"/>
      <c r="K250" s="41"/>
      <c r="L250" s="26"/>
      <c r="M250" s="26"/>
      <c r="N250" s="24"/>
      <c r="O250" s="41"/>
      <c r="P250" s="41"/>
      <c r="Q250" s="24"/>
      <c r="R250" s="24"/>
      <c r="S250" s="41"/>
      <c r="T250" s="26"/>
      <c r="U250" s="41"/>
      <c r="V250" s="41"/>
      <c r="W250" s="41"/>
      <c r="X250" s="37" t="s">
        <v>296</v>
      </c>
    </row>
    <row r="251" ht="14.25" customHeight="1">
      <c r="A251" s="24"/>
      <c r="B251" s="54" t="s">
        <v>98</v>
      </c>
      <c r="C251" s="16" t="s">
        <v>46</v>
      </c>
      <c r="D251" s="14">
        <v>500.0</v>
      </c>
      <c r="E251" s="17" t="str">
        <f>IFERROR(__xludf.DUMMYFUNCTION("REGEXREPLACE(GOOGLETRANSLATE(B251,""RU"",""EN""),"" "",""_"")"),"Housing_material")</f>
        <v>Housing_material</v>
      </c>
      <c r="F251" s="51" t="s">
        <v>47</v>
      </c>
      <c r="G251" s="16" t="s">
        <v>48</v>
      </c>
      <c r="H251" s="16" t="s">
        <v>46</v>
      </c>
      <c r="I251" s="40"/>
      <c r="J251" s="40"/>
      <c r="K251" s="41"/>
      <c r="L251" s="26"/>
      <c r="M251" s="26"/>
      <c r="N251" s="24"/>
      <c r="O251" s="41"/>
      <c r="P251" s="41"/>
      <c r="Q251" s="24"/>
      <c r="R251" s="24"/>
      <c r="S251" s="41"/>
      <c r="T251" s="26"/>
      <c r="U251" s="41"/>
      <c r="V251" s="41"/>
      <c r="W251" s="41"/>
      <c r="X251" s="37" t="s">
        <v>296</v>
      </c>
    </row>
    <row r="252" ht="14.25" customHeight="1">
      <c r="A252" s="24"/>
      <c r="B252" s="54" t="s">
        <v>297</v>
      </c>
      <c r="C252" s="16" t="s">
        <v>46</v>
      </c>
      <c r="D252" s="14">
        <v>500.0</v>
      </c>
      <c r="E252" s="17" t="str">
        <f>IFERROR(__xludf.DUMMYFUNCTION("REGEXREPLACE(GOOGLETRANSLATE(B252,""RU"",""EN""),"" "",""_"")"),"Purpose")</f>
        <v>Purpose</v>
      </c>
      <c r="F252" s="51" t="s">
        <v>47</v>
      </c>
      <c r="G252" s="16" t="s">
        <v>48</v>
      </c>
      <c r="H252" s="16" t="s">
        <v>46</v>
      </c>
      <c r="I252" s="40"/>
      <c r="J252" s="40"/>
      <c r="K252" s="41"/>
      <c r="L252" s="26"/>
      <c r="M252" s="26"/>
      <c r="N252" s="24"/>
      <c r="O252" s="41"/>
      <c r="P252" s="41"/>
      <c r="Q252" s="24"/>
      <c r="R252" s="24"/>
      <c r="S252" s="41"/>
      <c r="T252" s="26"/>
      <c r="U252" s="41"/>
      <c r="V252" s="41"/>
      <c r="W252" s="41"/>
      <c r="X252" s="37" t="s">
        <v>296</v>
      </c>
    </row>
    <row r="253" ht="14.25" customHeight="1">
      <c r="A253" s="24"/>
      <c r="B253" s="54" t="s">
        <v>298</v>
      </c>
      <c r="C253" s="16" t="s">
        <v>46</v>
      </c>
      <c r="D253" s="14">
        <v>500.0</v>
      </c>
      <c r="E253" s="17" t="str">
        <f>IFERROR(__xludf.DUMMYFUNCTION("REGEXREPLACE(GOOGLETRANSLATE(B253,""RU"",""EN""),"" "",""_"")"),"Design")</f>
        <v>Design</v>
      </c>
      <c r="F253" s="51" t="s">
        <v>47</v>
      </c>
      <c r="G253" s="16" t="s">
        <v>48</v>
      </c>
      <c r="H253" s="16" t="s">
        <v>46</v>
      </c>
      <c r="I253" s="40"/>
      <c r="J253" s="40"/>
      <c r="K253" s="41"/>
      <c r="L253" s="26"/>
      <c r="M253" s="26"/>
      <c r="N253" s="24"/>
      <c r="O253" s="41"/>
      <c r="P253" s="41"/>
      <c r="Q253" s="24"/>
      <c r="R253" s="24"/>
      <c r="S253" s="41"/>
      <c r="T253" s="26"/>
      <c r="U253" s="41"/>
      <c r="V253" s="41"/>
      <c r="W253" s="41"/>
      <c r="X253" s="37" t="s">
        <v>296</v>
      </c>
    </row>
    <row r="254" ht="14.25" customHeight="1">
      <c r="A254" s="24"/>
      <c r="B254" s="54" t="s">
        <v>299</v>
      </c>
      <c r="C254" s="16" t="s">
        <v>46</v>
      </c>
      <c r="D254" s="14">
        <v>500.0</v>
      </c>
      <c r="E254" s="17" t="str">
        <f>IFERROR(__xludf.DUMMYFUNCTION("REGEXREPLACE(GOOGLETRANSLATE(B254,""RU"",""EN""),"" "",""_"")"),"Drive_mechanism")</f>
        <v>Drive_mechanism</v>
      </c>
      <c r="F254" s="51" t="s">
        <v>47</v>
      </c>
      <c r="G254" s="16" t="s">
        <v>48</v>
      </c>
      <c r="H254" s="16" t="s">
        <v>46</v>
      </c>
      <c r="I254" s="40"/>
      <c r="J254" s="40"/>
      <c r="K254" s="41"/>
      <c r="L254" s="26"/>
      <c r="M254" s="26"/>
      <c r="N254" s="24"/>
      <c r="O254" s="41"/>
      <c r="P254" s="41"/>
      <c r="Q254" s="24"/>
      <c r="R254" s="24"/>
      <c r="S254" s="41"/>
      <c r="T254" s="26"/>
      <c r="U254" s="41"/>
      <c r="V254" s="41"/>
      <c r="W254" s="41"/>
      <c r="X254" s="37" t="s">
        <v>296</v>
      </c>
    </row>
    <row r="255" ht="14.25" customHeight="1">
      <c r="A255" s="24"/>
      <c r="B255" s="54" t="s">
        <v>300</v>
      </c>
      <c r="C255" s="16" t="s">
        <v>46</v>
      </c>
      <c r="D255" s="14">
        <v>500.0</v>
      </c>
      <c r="E255" s="17" t="str">
        <f>IFERROR(__xludf.DUMMYFUNCTION("REGEXREPLACE(GOOGLETRANSLATE(B255,""RU"",""EN""),"" "",""_"")"),"X-ray_throughput")</f>
        <v>X-ray_throughput</v>
      </c>
      <c r="F255" s="51" t="s">
        <v>71</v>
      </c>
      <c r="G255" s="16" t="s">
        <v>48</v>
      </c>
      <c r="H255" s="16" t="s">
        <v>46</v>
      </c>
      <c r="I255" s="40"/>
      <c r="J255" s="40"/>
      <c r="K255" s="41"/>
      <c r="L255" s="26"/>
      <c r="M255" s="26"/>
      <c r="N255" s="24"/>
      <c r="O255" s="41"/>
      <c r="P255" s="41"/>
      <c r="Q255" s="24"/>
      <c r="R255" s="24"/>
      <c r="S255" s="41"/>
      <c r="T255" s="26"/>
      <c r="U255" s="41"/>
      <c r="V255" s="41"/>
      <c r="W255" s="41"/>
      <c r="X255" s="37" t="s">
        <v>296</v>
      </c>
    </row>
    <row r="256" ht="14.25" customHeight="1">
      <c r="A256" s="24"/>
      <c r="B256" s="54" t="s">
        <v>267</v>
      </c>
      <c r="C256" s="16" t="s">
        <v>46</v>
      </c>
      <c r="D256" s="14">
        <v>500.0</v>
      </c>
      <c r="E256" s="17" t="str">
        <f>IFERROR(__xludf.DUMMYFUNCTION("REGEXREPLACE(GOOGLETRANSLATE(B256,""RU"",""EN""),"" "",""_"")"),"Number_of_sections")</f>
        <v>Number_of_sections</v>
      </c>
      <c r="F256" s="51" t="s">
        <v>48</v>
      </c>
      <c r="G256" s="16" t="s">
        <v>48</v>
      </c>
      <c r="H256" s="16" t="s">
        <v>46</v>
      </c>
      <c r="I256" s="40"/>
      <c r="J256" s="40"/>
      <c r="K256" s="41"/>
      <c r="L256" s="26"/>
      <c r="M256" s="26"/>
      <c r="N256" s="24"/>
      <c r="O256" s="41"/>
      <c r="P256" s="41"/>
      <c r="Q256" s="24"/>
      <c r="R256" s="24"/>
      <c r="S256" s="41"/>
      <c r="T256" s="26"/>
      <c r="U256" s="41"/>
      <c r="V256" s="41"/>
      <c r="W256" s="41"/>
      <c r="X256" s="37" t="s">
        <v>296</v>
      </c>
    </row>
    <row r="257" ht="14.25" customHeight="1">
      <c r="A257" s="24"/>
      <c r="B257" s="54" t="s">
        <v>301</v>
      </c>
      <c r="C257" s="16" t="s">
        <v>46</v>
      </c>
      <c r="D257" s="14">
        <v>500.0</v>
      </c>
      <c r="E257" s="17" t="str">
        <f>IFERROR(__xludf.DUMMYFUNCTION("REGEXREPLACE(GOOGLETRANSLATE(B257,""RU"",""EN""),"" "",""_"")"),"Patient_position")</f>
        <v>Patient_position</v>
      </c>
      <c r="F257" s="51" t="s">
        <v>47</v>
      </c>
      <c r="G257" s="16" t="s">
        <v>48</v>
      </c>
      <c r="H257" s="16" t="s">
        <v>46</v>
      </c>
      <c r="I257" s="40"/>
      <c r="J257" s="40"/>
      <c r="K257" s="41"/>
      <c r="L257" s="26"/>
      <c r="M257" s="26"/>
      <c r="N257" s="24"/>
      <c r="O257" s="41"/>
      <c r="P257" s="41"/>
      <c r="Q257" s="24"/>
      <c r="R257" s="24"/>
      <c r="S257" s="41"/>
      <c r="T257" s="26"/>
      <c r="U257" s="41"/>
      <c r="V257" s="41"/>
      <c r="W257" s="41"/>
      <c r="X257" s="37" t="s">
        <v>296</v>
      </c>
    </row>
    <row r="258" ht="14.25" customHeight="1">
      <c r="A258" s="24"/>
      <c r="B258" s="54" t="s">
        <v>302</v>
      </c>
      <c r="C258" s="16" t="s">
        <v>46</v>
      </c>
      <c r="D258" s="14">
        <v>500.0</v>
      </c>
      <c r="E258" s="17" t="str">
        <f>IFERROR(__xludf.DUMMYFUNCTION("REGEXREPLACE(GOOGLETRANSLATE(B258,""RU"",""EN""),"" "",""_"")"),"Table_top_angle")</f>
        <v>Table_top_angle</v>
      </c>
      <c r="F258" s="51" t="s">
        <v>48</v>
      </c>
      <c r="G258" s="16" t="s">
        <v>48</v>
      </c>
      <c r="H258" s="16" t="s">
        <v>46</v>
      </c>
      <c r="I258" s="40"/>
      <c r="J258" s="40"/>
      <c r="K258" s="41"/>
      <c r="L258" s="26"/>
      <c r="M258" s="26"/>
      <c r="N258" s="24"/>
      <c r="O258" s="41"/>
      <c r="P258" s="41"/>
      <c r="Q258" s="24"/>
      <c r="R258" s="24"/>
      <c r="S258" s="41"/>
      <c r="T258" s="26"/>
      <c r="U258" s="41"/>
      <c r="V258" s="41"/>
      <c r="W258" s="41"/>
      <c r="X258" s="37" t="s">
        <v>296</v>
      </c>
    </row>
    <row r="259" ht="14.25" customHeight="1">
      <c r="A259" s="24"/>
      <c r="B259" s="54" t="s">
        <v>303</v>
      </c>
      <c r="C259" s="16" t="s">
        <v>46</v>
      </c>
      <c r="D259" s="14">
        <v>500.0</v>
      </c>
      <c r="E259" s="17" t="str">
        <f>IFERROR(__xludf.DUMMYFUNCTION("REGEXREPLACE(GOOGLETRANSLATE(B259,""RU"",""EN""),"" "",""_"")"),"Tilt_angle_right/left")</f>
        <v>Tilt_angle_right/left</v>
      </c>
      <c r="F259" s="51" t="s">
        <v>48</v>
      </c>
      <c r="G259" s="16" t="s">
        <v>48</v>
      </c>
      <c r="H259" s="16" t="s">
        <v>46</v>
      </c>
      <c r="I259" s="40"/>
      <c r="J259" s="40"/>
      <c r="K259" s="41"/>
      <c r="L259" s="26"/>
      <c r="M259" s="26"/>
      <c r="N259" s="24"/>
      <c r="O259" s="41"/>
      <c r="P259" s="41"/>
      <c r="Q259" s="24"/>
      <c r="R259" s="24"/>
      <c r="S259" s="41"/>
      <c r="T259" s="26"/>
      <c r="U259" s="41"/>
      <c r="V259" s="41"/>
      <c r="W259" s="41"/>
      <c r="X259" s="37" t="s">
        <v>296</v>
      </c>
    </row>
    <row r="260" ht="14.25" customHeight="1">
      <c r="A260" s="24"/>
      <c r="B260" s="54" t="s">
        <v>304</v>
      </c>
      <c r="C260" s="16" t="s">
        <v>46</v>
      </c>
      <c r="D260" s="14">
        <v>500.0</v>
      </c>
      <c r="E260" s="17" t="str">
        <f>IFERROR(__xludf.DUMMYFUNCTION("REGEXREPLACE(GOOGLETRANSLATE(B260,""RU"",""EN""),"" "",""_"")"),"Additional_equipment")</f>
        <v>Additional_equipment</v>
      </c>
      <c r="F260" s="51" t="s">
        <v>47</v>
      </c>
      <c r="G260" s="16" t="s">
        <v>48</v>
      </c>
      <c r="H260" s="16" t="s">
        <v>46</v>
      </c>
      <c r="I260" s="40"/>
      <c r="J260" s="40"/>
      <c r="K260" s="41"/>
      <c r="L260" s="26"/>
      <c r="M260" s="26"/>
      <c r="N260" s="24"/>
      <c r="O260" s="41"/>
      <c r="P260" s="41"/>
      <c r="Q260" s="24"/>
      <c r="R260" s="24"/>
      <c r="S260" s="41"/>
      <c r="T260" s="26"/>
      <c r="U260" s="41"/>
      <c r="V260" s="41"/>
      <c r="W260" s="41"/>
      <c r="X260" s="37" t="s">
        <v>296</v>
      </c>
    </row>
    <row r="261" ht="14.25" customHeight="1">
      <c r="A261" s="24"/>
      <c r="B261" s="54" t="s">
        <v>305</v>
      </c>
      <c r="C261" s="16" t="s">
        <v>46</v>
      </c>
      <c r="D261" s="14">
        <v>500.0</v>
      </c>
      <c r="E261" s="17" t="str">
        <f>IFERROR(__xludf.DUMMYFUNCTION("REGEXREPLACE(GOOGLETRANSLATE(B261,""RU"",""EN""),"" "",""_"")"),"Device_type")</f>
        <v>Device_type</v>
      </c>
      <c r="F261" s="51" t="s">
        <v>47</v>
      </c>
      <c r="G261" s="16" t="s">
        <v>48</v>
      </c>
      <c r="H261" s="16" t="s">
        <v>46</v>
      </c>
      <c r="I261" s="40"/>
      <c r="J261" s="40"/>
      <c r="K261" s="41"/>
      <c r="L261" s="26"/>
      <c r="M261" s="26"/>
      <c r="N261" s="24"/>
      <c r="O261" s="41"/>
      <c r="P261" s="41"/>
      <c r="Q261" s="24"/>
      <c r="R261" s="24"/>
      <c r="S261" s="41"/>
      <c r="T261" s="26"/>
      <c r="U261" s="41"/>
      <c r="V261" s="41"/>
      <c r="W261" s="41"/>
      <c r="X261" s="62" t="s">
        <v>306</v>
      </c>
    </row>
    <row r="262" ht="14.25" customHeight="1">
      <c r="A262" s="24"/>
      <c r="B262" s="54" t="s">
        <v>307</v>
      </c>
      <c r="C262" s="16" t="s">
        <v>46</v>
      </c>
      <c r="D262" s="14">
        <v>500.0</v>
      </c>
      <c r="E262" s="17" t="str">
        <f>IFERROR(__xludf.DUMMYFUNCTION("REGEXREPLACE(GOOGLETRANSLATE(B262,""RU"",""EN""),"" "",""_"")"),"Increase_")</f>
        <v>Increase_</v>
      </c>
      <c r="F262" s="51" t="s">
        <v>48</v>
      </c>
      <c r="G262" s="16" t="s">
        <v>48</v>
      </c>
      <c r="H262" s="16" t="s">
        <v>46</v>
      </c>
      <c r="I262" s="40"/>
      <c r="J262" s="40"/>
      <c r="K262" s="41"/>
      <c r="L262" s="26"/>
      <c r="M262" s="26"/>
      <c r="N262" s="24"/>
      <c r="O262" s="41"/>
      <c r="P262" s="41"/>
      <c r="Q262" s="24"/>
      <c r="R262" s="24"/>
      <c r="S262" s="41"/>
      <c r="T262" s="26"/>
      <c r="U262" s="41"/>
      <c r="V262" s="41"/>
      <c r="W262" s="41"/>
      <c r="X262" s="62" t="s">
        <v>306</v>
      </c>
    </row>
    <row r="263" ht="14.25" customHeight="1">
      <c r="A263" s="24"/>
      <c r="B263" s="54" t="s">
        <v>308</v>
      </c>
      <c r="C263" s="16" t="s">
        <v>46</v>
      </c>
      <c r="D263" s="14">
        <v>500.0</v>
      </c>
      <c r="E263" s="17" t="str">
        <f>IFERROR(__xludf.DUMMYFUNCTION("REGEXREPLACE(GOOGLETRANSLATE(B263,""RU"",""EN""),"" "",""_"")"),"Light_source")</f>
        <v>Light_source</v>
      </c>
      <c r="F263" s="51" t="s">
        <v>56</v>
      </c>
      <c r="G263" s="16" t="s">
        <v>48</v>
      </c>
      <c r="H263" s="16" t="s">
        <v>46</v>
      </c>
      <c r="I263" s="40"/>
      <c r="J263" s="40"/>
      <c r="K263" s="41"/>
      <c r="L263" s="26"/>
      <c r="M263" s="26"/>
      <c r="N263" s="24"/>
      <c r="O263" s="41"/>
      <c r="P263" s="41"/>
      <c r="Q263" s="24"/>
      <c r="R263" s="24"/>
      <c r="S263" s="41"/>
      <c r="T263" s="26"/>
      <c r="U263" s="41"/>
      <c r="V263" s="41"/>
      <c r="W263" s="41"/>
      <c r="X263" s="62" t="s">
        <v>306</v>
      </c>
    </row>
    <row r="264" ht="14.25" customHeight="1">
      <c r="A264" s="24"/>
      <c r="B264" s="54" t="s">
        <v>309</v>
      </c>
      <c r="C264" s="16" t="s">
        <v>46</v>
      </c>
      <c r="D264" s="14">
        <v>500.0</v>
      </c>
      <c r="E264" s="17" t="str">
        <f>IFERROR(__xludf.DUMMYFUNCTION("REGEXREPLACE(GOOGLETRANSLATE(B264,""RU"",""EN""),"" "",""_"")"),"Light_filters")</f>
        <v>Light_filters</v>
      </c>
      <c r="F264" s="51" t="s">
        <v>47</v>
      </c>
      <c r="G264" s="16" t="s">
        <v>48</v>
      </c>
      <c r="H264" s="16" t="s">
        <v>46</v>
      </c>
      <c r="I264" s="40"/>
      <c r="J264" s="40"/>
      <c r="K264" s="41"/>
      <c r="L264" s="26"/>
      <c r="M264" s="26"/>
      <c r="N264" s="24"/>
      <c r="O264" s="41"/>
      <c r="P264" s="41"/>
      <c r="Q264" s="24"/>
      <c r="R264" s="24"/>
      <c r="S264" s="41"/>
      <c r="T264" s="26"/>
      <c r="U264" s="41"/>
      <c r="V264" s="41"/>
      <c r="W264" s="41"/>
      <c r="X264" s="62" t="s">
        <v>306</v>
      </c>
    </row>
    <row r="265" ht="14.25" customHeight="1">
      <c r="A265" s="24"/>
      <c r="B265" s="54" t="s">
        <v>310</v>
      </c>
      <c r="C265" s="16" t="s">
        <v>46</v>
      </c>
      <c r="D265" s="14">
        <v>500.0</v>
      </c>
      <c r="E265" s="17" t="str">
        <f>IFERROR(__xludf.DUMMYFUNCTION("REGEXREPLACE(GOOGLETRANSLATE(B265,""RU"",""EN""),"" "",""_"")"),"Aperture_type")</f>
        <v>Aperture_type</v>
      </c>
      <c r="F265" s="51" t="s">
        <v>47</v>
      </c>
      <c r="G265" s="16" t="s">
        <v>48</v>
      </c>
      <c r="H265" s="16" t="s">
        <v>46</v>
      </c>
      <c r="I265" s="40"/>
      <c r="J265" s="40"/>
      <c r="K265" s="41"/>
      <c r="L265" s="26"/>
      <c r="M265" s="26"/>
      <c r="N265" s="24"/>
      <c r="O265" s="41"/>
      <c r="P265" s="41"/>
      <c r="Q265" s="24"/>
      <c r="R265" s="24"/>
      <c r="S265" s="41"/>
      <c r="T265" s="26"/>
      <c r="U265" s="41"/>
      <c r="V265" s="41"/>
      <c r="W265" s="41"/>
      <c r="X265" s="62" t="s">
        <v>306</v>
      </c>
    </row>
    <row r="266" ht="14.25" customHeight="1">
      <c r="A266" s="24"/>
      <c r="B266" s="54" t="s">
        <v>311</v>
      </c>
      <c r="C266" s="16" t="s">
        <v>46</v>
      </c>
      <c r="D266" s="14">
        <v>500.0</v>
      </c>
      <c r="E266" s="17" t="str">
        <f>IFERROR(__xludf.DUMMYFUNCTION("REGEXREPLACE(GOOGLETRANSLATE(B266,""RU"",""EN""),"" "",""_"")"),"Aperture_wheel")</f>
        <v>Aperture_wheel</v>
      </c>
      <c r="F266" s="51" t="s">
        <v>47</v>
      </c>
      <c r="G266" s="16" t="s">
        <v>48</v>
      </c>
      <c r="H266" s="16" t="s">
        <v>46</v>
      </c>
      <c r="I266" s="40"/>
      <c r="J266" s="40"/>
      <c r="K266" s="41"/>
      <c r="L266" s="26"/>
      <c r="M266" s="26"/>
      <c r="N266" s="24"/>
      <c r="O266" s="41"/>
      <c r="P266" s="41"/>
      <c r="Q266" s="24"/>
      <c r="R266" s="24"/>
      <c r="S266" s="41"/>
      <c r="T266" s="26"/>
      <c r="U266" s="41"/>
      <c r="V266" s="41"/>
      <c r="W266" s="41"/>
      <c r="X266" s="62" t="s">
        <v>306</v>
      </c>
    </row>
    <row r="267" ht="14.25" customHeight="1">
      <c r="A267" s="24"/>
      <c r="B267" s="54" t="s">
        <v>312</v>
      </c>
      <c r="C267" s="16" t="s">
        <v>46</v>
      </c>
      <c r="D267" s="14">
        <v>500.0</v>
      </c>
      <c r="E267" s="17" t="str">
        <f>IFERROR(__xludf.DUMMYFUNCTION("REGEXREPLACE(GOOGLETRANSLATE(B267,""RU"",""EN""),"" "",""_"")"),"Number_of_lenses_pcs")</f>
        <v>Number_of_lenses_pcs</v>
      </c>
      <c r="F267" s="51" t="s">
        <v>48</v>
      </c>
      <c r="G267" s="16" t="s">
        <v>48</v>
      </c>
      <c r="H267" s="16" t="s">
        <v>46</v>
      </c>
      <c r="I267" s="40"/>
      <c r="J267" s="40"/>
      <c r="K267" s="41"/>
      <c r="L267" s="26"/>
      <c r="M267" s="26"/>
      <c r="N267" s="24"/>
      <c r="O267" s="41"/>
      <c r="P267" s="41"/>
      <c r="Q267" s="24"/>
      <c r="R267" s="24"/>
      <c r="S267" s="41"/>
      <c r="T267" s="26"/>
      <c r="U267" s="41"/>
      <c r="V267" s="41"/>
      <c r="W267" s="41"/>
      <c r="X267" s="62" t="s">
        <v>306</v>
      </c>
    </row>
    <row r="268" ht="14.25" customHeight="1">
      <c r="A268" s="24"/>
      <c r="B268" s="54" t="s">
        <v>313</v>
      </c>
      <c r="C268" s="16" t="s">
        <v>46</v>
      </c>
      <c r="D268" s="14">
        <v>500.0</v>
      </c>
      <c r="E268" s="17" t="str">
        <f>IFERROR(__xludf.DUMMYFUNCTION("REGEXREPLACE(GOOGLETRANSLATE(B268,""RU"",""EN""),"" "",""_"")"),"Lens_type")</f>
        <v>Lens_type</v>
      </c>
      <c r="F268" s="51" t="s">
        <v>47</v>
      </c>
      <c r="G268" s="16" t="s">
        <v>48</v>
      </c>
      <c r="H268" s="16" t="s">
        <v>46</v>
      </c>
      <c r="I268" s="40"/>
      <c r="J268" s="40"/>
      <c r="K268" s="41"/>
      <c r="L268" s="26"/>
      <c r="M268" s="26"/>
      <c r="N268" s="24"/>
      <c r="O268" s="41"/>
      <c r="P268" s="41"/>
      <c r="Q268" s="24"/>
      <c r="R268" s="24"/>
      <c r="S268" s="41"/>
      <c r="T268" s="26"/>
      <c r="U268" s="41"/>
      <c r="V268" s="41"/>
      <c r="W268" s="41"/>
      <c r="X268" s="62" t="s">
        <v>306</v>
      </c>
    </row>
    <row r="269" ht="14.25" customHeight="1">
      <c r="A269" s="24"/>
      <c r="B269" s="54" t="s">
        <v>314</v>
      </c>
      <c r="C269" s="16" t="s">
        <v>46</v>
      </c>
      <c r="D269" s="14">
        <v>500.0</v>
      </c>
      <c r="E269" s="17" t="str">
        <f>IFERROR(__xludf.DUMMYFUNCTION("REGEXREPLACE(GOOGLETRANSLATE(B269,""RU"",""EN""),"" "",""_"")"),"Adjusting_Focus")</f>
        <v>Adjusting_Focus</v>
      </c>
      <c r="F269" s="51" t="s">
        <v>71</v>
      </c>
      <c r="G269" s="16" t="s">
        <v>48</v>
      </c>
      <c r="H269" s="16" t="s">
        <v>46</v>
      </c>
      <c r="I269" s="40"/>
      <c r="J269" s="40"/>
      <c r="K269" s="41"/>
      <c r="L269" s="26"/>
      <c r="M269" s="26"/>
      <c r="N269" s="24"/>
      <c r="O269" s="41"/>
      <c r="P269" s="41"/>
      <c r="Q269" s="24"/>
      <c r="R269" s="24"/>
      <c r="S269" s="41"/>
      <c r="T269" s="26"/>
      <c r="U269" s="41"/>
      <c r="V269" s="41"/>
      <c r="W269" s="41"/>
      <c r="X269" s="62" t="s">
        <v>306</v>
      </c>
    </row>
    <row r="270" ht="14.25" customHeight="1">
      <c r="A270" s="24"/>
      <c r="B270" s="54" t="s">
        <v>127</v>
      </c>
      <c r="C270" s="16" t="s">
        <v>46</v>
      </c>
      <c r="D270" s="14">
        <v>500.0</v>
      </c>
      <c r="E270" s="17" t="str">
        <f>IFERROR(__xludf.DUMMYFUNCTION("REGEXREPLACE(GOOGLETRANSLATE(B270,""RU"",""EN""),"" "",""_"")"),"Additional_features")</f>
        <v>Additional_features</v>
      </c>
      <c r="F270" s="51" t="s">
        <v>47</v>
      </c>
      <c r="G270" s="16" t="s">
        <v>48</v>
      </c>
      <c r="H270" s="16" t="s">
        <v>46</v>
      </c>
      <c r="I270" s="40"/>
      <c r="J270" s="40"/>
      <c r="K270" s="41"/>
      <c r="L270" s="26"/>
      <c r="M270" s="26"/>
      <c r="N270" s="24"/>
      <c r="O270" s="41"/>
      <c r="P270" s="41"/>
      <c r="Q270" s="24"/>
      <c r="R270" s="24"/>
      <c r="S270" s="41"/>
      <c r="T270" s="26"/>
      <c r="U270" s="41"/>
      <c r="V270" s="41"/>
      <c r="W270" s="41"/>
      <c r="X270" s="62" t="s">
        <v>306</v>
      </c>
    </row>
    <row r="271" ht="14.25" customHeight="1">
      <c r="A271" s="24"/>
      <c r="B271" s="54" t="s">
        <v>315</v>
      </c>
      <c r="C271" s="16" t="s">
        <v>46</v>
      </c>
      <c r="D271" s="14">
        <v>500.0</v>
      </c>
      <c r="E271" s="17" t="str">
        <f>IFERROR(__xludf.DUMMYFUNCTION("REGEXREPLACE(GOOGLETRANSLATE(B271,""RU"",""EN""),"" "",""_"")"),"Equipment")</f>
        <v>Equipment</v>
      </c>
      <c r="F271" s="51" t="s">
        <v>47</v>
      </c>
      <c r="G271" s="16" t="s">
        <v>48</v>
      </c>
      <c r="H271" s="16" t="s">
        <v>46</v>
      </c>
      <c r="I271" s="40"/>
      <c r="J271" s="40"/>
      <c r="K271" s="41"/>
      <c r="L271" s="26"/>
      <c r="M271" s="26"/>
      <c r="N271" s="24"/>
      <c r="O271" s="41"/>
      <c r="P271" s="41"/>
      <c r="Q271" s="24"/>
      <c r="R271" s="24"/>
      <c r="S271" s="41"/>
      <c r="T271" s="26"/>
      <c r="U271" s="41"/>
      <c r="V271" s="41"/>
      <c r="W271" s="41"/>
      <c r="X271" s="58" t="s">
        <v>316</v>
      </c>
    </row>
    <row r="272" ht="14.25" customHeight="1">
      <c r="A272" s="24"/>
      <c r="B272" s="54" t="s">
        <v>317</v>
      </c>
      <c r="C272" s="16" t="s">
        <v>46</v>
      </c>
      <c r="D272" s="14">
        <v>500.0</v>
      </c>
      <c r="E272" s="17" t="str">
        <f>IFERROR(__xludf.DUMMYFUNCTION("REGEXREPLACE(GOOGLETRANSLATE(B272,""RU"",""EN""),"" "",""_"")"),"Perimetry_type")</f>
        <v>Perimetry_type</v>
      </c>
      <c r="F272" s="51" t="s">
        <v>47</v>
      </c>
      <c r="G272" s="16" t="s">
        <v>48</v>
      </c>
      <c r="H272" s="16" t="s">
        <v>46</v>
      </c>
      <c r="I272" s="40"/>
      <c r="J272" s="40"/>
      <c r="K272" s="41"/>
      <c r="L272" s="26"/>
      <c r="M272" s="26"/>
      <c r="N272" s="24"/>
      <c r="O272" s="41"/>
      <c r="P272" s="41"/>
      <c r="Q272" s="24"/>
      <c r="R272" s="24"/>
      <c r="S272" s="41"/>
      <c r="T272" s="26"/>
      <c r="U272" s="41"/>
      <c r="V272" s="41"/>
      <c r="W272" s="41"/>
      <c r="X272" s="58" t="s">
        <v>316</v>
      </c>
    </row>
    <row r="273" ht="14.25" customHeight="1">
      <c r="A273" s="24"/>
      <c r="B273" s="54" t="s">
        <v>318</v>
      </c>
      <c r="C273" s="16" t="s">
        <v>46</v>
      </c>
      <c r="D273" s="14">
        <v>500.0</v>
      </c>
      <c r="E273" s="17" t="str">
        <f>IFERROR(__xludf.DUMMYFUNCTION("REGEXREPLACE(GOOGLETRANSLATE(B273,""RU"",""EN""),"" "",""_"")"),"Research_method")</f>
        <v>Research_method</v>
      </c>
      <c r="F273" s="51" t="s">
        <v>47</v>
      </c>
      <c r="G273" s="16" t="s">
        <v>48</v>
      </c>
      <c r="H273" s="16" t="s">
        <v>46</v>
      </c>
      <c r="I273" s="40"/>
      <c r="J273" s="40"/>
      <c r="K273" s="41"/>
      <c r="L273" s="26"/>
      <c r="M273" s="26"/>
      <c r="N273" s="24"/>
      <c r="O273" s="41"/>
      <c r="P273" s="41"/>
      <c r="Q273" s="24"/>
      <c r="R273" s="24"/>
      <c r="S273" s="41"/>
      <c r="T273" s="26"/>
      <c r="U273" s="41"/>
      <c r="V273" s="41"/>
      <c r="W273" s="41"/>
      <c r="X273" s="58" t="s">
        <v>316</v>
      </c>
    </row>
    <row r="274" ht="14.25" customHeight="1">
      <c r="A274" s="24"/>
      <c r="B274" s="54" t="s">
        <v>319</v>
      </c>
      <c r="C274" s="16" t="s">
        <v>46</v>
      </c>
      <c r="D274" s="14">
        <v>500.0</v>
      </c>
      <c r="E274" s="17" t="str">
        <f>IFERROR(__xludf.DUMMYFUNCTION("REGEXREPLACE(GOOGLETRANSLATE(B274,""RU"",""EN""),"" "",""_"")"),"Strategies")</f>
        <v>Strategies</v>
      </c>
      <c r="F274" s="51" t="s">
        <v>47</v>
      </c>
      <c r="G274" s="16" t="s">
        <v>48</v>
      </c>
      <c r="H274" s="16" t="s">
        <v>46</v>
      </c>
      <c r="I274" s="40"/>
      <c r="J274" s="40"/>
      <c r="K274" s="41"/>
      <c r="L274" s="26"/>
      <c r="M274" s="26"/>
      <c r="N274" s="24"/>
      <c r="O274" s="41"/>
      <c r="P274" s="41"/>
      <c r="Q274" s="24"/>
      <c r="R274" s="24"/>
      <c r="S274" s="41"/>
      <c r="T274" s="26"/>
      <c r="U274" s="41"/>
      <c r="V274" s="41"/>
      <c r="W274" s="41"/>
      <c r="X274" s="58" t="s">
        <v>316</v>
      </c>
    </row>
    <row r="275" ht="14.25" customHeight="1">
      <c r="A275" s="24"/>
      <c r="B275" s="54" t="s">
        <v>320</v>
      </c>
      <c r="C275" s="16" t="s">
        <v>46</v>
      </c>
      <c r="D275" s="14">
        <v>500.0</v>
      </c>
      <c r="E275" s="17" t="str">
        <f>IFERROR(__xludf.DUMMYFUNCTION("REGEXREPLACE(GOOGLETRANSLATE(B275,""RU"",""EN""),"" "",""_"")"),"Test_patterns")</f>
        <v>Test_patterns</v>
      </c>
      <c r="F275" s="51" t="s">
        <v>47</v>
      </c>
      <c r="G275" s="16" t="s">
        <v>48</v>
      </c>
      <c r="H275" s="16" t="s">
        <v>46</v>
      </c>
      <c r="I275" s="40"/>
      <c r="J275" s="40"/>
      <c r="K275" s="41"/>
      <c r="L275" s="26"/>
      <c r="M275" s="26"/>
      <c r="N275" s="24"/>
      <c r="O275" s="41"/>
      <c r="P275" s="41"/>
      <c r="Q275" s="24"/>
      <c r="R275" s="24"/>
      <c r="S275" s="41"/>
      <c r="T275" s="26"/>
      <c r="U275" s="41"/>
      <c r="V275" s="41"/>
      <c r="W275" s="41"/>
      <c r="X275" s="58" t="s">
        <v>316</v>
      </c>
    </row>
    <row r="276" ht="14.25" customHeight="1">
      <c r="A276" s="24"/>
      <c r="B276" s="54" t="s">
        <v>321</v>
      </c>
      <c r="C276" s="16" t="s">
        <v>46</v>
      </c>
      <c r="D276" s="14">
        <v>500.0</v>
      </c>
      <c r="E276" s="17" t="str">
        <f>IFERROR(__xludf.DUMMYFUNCTION("REGEXREPLACE(GOOGLETRANSLATE(B276,""RU"",""EN""),"" "",""_"")"),"Analysis_of_results")</f>
        <v>Analysis_of_results</v>
      </c>
      <c r="F276" s="51" t="s">
        <v>47</v>
      </c>
      <c r="G276" s="16" t="s">
        <v>48</v>
      </c>
      <c r="H276" s="16" t="s">
        <v>46</v>
      </c>
      <c r="I276" s="40"/>
      <c r="J276" s="40"/>
      <c r="K276" s="41"/>
      <c r="L276" s="26"/>
      <c r="M276" s="26"/>
      <c r="N276" s="24"/>
      <c r="O276" s="41"/>
      <c r="P276" s="41"/>
      <c r="Q276" s="24"/>
      <c r="R276" s="24"/>
      <c r="S276" s="41"/>
      <c r="T276" s="26"/>
      <c r="U276" s="41"/>
      <c r="V276" s="41"/>
      <c r="W276" s="41"/>
      <c r="X276" s="58" t="s">
        <v>316</v>
      </c>
    </row>
    <row r="277" ht="14.25" customHeight="1">
      <c r="A277" s="24"/>
      <c r="B277" s="54" t="s">
        <v>322</v>
      </c>
      <c r="C277" s="16" t="s">
        <v>46</v>
      </c>
      <c r="D277" s="14">
        <v>500.0</v>
      </c>
      <c r="E277" s="17" t="str">
        <f>IFERROR(__xludf.DUMMYFUNCTION("REGEXREPLACE(GOOGLETRANSLATE(B277,""RU"",""EN""),"" "",""_"")"),"Arc_diameter_mm")</f>
        <v>Arc_diameter_mm</v>
      </c>
      <c r="F277" s="51" t="s">
        <v>48</v>
      </c>
      <c r="G277" s="16" t="s">
        <v>48</v>
      </c>
      <c r="H277" s="16" t="s">
        <v>46</v>
      </c>
      <c r="I277" s="40"/>
      <c r="J277" s="40"/>
      <c r="K277" s="41"/>
      <c r="L277" s="26"/>
      <c r="M277" s="26"/>
      <c r="N277" s="24"/>
      <c r="O277" s="41"/>
      <c r="P277" s="41"/>
      <c r="Q277" s="24"/>
      <c r="R277" s="24"/>
      <c r="S277" s="41"/>
      <c r="T277" s="26"/>
      <c r="U277" s="41"/>
      <c r="V277" s="41"/>
      <c r="W277" s="41"/>
      <c r="X277" s="58" t="s">
        <v>316</v>
      </c>
    </row>
    <row r="278" ht="14.25" customHeight="1">
      <c r="A278" s="24"/>
      <c r="B278" s="54" t="s">
        <v>323</v>
      </c>
      <c r="C278" s="16" t="s">
        <v>46</v>
      </c>
      <c r="D278" s="14">
        <v>500.0</v>
      </c>
      <c r="E278" s="17" t="str">
        <f>IFERROR(__xludf.DUMMYFUNCTION("REGEXREPLACE(GOOGLETRANSLATE(B278,""RU"",""EN""),"" "",""_"")"),"Distance_(Eye_-_fixation_point)")</f>
        <v>Distance_(Eye_-_fixation_point)</v>
      </c>
      <c r="F278" s="51" t="s">
        <v>48</v>
      </c>
      <c r="G278" s="16" t="s">
        <v>48</v>
      </c>
      <c r="H278" s="16" t="s">
        <v>46</v>
      </c>
      <c r="I278" s="40"/>
      <c r="J278" s="40"/>
      <c r="K278" s="41"/>
      <c r="L278" s="26"/>
      <c r="M278" s="26"/>
      <c r="N278" s="24"/>
      <c r="O278" s="41"/>
      <c r="P278" s="41"/>
      <c r="Q278" s="24"/>
      <c r="R278" s="24"/>
      <c r="S278" s="41"/>
      <c r="T278" s="26"/>
      <c r="U278" s="41"/>
      <c r="V278" s="41"/>
      <c r="W278" s="41"/>
      <c r="X278" s="58" t="s">
        <v>316</v>
      </c>
    </row>
    <row r="279" ht="14.25" customHeight="1">
      <c r="A279" s="24"/>
      <c r="B279" s="54" t="s">
        <v>324</v>
      </c>
      <c r="C279" s="16" t="s">
        <v>46</v>
      </c>
      <c r="D279" s="14">
        <v>500.0</v>
      </c>
      <c r="E279" s="17" t="str">
        <f>IFERROR(__xludf.DUMMYFUNCTION("REGEXREPLACE(GOOGLETRANSLATE(B279,""RU"",""EN""),"" "",""_"")"),"Rotate_an_arc_around_a_horizontal_axis")</f>
        <v>Rotate_an_arc_around_a_horizontal_axis</v>
      </c>
      <c r="F279" s="51" t="s">
        <v>48</v>
      </c>
      <c r="G279" s="16" t="s">
        <v>48</v>
      </c>
      <c r="H279" s="16" t="s">
        <v>46</v>
      </c>
      <c r="I279" s="40"/>
      <c r="J279" s="40"/>
      <c r="K279" s="41"/>
      <c r="L279" s="26"/>
      <c r="M279" s="26"/>
      <c r="N279" s="24"/>
      <c r="O279" s="41"/>
      <c r="P279" s="41"/>
      <c r="Q279" s="24"/>
      <c r="R279" s="24"/>
      <c r="S279" s="41"/>
      <c r="T279" s="26"/>
      <c r="U279" s="41"/>
      <c r="V279" s="41"/>
      <c r="W279" s="41"/>
      <c r="X279" s="58" t="s">
        <v>316</v>
      </c>
    </row>
    <row r="280" ht="14.25" customHeight="1">
      <c r="A280" s="24"/>
      <c r="B280" s="54" t="s">
        <v>325</v>
      </c>
      <c r="C280" s="16" t="s">
        <v>46</v>
      </c>
      <c r="D280" s="14">
        <v>500.0</v>
      </c>
      <c r="E280" s="17" t="str">
        <f>IFERROR(__xludf.DUMMYFUNCTION("REGEXREPLACE(GOOGLETRANSLATE(B280,""RU"",""EN""),"" "",""_"")"),"Limits_of_visual_field_examination")</f>
        <v>Limits_of_visual_field_examination</v>
      </c>
      <c r="F280" s="51" t="s">
        <v>48</v>
      </c>
      <c r="G280" s="16" t="s">
        <v>48</v>
      </c>
      <c r="H280" s="16" t="s">
        <v>46</v>
      </c>
      <c r="I280" s="40"/>
      <c r="J280" s="40"/>
      <c r="K280" s="41"/>
      <c r="L280" s="26"/>
      <c r="M280" s="26"/>
      <c r="N280" s="24"/>
      <c r="O280" s="41"/>
      <c r="P280" s="41"/>
      <c r="Q280" s="24"/>
      <c r="R280" s="24"/>
      <c r="S280" s="41"/>
      <c r="T280" s="26"/>
      <c r="U280" s="41"/>
      <c r="V280" s="41"/>
      <c r="W280" s="41"/>
      <c r="X280" s="58" t="s">
        <v>316</v>
      </c>
    </row>
    <row r="281" ht="14.25" customHeight="1">
      <c r="A281" s="24"/>
      <c r="B281" s="54" t="s">
        <v>326</v>
      </c>
      <c r="C281" s="16" t="s">
        <v>46</v>
      </c>
      <c r="D281" s="14">
        <v>500.0</v>
      </c>
      <c r="E281" s="17" t="str">
        <f>IFERROR(__xludf.DUMMYFUNCTION("REGEXREPLACE(GOOGLETRANSLATE(B281,""RU"",""EN""),"" "",""_"")"),"Arc_scale_division_price")</f>
        <v>Arc_scale_division_price</v>
      </c>
      <c r="F281" s="51" t="s">
        <v>48</v>
      </c>
      <c r="G281" s="16" t="s">
        <v>48</v>
      </c>
      <c r="H281" s="16" t="s">
        <v>46</v>
      </c>
      <c r="I281" s="40"/>
      <c r="J281" s="40"/>
      <c r="K281" s="41"/>
      <c r="L281" s="26"/>
      <c r="M281" s="26"/>
      <c r="N281" s="24"/>
      <c r="O281" s="41"/>
      <c r="P281" s="41"/>
      <c r="Q281" s="24"/>
      <c r="R281" s="24"/>
      <c r="S281" s="41"/>
      <c r="T281" s="26"/>
      <c r="U281" s="41"/>
      <c r="V281" s="41"/>
      <c r="W281" s="41"/>
      <c r="X281" s="58" t="s">
        <v>316</v>
      </c>
    </row>
    <row r="282" ht="14.25" customHeight="1">
      <c r="A282" s="24"/>
      <c r="B282" s="54" t="s">
        <v>327</v>
      </c>
      <c r="C282" s="16" t="s">
        <v>46</v>
      </c>
      <c r="D282" s="14">
        <v>500.0</v>
      </c>
      <c r="E282" s="17" t="str">
        <f>IFERROR(__xludf.DUMMYFUNCTION("REGEXREPLACE(GOOGLETRANSLATE(B282,""RU"",""EN""),"" "",""_"")"),"Disc_scale_division_price")</f>
        <v>Disc_scale_division_price</v>
      </c>
      <c r="F282" s="51" t="s">
        <v>48</v>
      </c>
      <c r="G282" s="16" t="s">
        <v>48</v>
      </c>
      <c r="H282" s="16" t="s">
        <v>46</v>
      </c>
      <c r="I282" s="40"/>
      <c r="J282" s="40"/>
      <c r="K282" s="41"/>
      <c r="L282" s="26"/>
      <c r="M282" s="26"/>
      <c r="N282" s="24"/>
      <c r="O282" s="41"/>
      <c r="P282" s="41"/>
      <c r="Q282" s="24"/>
      <c r="R282" s="24"/>
      <c r="S282" s="41"/>
      <c r="T282" s="26"/>
      <c r="U282" s="41"/>
      <c r="V282" s="41"/>
      <c r="W282" s="41"/>
      <c r="X282" s="58" t="s">
        <v>316</v>
      </c>
    </row>
    <row r="283" ht="14.25" customHeight="1">
      <c r="A283" s="24"/>
      <c r="B283" s="54" t="s">
        <v>328</v>
      </c>
      <c r="C283" s="16" t="s">
        <v>46</v>
      </c>
      <c r="D283" s="14">
        <v>500.0</v>
      </c>
      <c r="E283" s="17" t="str">
        <f>IFERROR(__xludf.DUMMYFUNCTION("REGEXREPLACE(GOOGLETRANSLATE(B283,""RU"",""EN""),"" "",""_"")"),"Absolute_error_limits")</f>
        <v>Absolute_error_limits</v>
      </c>
      <c r="F283" s="51" t="s">
        <v>48</v>
      </c>
      <c r="G283" s="16" t="s">
        <v>48</v>
      </c>
      <c r="H283" s="16" t="s">
        <v>46</v>
      </c>
      <c r="I283" s="40"/>
      <c r="J283" s="40"/>
      <c r="K283" s="41"/>
      <c r="L283" s="26"/>
      <c r="M283" s="26"/>
      <c r="N283" s="24"/>
      <c r="O283" s="41"/>
      <c r="P283" s="41"/>
      <c r="Q283" s="24"/>
      <c r="R283" s="24"/>
      <c r="S283" s="41"/>
      <c r="T283" s="26"/>
      <c r="U283" s="41"/>
      <c r="V283" s="41"/>
      <c r="W283" s="41"/>
      <c r="X283" s="58" t="s">
        <v>316</v>
      </c>
    </row>
    <row r="284" ht="14.25" customHeight="1">
      <c r="A284" s="24"/>
      <c r="B284" s="54" t="s">
        <v>329</v>
      </c>
      <c r="C284" s="16" t="s">
        <v>46</v>
      </c>
      <c r="D284" s="14">
        <v>500.0</v>
      </c>
      <c r="E284" s="17" t="str">
        <f>IFERROR(__xludf.DUMMYFUNCTION("REGEXREPLACE(GOOGLETRANSLATE(B284,""RU"",""EN""),"" "",""_"")"),"Range_for_field_of_view_measurement")</f>
        <v>Range_for_field_of_view_measurement</v>
      </c>
      <c r="F284" s="51" t="s">
        <v>48</v>
      </c>
      <c r="G284" s="16" t="s">
        <v>48</v>
      </c>
      <c r="H284" s="16" t="s">
        <v>46</v>
      </c>
      <c r="I284" s="40"/>
      <c r="J284" s="40"/>
      <c r="K284" s="41"/>
      <c r="L284" s="26"/>
      <c r="M284" s="26"/>
      <c r="N284" s="24"/>
      <c r="O284" s="41"/>
      <c r="P284" s="41"/>
      <c r="Q284" s="24"/>
      <c r="R284" s="24"/>
      <c r="S284" s="41"/>
      <c r="T284" s="26"/>
      <c r="U284" s="41"/>
      <c r="V284" s="41"/>
      <c r="W284" s="41"/>
      <c r="X284" s="58" t="s">
        <v>316</v>
      </c>
    </row>
    <row r="285" ht="14.25" customHeight="1">
      <c r="A285" s="24"/>
      <c r="B285" s="54" t="s">
        <v>330</v>
      </c>
      <c r="C285" s="16" t="s">
        <v>46</v>
      </c>
      <c r="D285" s="14">
        <v>500.0</v>
      </c>
      <c r="E285" s="17" t="str">
        <f>IFERROR(__xludf.DUMMYFUNCTION("REGEXREPLACE(GOOGLETRANSLATE(B285,""RU"",""EN""),"" "",""_"")"),"Sphere_radius")</f>
        <v>Sphere_radius</v>
      </c>
      <c r="F285" s="51" t="s">
        <v>48</v>
      </c>
      <c r="G285" s="16" t="s">
        <v>48</v>
      </c>
      <c r="H285" s="16" t="s">
        <v>46</v>
      </c>
      <c r="I285" s="40"/>
      <c r="J285" s="40"/>
      <c r="K285" s="41"/>
      <c r="L285" s="26"/>
      <c r="M285" s="26"/>
      <c r="N285" s="24"/>
      <c r="O285" s="41"/>
      <c r="P285" s="41"/>
      <c r="Q285" s="24"/>
      <c r="R285" s="24"/>
      <c r="S285" s="41"/>
      <c r="T285" s="26"/>
      <c r="U285" s="41"/>
      <c r="V285" s="41"/>
      <c r="W285" s="41"/>
      <c r="X285" s="58" t="s">
        <v>316</v>
      </c>
    </row>
    <row r="286" ht="14.25" customHeight="1">
      <c r="A286" s="24"/>
      <c r="B286" s="54" t="s">
        <v>331</v>
      </c>
      <c r="C286" s="16" t="s">
        <v>46</v>
      </c>
      <c r="D286" s="14">
        <v>500.0</v>
      </c>
      <c r="E286" s="17" t="str">
        <f>IFERROR(__xludf.DUMMYFUNCTION("REGEXREPLACE(GOOGLETRANSLATE(B286,""RU"",""EN""),"" "",""_"")"),"Number_of_incentives")</f>
        <v>Number_of_incentives</v>
      </c>
      <c r="F286" s="51" t="s">
        <v>48</v>
      </c>
      <c r="G286" s="16" t="s">
        <v>48</v>
      </c>
      <c r="H286" s="16" t="s">
        <v>46</v>
      </c>
      <c r="I286" s="40"/>
      <c r="J286" s="40"/>
      <c r="K286" s="41"/>
      <c r="L286" s="26"/>
      <c r="M286" s="26"/>
      <c r="N286" s="24"/>
      <c r="O286" s="41"/>
      <c r="P286" s="41"/>
      <c r="Q286" s="24"/>
      <c r="R286" s="24"/>
      <c r="S286" s="41"/>
      <c r="T286" s="26"/>
      <c r="U286" s="41"/>
      <c r="V286" s="41"/>
      <c r="W286" s="41"/>
      <c r="X286" s="58" t="s">
        <v>316</v>
      </c>
    </row>
    <row r="287" ht="14.25" customHeight="1">
      <c r="A287" s="24"/>
      <c r="B287" s="54" t="s">
        <v>332</v>
      </c>
      <c r="C287" s="16" t="s">
        <v>46</v>
      </c>
      <c r="D287" s="14">
        <v>500.0</v>
      </c>
      <c r="E287" s="17" t="str">
        <f>IFERROR(__xludf.DUMMYFUNCTION("REGEXREPLACE(GOOGLETRANSLATE(B287,""RU"",""EN""),"" "",""_"")"),"Stimulus_parameters")</f>
        <v>Stimulus_parameters</v>
      </c>
      <c r="F287" s="51" t="s">
        <v>48</v>
      </c>
      <c r="G287" s="16" t="s">
        <v>48</v>
      </c>
      <c r="H287" s="16" t="s">
        <v>46</v>
      </c>
      <c r="I287" s="40"/>
      <c r="J287" s="40"/>
      <c r="K287" s="41"/>
      <c r="L287" s="26"/>
      <c r="M287" s="26"/>
      <c r="N287" s="24"/>
      <c r="O287" s="41"/>
      <c r="P287" s="41"/>
      <c r="Q287" s="24"/>
      <c r="R287" s="24"/>
      <c r="S287" s="41"/>
      <c r="T287" s="26"/>
      <c r="U287" s="41"/>
      <c r="V287" s="41"/>
      <c r="W287" s="41"/>
      <c r="X287" s="58" t="s">
        <v>316</v>
      </c>
    </row>
    <row r="288" ht="14.25" customHeight="1">
      <c r="A288" s="24"/>
      <c r="B288" s="54" t="s">
        <v>333</v>
      </c>
      <c r="C288" s="16" t="s">
        <v>46</v>
      </c>
      <c r="D288" s="14">
        <v>500.0</v>
      </c>
      <c r="E288" s="17" t="str">
        <f>IFERROR(__xludf.DUMMYFUNCTION("REGEXREPLACE(GOOGLETRANSLATE(B288,""RU"",""EN""),"" "",""_"")"),"Duration_of_stimulus_presentation")</f>
        <v>Duration_of_stimulus_presentation</v>
      </c>
      <c r="F288" s="51" t="s">
        <v>48</v>
      </c>
      <c r="G288" s="16" t="s">
        <v>48</v>
      </c>
      <c r="H288" s="16" t="s">
        <v>46</v>
      </c>
      <c r="I288" s="40"/>
      <c r="J288" s="40"/>
      <c r="K288" s="41"/>
      <c r="L288" s="26"/>
      <c r="M288" s="26"/>
      <c r="N288" s="24"/>
      <c r="O288" s="41"/>
      <c r="P288" s="41"/>
      <c r="Q288" s="24"/>
      <c r="R288" s="24"/>
      <c r="S288" s="41"/>
      <c r="T288" s="26"/>
      <c r="U288" s="41"/>
      <c r="V288" s="41"/>
      <c r="W288" s="41"/>
      <c r="X288" s="58" t="s">
        <v>316</v>
      </c>
    </row>
    <row r="289" ht="14.25" customHeight="1">
      <c r="A289" s="24"/>
      <c r="B289" s="54" t="s">
        <v>334</v>
      </c>
      <c r="C289" s="16" t="s">
        <v>46</v>
      </c>
      <c r="D289" s="14">
        <v>500.0</v>
      </c>
      <c r="E289" s="17" t="str">
        <f>IFERROR(__xludf.DUMMYFUNCTION("REGEXREPLACE(GOOGLETRANSLATE(B289,""RU"",""EN""),"" "",""_"")"),"Stimulus_sending_frequency")</f>
        <v>Stimulus_sending_frequency</v>
      </c>
      <c r="F289" s="51" t="s">
        <v>48</v>
      </c>
      <c r="G289" s="16" t="s">
        <v>48</v>
      </c>
      <c r="H289" s="16" t="s">
        <v>46</v>
      </c>
      <c r="I289" s="40"/>
      <c r="J289" s="40"/>
      <c r="K289" s="41"/>
      <c r="L289" s="26"/>
      <c r="M289" s="26"/>
      <c r="N289" s="24"/>
      <c r="O289" s="41"/>
      <c r="P289" s="41"/>
      <c r="Q289" s="24"/>
      <c r="R289" s="24"/>
      <c r="S289" s="41"/>
      <c r="T289" s="26"/>
      <c r="U289" s="41"/>
      <c r="V289" s="41"/>
      <c r="W289" s="41"/>
      <c r="X289" s="58" t="s">
        <v>316</v>
      </c>
    </row>
    <row r="290" ht="14.25" customHeight="1">
      <c r="A290" s="24"/>
      <c r="B290" s="54" t="s">
        <v>335</v>
      </c>
      <c r="C290" s="16" t="s">
        <v>46</v>
      </c>
      <c r="D290" s="14">
        <v>500.0</v>
      </c>
      <c r="E290" s="17" t="str">
        <f>IFERROR(__xludf.DUMMYFUNCTION("REGEXREPLACE(GOOGLETRANSLATE(B290,""RU"",""EN""),"" "",""_"")"),"Stimulation_spot_color")</f>
        <v>Stimulation_spot_color</v>
      </c>
      <c r="F290" s="51" t="s">
        <v>47</v>
      </c>
      <c r="G290" s="16" t="s">
        <v>48</v>
      </c>
      <c r="H290" s="16" t="s">
        <v>46</v>
      </c>
      <c r="I290" s="40"/>
      <c r="J290" s="40"/>
      <c r="K290" s="41"/>
      <c r="L290" s="26"/>
      <c r="M290" s="26"/>
      <c r="N290" s="24"/>
      <c r="O290" s="41"/>
      <c r="P290" s="41"/>
      <c r="Q290" s="24"/>
      <c r="R290" s="24"/>
      <c r="S290" s="41"/>
      <c r="T290" s="26"/>
      <c r="U290" s="41"/>
      <c r="V290" s="41"/>
      <c r="W290" s="41"/>
      <c r="X290" s="58" t="s">
        <v>316</v>
      </c>
    </row>
    <row r="291" ht="14.25" customHeight="1">
      <c r="A291" s="24"/>
      <c r="B291" s="54" t="s">
        <v>336</v>
      </c>
      <c r="C291" s="16" t="s">
        <v>46</v>
      </c>
      <c r="D291" s="14">
        <v>500.0</v>
      </c>
      <c r="E291" s="17" t="str">
        <f>IFERROR(__xludf.DUMMYFUNCTION("REGEXREPLACE(GOOGLETRANSLATE(B291,""RU"",""EN""),"" "",""_"")"),"Time_to_explore")</f>
        <v>Time_to_explore</v>
      </c>
      <c r="F291" s="51" t="s">
        <v>48</v>
      </c>
      <c r="G291" s="16" t="s">
        <v>48</v>
      </c>
      <c r="H291" s="16" t="s">
        <v>46</v>
      </c>
      <c r="I291" s="40"/>
      <c r="J291" s="40"/>
      <c r="K291" s="41"/>
      <c r="L291" s="26"/>
      <c r="M291" s="26"/>
      <c r="N291" s="24"/>
      <c r="O291" s="41"/>
      <c r="P291" s="41"/>
      <c r="Q291" s="24"/>
      <c r="R291" s="24"/>
      <c r="S291" s="41"/>
      <c r="T291" s="26"/>
      <c r="U291" s="41"/>
      <c r="V291" s="41"/>
      <c r="W291" s="41"/>
      <c r="X291" s="58" t="s">
        <v>316</v>
      </c>
    </row>
    <row r="292" ht="14.25" customHeight="1">
      <c r="A292" s="24"/>
      <c r="B292" s="54" t="s">
        <v>337</v>
      </c>
      <c r="C292" s="16" t="s">
        <v>46</v>
      </c>
      <c r="D292" s="14">
        <v>500.0</v>
      </c>
      <c r="E292" s="17" t="str">
        <f>IFERROR(__xludf.DUMMYFUNCTION("REGEXREPLACE(GOOGLETRANSLATE(B292,""RU"",""EN""),"" "",""_"")"),"Sound_alarm")</f>
        <v>Sound_alarm</v>
      </c>
      <c r="F292" s="51" t="s">
        <v>47</v>
      </c>
      <c r="G292" s="16" t="s">
        <v>48</v>
      </c>
      <c r="H292" s="16" t="s">
        <v>46</v>
      </c>
      <c r="I292" s="40"/>
      <c r="J292" s="40"/>
      <c r="K292" s="41"/>
      <c r="L292" s="26"/>
      <c r="M292" s="26"/>
      <c r="N292" s="24"/>
      <c r="O292" s="41"/>
      <c r="P292" s="41"/>
      <c r="Q292" s="24"/>
      <c r="R292" s="24"/>
      <c r="S292" s="41"/>
      <c r="T292" s="26"/>
      <c r="U292" s="41"/>
      <c r="V292" s="41"/>
      <c r="W292" s="41"/>
      <c r="X292" s="58" t="s">
        <v>316</v>
      </c>
    </row>
    <row r="293" ht="14.25" customHeight="1">
      <c r="A293" s="24"/>
      <c r="B293" s="54" t="s">
        <v>338</v>
      </c>
      <c r="C293" s="16" t="s">
        <v>46</v>
      </c>
      <c r="D293" s="14">
        <v>500.0</v>
      </c>
      <c r="E293" s="17" t="str">
        <f>IFERROR(__xludf.DUMMYFUNCTION("REGEXREPLACE(GOOGLETRANSLATE(B293,""RU"",""EN""),"" "",""_"")"),"Options_for_fixing_your_gaze")</f>
        <v>Options_for_fixing_your_gaze</v>
      </c>
      <c r="F293" s="51" t="s">
        <v>47</v>
      </c>
      <c r="G293" s="16" t="s">
        <v>48</v>
      </c>
      <c r="H293" s="16" t="s">
        <v>46</v>
      </c>
      <c r="I293" s="40"/>
      <c r="J293" s="40"/>
      <c r="K293" s="41"/>
      <c r="L293" s="26"/>
      <c r="M293" s="26"/>
      <c r="N293" s="24"/>
      <c r="O293" s="41"/>
      <c r="P293" s="41"/>
      <c r="Q293" s="24"/>
      <c r="R293" s="24"/>
      <c r="S293" s="41"/>
      <c r="T293" s="26"/>
      <c r="U293" s="41"/>
      <c r="V293" s="41"/>
      <c r="W293" s="41"/>
      <c r="X293" s="58" t="s">
        <v>316</v>
      </c>
    </row>
    <row r="294" ht="14.25" customHeight="1">
      <c r="A294" s="24"/>
      <c r="B294" s="54" t="s">
        <v>339</v>
      </c>
      <c r="C294" s="16" t="s">
        <v>46</v>
      </c>
      <c r="D294" s="14">
        <v>500.0</v>
      </c>
      <c r="E294" s="17" t="str">
        <f>IFERROR(__xludf.DUMMYFUNCTION("REGEXREPLACE(GOOGLETRANSLATE(B294,""RU"",""EN""),"" "",""_"")"),"Choice_of_gaze_fixation")</f>
        <v>Choice_of_gaze_fixation</v>
      </c>
      <c r="F294" s="51" t="s">
        <v>47</v>
      </c>
      <c r="G294" s="16" t="s">
        <v>48</v>
      </c>
      <c r="H294" s="16" t="s">
        <v>46</v>
      </c>
      <c r="I294" s="40"/>
      <c r="J294" s="40"/>
      <c r="K294" s="41"/>
      <c r="L294" s="26"/>
      <c r="M294" s="26"/>
      <c r="N294" s="24"/>
      <c r="O294" s="41"/>
      <c r="P294" s="41"/>
      <c r="Q294" s="24"/>
      <c r="R294" s="24"/>
      <c r="S294" s="41"/>
      <c r="T294" s="26"/>
      <c r="U294" s="41"/>
      <c r="V294" s="41"/>
      <c r="W294" s="41"/>
      <c r="X294" s="58" t="s">
        <v>316</v>
      </c>
    </row>
    <row r="295" ht="14.25" customHeight="1">
      <c r="A295" s="24"/>
      <c r="B295" s="54" t="s">
        <v>340</v>
      </c>
      <c r="C295" s="16" t="s">
        <v>46</v>
      </c>
      <c r="D295" s="14">
        <v>500.0</v>
      </c>
      <c r="E295" s="17" t="str">
        <f>IFERROR(__xludf.DUMMYFUNCTION("REGEXREPLACE(GOOGLETRANSLATE(B295,""RU"",""EN""),"" "",""_"")"),"Power_supply")</f>
        <v>Power_supply</v>
      </c>
      <c r="F295" s="51" t="s">
        <v>48</v>
      </c>
      <c r="G295" s="16" t="s">
        <v>48</v>
      </c>
      <c r="H295" s="16" t="s">
        <v>46</v>
      </c>
      <c r="I295" s="40"/>
      <c r="J295" s="40"/>
      <c r="K295" s="41"/>
      <c r="L295" s="26"/>
      <c r="M295" s="26"/>
      <c r="N295" s="24"/>
      <c r="O295" s="41"/>
      <c r="P295" s="41"/>
      <c r="Q295" s="24"/>
      <c r="R295" s="24"/>
      <c r="S295" s="41"/>
      <c r="T295" s="26"/>
      <c r="U295" s="41"/>
      <c r="V295" s="41"/>
      <c r="W295" s="41"/>
      <c r="X295" s="58" t="s">
        <v>316</v>
      </c>
    </row>
    <row r="296" ht="14.25" customHeight="1">
      <c r="A296" s="24"/>
      <c r="B296" s="54" t="s">
        <v>341</v>
      </c>
      <c r="C296" s="16" t="s">
        <v>46</v>
      </c>
      <c r="D296" s="14">
        <v>500.0</v>
      </c>
      <c r="E296" s="17" t="str">
        <f>IFERROR(__xludf.DUMMYFUNCTION("REGEXREPLACE(GOOGLETRANSLATE(B296,""RU"",""EN""),"" "",""_"")"),"Registration_certificate")</f>
        <v>Registration_certificate</v>
      </c>
      <c r="F296" s="51" t="s">
        <v>48</v>
      </c>
      <c r="G296" s="16" t="s">
        <v>48</v>
      </c>
      <c r="H296" s="16" t="s">
        <v>46</v>
      </c>
      <c r="I296" s="40"/>
      <c r="J296" s="40"/>
      <c r="K296" s="41"/>
      <c r="L296" s="26"/>
      <c r="M296" s="26"/>
      <c r="N296" s="24"/>
      <c r="O296" s="41"/>
      <c r="P296" s="41"/>
      <c r="Q296" s="24"/>
      <c r="R296" s="24"/>
      <c r="S296" s="41"/>
      <c r="T296" s="26"/>
      <c r="U296" s="41"/>
      <c r="V296" s="41"/>
      <c r="W296" s="41"/>
      <c r="X296" s="48" t="s">
        <v>342</v>
      </c>
    </row>
    <row r="297" ht="14.25" customHeight="1">
      <c r="A297" s="24"/>
      <c r="B297" s="54" t="s">
        <v>343</v>
      </c>
      <c r="C297" s="16" t="s">
        <v>46</v>
      </c>
      <c r="D297" s="14">
        <v>500.0</v>
      </c>
      <c r="E297" s="17" t="str">
        <f>IFERROR(__xludf.DUMMYFUNCTION("REGEXREPLACE(GOOGLETRANSLATE(B297,""RU"",""EN""),"" "",""_"")"),"Sensor_type")</f>
        <v>Sensor_type</v>
      </c>
      <c r="F297" s="51" t="s">
        <v>48</v>
      </c>
      <c r="G297" s="16" t="s">
        <v>48</v>
      </c>
      <c r="H297" s="16" t="s">
        <v>46</v>
      </c>
      <c r="I297" s="40"/>
      <c r="J297" s="40"/>
      <c r="K297" s="41"/>
      <c r="L297" s="26"/>
      <c r="M297" s="26"/>
      <c r="N297" s="24"/>
      <c r="O297" s="41"/>
      <c r="P297" s="41"/>
      <c r="Q297" s="24"/>
      <c r="R297" s="24"/>
      <c r="S297" s="41"/>
      <c r="T297" s="26"/>
      <c r="U297" s="41"/>
      <c r="V297" s="41"/>
      <c r="W297" s="41"/>
      <c r="X297" s="48" t="s">
        <v>342</v>
      </c>
    </row>
    <row r="298" ht="14.25" customHeight="1">
      <c r="A298" s="24"/>
      <c r="B298" s="54" t="s">
        <v>344</v>
      </c>
      <c r="C298" s="16" t="s">
        <v>46</v>
      </c>
      <c r="D298" s="14">
        <v>500.0</v>
      </c>
      <c r="E298" s="17" t="str">
        <f>IFERROR(__xludf.DUMMYFUNCTION("REGEXREPLACE(GOOGLETRANSLATE(B298,""RU"",""EN""),"" "",""_"")"),"Operating_principle")</f>
        <v>Operating_principle</v>
      </c>
      <c r="F298" s="51" t="s">
        <v>48</v>
      </c>
      <c r="G298" s="16" t="s">
        <v>48</v>
      </c>
      <c r="H298" s="16" t="s">
        <v>46</v>
      </c>
      <c r="I298" s="40"/>
      <c r="J298" s="40"/>
      <c r="K298" s="41"/>
      <c r="L298" s="26"/>
      <c r="M298" s="26"/>
      <c r="N298" s="24"/>
      <c r="O298" s="41"/>
      <c r="P298" s="41"/>
      <c r="Q298" s="24"/>
      <c r="R298" s="24"/>
      <c r="S298" s="41"/>
      <c r="T298" s="26"/>
      <c r="U298" s="41"/>
      <c r="V298" s="41"/>
      <c r="W298" s="41"/>
      <c r="X298" s="48" t="s">
        <v>342</v>
      </c>
    </row>
    <row r="299" ht="14.25" customHeight="1">
      <c r="A299" s="24"/>
      <c r="B299" s="54" t="s">
        <v>345</v>
      </c>
      <c r="C299" s="16" t="s">
        <v>46</v>
      </c>
      <c r="D299" s="14">
        <v>500.0</v>
      </c>
      <c r="E299" s="17" t="str">
        <f>IFERROR(__xludf.DUMMYFUNCTION("REGEXREPLACE(GOOGLETRANSLATE(B299,""RU"",""EN""),"" "",""_"")"),"Radiation_dose")</f>
        <v>Radiation_dose</v>
      </c>
      <c r="F299" s="51" t="s">
        <v>48</v>
      </c>
      <c r="G299" s="16" t="s">
        <v>48</v>
      </c>
      <c r="H299" s="16" t="s">
        <v>46</v>
      </c>
      <c r="I299" s="40"/>
      <c r="J299" s="40"/>
      <c r="K299" s="41"/>
      <c r="L299" s="26"/>
      <c r="M299" s="26"/>
      <c r="N299" s="24"/>
      <c r="O299" s="41"/>
      <c r="P299" s="41"/>
      <c r="Q299" s="24"/>
      <c r="R299" s="24"/>
      <c r="S299" s="41"/>
      <c r="T299" s="26"/>
      <c r="U299" s="41"/>
      <c r="V299" s="41"/>
      <c r="W299" s="41"/>
      <c r="X299" s="48" t="s">
        <v>342</v>
      </c>
    </row>
    <row r="300" ht="14.25" customHeight="1">
      <c r="A300" s="24"/>
      <c r="B300" s="54" t="s">
        <v>346</v>
      </c>
      <c r="C300" s="16" t="s">
        <v>46</v>
      </c>
      <c r="D300" s="14">
        <v>500.0</v>
      </c>
      <c r="E300" s="17" t="str">
        <f>IFERROR(__xludf.DUMMYFUNCTION("REGEXREPLACE(GOOGLETRANSLATE(B300,""RU"",""EN""),"" "",""_"")"),"Pixel_size")</f>
        <v>Pixel_size</v>
      </c>
      <c r="F300" s="51" t="s">
        <v>48</v>
      </c>
      <c r="G300" s="16" t="s">
        <v>48</v>
      </c>
      <c r="H300" s="16" t="s">
        <v>46</v>
      </c>
      <c r="I300" s="40"/>
      <c r="J300" s="40"/>
      <c r="K300" s="41"/>
      <c r="L300" s="26"/>
      <c r="M300" s="26"/>
      <c r="N300" s="24"/>
      <c r="O300" s="41"/>
      <c r="P300" s="41"/>
      <c r="Q300" s="24"/>
      <c r="R300" s="24"/>
      <c r="S300" s="41"/>
      <c r="T300" s="26"/>
      <c r="U300" s="41"/>
      <c r="V300" s="41"/>
      <c r="W300" s="41"/>
      <c r="X300" s="48" t="s">
        <v>342</v>
      </c>
    </row>
    <row r="301" ht="14.25" customHeight="1">
      <c r="A301" s="24"/>
      <c r="B301" s="54" t="s">
        <v>347</v>
      </c>
      <c r="C301" s="16" t="s">
        <v>46</v>
      </c>
      <c r="D301" s="14">
        <v>500.0</v>
      </c>
      <c r="E301" s="17" t="str">
        <f>IFERROR(__xludf.DUMMYFUNCTION("REGEXREPLACE(GOOGLETRANSLATE(B301,""RU"",""EN""),"" "",""_"")"),"Pixel_matrix
")</f>
        <v>Pixel_matrix
</v>
      </c>
      <c r="F301" s="51" t="s">
        <v>48</v>
      </c>
      <c r="G301" s="16" t="s">
        <v>48</v>
      </c>
      <c r="H301" s="16" t="s">
        <v>46</v>
      </c>
      <c r="I301" s="40"/>
      <c r="J301" s="40"/>
      <c r="K301" s="41"/>
      <c r="L301" s="26"/>
      <c r="M301" s="26"/>
      <c r="N301" s="24"/>
      <c r="O301" s="41"/>
      <c r="P301" s="41"/>
      <c r="Q301" s="24"/>
      <c r="R301" s="24"/>
      <c r="S301" s="41"/>
      <c r="T301" s="26"/>
      <c r="U301" s="41"/>
      <c r="V301" s="41"/>
      <c r="W301" s="41"/>
      <c r="X301" s="48" t="s">
        <v>342</v>
      </c>
    </row>
    <row r="302" ht="14.25" customHeight="1">
      <c r="A302" s="24"/>
      <c r="B302" s="54" t="s">
        <v>348</v>
      </c>
      <c r="C302" s="16" t="s">
        <v>46</v>
      </c>
      <c r="D302" s="14">
        <v>500.0</v>
      </c>
      <c r="E302" s="17" t="str">
        <f>IFERROR(__xludf.DUMMYFUNCTION("REGEXREPLACE(GOOGLETRANSLATE(B302,""RU"",""EN""),"" "",""_"")"),"Matrix_type")</f>
        <v>Matrix_type</v>
      </c>
      <c r="F302" s="51" t="s">
        <v>47</v>
      </c>
      <c r="G302" s="16" t="s">
        <v>48</v>
      </c>
      <c r="H302" s="16" t="s">
        <v>46</v>
      </c>
      <c r="I302" s="40"/>
      <c r="J302" s="40"/>
      <c r="K302" s="41"/>
      <c r="L302" s="26"/>
      <c r="M302" s="26"/>
      <c r="N302" s="24"/>
      <c r="O302" s="41"/>
      <c r="P302" s="41"/>
      <c r="Q302" s="24"/>
      <c r="R302" s="24"/>
      <c r="S302" s="41"/>
      <c r="T302" s="26"/>
      <c r="U302" s="41"/>
      <c r="V302" s="41"/>
      <c r="W302" s="41"/>
      <c r="X302" s="48" t="s">
        <v>342</v>
      </c>
    </row>
    <row r="303" ht="14.25" customHeight="1">
      <c r="A303" s="24"/>
      <c r="B303" s="54" t="s">
        <v>349</v>
      </c>
      <c r="C303" s="16" t="s">
        <v>46</v>
      </c>
      <c r="D303" s="14">
        <v>500.0</v>
      </c>
      <c r="E303" s="17" t="str">
        <f>IFERROR(__xludf.DUMMYFUNCTION("REGEXREPLACE(GOOGLETRANSLATE(B303,""RU"",""EN""),"" "",""_"")"),"Gray_level")</f>
        <v>Gray_level</v>
      </c>
      <c r="F303" s="51" t="s">
        <v>48</v>
      </c>
      <c r="G303" s="16" t="s">
        <v>48</v>
      </c>
      <c r="H303" s="16" t="s">
        <v>46</v>
      </c>
      <c r="I303" s="40"/>
      <c r="J303" s="40"/>
      <c r="K303" s="41"/>
      <c r="L303" s="26"/>
      <c r="M303" s="26"/>
      <c r="N303" s="24"/>
      <c r="O303" s="41"/>
      <c r="P303" s="41"/>
      <c r="Q303" s="24"/>
      <c r="R303" s="24"/>
      <c r="S303" s="41"/>
      <c r="T303" s="26"/>
      <c r="U303" s="41"/>
      <c r="V303" s="41"/>
      <c r="W303" s="41"/>
      <c r="X303" s="48" t="s">
        <v>342</v>
      </c>
    </row>
    <row r="304" ht="14.25" customHeight="1">
      <c r="A304" s="24"/>
      <c r="B304" s="54" t="s">
        <v>350</v>
      </c>
      <c r="C304" s="16" t="s">
        <v>46</v>
      </c>
      <c r="D304" s="14">
        <v>500.0</v>
      </c>
      <c r="E304" s="17" t="str">
        <f>IFERROR(__xludf.DUMMYFUNCTION("REGEXREPLACE(GOOGLETRANSLATE(B304,""RU"",""EN""),"" "",""_"")"),"Optical_resolution	")</f>
        <v>Optical_resolution	</v>
      </c>
      <c r="F304" s="51" t="s">
        <v>48</v>
      </c>
      <c r="G304" s="16" t="s">
        <v>48</v>
      </c>
      <c r="H304" s="16" t="s">
        <v>46</v>
      </c>
      <c r="I304" s="40"/>
      <c r="J304" s="40"/>
      <c r="K304" s="41"/>
      <c r="L304" s="26"/>
      <c r="M304" s="26"/>
      <c r="N304" s="24"/>
      <c r="O304" s="41"/>
      <c r="P304" s="41"/>
      <c r="Q304" s="24"/>
      <c r="R304" s="24"/>
      <c r="S304" s="41"/>
      <c r="T304" s="26"/>
      <c r="U304" s="41"/>
      <c r="V304" s="41"/>
      <c r="W304" s="41"/>
      <c r="X304" s="48" t="s">
        <v>342</v>
      </c>
    </row>
    <row r="305" ht="14.25" customHeight="1">
      <c r="A305" s="24"/>
      <c r="B305" s="54" t="s">
        <v>351</v>
      </c>
      <c r="C305" s="16" t="s">
        <v>46</v>
      </c>
      <c r="D305" s="14">
        <v>500.0</v>
      </c>
      <c r="E305" s="17" t="str">
        <f>IFERROR(__xludf.DUMMYFUNCTION("REGEXREPLACE(GOOGLETRANSLATE(B305,""RU"",""EN""),"" "",""_"")"),"Cable_length")</f>
        <v>Cable_length</v>
      </c>
      <c r="F305" s="51" t="s">
        <v>48</v>
      </c>
      <c r="G305" s="16" t="s">
        <v>48</v>
      </c>
      <c r="H305" s="16" t="s">
        <v>46</v>
      </c>
      <c r="I305" s="40"/>
      <c r="J305" s="40"/>
      <c r="K305" s="41"/>
      <c r="L305" s="26"/>
      <c r="M305" s="26"/>
      <c r="N305" s="24"/>
      <c r="O305" s="41"/>
      <c r="P305" s="41"/>
      <c r="Q305" s="24"/>
      <c r="R305" s="24"/>
      <c r="S305" s="41"/>
      <c r="T305" s="26"/>
      <c r="U305" s="41"/>
      <c r="V305" s="41"/>
      <c r="W305" s="41"/>
      <c r="X305" s="48" t="s">
        <v>342</v>
      </c>
    </row>
    <row r="306" ht="14.25" customHeight="1">
      <c r="A306" s="24"/>
      <c r="B306" s="54" t="s">
        <v>352</v>
      </c>
      <c r="C306" s="16" t="s">
        <v>46</v>
      </c>
      <c r="D306" s="14">
        <v>500.0</v>
      </c>
      <c r="E306" s="17" t="str">
        <f>IFERROR(__xludf.DUMMYFUNCTION("REGEXREPLACE(GOOGLETRANSLATE(B306,""RU"",""EN""),"" "",""_"")"),"Connector/connection_type")</f>
        <v>Connector/connection_type</v>
      </c>
      <c r="F306" s="51" t="s">
        <v>48</v>
      </c>
      <c r="G306" s="16" t="s">
        <v>48</v>
      </c>
      <c r="H306" s="16" t="s">
        <v>46</v>
      </c>
      <c r="I306" s="40"/>
      <c r="J306" s="40"/>
      <c r="K306" s="41"/>
      <c r="L306" s="26"/>
      <c r="M306" s="26"/>
      <c r="N306" s="24"/>
      <c r="O306" s="41"/>
      <c r="P306" s="41"/>
      <c r="Q306" s="24"/>
      <c r="R306" s="24"/>
      <c r="S306" s="41"/>
      <c r="T306" s="26"/>
      <c r="U306" s="41"/>
      <c r="V306" s="41"/>
      <c r="W306" s="41"/>
      <c r="X306" s="48" t="s">
        <v>342</v>
      </c>
    </row>
    <row r="307" ht="14.25" customHeight="1">
      <c r="A307" s="24"/>
      <c r="B307" s="54" t="s">
        <v>353</v>
      </c>
      <c r="C307" s="16" t="s">
        <v>46</v>
      </c>
      <c r="D307" s="14">
        <v>500.0</v>
      </c>
      <c r="E307" s="17" t="str">
        <f>IFERROR(__xludf.DUMMYFUNCTION("REGEXREPLACE(GOOGLETRANSLATE(B307,""RU"",""EN""),"" "",""_"")"),"Dynamic_capture_range")</f>
        <v>Dynamic_capture_range</v>
      </c>
      <c r="F307" s="51" t="s">
        <v>48</v>
      </c>
      <c r="G307" s="16" t="s">
        <v>48</v>
      </c>
      <c r="H307" s="16" t="s">
        <v>46</v>
      </c>
      <c r="I307" s="40"/>
      <c r="J307" s="40"/>
      <c r="K307" s="41"/>
      <c r="L307" s="26"/>
      <c r="M307" s="26"/>
      <c r="N307" s="24"/>
      <c r="O307" s="41"/>
      <c r="P307" s="41"/>
      <c r="Q307" s="24"/>
      <c r="R307" s="24"/>
      <c r="S307" s="41"/>
      <c r="T307" s="26"/>
      <c r="U307" s="41"/>
      <c r="V307" s="41"/>
      <c r="W307" s="41"/>
      <c r="X307" s="48" t="s">
        <v>342</v>
      </c>
    </row>
    <row r="308" ht="14.25" customHeight="1">
      <c r="A308" s="24"/>
      <c r="B308" s="54" t="s">
        <v>354</v>
      </c>
      <c r="C308" s="16" t="s">
        <v>46</v>
      </c>
      <c r="D308" s="14">
        <v>500.0</v>
      </c>
      <c r="E308" s="17" t="str">
        <f>IFERROR(__xludf.DUMMYFUNCTION("REGEXREPLACE(GOOGLETRANSLATE(B308,""RU"",""EN""),"" "",""_"")"),"Exposure_time")</f>
        <v>Exposure_time</v>
      </c>
      <c r="F308" s="51" t="s">
        <v>48</v>
      </c>
      <c r="G308" s="16" t="s">
        <v>48</v>
      </c>
      <c r="H308" s="16" t="s">
        <v>46</v>
      </c>
      <c r="I308" s="40"/>
      <c r="J308" s="40"/>
      <c r="K308" s="41"/>
      <c r="L308" s="26"/>
      <c r="M308" s="26"/>
      <c r="N308" s="24"/>
      <c r="O308" s="41"/>
      <c r="P308" s="41"/>
      <c r="Q308" s="24"/>
      <c r="R308" s="24"/>
      <c r="S308" s="41"/>
      <c r="T308" s="26"/>
      <c r="U308" s="41"/>
      <c r="V308" s="41"/>
      <c r="W308" s="41"/>
      <c r="X308" s="48" t="s">
        <v>342</v>
      </c>
    </row>
    <row r="309" ht="14.25" customHeight="1">
      <c r="A309" s="24"/>
      <c r="B309" s="54" t="s">
        <v>355</v>
      </c>
      <c r="C309" s="16" t="s">
        <v>46</v>
      </c>
      <c r="D309" s="14">
        <v>500.0</v>
      </c>
      <c r="E309" s="17" t="str">
        <f>IFERROR(__xludf.DUMMYFUNCTION("REGEXREPLACE(GOOGLETRANSLATE(B309,""RU"",""EN""),"" "",""_"")"),"Protection_from_moisture_and_dust")</f>
        <v>Protection_from_moisture_and_dust</v>
      </c>
      <c r="F309" s="51" t="s">
        <v>48</v>
      </c>
      <c r="G309" s="16" t="s">
        <v>48</v>
      </c>
      <c r="H309" s="16" t="s">
        <v>46</v>
      </c>
      <c r="I309" s="40"/>
      <c r="J309" s="40"/>
      <c r="K309" s="41"/>
      <c r="L309" s="26"/>
      <c r="M309" s="26"/>
      <c r="N309" s="24"/>
      <c r="O309" s="41"/>
      <c r="P309" s="41"/>
      <c r="Q309" s="24"/>
      <c r="R309" s="24"/>
      <c r="S309" s="41"/>
      <c r="T309" s="26"/>
      <c r="U309" s="41"/>
      <c r="V309" s="41"/>
      <c r="W309" s="41"/>
      <c r="X309" s="48" t="s">
        <v>342</v>
      </c>
    </row>
    <row r="310" ht="14.25" customHeight="1">
      <c r="A310" s="24"/>
      <c r="B310" s="54" t="s">
        <v>356</v>
      </c>
      <c r="C310" s="16" t="s">
        <v>46</v>
      </c>
      <c r="D310" s="14">
        <v>500.0</v>
      </c>
      <c r="E310" s="17" t="str">
        <f>IFERROR(__xludf.DUMMYFUNCTION("REGEXREPLACE(GOOGLETRANSLATE(B310,""RU"",""EN""),"" "",""_"")"),"Sensor_weight")</f>
        <v>Sensor_weight</v>
      </c>
      <c r="F310" s="51" t="s">
        <v>48</v>
      </c>
      <c r="G310" s="16" t="s">
        <v>48</v>
      </c>
      <c r="H310" s="16" t="s">
        <v>46</v>
      </c>
      <c r="I310" s="40"/>
      <c r="J310" s="40"/>
      <c r="K310" s="41"/>
      <c r="L310" s="26"/>
      <c r="M310" s="26"/>
      <c r="N310" s="24"/>
      <c r="O310" s="41"/>
      <c r="P310" s="41"/>
      <c r="Q310" s="24"/>
      <c r="R310" s="24"/>
      <c r="S310" s="41"/>
      <c r="T310" s="26"/>
      <c r="U310" s="41"/>
      <c r="V310" s="41"/>
      <c r="W310" s="41"/>
      <c r="X310" s="48" t="s">
        <v>342</v>
      </c>
    </row>
    <row r="311" ht="14.25" customHeight="1">
      <c r="A311" s="24"/>
      <c r="B311" s="54" t="s">
        <v>357</v>
      </c>
      <c r="C311" s="16" t="s">
        <v>46</v>
      </c>
      <c r="D311" s="14">
        <v>500.0</v>
      </c>
      <c r="E311" s="17" t="str">
        <f>IFERROR(__xludf.DUMMYFUNCTION("REGEXREPLACE(GOOGLETRANSLATE(B311,""RU"",""EN""),"" "",""_"")"),"Sensor_active_area_size")</f>
        <v>Sensor_active_area_size</v>
      </c>
      <c r="F311" s="51" t="s">
        <v>48</v>
      </c>
      <c r="G311" s="16" t="s">
        <v>48</v>
      </c>
      <c r="H311" s="16" t="s">
        <v>46</v>
      </c>
      <c r="I311" s="40"/>
      <c r="J311" s="40"/>
      <c r="K311" s="41"/>
      <c r="L311" s="26"/>
      <c r="M311" s="26"/>
      <c r="N311" s="24"/>
      <c r="O311" s="41"/>
      <c r="P311" s="41"/>
      <c r="Q311" s="24"/>
      <c r="R311" s="24"/>
      <c r="S311" s="41"/>
      <c r="T311" s="26"/>
      <c r="U311" s="41"/>
      <c r="V311" s="41"/>
      <c r="W311" s="41"/>
      <c r="X311" s="48" t="s">
        <v>342</v>
      </c>
    </row>
    <row r="312" ht="14.25" customHeight="1">
      <c r="A312" s="24"/>
      <c r="B312" s="54" t="s">
        <v>358</v>
      </c>
      <c r="C312" s="16" t="s">
        <v>46</v>
      </c>
      <c r="D312" s="14">
        <v>500.0</v>
      </c>
      <c r="E312" s="17" t="str">
        <f>IFERROR(__xludf.DUMMYFUNCTION("REGEXREPLACE(GOOGLETRANSLATE(B312,""RU"",""EN""),"" "",""_"")"),"Sensor_thickness")</f>
        <v>Sensor_thickness</v>
      </c>
      <c r="F312" s="51" t="s">
        <v>48</v>
      </c>
      <c r="G312" s="16" t="s">
        <v>48</v>
      </c>
      <c r="H312" s="16" t="s">
        <v>46</v>
      </c>
      <c r="I312" s="40"/>
      <c r="J312" s="40"/>
      <c r="K312" s="41"/>
      <c r="L312" s="26"/>
      <c r="M312" s="26"/>
      <c r="N312" s="24"/>
      <c r="O312" s="41"/>
      <c r="P312" s="41"/>
      <c r="Q312" s="24"/>
      <c r="R312" s="24"/>
      <c r="S312" s="41"/>
      <c r="T312" s="26"/>
      <c r="U312" s="41"/>
      <c r="V312" s="41"/>
      <c r="W312" s="41"/>
      <c r="X312" s="48" t="s">
        <v>342</v>
      </c>
    </row>
    <row r="313" ht="14.25" customHeight="1">
      <c r="A313" s="24"/>
      <c r="B313" s="54" t="s">
        <v>359</v>
      </c>
      <c r="C313" s="16" t="s">
        <v>46</v>
      </c>
      <c r="D313" s="14">
        <v>500.0</v>
      </c>
      <c r="E313" s="17" t="str">
        <f>IFERROR(__xludf.DUMMYFUNCTION("REGEXREPLACE(GOOGLETRANSLATE(B313,""RU"",""EN""),"" "",""_"")"),"Reading_system")</f>
        <v>Reading_system</v>
      </c>
      <c r="F313" s="51" t="s">
        <v>47</v>
      </c>
      <c r="G313" s="16" t="s">
        <v>48</v>
      </c>
      <c r="H313" s="16" t="s">
        <v>46</v>
      </c>
      <c r="I313" s="40"/>
      <c r="J313" s="40"/>
      <c r="K313" s="41"/>
      <c r="L313" s="26"/>
      <c r="M313" s="26"/>
      <c r="N313" s="24"/>
      <c r="O313" s="41"/>
      <c r="P313" s="41"/>
      <c r="Q313" s="24"/>
      <c r="R313" s="24"/>
      <c r="S313" s="41"/>
      <c r="T313" s="26"/>
      <c r="U313" s="41"/>
      <c r="V313" s="41"/>
      <c r="W313" s="41"/>
      <c r="X313" s="48" t="s">
        <v>342</v>
      </c>
    </row>
    <row r="314" ht="14.25" customHeight="1">
      <c r="A314" s="24"/>
      <c r="B314" s="54" t="s">
        <v>360</v>
      </c>
      <c r="C314" s="16" t="s">
        <v>46</v>
      </c>
      <c r="D314" s="14">
        <v>500.0</v>
      </c>
      <c r="E314" s="17" t="str">
        <f>IFERROR(__xludf.DUMMYFUNCTION("REGEXREPLACE(GOOGLETRANSLATE(B314,""RU"",""EN""),"" "",""_"")"),"Matrix_protection")</f>
        <v>Matrix_protection</v>
      </c>
      <c r="F314" s="51" t="s">
        <v>47</v>
      </c>
      <c r="G314" s="16" t="s">
        <v>48</v>
      </c>
      <c r="H314" s="16" t="s">
        <v>46</v>
      </c>
      <c r="I314" s="40"/>
      <c r="J314" s="40"/>
      <c r="K314" s="41"/>
      <c r="L314" s="26"/>
      <c r="M314" s="26"/>
      <c r="N314" s="24"/>
      <c r="O314" s="41"/>
      <c r="P314" s="41"/>
      <c r="Q314" s="24"/>
      <c r="R314" s="24"/>
      <c r="S314" s="41"/>
      <c r="T314" s="26"/>
      <c r="U314" s="41"/>
      <c r="V314" s="41"/>
      <c r="W314" s="41"/>
      <c r="X314" s="48" t="s">
        <v>342</v>
      </c>
    </row>
    <row r="315" ht="14.25" customHeight="1">
      <c r="A315" s="24"/>
      <c r="B315" s="54" t="s">
        <v>279</v>
      </c>
      <c r="C315" s="16" t="s">
        <v>46</v>
      </c>
      <c r="D315" s="14">
        <v>500.0</v>
      </c>
      <c r="E315" s="17" t="str">
        <f>IFERROR(__xludf.DUMMYFUNCTION("REGEXREPLACE(GOOGLETRANSLATE(B315,""RU"",""EN""),"" "",""_"")"),"Operating_mode")</f>
        <v>Operating_mode</v>
      </c>
      <c r="F315" s="51" t="s">
        <v>47</v>
      </c>
      <c r="G315" s="16" t="s">
        <v>48</v>
      </c>
      <c r="H315" s="16" t="s">
        <v>46</v>
      </c>
      <c r="I315" s="40"/>
      <c r="J315" s="40"/>
      <c r="K315" s="41"/>
      <c r="L315" s="26"/>
      <c r="M315" s="26"/>
      <c r="N315" s="24"/>
      <c r="O315" s="41"/>
      <c r="P315" s="41"/>
      <c r="Q315" s="24"/>
      <c r="R315" s="24"/>
      <c r="S315" s="41"/>
      <c r="T315" s="26"/>
      <c r="U315" s="41"/>
      <c r="V315" s="41"/>
      <c r="W315" s="41"/>
      <c r="X315" s="48" t="s">
        <v>342</v>
      </c>
    </row>
    <row r="316" ht="14.25" customHeight="1">
      <c r="A316" s="24"/>
      <c r="B316" s="54" t="s">
        <v>361</v>
      </c>
      <c r="C316" s="16" t="s">
        <v>46</v>
      </c>
      <c r="D316" s="14">
        <v>500.0</v>
      </c>
      <c r="E316" s="17" t="str">
        <f>IFERROR(__xludf.DUMMYFUNCTION("REGEXREPLACE(GOOGLETRANSLATE(B316,""RU"",""EN""),"" "",""_"")"),"Supported_Operating_Systems")</f>
        <v>Supported_Operating_Systems</v>
      </c>
      <c r="F316" s="51" t="s">
        <v>47</v>
      </c>
      <c r="G316" s="16" t="s">
        <v>48</v>
      </c>
      <c r="H316" s="16" t="s">
        <v>46</v>
      </c>
      <c r="I316" s="40"/>
      <c r="J316" s="40"/>
      <c r="K316" s="41"/>
      <c r="L316" s="26"/>
      <c r="M316" s="26"/>
      <c r="N316" s="24"/>
      <c r="O316" s="41"/>
      <c r="P316" s="41"/>
      <c r="Q316" s="24"/>
      <c r="R316" s="24"/>
      <c r="S316" s="41"/>
      <c r="T316" s="26"/>
      <c r="U316" s="41"/>
      <c r="V316" s="41"/>
      <c r="W316" s="41"/>
      <c r="X316" s="48" t="s">
        <v>342</v>
      </c>
    </row>
    <row r="317" ht="14.25" customHeight="1">
      <c r="A317" s="24"/>
      <c r="B317" s="54" t="s">
        <v>362</v>
      </c>
      <c r="C317" s="16" t="s">
        <v>46</v>
      </c>
      <c r="D317" s="14">
        <v>500.0</v>
      </c>
      <c r="E317" s="17" t="str">
        <f>IFERROR(__xludf.DUMMYFUNCTION("REGEXREPLACE(GOOGLETRANSLATE(B317,""RU"",""EN""),"" "",""_"")"),"Operating_voltage")</f>
        <v>Operating_voltage</v>
      </c>
      <c r="F317" s="51" t="s">
        <v>48</v>
      </c>
      <c r="G317" s="16" t="s">
        <v>48</v>
      </c>
      <c r="H317" s="16" t="s">
        <v>46</v>
      </c>
      <c r="I317" s="40"/>
      <c r="J317" s="40"/>
      <c r="K317" s="41"/>
      <c r="L317" s="26"/>
      <c r="M317" s="26"/>
      <c r="N317" s="24"/>
      <c r="O317" s="41"/>
      <c r="P317" s="41"/>
      <c r="Q317" s="24"/>
      <c r="R317" s="24"/>
      <c r="S317" s="41"/>
      <c r="T317" s="26"/>
      <c r="U317" s="41"/>
      <c r="V317" s="41"/>
      <c r="W317" s="41"/>
      <c r="X317" s="48" t="s">
        <v>342</v>
      </c>
    </row>
    <row r="318" ht="14.25" customHeight="1">
      <c r="A318" s="24"/>
      <c r="B318" s="54" t="s">
        <v>363</v>
      </c>
      <c r="C318" s="16" t="s">
        <v>46</v>
      </c>
      <c r="D318" s="14">
        <v>500.0</v>
      </c>
      <c r="E318" s="17" t="str">
        <f>IFERROR(__xludf.DUMMYFUNCTION("REGEXREPLACE(GOOGLETRANSLATE(B318,""RU"",""EN""),"" "",""_"")"),"Operating_temperature_range")</f>
        <v>Operating_temperature_range</v>
      </c>
      <c r="F318" s="51" t="s">
        <v>48</v>
      </c>
      <c r="G318" s="16" t="s">
        <v>48</v>
      </c>
      <c r="H318" s="16" t="s">
        <v>46</v>
      </c>
      <c r="I318" s="40"/>
      <c r="J318" s="40"/>
      <c r="K318" s="41"/>
      <c r="L318" s="26"/>
      <c r="M318" s="26"/>
      <c r="N318" s="24"/>
      <c r="O318" s="41"/>
      <c r="P318" s="41"/>
      <c r="Q318" s="24"/>
      <c r="R318" s="24"/>
      <c r="S318" s="41"/>
      <c r="T318" s="26"/>
      <c r="U318" s="41"/>
      <c r="V318" s="41"/>
      <c r="W318" s="41"/>
      <c r="X318" s="48" t="s">
        <v>342</v>
      </c>
    </row>
    <row r="319" ht="14.25" customHeight="1">
      <c r="A319" s="24"/>
      <c r="B319" s="54" t="s">
        <v>364</v>
      </c>
      <c r="C319" s="16" t="s">
        <v>46</v>
      </c>
      <c r="D319" s="14">
        <v>500.0</v>
      </c>
      <c r="E319" s="17" t="str">
        <f>IFERROR(__xludf.DUMMYFUNCTION("REGEXREPLACE(GOOGLETRANSLATE(B319,""RU"",""EN""),"" "",""_"")"),"Dental_software_compatibility")</f>
        <v>Dental_software_compatibility</v>
      </c>
      <c r="F319" s="51" t="s">
        <v>47</v>
      </c>
      <c r="G319" s="16" t="s">
        <v>48</v>
      </c>
      <c r="H319" s="16" t="s">
        <v>46</v>
      </c>
      <c r="I319" s="40"/>
      <c r="J319" s="40"/>
      <c r="K319" s="41"/>
      <c r="L319" s="26"/>
      <c r="M319" s="26"/>
      <c r="N319" s="24"/>
      <c r="O319" s="41"/>
      <c r="P319" s="41"/>
      <c r="Q319" s="24"/>
      <c r="R319" s="24"/>
      <c r="S319" s="41"/>
      <c r="T319" s="26"/>
      <c r="U319" s="41"/>
      <c r="V319" s="41"/>
      <c r="W319" s="41"/>
      <c r="X319" s="48" t="s">
        <v>342</v>
      </c>
    </row>
    <row r="320" ht="14.25" customHeight="1">
      <c r="A320" s="24"/>
      <c r="B320" s="54" t="s">
        <v>365</v>
      </c>
      <c r="C320" s="16" t="s">
        <v>46</v>
      </c>
      <c r="D320" s="14">
        <v>500.0</v>
      </c>
      <c r="E320" s="17" t="str">
        <f>IFERROR(__xludf.DUMMYFUNCTION("REGEXREPLACE(GOOGLETRANSLATE(B320,""RU"",""EN""),"" "",""_"")"),"Type_of_work")</f>
        <v>Type_of_work</v>
      </c>
      <c r="F320" s="51" t="s">
        <v>47</v>
      </c>
      <c r="G320" s="16" t="s">
        <v>48</v>
      </c>
      <c r="H320" s="16" t="s">
        <v>46</v>
      </c>
      <c r="I320" s="40"/>
      <c r="J320" s="40"/>
      <c r="K320" s="41"/>
      <c r="L320" s="26"/>
      <c r="M320" s="26"/>
      <c r="N320" s="24"/>
      <c r="O320" s="41"/>
      <c r="P320" s="41"/>
      <c r="Q320" s="24"/>
      <c r="R320" s="24"/>
      <c r="S320" s="41"/>
      <c r="T320" s="26"/>
      <c r="U320" s="41"/>
      <c r="V320" s="41"/>
      <c r="W320" s="41"/>
      <c r="X320" s="48" t="s">
        <v>366</v>
      </c>
    </row>
    <row r="321" ht="14.25" customHeight="1">
      <c r="A321" s="24"/>
      <c r="B321" s="54" t="s">
        <v>367</v>
      </c>
      <c r="C321" s="16" t="s">
        <v>46</v>
      </c>
      <c r="D321" s="14">
        <v>500.0</v>
      </c>
      <c r="E321" s="17" t="str">
        <f>IFERROR(__xludf.DUMMYFUNCTION("REGEXREPLACE(GOOGLETRANSLATE(B321,""RU"",""EN""),"" "",""_"")"),"Support_various_modes")</f>
        <v>Support_various_modes</v>
      </c>
      <c r="F321" s="51" t="s">
        <v>47</v>
      </c>
      <c r="G321" s="16" t="s">
        <v>48</v>
      </c>
      <c r="H321" s="16" t="s">
        <v>46</v>
      </c>
      <c r="I321" s="40"/>
      <c r="J321" s="40"/>
      <c r="K321" s="41"/>
      <c r="L321" s="26"/>
      <c r="M321" s="26"/>
      <c r="N321" s="24"/>
      <c r="O321" s="41"/>
      <c r="P321" s="41"/>
      <c r="Q321" s="24"/>
      <c r="R321" s="24"/>
      <c r="S321" s="41"/>
      <c r="T321" s="26"/>
      <c r="U321" s="41"/>
      <c r="V321" s="41"/>
      <c r="W321" s="41"/>
      <c r="X321" s="48" t="s">
        <v>366</v>
      </c>
    </row>
    <row r="322" ht="14.25" customHeight="1">
      <c r="A322" s="24"/>
      <c r="B322" s="54" t="s">
        <v>368</v>
      </c>
      <c r="C322" s="16" t="s">
        <v>46</v>
      </c>
      <c r="D322" s="14">
        <v>500.0</v>
      </c>
      <c r="E322" s="17" t="str">
        <f>IFERROR(__xludf.DUMMYFUNCTION("REGEXREPLACE(GOOGLETRANSLATE(B322,""RU"",""EN""),"" "",""_"")"),"Availability_of_additional_functions")</f>
        <v>Availability_of_additional_functions</v>
      </c>
      <c r="F322" s="51" t="s">
        <v>47</v>
      </c>
      <c r="G322" s="16" t="s">
        <v>48</v>
      </c>
      <c r="H322" s="16" t="s">
        <v>46</v>
      </c>
      <c r="I322" s="40"/>
      <c r="J322" s="40"/>
      <c r="K322" s="41"/>
      <c r="L322" s="26"/>
      <c r="M322" s="26"/>
      <c r="N322" s="24"/>
      <c r="O322" s="41"/>
      <c r="P322" s="41"/>
      <c r="Q322" s="24"/>
      <c r="R322" s="24"/>
      <c r="S322" s="41"/>
      <c r="T322" s="26"/>
      <c r="U322" s="41"/>
      <c r="V322" s="41"/>
      <c r="W322" s="41"/>
      <c r="X322" s="48" t="s">
        <v>366</v>
      </c>
    </row>
    <row r="323" ht="14.25" customHeight="1">
      <c r="A323" s="24"/>
      <c r="B323" s="54" t="s">
        <v>369</v>
      </c>
      <c r="C323" s="16" t="s">
        <v>46</v>
      </c>
      <c r="D323" s="14">
        <v>500.0</v>
      </c>
      <c r="E323" s="17" t="str">
        <f>IFERROR(__xludf.DUMMYFUNCTION("REGEXREPLACE(GOOGLETRANSLATE(B323,""RU"",""EN""),"" "",""_"")"),"Operating_frequency")</f>
        <v>Operating_frequency</v>
      </c>
      <c r="F323" s="51" t="s">
        <v>48</v>
      </c>
      <c r="G323" s="16" t="s">
        <v>48</v>
      </c>
      <c r="H323" s="16" t="s">
        <v>46</v>
      </c>
      <c r="I323" s="40"/>
      <c r="J323" s="40"/>
      <c r="K323" s="41"/>
      <c r="L323" s="26"/>
      <c r="M323" s="26"/>
      <c r="N323" s="24"/>
      <c r="O323" s="41"/>
      <c r="P323" s="41"/>
      <c r="Q323" s="24"/>
      <c r="R323" s="24"/>
      <c r="S323" s="41"/>
      <c r="T323" s="26"/>
      <c r="U323" s="41"/>
      <c r="V323" s="41"/>
      <c r="W323" s="41"/>
      <c r="X323" s="48" t="s">
        <v>366</v>
      </c>
    </row>
    <row r="324" ht="14.25" customHeight="1">
      <c r="A324" s="24"/>
      <c r="B324" s="54" t="s">
        <v>62</v>
      </c>
      <c r="C324" s="16" t="s">
        <v>46</v>
      </c>
      <c r="D324" s="14">
        <v>500.0</v>
      </c>
      <c r="E324" s="17" t="str">
        <f>IFERROR(__xludf.DUMMYFUNCTION("REGEXREPLACE(GOOGLETRANSLATE(B324,""RU"",""EN""),"" "",""_"")"),"Power")</f>
        <v>Power</v>
      </c>
      <c r="F324" s="51" t="s">
        <v>48</v>
      </c>
      <c r="G324" s="16" t="s">
        <v>48</v>
      </c>
      <c r="H324" s="16" t="s">
        <v>46</v>
      </c>
      <c r="I324" s="40"/>
      <c r="J324" s="40"/>
      <c r="K324" s="41"/>
      <c r="L324" s="26"/>
      <c r="M324" s="26"/>
      <c r="N324" s="24"/>
      <c r="O324" s="41"/>
      <c r="P324" s="41"/>
      <c r="Q324" s="24"/>
      <c r="R324" s="24"/>
      <c r="S324" s="41"/>
      <c r="T324" s="26"/>
      <c r="U324" s="41"/>
      <c r="V324" s="41"/>
      <c r="W324" s="41"/>
      <c r="X324" s="48" t="s">
        <v>366</v>
      </c>
    </row>
    <row r="325" ht="14.25" customHeight="1">
      <c r="A325" s="24"/>
      <c r="B325" s="54" t="s">
        <v>370</v>
      </c>
      <c r="C325" s="16" t="s">
        <v>46</v>
      </c>
      <c r="D325" s="14">
        <v>500.0</v>
      </c>
      <c r="E325" s="17" t="str">
        <f>IFERROR(__xludf.DUMMYFUNCTION("REGEXREPLACE(GOOGLETRANSLATE(B325,""RU"",""EN""),"" "",""_"")"),"Electrode_size")</f>
        <v>Electrode_size</v>
      </c>
      <c r="F325" s="51" t="s">
        <v>48</v>
      </c>
      <c r="G325" s="16" t="s">
        <v>48</v>
      </c>
      <c r="H325" s="16" t="s">
        <v>46</v>
      </c>
      <c r="I325" s="40"/>
      <c r="J325" s="40"/>
      <c r="K325" s="41"/>
      <c r="L325" s="26"/>
      <c r="M325" s="26"/>
      <c r="N325" s="24"/>
      <c r="O325" s="41"/>
      <c r="P325" s="41"/>
      <c r="Q325" s="24"/>
      <c r="R325" s="24"/>
      <c r="S325" s="41"/>
      <c r="T325" s="26"/>
      <c r="U325" s="41"/>
      <c r="V325" s="41"/>
      <c r="W325" s="41"/>
      <c r="X325" s="48" t="s">
        <v>366</v>
      </c>
    </row>
    <row r="326" ht="14.25" customHeight="1">
      <c r="A326" s="24"/>
      <c r="B326" s="54" t="s">
        <v>371</v>
      </c>
      <c r="C326" s="16" t="s">
        <v>46</v>
      </c>
      <c r="D326" s="14">
        <v>500.0</v>
      </c>
      <c r="E326" s="17" t="str">
        <f>IFERROR(__xludf.DUMMYFUNCTION("REGEXREPLACE(GOOGLETRANSLATE(B326,""RU"",""EN""),"" "",""_"")"),"Electrode_type")</f>
        <v>Electrode_type</v>
      </c>
      <c r="F326" s="51" t="s">
        <v>47</v>
      </c>
      <c r="G326" s="16" t="s">
        <v>48</v>
      </c>
      <c r="H326" s="16" t="s">
        <v>46</v>
      </c>
      <c r="I326" s="40"/>
      <c r="J326" s="40"/>
      <c r="K326" s="41"/>
      <c r="L326" s="26"/>
      <c r="M326" s="26"/>
      <c r="N326" s="24"/>
      <c r="O326" s="41"/>
      <c r="P326" s="41"/>
      <c r="Q326" s="24"/>
      <c r="R326" s="24"/>
      <c r="S326" s="41"/>
      <c r="T326" s="26"/>
      <c r="U326" s="41"/>
      <c r="V326" s="41"/>
      <c r="W326" s="41"/>
      <c r="X326" s="48" t="s">
        <v>366</v>
      </c>
    </row>
    <row r="327" ht="14.25" customHeight="1">
      <c r="A327" s="24"/>
      <c r="B327" s="54" t="s">
        <v>372</v>
      </c>
      <c r="C327" s="16" t="s">
        <v>46</v>
      </c>
      <c r="D327" s="14">
        <v>500.0</v>
      </c>
      <c r="E327" s="17" t="str">
        <f>IFERROR(__xludf.DUMMYFUNCTION("REGEXREPLACE(GOOGLETRANSLATE(B327,""RU"",""EN""),"" "",""_"")"),"Cooling_system")</f>
        <v>Cooling_system</v>
      </c>
      <c r="F327" s="51" t="s">
        <v>47</v>
      </c>
      <c r="G327" s="16" t="s">
        <v>48</v>
      </c>
      <c r="H327" s="16" t="s">
        <v>46</v>
      </c>
      <c r="I327" s="40"/>
      <c r="J327" s="40"/>
      <c r="K327" s="41"/>
      <c r="L327" s="26"/>
      <c r="M327" s="26"/>
      <c r="N327" s="24"/>
      <c r="O327" s="41"/>
      <c r="P327" s="41"/>
      <c r="Q327" s="24"/>
      <c r="R327" s="24"/>
      <c r="S327" s="41"/>
      <c r="T327" s="26"/>
      <c r="U327" s="41"/>
      <c r="V327" s="41"/>
      <c r="W327" s="41"/>
      <c r="X327" s="48" t="s">
        <v>366</v>
      </c>
    </row>
    <row r="328" ht="14.25" customHeight="1">
      <c r="A328" s="24"/>
      <c r="B328" s="54" t="s">
        <v>373</v>
      </c>
      <c r="C328" s="16" t="s">
        <v>46</v>
      </c>
      <c r="D328" s="14">
        <v>500.0</v>
      </c>
      <c r="E328" s="17" t="str">
        <f>IFERROR(__xludf.DUMMYFUNCTION("REGEXREPLACE(GOOGLETRANSLATE(B328,""RU"",""EN""),"" "",""_"")"),"Display")</f>
        <v>Display</v>
      </c>
      <c r="F328" s="51" t="s">
        <v>47</v>
      </c>
      <c r="G328" s="16" t="s">
        <v>48</v>
      </c>
      <c r="H328" s="16" t="s">
        <v>46</v>
      </c>
      <c r="I328" s="40"/>
      <c r="J328" s="40"/>
      <c r="K328" s="41"/>
      <c r="L328" s="26"/>
      <c r="M328" s="26"/>
      <c r="N328" s="24"/>
      <c r="O328" s="41"/>
      <c r="P328" s="41"/>
      <c r="Q328" s="24"/>
      <c r="R328" s="24"/>
      <c r="S328" s="41"/>
      <c r="T328" s="26"/>
      <c r="U328" s="41"/>
      <c r="V328" s="41"/>
      <c r="W328" s="41"/>
      <c r="X328" s="48" t="s">
        <v>366</v>
      </c>
    </row>
    <row r="329" ht="14.25" customHeight="1">
      <c r="A329" s="24"/>
      <c r="B329" s="54" t="s">
        <v>374</v>
      </c>
      <c r="C329" s="16" t="s">
        <v>46</v>
      </c>
      <c r="D329" s="14">
        <v>500.0</v>
      </c>
      <c r="E329" s="17" t="str">
        <f>IFERROR(__xludf.DUMMYFUNCTION("REGEXREPLACE(GOOGLETRANSLATE(B329,""RU"",""EN""),"" "",""_"")"),"Connectivity_
argon")</f>
        <v>Connectivity_
argon</v>
      </c>
      <c r="F329" s="51" t="s">
        <v>71</v>
      </c>
      <c r="G329" s="16" t="s">
        <v>48</v>
      </c>
      <c r="H329" s="16" t="s">
        <v>46</v>
      </c>
      <c r="I329" s="40"/>
      <c r="J329" s="40"/>
      <c r="K329" s="41"/>
      <c r="L329" s="26"/>
      <c r="M329" s="26"/>
      <c r="N329" s="24"/>
      <c r="O329" s="41"/>
      <c r="P329" s="41"/>
      <c r="Q329" s="24"/>
      <c r="R329" s="24"/>
      <c r="S329" s="41"/>
      <c r="T329" s="26"/>
      <c r="U329" s="41"/>
      <c r="V329" s="41"/>
      <c r="W329" s="41"/>
      <c r="X329" s="48" t="s">
        <v>366</v>
      </c>
    </row>
    <row r="330" ht="14.25" customHeight="1">
      <c r="A330" s="24"/>
      <c r="B330" s="54" t="s">
        <v>375</v>
      </c>
      <c r="C330" s="16" t="s">
        <v>46</v>
      </c>
      <c r="D330" s="14">
        <v>500.0</v>
      </c>
      <c r="E330" s="17" t="str">
        <f>IFERROR(__xludf.DUMMYFUNCTION("REGEXREPLACE(GOOGLETRANSLATE(B330,""RU"",""EN""),"" "",""_"")"),"Power\Performance")</f>
        <v>Power\Performance</v>
      </c>
      <c r="F330" s="63" t="s">
        <v>48</v>
      </c>
      <c r="G330" s="16" t="s">
        <v>48</v>
      </c>
      <c r="H330" s="16" t="s">
        <v>46</v>
      </c>
      <c r="I330" s="40"/>
      <c r="J330" s="40"/>
      <c r="K330" s="41"/>
      <c r="L330" s="26"/>
      <c r="M330" s="26"/>
      <c r="N330" s="24"/>
      <c r="O330" s="41"/>
      <c r="P330" s="41"/>
      <c r="Q330" s="24"/>
      <c r="R330" s="24"/>
      <c r="S330" s="41"/>
      <c r="T330" s="26"/>
      <c r="U330" s="41"/>
      <c r="V330" s="41"/>
      <c r="W330" s="41"/>
      <c r="X330" s="37" t="s">
        <v>376</v>
      </c>
    </row>
    <row r="331" ht="14.25" customHeight="1">
      <c r="A331" s="24"/>
      <c r="B331" s="54" t="s">
        <v>377</v>
      </c>
      <c r="C331" s="16" t="s">
        <v>46</v>
      </c>
      <c r="D331" s="14">
        <v>500.0</v>
      </c>
      <c r="E331" s="17" t="str">
        <f>IFERROR(__xludf.DUMMYFUNCTION("REGEXREPLACE(GOOGLETRANSLATE(B331,""RU"",""EN""),"" "",""_"")"),"Power/performance_adjustment")</f>
        <v>Power/performance_adjustment</v>
      </c>
      <c r="F331" s="63" t="s">
        <v>71</v>
      </c>
      <c r="G331" s="16" t="s">
        <v>48</v>
      </c>
      <c r="H331" s="16" t="s">
        <v>46</v>
      </c>
      <c r="I331" s="40"/>
      <c r="J331" s="40"/>
      <c r="K331" s="41"/>
      <c r="L331" s="26"/>
      <c r="M331" s="26"/>
      <c r="N331" s="24"/>
      <c r="O331" s="41"/>
      <c r="P331" s="41"/>
      <c r="Q331" s="24"/>
      <c r="R331" s="24"/>
      <c r="S331" s="41"/>
      <c r="T331" s="26"/>
      <c r="U331" s="41"/>
      <c r="V331" s="41"/>
      <c r="W331" s="41"/>
      <c r="X331" s="37" t="s">
        <v>376</v>
      </c>
    </row>
    <row r="332" ht="14.25" customHeight="1">
      <c r="A332" s="24"/>
      <c r="B332" s="54" t="s">
        <v>378</v>
      </c>
      <c r="C332" s="16" t="s">
        <v>46</v>
      </c>
      <c r="D332" s="14">
        <v>500.0</v>
      </c>
      <c r="E332" s="17" t="str">
        <f>IFERROR(__xludf.DUMMYFUNCTION("REGEXREPLACE(GOOGLETRANSLATE(B332,""RU"",""EN""),"" "",""_"")"),"Maximum_vacuum_(range)")</f>
        <v>Maximum_vacuum_(range)</v>
      </c>
      <c r="F332" s="63" t="s">
        <v>48</v>
      </c>
      <c r="G332" s="16" t="s">
        <v>48</v>
      </c>
      <c r="H332" s="16" t="s">
        <v>46</v>
      </c>
      <c r="I332" s="40"/>
      <c r="J332" s="40"/>
      <c r="K332" s="41"/>
      <c r="L332" s="26"/>
      <c r="M332" s="26"/>
      <c r="N332" s="24"/>
      <c r="O332" s="41"/>
      <c r="P332" s="41"/>
      <c r="Q332" s="24"/>
      <c r="R332" s="24"/>
      <c r="S332" s="41"/>
      <c r="T332" s="26"/>
      <c r="U332" s="41"/>
      <c r="V332" s="41"/>
      <c r="W332" s="41"/>
      <c r="X332" s="37" t="s">
        <v>376</v>
      </c>
    </row>
    <row r="333" ht="14.25" customHeight="1">
      <c r="A333" s="24"/>
      <c r="B333" s="54" t="s">
        <v>84</v>
      </c>
      <c r="C333" s="16" t="s">
        <v>46</v>
      </c>
      <c r="D333" s="14">
        <v>500.0</v>
      </c>
      <c r="E333" s="17" t="str">
        <f>IFERROR(__xludf.DUMMYFUNCTION("REGEXREPLACE(GOOGLETRANSLATE(B333,""RU"",""EN""),"" "",""_"")"),"Noise_level")</f>
        <v>Noise_level</v>
      </c>
      <c r="F333" s="63" t="s">
        <v>48</v>
      </c>
      <c r="G333" s="16" t="s">
        <v>48</v>
      </c>
      <c r="H333" s="16" t="s">
        <v>46</v>
      </c>
      <c r="I333" s="40"/>
      <c r="J333" s="40"/>
      <c r="K333" s="41"/>
      <c r="L333" s="26"/>
      <c r="M333" s="26"/>
      <c r="N333" s="24"/>
      <c r="O333" s="41"/>
      <c r="P333" s="41"/>
      <c r="Q333" s="24"/>
      <c r="R333" s="24"/>
      <c r="S333" s="41"/>
      <c r="T333" s="26"/>
      <c r="U333" s="41"/>
      <c r="V333" s="41"/>
      <c r="W333" s="41"/>
      <c r="X333" s="37" t="s">
        <v>376</v>
      </c>
    </row>
    <row r="334" ht="14.25" customHeight="1">
      <c r="A334" s="24"/>
      <c r="B334" s="54" t="s">
        <v>379</v>
      </c>
      <c r="C334" s="16" t="s">
        <v>46</v>
      </c>
      <c r="D334" s="14">
        <v>500.0</v>
      </c>
      <c r="E334" s="17" t="str">
        <f>IFERROR(__xludf.DUMMYFUNCTION("REGEXREPLACE(GOOGLETRANSLATE(B334,""RU"",""EN""),"" "",""_"")"),"Capacity_of_containers")</f>
        <v>Capacity_of_containers</v>
      </c>
      <c r="F334" s="63" t="s">
        <v>48</v>
      </c>
      <c r="G334" s="16" t="s">
        <v>48</v>
      </c>
      <c r="H334" s="16" t="s">
        <v>46</v>
      </c>
      <c r="I334" s="40"/>
      <c r="J334" s="40"/>
      <c r="K334" s="41"/>
      <c r="L334" s="26"/>
      <c r="M334" s="26"/>
      <c r="N334" s="24"/>
      <c r="O334" s="41"/>
      <c r="P334" s="41"/>
      <c r="Q334" s="24"/>
      <c r="R334" s="24"/>
      <c r="S334" s="41"/>
      <c r="T334" s="26"/>
      <c r="U334" s="41"/>
      <c r="V334" s="41"/>
      <c r="W334" s="41"/>
      <c r="X334" s="37" t="s">
        <v>376</v>
      </c>
    </row>
    <row r="335" ht="14.25" customHeight="1">
      <c r="A335" s="24"/>
      <c r="B335" s="54" t="s">
        <v>380</v>
      </c>
      <c r="C335" s="16" t="s">
        <v>46</v>
      </c>
      <c r="D335" s="14">
        <v>500.0</v>
      </c>
      <c r="E335" s="17" t="str">
        <f>IFERROR(__xludf.DUMMYFUNCTION("REGEXREPLACE(GOOGLETRANSLATE(B335,""RU"",""EN""),"" "",""_"")"),"Number_of_containers")</f>
        <v>Number_of_containers</v>
      </c>
      <c r="F335" s="63" t="s">
        <v>48</v>
      </c>
      <c r="G335" s="16" t="s">
        <v>48</v>
      </c>
      <c r="H335" s="16" t="s">
        <v>46</v>
      </c>
      <c r="I335" s="40"/>
      <c r="J335" s="40"/>
      <c r="K335" s="41"/>
      <c r="L335" s="26"/>
      <c r="M335" s="26"/>
      <c r="N335" s="24"/>
      <c r="O335" s="41"/>
      <c r="P335" s="41"/>
      <c r="Q335" s="24"/>
      <c r="R335" s="24"/>
      <c r="S335" s="41"/>
      <c r="T335" s="26"/>
      <c r="U335" s="41"/>
      <c r="V335" s="41"/>
      <c r="W335" s="41"/>
      <c r="X335" s="37" t="s">
        <v>376</v>
      </c>
    </row>
    <row r="336" ht="14.25" customHeight="1">
      <c r="A336" s="24"/>
      <c r="B336" s="54" t="s">
        <v>381</v>
      </c>
      <c r="C336" s="16" t="s">
        <v>46</v>
      </c>
      <c r="D336" s="14">
        <v>500.0</v>
      </c>
      <c r="E336" s="17" t="str">
        <f>IFERROR(__xludf.DUMMYFUNCTION("REGEXREPLACE(GOOGLETRANSLATE(B336,""RU"",""EN""),"" "",""_"")"),"Power_type")</f>
        <v>Power_type</v>
      </c>
      <c r="F336" s="63" t="s">
        <v>47</v>
      </c>
      <c r="G336" s="16" t="s">
        <v>48</v>
      </c>
      <c r="H336" s="16" t="s">
        <v>46</v>
      </c>
      <c r="I336" s="40"/>
      <c r="J336" s="40"/>
      <c r="K336" s="41"/>
      <c r="L336" s="26"/>
      <c r="M336" s="26"/>
      <c r="N336" s="24"/>
      <c r="O336" s="41"/>
      <c r="P336" s="41"/>
      <c r="Q336" s="24"/>
      <c r="R336" s="24"/>
      <c r="S336" s="41"/>
      <c r="T336" s="26"/>
      <c r="U336" s="41"/>
      <c r="V336" s="41"/>
      <c r="W336" s="41"/>
      <c r="X336" s="37" t="s">
        <v>376</v>
      </c>
    </row>
    <row r="337" ht="14.25" customHeight="1">
      <c r="A337" s="24"/>
      <c r="B337" s="54" t="s">
        <v>382</v>
      </c>
      <c r="C337" s="16" t="s">
        <v>46</v>
      </c>
      <c r="D337" s="14">
        <v>500.0</v>
      </c>
      <c r="E337" s="17" t="str">
        <f>IFERROR(__xludf.DUMMYFUNCTION("REGEXREPLACE(GOOGLETRANSLATE(B337,""RU"",""EN""),"" "",""_"")"),"Suction_type")</f>
        <v>Suction_type</v>
      </c>
      <c r="F337" s="63" t="s">
        <v>47</v>
      </c>
      <c r="G337" s="16" t="s">
        <v>48</v>
      </c>
      <c r="H337" s="16" t="s">
        <v>46</v>
      </c>
      <c r="I337" s="40"/>
      <c r="J337" s="40"/>
      <c r="K337" s="41"/>
      <c r="L337" s="26"/>
      <c r="M337" s="26"/>
      <c r="N337" s="24"/>
      <c r="O337" s="41"/>
      <c r="P337" s="41"/>
      <c r="Q337" s="24"/>
      <c r="R337" s="24"/>
      <c r="S337" s="41"/>
      <c r="T337" s="26"/>
      <c r="U337" s="41"/>
      <c r="V337" s="41"/>
      <c r="W337" s="41"/>
      <c r="X337" s="37" t="s">
        <v>376</v>
      </c>
    </row>
    <row r="338" ht="14.25" customHeight="1">
      <c r="A338" s="24"/>
      <c r="B338" s="54" t="s">
        <v>383</v>
      </c>
      <c r="C338" s="16" t="s">
        <v>46</v>
      </c>
      <c r="D338" s="14">
        <v>500.0</v>
      </c>
      <c r="E338" s="17" t="str">
        <f>IFERROR(__xludf.DUMMYFUNCTION("REGEXREPLACE(GOOGLETRANSLATE(B338,""RU"",""EN""),"" "",""_"")"),"Replacement_air_filters")</f>
        <v>Replacement_air_filters</v>
      </c>
      <c r="F338" s="63" t="s">
        <v>47</v>
      </c>
      <c r="G338" s="16" t="s">
        <v>48</v>
      </c>
      <c r="H338" s="16" t="s">
        <v>46</v>
      </c>
      <c r="I338" s="40"/>
      <c r="J338" s="40"/>
      <c r="K338" s="41"/>
      <c r="L338" s="26"/>
      <c r="M338" s="26"/>
      <c r="N338" s="24"/>
      <c r="O338" s="41"/>
      <c r="P338" s="41"/>
      <c r="Q338" s="24"/>
      <c r="R338" s="24"/>
      <c r="S338" s="41"/>
      <c r="T338" s="26"/>
      <c r="U338" s="41"/>
      <c r="V338" s="41"/>
      <c r="W338" s="41"/>
      <c r="X338" s="37" t="s">
        <v>376</v>
      </c>
    </row>
    <row r="339" ht="14.25" customHeight="1">
      <c r="A339" s="24"/>
      <c r="B339" s="54" t="s">
        <v>384</v>
      </c>
      <c r="C339" s="16" t="s">
        <v>46</v>
      </c>
      <c r="D339" s="14">
        <v>500.0</v>
      </c>
      <c r="E339" s="17" t="str">
        <f>IFERROR(__xludf.DUMMYFUNCTION("REGEXREPLACE(GOOGLETRANSLATE(B339,""RU"",""EN""),"" "",""_"")"),"Overfill_protection")</f>
        <v>Overfill_protection</v>
      </c>
      <c r="F339" s="63" t="s">
        <v>71</v>
      </c>
      <c r="G339" s="16" t="s">
        <v>48</v>
      </c>
      <c r="H339" s="16" t="s">
        <v>46</v>
      </c>
      <c r="I339" s="40"/>
      <c r="J339" s="40"/>
      <c r="K339" s="41"/>
      <c r="L339" s="26"/>
      <c r="M339" s="26"/>
      <c r="N339" s="24"/>
      <c r="O339" s="41"/>
      <c r="P339" s="41"/>
      <c r="Q339" s="24"/>
      <c r="R339" s="24"/>
      <c r="S339" s="41"/>
      <c r="T339" s="26"/>
      <c r="U339" s="41"/>
      <c r="V339" s="41"/>
      <c r="W339" s="41"/>
      <c r="X339" s="37" t="s">
        <v>376</v>
      </c>
    </row>
    <row r="340" ht="14.25" customHeight="1">
      <c r="A340" s="24"/>
      <c r="B340" s="54" t="s">
        <v>97</v>
      </c>
      <c r="C340" s="16" t="s">
        <v>46</v>
      </c>
      <c r="D340" s="14">
        <v>500.0</v>
      </c>
      <c r="E340" s="17" t="str">
        <f>IFERROR(__xludf.DUMMYFUNCTION("REGEXREPLACE(GOOGLETRANSLATE(B340,""RU"",""EN""),"" "",""_"")"),"Continuous_operation_time")</f>
        <v>Continuous_operation_time</v>
      </c>
      <c r="F340" s="63" t="s">
        <v>48</v>
      </c>
      <c r="G340" s="16" t="s">
        <v>48</v>
      </c>
      <c r="H340" s="16" t="s">
        <v>46</v>
      </c>
      <c r="I340" s="40"/>
      <c r="J340" s="40"/>
      <c r="K340" s="41"/>
      <c r="L340" s="26"/>
      <c r="M340" s="26"/>
      <c r="N340" s="24"/>
      <c r="O340" s="41"/>
      <c r="P340" s="41"/>
      <c r="Q340" s="24"/>
      <c r="R340" s="24"/>
      <c r="S340" s="41"/>
      <c r="T340" s="26"/>
      <c r="U340" s="41"/>
      <c r="V340" s="41"/>
      <c r="W340" s="41"/>
      <c r="X340" s="37" t="s">
        <v>376</v>
      </c>
    </row>
    <row r="341" ht="14.25" customHeight="1">
      <c r="A341" s="24"/>
      <c r="B341" s="54" t="s">
        <v>385</v>
      </c>
      <c r="C341" s="16" t="s">
        <v>46</v>
      </c>
      <c r="D341" s="14">
        <v>500.0</v>
      </c>
      <c r="E341" s="17" t="str">
        <f>IFERROR(__xludf.DUMMYFUNCTION("REGEXREPLACE(GOOGLETRANSLATE(B341,""RU"",""EN""),"" "",""_"")"),"Equipment")</f>
        <v>Equipment</v>
      </c>
      <c r="F341" s="63" t="s">
        <v>47</v>
      </c>
      <c r="G341" s="16" t="s">
        <v>48</v>
      </c>
      <c r="H341" s="16" t="s">
        <v>46</v>
      </c>
      <c r="I341" s="40"/>
      <c r="J341" s="40"/>
      <c r="K341" s="41"/>
      <c r="L341" s="26"/>
      <c r="M341" s="26"/>
      <c r="N341" s="24"/>
      <c r="O341" s="41"/>
      <c r="P341" s="41"/>
      <c r="Q341" s="24"/>
      <c r="R341" s="24"/>
      <c r="S341" s="41"/>
      <c r="T341" s="26"/>
      <c r="U341" s="41"/>
      <c r="V341" s="41"/>
      <c r="W341" s="41"/>
      <c r="X341" s="37" t="s">
        <v>376</v>
      </c>
    </row>
    <row r="342" ht="14.25" customHeight="1">
      <c r="A342" s="24"/>
      <c r="B342" s="54" t="s">
        <v>386</v>
      </c>
      <c r="C342" s="16" t="s">
        <v>46</v>
      </c>
      <c r="D342" s="14">
        <v>500.0</v>
      </c>
      <c r="E342" s="17" t="str">
        <f>IFERROR(__xludf.DUMMYFUNCTION("REGEXREPLACE(GOOGLETRANSLATE(B342,""RU"",""EN""),"" "",""_"")"),"Device_control")</f>
        <v>Device_control</v>
      </c>
      <c r="F342" s="63" t="s">
        <v>47</v>
      </c>
      <c r="G342" s="16" t="s">
        <v>48</v>
      </c>
      <c r="H342" s="16" t="s">
        <v>46</v>
      </c>
      <c r="I342" s="40"/>
      <c r="J342" s="40"/>
      <c r="K342" s="41"/>
      <c r="L342" s="26"/>
      <c r="M342" s="26"/>
      <c r="N342" s="24"/>
      <c r="O342" s="41"/>
      <c r="P342" s="41"/>
      <c r="Q342" s="24"/>
      <c r="R342" s="24"/>
      <c r="S342" s="41"/>
      <c r="T342" s="26"/>
      <c r="U342" s="41"/>
      <c r="V342" s="41"/>
      <c r="W342" s="41"/>
      <c r="X342" s="37" t="s">
        <v>376</v>
      </c>
    </row>
    <row r="343" ht="14.25" customHeight="1">
      <c r="A343" s="24"/>
      <c r="B343" s="54" t="s">
        <v>387</v>
      </c>
      <c r="C343" s="16" t="s">
        <v>46</v>
      </c>
      <c r="D343" s="14">
        <v>500.0</v>
      </c>
      <c r="E343" s="17" t="str">
        <f>IFERROR(__xludf.DUMMYFUNCTION("REGEXREPLACE(GOOGLETRANSLATE(B343,""RU"",""EN""),"" "",""_"")"),"Power_supply")</f>
        <v>Power_supply</v>
      </c>
      <c r="F343" s="63" t="s">
        <v>47</v>
      </c>
      <c r="G343" s="16" t="s">
        <v>48</v>
      </c>
      <c r="H343" s="16" t="s">
        <v>46</v>
      </c>
      <c r="I343" s="40"/>
      <c r="J343" s="40"/>
      <c r="K343" s="41"/>
      <c r="L343" s="26"/>
      <c r="M343" s="26"/>
      <c r="N343" s="24"/>
      <c r="O343" s="41"/>
      <c r="P343" s="41"/>
      <c r="Q343" s="24"/>
      <c r="R343" s="24"/>
      <c r="S343" s="41"/>
      <c r="T343" s="26"/>
      <c r="U343" s="41"/>
      <c r="V343" s="41"/>
      <c r="W343" s="41"/>
      <c r="X343" s="37" t="s">
        <v>376</v>
      </c>
    </row>
    <row r="344" ht="14.25" customHeight="1">
      <c r="A344" s="24"/>
      <c r="B344" s="54" t="s">
        <v>388</v>
      </c>
      <c r="C344" s="16" t="s">
        <v>46</v>
      </c>
      <c r="D344" s="14">
        <v>500.0</v>
      </c>
      <c r="E344" s="17" t="str">
        <f>IFERROR(__xludf.DUMMYFUNCTION("REGEXREPLACE(GOOGLETRANSLATE(B344,""RU"",""EN""),"" "",""_"")"),"Portable_model")</f>
        <v>Portable_model</v>
      </c>
      <c r="F344" s="63" t="s">
        <v>71</v>
      </c>
      <c r="G344" s="16" t="s">
        <v>48</v>
      </c>
      <c r="H344" s="16" t="s">
        <v>46</v>
      </c>
      <c r="I344" s="40"/>
      <c r="J344" s="40"/>
      <c r="K344" s="41"/>
      <c r="L344" s="26"/>
      <c r="M344" s="26"/>
      <c r="N344" s="24"/>
      <c r="O344" s="41"/>
      <c r="P344" s="41"/>
      <c r="Q344" s="24"/>
      <c r="R344" s="24"/>
      <c r="S344" s="41"/>
      <c r="T344" s="26"/>
      <c r="U344" s="41"/>
      <c r="V344" s="41"/>
      <c r="W344" s="41"/>
      <c r="X344" s="37" t="s">
        <v>376</v>
      </c>
    </row>
    <row r="345" ht="14.25" customHeight="1">
      <c r="A345" s="24"/>
      <c r="B345" s="54" t="s">
        <v>389</v>
      </c>
      <c r="C345" s="16" t="s">
        <v>46</v>
      </c>
      <c r="D345" s="14">
        <v>500.0</v>
      </c>
      <c r="E345" s="17" t="str">
        <f>IFERROR(__xludf.DUMMYFUNCTION("REGEXREPLACE(GOOGLETRANSLATE(B345,""RU"",""EN""),"" "",""_"")"),"Audiometer_type")</f>
        <v>Audiometer_type</v>
      </c>
      <c r="F345" s="51" t="s">
        <v>47</v>
      </c>
      <c r="G345" s="16" t="s">
        <v>48</v>
      </c>
      <c r="H345" s="16" t="s">
        <v>46</v>
      </c>
      <c r="I345" s="40"/>
      <c r="J345" s="40"/>
      <c r="K345" s="41"/>
      <c r="L345" s="26"/>
      <c r="M345" s="26"/>
      <c r="N345" s="24"/>
      <c r="O345" s="41"/>
      <c r="P345" s="41"/>
      <c r="Q345" s="24"/>
      <c r="R345" s="24"/>
      <c r="S345" s="41"/>
      <c r="T345" s="26"/>
      <c r="U345" s="41"/>
      <c r="V345" s="41"/>
      <c r="W345" s="41"/>
      <c r="X345" s="58" t="s">
        <v>390</v>
      </c>
    </row>
    <row r="346" ht="14.25" customHeight="1">
      <c r="A346" s="24"/>
      <c r="B346" s="54" t="s">
        <v>391</v>
      </c>
      <c r="C346" s="16" t="s">
        <v>46</v>
      </c>
      <c r="D346" s="14">
        <v>500.0</v>
      </c>
      <c r="E346" s="17" t="str">
        <f>IFERROR(__xludf.DUMMYFUNCTION("REGEXREPLACE(GOOGLETRANSLATE(B346,""RU"",""EN""),"" "",""_"")"),"Conductivity_type")</f>
        <v>Conductivity_type</v>
      </c>
      <c r="F346" s="51" t="s">
        <v>47</v>
      </c>
      <c r="G346" s="16" t="s">
        <v>48</v>
      </c>
      <c r="H346" s="16" t="s">
        <v>46</v>
      </c>
      <c r="I346" s="40"/>
      <c r="J346" s="40"/>
      <c r="K346" s="41"/>
      <c r="L346" s="26"/>
      <c r="M346" s="26"/>
      <c r="N346" s="24"/>
      <c r="O346" s="41"/>
      <c r="P346" s="41"/>
      <c r="Q346" s="24"/>
      <c r="R346" s="24"/>
      <c r="S346" s="41"/>
      <c r="T346" s="26"/>
      <c r="U346" s="41"/>
      <c r="V346" s="41"/>
      <c r="W346" s="41"/>
      <c r="X346" s="58" t="s">
        <v>390</v>
      </c>
    </row>
    <row r="347" ht="14.25" customHeight="1">
      <c r="A347" s="24"/>
      <c r="B347" s="54" t="s">
        <v>392</v>
      </c>
      <c r="C347" s="16" t="s">
        <v>46</v>
      </c>
      <c r="D347" s="14">
        <v>500.0</v>
      </c>
      <c r="E347" s="17" t="str">
        <f>IFERROR(__xludf.DUMMYFUNCTION("REGEXREPLACE(GOOGLETRANSLATE(B347,""RU"",""EN""),"" "",""_"")"),"Frequency_range")</f>
        <v>Frequency_range</v>
      </c>
      <c r="F347" s="51" t="s">
        <v>48</v>
      </c>
      <c r="G347" s="16" t="s">
        <v>48</v>
      </c>
      <c r="H347" s="16" t="s">
        <v>46</v>
      </c>
      <c r="I347" s="40"/>
      <c r="J347" s="40"/>
      <c r="K347" s="41"/>
      <c r="L347" s="26"/>
      <c r="M347" s="26"/>
      <c r="N347" s="24"/>
      <c r="O347" s="41"/>
      <c r="P347" s="41"/>
      <c r="Q347" s="24"/>
      <c r="R347" s="24"/>
      <c r="S347" s="41"/>
      <c r="T347" s="26"/>
      <c r="U347" s="41"/>
      <c r="V347" s="41"/>
      <c r="W347" s="41"/>
      <c r="X347" s="58" t="s">
        <v>390</v>
      </c>
    </row>
    <row r="348" ht="14.25" customHeight="1">
      <c r="A348" s="24"/>
      <c r="B348" s="54" t="s">
        <v>393</v>
      </c>
      <c r="C348" s="16" t="s">
        <v>46</v>
      </c>
      <c r="D348" s="14">
        <v>500.0</v>
      </c>
      <c r="E348" s="17" t="str">
        <f>IFERROR(__xludf.DUMMYFUNCTION("REGEXREPLACE(GOOGLETRANSLATE(B348,""RU"",""EN""),"" "",""_"")"),"Volume_level")</f>
        <v>Volume_level</v>
      </c>
      <c r="F348" s="51" t="s">
        <v>48</v>
      </c>
      <c r="G348" s="16" t="s">
        <v>48</v>
      </c>
      <c r="H348" s="16" t="s">
        <v>46</v>
      </c>
      <c r="I348" s="40"/>
      <c r="J348" s="40"/>
      <c r="K348" s="41"/>
      <c r="L348" s="26"/>
      <c r="M348" s="26"/>
      <c r="N348" s="24"/>
      <c r="O348" s="41"/>
      <c r="P348" s="41"/>
      <c r="Q348" s="24"/>
      <c r="R348" s="24"/>
      <c r="S348" s="41"/>
      <c r="T348" s="26"/>
      <c r="U348" s="41"/>
      <c r="V348" s="41"/>
      <c r="W348" s="41"/>
      <c r="X348" s="58" t="s">
        <v>390</v>
      </c>
    </row>
    <row r="349" ht="14.25" customHeight="1">
      <c r="A349" s="24"/>
      <c r="B349" s="54" t="s">
        <v>394</v>
      </c>
      <c r="C349" s="16" t="s">
        <v>46</v>
      </c>
      <c r="D349" s="14">
        <v>500.0</v>
      </c>
      <c r="E349" s="17" t="str">
        <f>IFERROR(__xludf.DUMMYFUNCTION("REGEXREPLACE(GOOGLETRANSLATE(B349,""RU"",""EN""),"" "",""_"")"),"Measurement_accuracy")</f>
        <v>Measurement_accuracy</v>
      </c>
      <c r="F349" s="51" t="s">
        <v>48</v>
      </c>
      <c r="G349" s="16" t="s">
        <v>48</v>
      </c>
      <c r="H349" s="16" t="s">
        <v>46</v>
      </c>
      <c r="I349" s="40"/>
      <c r="J349" s="40"/>
      <c r="K349" s="41"/>
      <c r="L349" s="26"/>
      <c r="M349" s="26"/>
      <c r="N349" s="24"/>
      <c r="O349" s="41"/>
      <c r="P349" s="41"/>
      <c r="Q349" s="24"/>
      <c r="R349" s="24"/>
      <c r="S349" s="41"/>
      <c r="T349" s="26"/>
      <c r="U349" s="41"/>
      <c r="V349" s="41"/>
      <c r="W349" s="41"/>
      <c r="X349" s="58" t="s">
        <v>390</v>
      </c>
    </row>
    <row r="350" ht="14.25" customHeight="1">
      <c r="A350" s="24"/>
      <c r="B350" s="54" t="s">
        <v>395</v>
      </c>
      <c r="C350" s="16" t="s">
        <v>46</v>
      </c>
      <c r="D350" s="14">
        <v>500.0</v>
      </c>
      <c r="E350" s="17" t="str">
        <f>IFERROR(__xludf.DUMMYFUNCTION("REGEXREPLACE(GOOGLETRANSLATE(B350,""RU"",""EN""),"" "",""_"")"),"Test_type")</f>
        <v>Test_type</v>
      </c>
      <c r="F350" s="51" t="s">
        <v>47</v>
      </c>
      <c r="G350" s="16" t="s">
        <v>48</v>
      </c>
      <c r="H350" s="16" t="s">
        <v>46</v>
      </c>
      <c r="I350" s="40"/>
      <c r="J350" s="40"/>
      <c r="K350" s="41"/>
      <c r="L350" s="26"/>
      <c r="M350" s="26"/>
      <c r="N350" s="24"/>
      <c r="O350" s="41"/>
      <c r="P350" s="41"/>
      <c r="Q350" s="24"/>
      <c r="R350" s="24"/>
      <c r="S350" s="41"/>
      <c r="T350" s="26"/>
      <c r="U350" s="41"/>
      <c r="V350" s="41"/>
      <c r="W350" s="41"/>
      <c r="X350" s="58" t="s">
        <v>390</v>
      </c>
    </row>
    <row r="351" ht="14.25" customHeight="1">
      <c r="A351" s="24"/>
      <c r="B351" s="54" t="s">
        <v>396</v>
      </c>
      <c r="C351" s="16" t="s">
        <v>46</v>
      </c>
      <c r="D351" s="14">
        <v>500.0</v>
      </c>
      <c r="E351" s="17" t="str">
        <f>IFERROR(__xludf.DUMMYFUNCTION("REGEXREPLACE(GOOGLETRANSLATE(B351,""RU"",""EN""),"" "",""_"")"),"Software")</f>
        <v>Software</v>
      </c>
      <c r="F351" s="51" t="s">
        <v>71</v>
      </c>
      <c r="G351" s="16" t="s">
        <v>48</v>
      </c>
      <c r="H351" s="16" t="s">
        <v>46</v>
      </c>
      <c r="I351" s="40"/>
      <c r="J351" s="40"/>
      <c r="K351" s="41"/>
      <c r="L351" s="26"/>
      <c r="M351" s="26"/>
      <c r="N351" s="24"/>
      <c r="O351" s="41"/>
      <c r="P351" s="41"/>
      <c r="Q351" s="24"/>
      <c r="R351" s="24"/>
      <c r="S351" s="41"/>
      <c r="T351" s="26"/>
      <c r="U351" s="41"/>
      <c r="V351" s="41"/>
      <c r="W351" s="41"/>
      <c r="X351" s="58" t="s">
        <v>390</v>
      </c>
    </row>
    <row r="352" ht="14.25" customHeight="1">
      <c r="A352" s="24"/>
      <c r="B352" s="54" t="s">
        <v>397</v>
      </c>
      <c r="C352" s="16" t="s">
        <v>46</v>
      </c>
      <c r="D352" s="14">
        <v>500.0</v>
      </c>
      <c r="E352" s="17" t="str">
        <f>IFERROR(__xludf.DUMMYFUNCTION("REGEXREPLACE(GOOGLETRANSLATE(B352,""RU"",""EN""),"" "",""_"")"),"Interfaces")</f>
        <v>Interfaces</v>
      </c>
      <c r="F352" s="51" t="s">
        <v>71</v>
      </c>
      <c r="G352" s="16" t="s">
        <v>48</v>
      </c>
      <c r="H352" s="16" t="s">
        <v>46</v>
      </c>
      <c r="I352" s="40"/>
      <c r="J352" s="40"/>
      <c r="K352" s="41"/>
      <c r="L352" s="26"/>
      <c r="M352" s="26"/>
      <c r="N352" s="24"/>
      <c r="O352" s="41"/>
      <c r="P352" s="41"/>
      <c r="Q352" s="24"/>
      <c r="R352" s="24"/>
      <c r="S352" s="41"/>
      <c r="T352" s="26"/>
      <c r="U352" s="41"/>
      <c r="V352" s="41"/>
      <c r="W352" s="41"/>
      <c r="X352" s="58" t="s">
        <v>390</v>
      </c>
    </row>
    <row r="353" ht="14.25" customHeight="1">
      <c r="A353" s="24"/>
      <c r="B353" s="54" t="s">
        <v>398</v>
      </c>
      <c r="C353" s="16" t="s">
        <v>46</v>
      </c>
      <c r="D353" s="14">
        <v>500.0</v>
      </c>
      <c r="E353" s="17" t="str">
        <f>IFERROR(__xludf.DUMMYFUNCTION("REGEXREPLACE(GOOGLETRANSLATE(B353,""RU"",""EN""),"" "",""_"")"),"Seal")</f>
        <v>Seal</v>
      </c>
      <c r="F353" s="51" t="s">
        <v>71</v>
      </c>
      <c r="G353" s="16" t="s">
        <v>48</v>
      </c>
      <c r="H353" s="16" t="s">
        <v>46</v>
      </c>
      <c r="I353" s="40"/>
      <c r="J353" s="40"/>
      <c r="K353" s="41"/>
      <c r="L353" s="26"/>
      <c r="M353" s="26"/>
      <c r="N353" s="24"/>
      <c r="O353" s="41"/>
      <c r="P353" s="41"/>
      <c r="Q353" s="24"/>
      <c r="R353" s="24"/>
      <c r="S353" s="41"/>
      <c r="T353" s="26"/>
      <c r="U353" s="41"/>
      <c r="V353" s="41"/>
      <c r="W353" s="41"/>
      <c r="X353" s="58" t="s">
        <v>390</v>
      </c>
    </row>
    <row r="354" ht="14.25" customHeight="1">
      <c r="A354" s="24"/>
      <c r="B354" s="54" t="s">
        <v>399</v>
      </c>
      <c r="C354" s="16" t="s">
        <v>46</v>
      </c>
      <c r="D354" s="14">
        <v>500.0</v>
      </c>
      <c r="E354" s="17" t="str">
        <f>IFERROR(__xludf.DUMMYFUNCTION("REGEXREPLACE(GOOGLETRANSLATE(B354,""RU"",""EN""),"" "",""_"")"),"Built-in_microphone_with_control_
volume")</f>
        <v>Built-in_microphone_with_control_
volume</v>
      </c>
      <c r="F354" s="51" t="s">
        <v>400</v>
      </c>
      <c r="G354" s="16" t="s">
        <v>48</v>
      </c>
      <c r="H354" s="16" t="s">
        <v>46</v>
      </c>
      <c r="I354" s="40"/>
      <c r="J354" s="40"/>
      <c r="K354" s="41"/>
      <c r="L354" s="26"/>
      <c r="M354" s="26"/>
      <c r="N354" s="24"/>
      <c r="O354" s="41"/>
      <c r="P354" s="41"/>
      <c r="Q354" s="24"/>
      <c r="R354" s="24"/>
      <c r="S354" s="41"/>
      <c r="T354" s="26"/>
      <c r="U354" s="41"/>
      <c r="V354" s="41"/>
      <c r="W354" s="41"/>
      <c r="X354" s="58" t="s">
        <v>390</v>
      </c>
    </row>
    <row r="355" ht="14.25" customHeight="1">
      <c r="A355" s="24"/>
      <c r="B355" s="54" t="s">
        <v>73</v>
      </c>
      <c r="C355" s="16" t="s">
        <v>46</v>
      </c>
      <c r="D355" s="14">
        <v>500.0</v>
      </c>
      <c r="E355" s="17" t="str">
        <f>IFERROR(__xludf.DUMMYFUNCTION("REGEXREPLACE(GOOGLETRANSLATE(B355,""RU"",""EN""),"" "",""_"")"),"Display_type")</f>
        <v>Display_type</v>
      </c>
      <c r="F355" s="51" t="s">
        <v>47</v>
      </c>
      <c r="G355" s="16" t="s">
        <v>48</v>
      </c>
      <c r="H355" s="16" t="s">
        <v>46</v>
      </c>
      <c r="I355" s="40"/>
      <c r="J355" s="40"/>
      <c r="K355" s="41"/>
      <c r="L355" s="26"/>
      <c r="M355" s="26"/>
      <c r="N355" s="24"/>
      <c r="O355" s="41"/>
      <c r="P355" s="41"/>
      <c r="Q355" s="24"/>
      <c r="R355" s="24"/>
      <c r="S355" s="41"/>
      <c r="T355" s="26"/>
      <c r="U355" s="41"/>
      <c r="V355" s="41"/>
      <c r="W355" s="41"/>
      <c r="X355" s="58" t="s">
        <v>390</v>
      </c>
    </row>
    <row r="356" ht="14.25" customHeight="1">
      <c r="A356" s="24"/>
      <c r="B356" s="54" t="s">
        <v>401</v>
      </c>
      <c r="C356" s="16" t="s">
        <v>46</v>
      </c>
      <c r="D356" s="14">
        <v>500.0</v>
      </c>
      <c r="E356" s="17" t="str">
        <f>IFERROR(__xludf.DUMMYFUNCTION("REGEXREPLACE(GOOGLETRANSLATE(B356,""RU"",""EN""),"" "",""_"")"),"Types_of_signals")</f>
        <v>Types_of_signals</v>
      </c>
      <c r="F356" s="51" t="s">
        <v>47</v>
      </c>
      <c r="G356" s="16" t="s">
        <v>48</v>
      </c>
      <c r="H356" s="16" t="s">
        <v>46</v>
      </c>
      <c r="I356" s="40"/>
      <c r="J356" s="40"/>
      <c r="K356" s="41"/>
      <c r="L356" s="26"/>
      <c r="M356" s="26"/>
      <c r="N356" s="24"/>
      <c r="O356" s="41"/>
      <c r="P356" s="41"/>
      <c r="Q356" s="24"/>
      <c r="R356" s="24"/>
      <c r="S356" s="41"/>
      <c r="T356" s="26"/>
      <c r="U356" s="41"/>
      <c r="V356" s="41"/>
      <c r="W356" s="41"/>
      <c r="X356" s="58" t="s">
        <v>390</v>
      </c>
    </row>
    <row r="357" ht="14.25" customHeight="1">
      <c r="A357" s="24"/>
      <c r="B357" s="54" t="s">
        <v>402</v>
      </c>
      <c r="C357" s="16" t="s">
        <v>46</v>
      </c>
      <c r="D357" s="14">
        <v>500.0</v>
      </c>
      <c r="E357" s="17" t="str">
        <f>IFERROR(__xludf.DUMMYFUNCTION("REGEXREPLACE(GOOGLETRANSLATE(B357,""RU"",""EN""),"" "",""_"")"),"Disguise_during_exploration_
carried_out")</f>
        <v>Disguise_during_exploration_
carried_out</v>
      </c>
      <c r="F357" s="51" t="s">
        <v>47</v>
      </c>
      <c r="G357" s="16" t="s">
        <v>48</v>
      </c>
      <c r="H357" s="16" t="s">
        <v>46</v>
      </c>
      <c r="I357" s="40"/>
      <c r="J357" s="40"/>
      <c r="K357" s="41"/>
      <c r="L357" s="26"/>
      <c r="M357" s="26"/>
      <c r="N357" s="24"/>
      <c r="O357" s="41"/>
      <c r="P357" s="41"/>
      <c r="Q357" s="24"/>
      <c r="R357" s="24"/>
      <c r="S357" s="41"/>
      <c r="T357" s="26"/>
      <c r="U357" s="41"/>
      <c r="V357" s="41"/>
      <c r="W357" s="41"/>
      <c r="X357" s="58" t="s">
        <v>390</v>
      </c>
    </row>
    <row r="358" ht="14.25" customHeight="1">
      <c r="A358" s="24"/>
      <c r="B358" s="54" t="s">
        <v>403</v>
      </c>
      <c r="C358" s="16" t="s">
        <v>46</v>
      </c>
      <c r="D358" s="14">
        <v>500.0</v>
      </c>
      <c r="E358" s="17" t="str">
        <f>IFERROR(__xludf.DUMMYFUNCTION("REGEXREPLACE(GOOGLETRANSLATE(B358,""RU"",""EN""),"" "",""_"")"),"Clinical_tests")</f>
        <v>Clinical_tests</v>
      </c>
      <c r="F358" s="51" t="s">
        <v>47</v>
      </c>
      <c r="G358" s="16" t="s">
        <v>48</v>
      </c>
      <c r="H358" s="16" t="s">
        <v>46</v>
      </c>
      <c r="I358" s="40"/>
      <c r="J358" s="40"/>
      <c r="K358" s="41"/>
      <c r="L358" s="26"/>
      <c r="M358" s="26"/>
      <c r="N358" s="24"/>
      <c r="O358" s="41"/>
      <c r="P358" s="41"/>
      <c r="Q358" s="24"/>
      <c r="R358" s="24"/>
      <c r="S358" s="41"/>
      <c r="T358" s="26"/>
      <c r="U358" s="41"/>
      <c r="V358" s="41"/>
      <c r="W358" s="41"/>
      <c r="X358" s="58" t="s">
        <v>390</v>
      </c>
    </row>
    <row r="359" ht="14.25" customHeight="1">
      <c r="A359" s="24"/>
      <c r="B359" s="54" t="s">
        <v>404</v>
      </c>
      <c r="C359" s="16" t="s">
        <v>46</v>
      </c>
      <c r="D359" s="14">
        <v>500.0</v>
      </c>
      <c r="E359" s="17" t="str">
        <f>IFERROR(__xludf.DUMMYFUNCTION("REGEXREPLACE(GOOGLETRANSLATE(B359,""RU"",""EN""),"" "",""_"")"),"Speech_audiometry")</f>
        <v>Speech_audiometry</v>
      </c>
      <c r="F359" s="51" t="s">
        <v>71</v>
      </c>
      <c r="G359" s="16" t="s">
        <v>48</v>
      </c>
      <c r="H359" s="16" t="s">
        <v>46</v>
      </c>
      <c r="I359" s="40"/>
      <c r="J359" s="40"/>
      <c r="K359" s="41"/>
      <c r="L359" s="26"/>
      <c r="M359" s="26"/>
      <c r="N359" s="24"/>
      <c r="O359" s="41"/>
      <c r="P359" s="41"/>
      <c r="Q359" s="24"/>
      <c r="R359" s="24"/>
      <c r="S359" s="41"/>
      <c r="T359" s="26"/>
      <c r="U359" s="41"/>
      <c r="V359" s="41"/>
      <c r="W359" s="41"/>
      <c r="X359" s="58" t="s">
        <v>390</v>
      </c>
    </row>
    <row r="360" ht="14.25" customHeight="1">
      <c r="A360" s="24"/>
      <c r="B360" s="54" t="s">
        <v>405</v>
      </c>
      <c r="C360" s="16" t="s">
        <v>46</v>
      </c>
      <c r="D360" s="14">
        <v>500.0</v>
      </c>
      <c r="E360" s="17" t="str">
        <f>IFERROR(__xludf.DUMMYFUNCTION("REGEXREPLACE(GOOGLETRANSLATE(B360,""RU"",""EN""),"" "",""_"")"),"Camouflage_level")</f>
        <v>Camouflage_level</v>
      </c>
      <c r="F360" s="51" t="s">
        <v>71</v>
      </c>
      <c r="G360" s="16" t="s">
        <v>48</v>
      </c>
      <c r="H360" s="16" t="s">
        <v>46</v>
      </c>
      <c r="I360" s="40"/>
      <c r="J360" s="40"/>
      <c r="K360" s="41"/>
      <c r="L360" s="26"/>
      <c r="M360" s="26"/>
      <c r="N360" s="24"/>
      <c r="O360" s="41"/>
      <c r="P360" s="41"/>
      <c r="Q360" s="24"/>
      <c r="R360" s="24"/>
      <c r="S360" s="41"/>
      <c r="T360" s="26"/>
      <c r="U360" s="41"/>
      <c r="V360" s="41"/>
      <c r="W360" s="41"/>
      <c r="X360" s="58" t="s">
        <v>390</v>
      </c>
    </row>
    <row r="361" ht="14.25" customHeight="1">
      <c r="A361" s="24"/>
      <c r="B361" s="54" t="s">
        <v>406</v>
      </c>
      <c r="C361" s="16" t="s">
        <v>46</v>
      </c>
      <c r="D361" s="14">
        <v>500.0</v>
      </c>
      <c r="E361" s="17" t="str">
        <f>IFERROR(__xludf.DUMMYFUNCTION("REGEXREPLACE(GOOGLETRANSLATE(B361,""RU"",""EN""),"" "",""_"")"),"NOAH_database_compatible")</f>
        <v>NOAH_database_compatible</v>
      </c>
      <c r="F361" s="51" t="s">
        <v>71</v>
      </c>
      <c r="G361" s="16" t="s">
        <v>48</v>
      </c>
      <c r="H361" s="16" t="s">
        <v>46</v>
      </c>
      <c r="I361" s="40"/>
      <c r="J361" s="40"/>
      <c r="K361" s="41"/>
      <c r="L361" s="26"/>
      <c r="M361" s="26"/>
      <c r="N361" s="24"/>
      <c r="O361" s="41"/>
      <c r="P361" s="41"/>
      <c r="Q361" s="24"/>
      <c r="R361" s="24"/>
      <c r="S361" s="41"/>
      <c r="T361" s="26"/>
      <c r="U361" s="41"/>
      <c r="V361" s="41"/>
      <c r="W361" s="41"/>
      <c r="X361" s="58" t="s">
        <v>390</v>
      </c>
    </row>
    <row r="362" ht="14.25" customHeight="1">
      <c r="A362" s="24"/>
      <c r="B362" s="54" t="s">
        <v>407</v>
      </c>
      <c r="C362" s="16" t="s">
        <v>46</v>
      </c>
      <c r="D362" s="14">
        <v>500.0</v>
      </c>
      <c r="E362" s="17" t="str">
        <f>IFERROR(__xludf.DUMMYFUNCTION("REGEXREPLACE(GOOGLETRANSLATE(B362,""RU"",""EN""),"" "",""_"")"),"Storing_audiograms_in_memory_
audiometer")</f>
        <v>Storing_audiograms_in_memory_
audiometer</v>
      </c>
      <c r="F362" s="51" t="s">
        <v>71</v>
      </c>
      <c r="G362" s="16" t="s">
        <v>48</v>
      </c>
      <c r="H362" s="16" t="s">
        <v>46</v>
      </c>
      <c r="I362" s="40"/>
      <c r="J362" s="40"/>
      <c r="K362" s="41"/>
      <c r="L362" s="26"/>
      <c r="M362" s="26"/>
      <c r="N362" s="24"/>
      <c r="O362" s="41"/>
      <c r="P362" s="41"/>
      <c r="Q362" s="24"/>
      <c r="R362" s="24"/>
      <c r="S362" s="41"/>
      <c r="T362" s="26"/>
      <c r="U362" s="41"/>
      <c r="V362" s="41"/>
      <c r="W362" s="41"/>
      <c r="X362" s="58" t="s">
        <v>390</v>
      </c>
    </row>
    <row r="363" ht="14.25" customHeight="1">
      <c r="A363" s="32"/>
      <c r="B363" s="64" t="s">
        <v>408</v>
      </c>
      <c r="C363" s="16" t="s">
        <v>46</v>
      </c>
      <c r="D363" s="14">
        <v>500.0</v>
      </c>
      <c r="E363" s="17" t="str">
        <f>IFERROR(__xludf.DUMMYFUNCTION("REGEXREPLACE(GOOGLETRANSLATE(B363,""RU"",""EN""),"" "",""_"")"),"Automatic_hearing_threshold_detection")</f>
        <v>Automatic_hearing_threshold_detection</v>
      </c>
      <c r="F363" s="51" t="s">
        <v>71</v>
      </c>
      <c r="G363" s="16" t="s">
        <v>48</v>
      </c>
      <c r="H363" s="16" t="s">
        <v>46</v>
      </c>
      <c r="I363" s="40"/>
      <c r="J363" s="40"/>
      <c r="K363" s="41"/>
      <c r="L363" s="26"/>
      <c r="M363" s="26"/>
      <c r="N363" s="24"/>
      <c r="O363" s="41"/>
      <c r="P363" s="41"/>
      <c r="Q363" s="24"/>
      <c r="R363" s="24"/>
      <c r="S363" s="41"/>
      <c r="T363" s="26"/>
      <c r="U363" s="41"/>
      <c r="V363" s="41"/>
      <c r="W363" s="41"/>
      <c r="X363" s="58" t="s">
        <v>390</v>
      </c>
    </row>
    <row r="364" ht="14.25" customHeight="1">
      <c r="A364" s="24"/>
      <c r="B364" s="65" t="s">
        <v>409</v>
      </c>
      <c r="C364" s="16" t="s">
        <v>46</v>
      </c>
      <c r="D364" s="14">
        <v>500.0</v>
      </c>
      <c r="E364" s="17" t="str">
        <f>IFERROR(__xludf.DUMMYFUNCTION("REGEXREPLACE(GOOGLETRANSLATE(B364,""RU"",""EN""),"" "",""_"")"),"Calibration")</f>
        <v>Calibration</v>
      </c>
      <c r="F364" s="51" t="s">
        <v>47</v>
      </c>
      <c r="G364" s="16" t="s">
        <v>48</v>
      </c>
      <c r="H364" s="16" t="s">
        <v>46</v>
      </c>
      <c r="I364" s="40"/>
      <c r="J364" s="40"/>
      <c r="K364" s="41"/>
      <c r="L364" s="26"/>
      <c r="M364" s="26"/>
      <c r="N364" s="24"/>
      <c r="O364" s="41"/>
      <c r="P364" s="41"/>
      <c r="Q364" s="24"/>
      <c r="R364" s="24"/>
      <c r="S364" s="41"/>
      <c r="T364" s="26"/>
      <c r="U364" s="41"/>
      <c r="V364" s="41"/>
      <c r="W364" s="41"/>
      <c r="X364" s="58" t="s">
        <v>390</v>
      </c>
    </row>
    <row r="365" ht="14.25" customHeight="1">
      <c r="A365" s="24"/>
      <c r="B365" s="64" t="s">
        <v>410</v>
      </c>
      <c r="C365" s="16" t="s">
        <v>46</v>
      </c>
      <c r="D365" s="14">
        <v>500.0</v>
      </c>
      <c r="E365" s="17" t="str">
        <f>IFERROR(__xludf.DUMMYFUNCTION("REGEXREPLACE(GOOGLETRANSLATE(B365,""RU"",""EN""),"" "",""_"")"),"Portability")</f>
        <v>Portability</v>
      </c>
      <c r="F365" s="51" t="s">
        <v>71</v>
      </c>
      <c r="G365" s="16" t="s">
        <v>48</v>
      </c>
      <c r="H365" s="16" t="s">
        <v>46</v>
      </c>
      <c r="I365" s="40"/>
      <c r="J365" s="40"/>
      <c r="K365" s="41"/>
      <c r="L365" s="26"/>
      <c r="M365" s="26"/>
      <c r="N365" s="24"/>
      <c r="O365" s="41"/>
      <c r="P365" s="41"/>
      <c r="Q365" s="24"/>
      <c r="R365" s="24"/>
      <c r="S365" s="41"/>
      <c r="T365" s="26"/>
      <c r="U365" s="41"/>
      <c r="V365" s="41"/>
      <c r="W365" s="41"/>
      <c r="X365" s="58" t="s">
        <v>390</v>
      </c>
    </row>
    <row r="366" ht="14.25" customHeight="1">
      <c r="A366" s="24"/>
      <c r="B366" s="65" t="s">
        <v>411</v>
      </c>
      <c r="C366" s="16" t="s">
        <v>46</v>
      </c>
      <c r="D366" s="14">
        <v>500.0</v>
      </c>
      <c r="E366" s="17" t="str">
        <f>IFERROR(__xludf.DUMMYFUNCTION("REGEXREPLACE(GOOGLETRANSLATE(B366,""RU"",""EN""),"" "",""_"")"),"Data_Memory")</f>
        <v>Data_Memory</v>
      </c>
      <c r="F366" s="51" t="s">
        <v>47</v>
      </c>
      <c r="G366" s="16" t="s">
        <v>48</v>
      </c>
      <c r="H366" s="16" t="s">
        <v>46</v>
      </c>
      <c r="I366" s="40"/>
      <c r="J366" s="40"/>
      <c r="K366" s="41"/>
      <c r="L366" s="26"/>
      <c r="M366" s="26"/>
      <c r="N366" s="24"/>
      <c r="O366" s="41"/>
      <c r="P366" s="41"/>
      <c r="Q366" s="24"/>
      <c r="R366" s="24"/>
      <c r="S366" s="41"/>
      <c r="T366" s="26"/>
      <c r="U366" s="41"/>
      <c r="V366" s="41"/>
      <c r="W366" s="41"/>
      <c r="X366" s="58" t="s">
        <v>390</v>
      </c>
    </row>
    <row r="367" ht="14.25" customHeight="1">
      <c r="A367" s="24"/>
      <c r="B367" s="64" t="s">
        <v>387</v>
      </c>
      <c r="C367" s="16" t="s">
        <v>46</v>
      </c>
      <c r="D367" s="14">
        <v>500.0</v>
      </c>
      <c r="E367" s="17" t="str">
        <f>IFERROR(__xludf.DUMMYFUNCTION("REGEXREPLACE(GOOGLETRANSLATE(B367,""RU"",""EN""),"" "",""_"")"),"Power_supply")</f>
        <v>Power_supply</v>
      </c>
      <c r="F367" s="51" t="s">
        <v>47</v>
      </c>
      <c r="G367" s="16" t="s">
        <v>48</v>
      </c>
      <c r="H367" s="16" t="s">
        <v>46</v>
      </c>
      <c r="I367" s="40"/>
      <c r="J367" s="40"/>
      <c r="K367" s="41"/>
      <c r="L367" s="26"/>
      <c r="M367" s="26"/>
      <c r="N367" s="24"/>
      <c r="O367" s="41"/>
      <c r="P367" s="41"/>
      <c r="Q367" s="24"/>
      <c r="R367" s="24"/>
      <c r="S367" s="41"/>
      <c r="T367" s="26"/>
      <c r="U367" s="41"/>
      <c r="V367" s="41"/>
      <c r="W367" s="41"/>
      <c r="X367" s="58" t="s">
        <v>390</v>
      </c>
    </row>
    <row r="368" ht="14.25" customHeight="1">
      <c r="A368" s="24"/>
      <c r="B368" s="66" t="s">
        <v>412</v>
      </c>
      <c r="C368" s="16" t="s">
        <v>46</v>
      </c>
      <c r="D368" s="14">
        <v>500.0</v>
      </c>
      <c r="E368" s="17" t="str">
        <f>IFERROR(__xludf.DUMMYFUNCTION("REGEXREPLACE(GOOGLETRANSLATE(B368,""RU"",""EN""),"" "",""_"")"),"Light_source_type")</f>
        <v>Light_source_type</v>
      </c>
      <c r="F368" s="63" t="s">
        <v>47</v>
      </c>
      <c r="G368" s="16" t="s">
        <v>48</v>
      </c>
      <c r="H368" s="16" t="s">
        <v>46</v>
      </c>
      <c r="I368" s="40"/>
      <c r="J368" s="40"/>
      <c r="K368" s="41"/>
      <c r="L368" s="26"/>
      <c r="M368" s="26"/>
      <c r="N368" s="24"/>
      <c r="O368" s="41"/>
      <c r="P368" s="41"/>
      <c r="Q368" s="24"/>
      <c r="R368" s="24"/>
      <c r="S368" s="41"/>
      <c r="T368" s="26"/>
      <c r="U368" s="41"/>
      <c r="V368" s="41"/>
      <c r="W368" s="41"/>
      <c r="X368" s="37" t="s">
        <v>413</v>
      </c>
    </row>
    <row r="369" ht="14.25" customHeight="1">
      <c r="A369" s="24"/>
      <c r="B369" s="66" t="s">
        <v>62</v>
      </c>
      <c r="C369" s="16" t="s">
        <v>46</v>
      </c>
      <c r="D369" s="14">
        <v>500.0</v>
      </c>
      <c r="E369" s="17" t="str">
        <f>IFERROR(__xludf.DUMMYFUNCTION("REGEXREPLACE(GOOGLETRANSLATE(B369,""RU"",""EN""),"" "",""_"")"),"Power")</f>
        <v>Power</v>
      </c>
      <c r="F369" s="63" t="s">
        <v>48</v>
      </c>
      <c r="G369" s="16" t="s">
        <v>48</v>
      </c>
      <c r="H369" s="16" t="s">
        <v>46</v>
      </c>
      <c r="I369" s="40"/>
      <c r="J369" s="40"/>
      <c r="K369" s="41"/>
      <c r="L369" s="26"/>
      <c r="M369" s="26"/>
      <c r="N369" s="24"/>
      <c r="O369" s="41"/>
      <c r="P369" s="41"/>
      <c r="Q369" s="24"/>
      <c r="R369" s="24"/>
      <c r="S369" s="41"/>
      <c r="T369" s="26"/>
      <c r="U369" s="41"/>
      <c r="V369" s="41"/>
      <c r="W369" s="41"/>
      <c r="X369" s="37" t="s">
        <v>413</v>
      </c>
    </row>
    <row r="370" ht="14.25" customHeight="1">
      <c r="A370" s="24"/>
      <c r="B370" s="66" t="s">
        <v>414</v>
      </c>
      <c r="C370" s="16" t="s">
        <v>46</v>
      </c>
      <c r="D370" s="14">
        <v>500.0</v>
      </c>
      <c r="E370" s="17" t="str">
        <f>IFERROR(__xludf.DUMMYFUNCTION("REGEXREPLACE(GOOGLETRANSLATE(B370,""RU"",""EN""),"" "",""_"")"),"Color_temperature")</f>
        <v>Color_temperature</v>
      </c>
      <c r="F370" s="63" t="s">
        <v>48</v>
      </c>
      <c r="G370" s="16" t="s">
        <v>48</v>
      </c>
      <c r="H370" s="16" t="s">
        <v>46</v>
      </c>
      <c r="I370" s="40"/>
      <c r="J370" s="40"/>
      <c r="K370" s="41"/>
      <c r="L370" s="26"/>
      <c r="M370" s="26"/>
      <c r="N370" s="24"/>
      <c r="O370" s="41"/>
      <c r="P370" s="41"/>
      <c r="Q370" s="24"/>
      <c r="R370" s="24"/>
      <c r="S370" s="41"/>
      <c r="T370" s="26"/>
      <c r="U370" s="41"/>
      <c r="V370" s="41"/>
      <c r="W370" s="41"/>
      <c r="X370" s="37" t="s">
        <v>413</v>
      </c>
    </row>
    <row r="371" ht="14.25" customHeight="1">
      <c r="A371" s="24"/>
      <c r="B371" s="66" t="s">
        <v>415</v>
      </c>
      <c r="C371" s="16" t="s">
        <v>46</v>
      </c>
      <c r="D371" s="14">
        <v>500.0</v>
      </c>
      <c r="E371" s="17" t="str">
        <f>IFERROR(__xludf.DUMMYFUNCTION("REGEXREPLACE(GOOGLETRANSLATE(B371,""RU"",""EN""),"" "",""_"")"),"Luminous_flux")</f>
        <v>Luminous_flux</v>
      </c>
      <c r="F371" s="63" t="s">
        <v>48</v>
      </c>
      <c r="G371" s="16" t="s">
        <v>48</v>
      </c>
      <c r="H371" s="16" t="s">
        <v>46</v>
      </c>
      <c r="I371" s="40"/>
      <c r="J371" s="40"/>
      <c r="K371" s="41"/>
      <c r="L371" s="26"/>
      <c r="M371" s="26"/>
      <c r="N371" s="24"/>
      <c r="O371" s="41"/>
      <c r="P371" s="41"/>
      <c r="Q371" s="24"/>
      <c r="R371" s="24"/>
      <c r="S371" s="41"/>
      <c r="T371" s="26"/>
      <c r="U371" s="41"/>
      <c r="V371" s="41"/>
      <c r="W371" s="41"/>
      <c r="X371" s="37" t="s">
        <v>413</v>
      </c>
    </row>
    <row r="372" ht="14.25" customHeight="1">
      <c r="A372" s="24"/>
      <c r="B372" s="66" t="s">
        <v>416</v>
      </c>
      <c r="C372" s="16" t="s">
        <v>46</v>
      </c>
      <c r="D372" s="14">
        <v>500.0</v>
      </c>
      <c r="E372" s="17" t="str">
        <f>IFERROR(__xludf.DUMMYFUNCTION("REGEXREPLACE(GOOGLETRANSLATE(B372,""RU"",""EN""),"" "",""_"")"),"Lighting_distance")</f>
        <v>Lighting_distance</v>
      </c>
      <c r="F372" s="63" t="s">
        <v>48</v>
      </c>
      <c r="G372" s="16" t="s">
        <v>48</v>
      </c>
      <c r="H372" s="16" t="s">
        <v>46</v>
      </c>
      <c r="I372" s="40"/>
      <c r="J372" s="40"/>
      <c r="K372" s="41"/>
      <c r="L372" s="26"/>
      <c r="M372" s="26"/>
      <c r="N372" s="24"/>
      <c r="O372" s="41"/>
      <c r="P372" s="41"/>
      <c r="Q372" s="24"/>
      <c r="R372" s="24"/>
      <c r="S372" s="41"/>
      <c r="T372" s="26"/>
      <c r="U372" s="41"/>
      <c r="V372" s="41"/>
      <c r="W372" s="41"/>
      <c r="X372" s="37" t="s">
        <v>413</v>
      </c>
    </row>
    <row r="373" ht="14.25" customHeight="1">
      <c r="A373" s="24"/>
      <c r="B373" s="66" t="s">
        <v>417</v>
      </c>
      <c r="C373" s="16" t="s">
        <v>46</v>
      </c>
      <c r="D373" s="14">
        <v>500.0</v>
      </c>
      <c r="E373" s="17" t="str">
        <f>IFERROR(__xludf.DUMMYFUNCTION("REGEXREPLACE(GOOGLETRANSLATE(B373,""RU"",""EN""),"" "",""_"")"),"Battery_life")</f>
        <v>Battery_life</v>
      </c>
      <c r="F373" s="63" t="s">
        <v>48</v>
      </c>
      <c r="G373" s="16" t="s">
        <v>48</v>
      </c>
      <c r="H373" s="16" t="s">
        <v>46</v>
      </c>
      <c r="I373" s="40"/>
      <c r="J373" s="40"/>
      <c r="K373" s="41"/>
      <c r="L373" s="26"/>
      <c r="M373" s="26"/>
      <c r="N373" s="24"/>
      <c r="O373" s="41"/>
      <c r="P373" s="41"/>
      <c r="Q373" s="24"/>
      <c r="R373" s="24"/>
      <c r="S373" s="41"/>
      <c r="T373" s="26"/>
      <c r="U373" s="41"/>
      <c r="V373" s="41"/>
      <c r="W373" s="41"/>
      <c r="X373" s="37" t="s">
        <v>413</v>
      </c>
    </row>
    <row r="374" ht="14.25" customHeight="1">
      <c r="A374" s="24"/>
      <c r="B374" s="66" t="s">
        <v>418</v>
      </c>
      <c r="C374" s="16" t="s">
        <v>46</v>
      </c>
      <c r="D374" s="14">
        <v>500.0</v>
      </c>
      <c r="E374" s="17" t="str">
        <f>IFERROR(__xludf.DUMMYFUNCTION("REGEXREPLACE(GOOGLETRANSLATE(B374,""RU"",""EN""),"" "",""_"")"),"Battery_Type")</f>
        <v>Battery_Type</v>
      </c>
      <c r="F374" s="63" t="s">
        <v>47</v>
      </c>
      <c r="G374" s="16" t="s">
        <v>48</v>
      </c>
      <c r="H374" s="16" t="s">
        <v>46</v>
      </c>
      <c r="I374" s="40"/>
      <c r="J374" s="40"/>
      <c r="K374" s="41"/>
      <c r="L374" s="26"/>
      <c r="M374" s="26"/>
      <c r="N374" s="24"/>
      <c r="O374" s="41"/>
      <c r="P374" s="41"/>
      <c r="Q374" s="24"/>
      <c r="R374" s="24"/>
      <c r="S374" s="41"/>
      <c r="T374" s="26"/>
      <c r="U374" s="41"/>
      <c r="V374" s="41"/>
      <c r="W374" s="41"/>
      <c r="X374" s="37" t="s">
        <v>413</v>
      </c>
    </row>
    <row r="375" ht="14.25" customHeight="1">
      <c r="A375" s="24"/>
      <c r="B375" s="66" t="s">
        <v>419</v>
      </c>
      <c r="C375" s="16" t="s">
        <v>46</v>
      </c>
      <c r="D375" s="14">
        <v>500.0</v>
      </c>
      <c r="E375" s="17" t="str">
        <f>IFERROR(__xludf.DUMMYFUNCTION("REGEXREPLACE(GOOGLETRANSLATE(B375,""RU"",""EN""),"" "",""_"")"),"Lamp_life")</f>
        <v>Lamp_life</v>
      </c>
      <c r="F375" s="63" t="s">
        <v>48</v>
      </c>
      <c r="G375" s="16" t="s">
        <v>48</v>
      </c>
      <c r="H375" s="16" t="s">
        <v>46</v>
      </c>
      <c r="I375" s="40"/>
      <c r="J375" s="40"/>
      <c r="K375" s="41"/>
      <c r="L375" s="26"/>
      <c r="M375" s="26"/>
      <c r="N375" s="24"/>
      <c r="O375" s="41"/>
      <c r="P375" s="41"/>
      <c r="Q375" s="24"/>
      <c r="R375" s="24"/>
      <c r="S375" s="41"/>
      <c r="T375" s="26"/>
      <c r="U375" s="41"/>
      <c r="V375" s="41"/>
      <c r="W375" s="41"/>
      <c r="X375" s="37" t="s">
        <v>413</v>
      </c>
    </row>
    <row r="376" ht="14.25" customHeight="1">
      <c r="A376" s="24"/>
      <c r="B376" s="66" t="s">
        <v>113</v>
      </c>
      <c r="C376" s="16" t="s">
        <v>46</v>
      </c>
      <c r="D376" s="14">
        <v>500.0</v>
      </c>
      <c r="E376" s="17" t="str">
        <f>IFERROR(__xludf.DUMMYFUNCTION("REGEXREPLACE(GOOGLETRANSLATE(B376,""RU"",""EN""),"" "",""_"")"),"Brightness_adjustment")</f>
        <v>Brightness_adjustment</v>
      </c>
      <c r="F376" s="63" t="s">
        <v>71</v>
      </c>
      <c r="G376" s="16" t="s">
        <v>48</v>
      </c>
      <c r="H376" s="16" t="s">
        <v>46</v>
      </c>
      <c r="I376" s="40"/>
      <c r="J376" s="40"/>
      <c r="K376" s="41"/>
      <c r="L376" s="26"/>
      <c r="M376" s="26"/>
      <c r="N376" s="24"/>
      <c r="O376" s="41"/>
      <c r="P376" s="41"/>
      <c r="Q376" s="24"/>
      <c r="R376" s="24"/>
      <c r="S376" s="41"/>
      <c r="T376" s="26"/>
      <c r="U376" s="41"/>
      <c r="V376" s="41"/>
      <c r="W376" s="41"/>
      <c r="X376" s="37" t="s">
        <v>413</v>
      </c>
    </row>
    <row r="377" ht="14.25" customHeight="1">
      <c r="A377" s="24"/>
      <c r="B377" s="66" t="s">
        <v>420</v>
      </c>
      <c r="C377" s="16" t="s">
        <v>46</v>
      </c>
      <c r="D377" s="14">
        <v>500.0</v>
      </c>
      <c r="E377" s="17" t="str">
        <f>IFERROR(__xludf.DUMMYFUNCTION("REGEXREPLACE(GOOGLETRANSLATE(B377,""RU"",""EN""),"" "",""_"")"),"Brightness_")</f>
        <v>Brightness_</v>
      </c>
      <c r="F377" s="63" t="s">
        <v>48</v>
      </c>
      <c r="G377" s="16" t="s">
        <v>48</v>
      </c>
      <c r="H377" s="16" t="s">
        <v>46</v>
      </c>
      <c r="I377" s="40"/>
      <c r="J377" s="40"/>
      <c r="K377" s="41"/>
      <c r="L377" s="26"/>
      <c r="M377" s="26"/>
      <c r="N377" s="24"/>
      <c r="O377" s="41"/>
      <c r="P377" s="41"/>
      <c r="Q377" s="24"/>
      <c r="R377" s="24"/>
      <c r="S377" s="41"/>
      <c r="T377" s="26"/>
      <c r="U377" s="41"/>
      <c r="V377" s="41"/>
      <c r="W377" s="41"/>
      <c r="X377" s="37" t="s">
        <v>413</v>
      </c>
    </row>
    <row r="378" ht="14.25" customHeight="1">
      <c r="A378" s="24"/>
      <c r="B378" s="66" t="s">
        <v>421</v>
      </c>
      <c r="C378" s="16" t="s">
        <v>46</v>
      </c>
      <c r="D378" s="14">
        <v>500.0</v>
      </c>
      <c r="E378" s="17" t="str">
        <f>IFERROR(__xludf.DUMMYFUNCTION("REGEXREPLACE(GOOGLETRANSLATE(B378,""RU"",""EN""),"" "",""_"")"),"Tilt_angle")</f>
        <v>Tilt_angle</v>
      </c>
      <c r="F378" s="63" t="s">
        <v>48</v>
      </c>
      <c r="G378" s="16" t="s">
        <v>48</v>
      </c>
      <c r="H378" s="16" t="s">
        <v>46</v>
      </c>
      <c r="I378" s="40"/>
      <c r="J378" s="40"/>
      <c r="K378" s="41"/>
      <c r="L378" s="26"/>
      <c r="M378" s="26"/>
      <c r="N378" s="24"/>
      <c r="O378" s="41"/>
      <c r="P378" s="41"/>
      <c r="Q378" s="24"/>
      <c r="R378" s="24"/>
      <c r="S378" s="41"/>
      <c r="T378" s="26"/>
      <c r="U378" s="41"/>
      <c r="V378" s="41"/>
      <c r="W378" s="41"/>
      <c r="X378" s="37" t="s">
        <v>413</v>
      </c>
    </row>
    <row r="379" ht="14.25" customHeight="1">
      <c r="A379" s="24"/>
      <c r="B379" s="66" t="s">
        <v>422</v>
      </c>
      <c r="C379" s="16" t="s">
        <v>46</v>
      </c>
      <c r="D379" s="14">
        <v>500.0</v>
      </c>
      <c r="E379" s="17" t="str">
        <f>IFERROR(__xludf.DUMMYFUNCTION("REGEXREPLACE(GOOGLETRANSLATE(B379,""RU"",""EN""),"" "",""_"")"),"Light_cone_angle")</f>
        <v>Light_cone_angle</v>
      </c>
      <c r="F379" s="63" t="s">
        <v>47</v>
      </c>
      <c r="G379" s="16" t="s">
        <v>48</v>
      </c>
      <c r="H379" s="16" t="s">
        <v>46</v>
      </c>
      <c r="I379" s="40"/>
      <c r="J379" s="40"/>
      <c r="K379" s="41"/>
      <c r="L379" s="26"/>
      <c r="M379" s="26"/>
      <c r="N379" s="24"/>
      <c r="O379" s="41"/>
      <c r="P379" s="41"/>
      <c r="Q379" s="24"/>
      <c r="R379" s="24"/>
      <c r="S379" s="41"/>
      <c r="T379" s="26"/>
      <c r="U379" s="41"/>
      <c r="V379" s="41"/>
      <c r="W379" s="41"/>
      <c r="X379" s="37" t="s">
        <v>413</v>
      </c>
    </row>
    <row r="380" ht="14.25" customHeight="1">
      <c r="A380" s="24"/>
      <c r="B380" s="66" t="s">
        <v>423</v>
      </c>
      <c r="C380" s="16" t="s">
        <v>46</v>
      </c>
      <c r="D380" s="14">
        <v>500.0</v>
      </c>
      <c r="E380" s="17" t="str">
        <f>IFERROR(__xludf.DUMMYFUNCTION("REGEXREPLACE(GOOGLETRANSLATE(B380,""RU"",""EN""),"" "",""_"")"),"Battery,_capacity")</f>
        <v>Battery,_capacity</v>
      </c>
      <c r="F380" s="63" t="s">
        <v>47</v>
      </c>
      <c r="G380" s="16" t="s">
        <v>48</v>
      </c>
      <c r="H380" s="16" t="s">
        <v>46</v>
      </c>
      <c r="I380" s="40"/>
      <c r="J380" s="40"/>
      <c r="K380" s="41"/>
      <c r="L380" s="26"/>
      <c r="M380" s="26"/>
      <c r="N380" s="24"/>
      <c r="O380" s="41"/>
      <c r="P380" s="41"/>
      <c r="Q380" s="24"/>
      <c r="R380" s="24"/>
      <c r="S380" s="41"/>
      <c r="T380" s="26"/>
      <c r="U380" s="41"/>
      <c r="V380" s="41"/>
      <c r="W380" s="41"/>
      <c r="X380" s="37" t="s">
        <v>413</v>
      </c>
    </row>
    <row r="381" ht="14.25" customHeight="1">
      <c r="A381" s="24"/>
      <c r="B381" s="66" t="s">
        <v>424</v>
      </c>
      <c r="C381" s="16" t="s">
        <v>46</v>
      </c>
      <c r="D381" s="14">
        <v>500.0</v>
      </c>
      <c r="E381" s="17" t="str">
        <f>IFERROR(__xludf.DUMMYFUNCTION("REGEXREPLACE(GOOGLETRANSLATE(B381,""RU"",""EN""),"" "",""_"")"),"Waterproof")</f>
        <v>Waterproof</v>
      </c>
      <c r="F381" s="63" t="s">
        <v>47</v>
      </c>
      <c r="G381" s="16" t="s">
        <v>48</v>
      </c>
      <c r="H381" s="16" t="s">
        <v>46</v>
      </c>
      <c r="I381" s="40"/>
      <c r="J381" s="40"/>
      <c r="K381" s="41"/>
      <c r="L381" s="26"/>
      <c r="M381" s="26"/>
      <c r="N381" s="24"/>
      <c r="O381" s="41"/>
      <c r="P381" s="41"/>
      <c r="Q381" s="24"/>
      <c r="R381" s="24"/>
      <c r="S381" s="41"/>
      <c r="T381" s="26"/>
      <c r="U381" s="41"/>
      <c r="V381" s="41"/>
      <c r="W381" s="41"/>
      <c r="X381" s="37" t="s">
        <v>413</v>
      </c>
    </row>
    <row r="382" ht="14.25" customHeight="1">
      <c r="A382" s="24"/>
      <c r="B382" s="66" t="s">
        <v>425</v>
      </c>
      <c r="C382" s="16" t="s">
        <v>46</v>
      </c>
      <c r="D382" s="14">
        <v>500.0</v>
      </c>
      <c r="E382" s="17" t="str">
        <f>IFERROR(__xludf.DUMMYFUNCTION("REGEXREPLACE(GOOGLETRANSLATE(B382,""RU"",""EN""),"" "",""_"")"),"Fastening")</f>
        <v>Fastening</v>
      </c>
      <c r="F382" s="63" t="s">
        <v>47</v>
      </c>
      <c r="G382" s="16" t="s">
        <v>48</v>
      </c>
      <c r="H382" s="16" t="s">
        <v>46</v>
      </c>
      <c r="I382" s="40"/>
      <c r="J382" s="40"/>
      <c r="K382" s="41"/>
      <c r="L382" s="26"/>
      <c r="M382" s="26"/>
      <c r="N382" s="24"/>
      <c r="O382" s="41"/>
      <c r="P382" s="41"/>
      <c r="Q382" s="24"/>
      <c r="R382" s="24"/>
      <c r="S382" s="41"/>
      <c r="T382" s="26"/>
      <c r="U382" s="41"/>
      <c r="V382" s="41"/>
      <c r="W382" s="41"/>
      <c r="X382" s="37" t="s">
        <v>413</v>
      </c>
    </row>
    <row r="383" ht="14.25" customHeight="1">
      <c r="A383" s="24"/>
      <c r="B383" s="66" t="s">
        <v>426</v>
      </c>
      <c r="C383" s="16" t="s">
        <v>46</v>
      </c>
      <c r="D383" s="14">
        <v>500.0</v>
      </c>
      <c r="E383" s="17" t="str">
        <f>IFERROR(__xludf.DUMMYFUNCTION("REGEXREPLACE(GOOGLETRANSLATE(B383,""RU"",""EN""),"" "",""_"")"),"Diameter_adjustment_
circle_of_light")</f>
        <v>Diameter_adjustment_
circle_of_light</v>
      </c>
      <c r="F383" s="63" t="s">
        <v>71</v>
      </c>
      <c r="G383" s="16" t="s">
        <v>48</v>
      </c>
      <c r="H383" s="16" t="s">
        <v>46</v>
      </c>
      <c r="I383" s="40"/>
      <c r="J383" s="40"/>
      <c r="K383" s="41"/>
      <c r="L383" s="26"/>
      <c r="M383" s="26"/>
      <c r="N383" s="24"/>
      <c r="O383" s="41"/>
      <c r="P383" s="41"/>
      <c r="Q383" s="24"/>
      <c r="R383" s="24"/>
      <c r="S383" s="41"/>
      <c r="T383" s="26"/>
      <c r="U383" s="41"/>
      <c r="V383" s="41"/>
      <c r="W383" s="41"/>
      <c r="X383" s="37" t="s">
        <v>413</v>
      </c>
    </row>
    <row r="384" ht="14.25" customHeight="1">
      <c r="A384" s="24"/>
      <c r="B384" s="66" t="s">
        <v>427</v>
      </c>
      <c r="C384" s="16" t="s">
        <v>46</v>
      </c>
      <c r="D384" s="14">
        <v>500.0</v>
      </c>
      <c r="E384" s="17" t="str">
        <f>IFERROR(__xludf.DUMMYFUNCTION("REGEXREPLACE(GOOGLETRANSLATE(B384,""RU"",""EN""),"" "",""_"")"),"Adjusting_the_direction_of_the_light")</f>
        <v>Adjusting_the_direction_of_the_light</v>
      </c>
      <c r="F384" s="63" t="s">
        <v>71</v>
      </c>
      <c r="G384" s="16" t="s">
        <v>48</v>
      </c>
      <c r="H384" s="16" t="s">
        <v>46</v>
      </c>
      <c r="I384" s="40"/>
      <c r="J384" s="40"/>
      <c r="K384" s="41"/>
      <c r="L384" s="26"/>
      <c r="M384" s="26"/>
      <c r="N384" s="24"/>
      <c r="O384" s="41"/>
      <c r="P384" s="41"/>
      <c r="Q384" s="24"/>
      <c r="R384" s="24"/>
      <c r="S384" s="41"/>
      <c r="T384" s="26"/>
      <c r="U384" s="41"/>
      <c r="V384" s="41"/>
      <c r="W384" s="41"/>
      <c r="X384" s="37" t="s">
        <v>413</v>
      </c>
    </row>
    <row r="385" ht="14.25" customHeight="1">
      <c r="A385" s="24"/>
      <c r="B385" s="66" t="s">
        <v>428</v>
      </c>
      <c r="C385" s="16" t="s">
        <v>46</v>
      </c>
      <c r="D385" s="14">
        <v>500.0</v>
      </c>
      <c r="E385" s="17" t="str">
        <f>IFERROR(__xludf.DUMMYFUNCTION("REGEXREPLACE(GOOGLETRANSLATE(B385,""RU"",""EN""),"" "",""_"")"),"Characteristics_of_a_binocular_loupe")</f>
        <v>Characteristics_of_a_binocular_loupe</v>
      </c>
      <c r="F385" s="63" t="s">
        <v>47</v>
      </c>
      <c r="G385" s="16" t="s">
        <v>48</v>
      </c>
      <c r="H385" s="16" t="s">
        <v>46</v>
      </c>
      <c r="I385" s="40"/>
      <c r="J385" s="40"/>
      <c r="K385" s="41"/>
      <c r="L385" s="26"/>
      <c r="M385" s="26"/>
      <c r="N385" s="24"/>
      <c r="O385" s="41"/>
      <c r="P385" s="41"/>
      <c r="Q385" s="24"/>
      <c r="R385" s="24"/>
      <c r="S385" s="41"/>
      <c r="T385" s="26"/>
      <c r="U385" s="41"/>
      <c r="V385" s="41"/>
      <c r="W385" s="41"/>
      <c r="X385" s="37" t="s">
        <v>413</v>
      </c>
    </row>
    <row r="386" ht="14.25" customHeight="1">
      <c r="A386" s="24"/>
      <c r="B386" s="66" t="s">
        <v>63</v>
      </c>
      <c r="C386" s="16" t="s">
        <v>46</v>
      </c>
      <c r="D386" s="14">
        <v>500.0</v>
      </c>
      <c r="E386" s="17" t="str">
        <f>IFERROR(__xludf.DUMMYFUNCTION("REGEXREPLACE(GOOGLETRANSLATE(B386,""RU"",""EN""),"" "",""_"")"),"Nutrition")</f>
        <v>Nutrition</v>
      </c>
      <c r="F386" s="63" t="s">
        <v>47</v>
      </c>
      <c r="G386" s="16" t="s">
        <v>48</v>
      </c>
      <c r="H386" s="16" t="s">
        <v>46</v>
      </c>
      <c r="I386" s="40"/>
      <c r="J386" s="40"/>
      <c r="K386" s="41"/>
      <c r="L386" s="26"/>
      <c r="M386" s="26"/>
      <c r="N386" s="24"/>
      <c r="O386" s="41"/>
      <c r="P386" s="41"/>
      <c r="Q386" s="24"/>
      <c r="R386" s="24"/>
      <c r="S386" s="41"/>
      <c r="T386" s="26"/>
      <c r="U386" s="41"/>
      <c r="V386" s="41"/>
      <c r="W386" s="41"/>
      <c r="X386" s="37" t="s">
        <v>413</v>
      </c>
    </row>
    <row r="387" ht="14.25" customHeight="1">
      <c r="A387" s="24"/>
      <c r="B387" s="66" t="s">
        <v>98</v>
      </c>
      <c r="C387" s="16" t="s">
        <v>46</v>
      </c>
      <c r="D387" s="14">
        <v>500.0</v>
      </c>
      <c r="E387" s="17" t="str">
        <f>IFERROR(__xludf.DUMMYFUNCTION("REGEXREPLACE(GOOGLETRANSLATE(B387,""RU"",""EN""),"" "",""_"")"),"Housing_material")</f>
        <v>Housing_material</v>
      </c>
      <c r="F387" s="63" t="s">
        <v>47</v>
      </c>
      <c r="G387" s="16" t="s">
        <v>48</v>
      </c>
      <c r="H387" s="16" t="s">
        <v>46</v>
      </c>
      <c r="I387" s="40"/>
      <c r="J387" s="40"/>
      <c r="K387" s="41"/>
      <c r="L387" s="26"/>
      <c r="M387" s="26"/>
      <c r="N387" s="24"/>
      <c r="O387" s="41"/>
      <c r="P387" s="41"/>
      <c r="Q387" s="24"/>
      <c r="R387" s="24"/>
      <c r="S387" s="41"/>
      <c r="T387" s="26"/>
      <c r="U387" s="41"/>
      <c r="V387" s="41"/>
      <c r="W387" s="41"/>
      <c r="X387" s="37" t="s">
        <v>413</v>
      </c>
    </row>
    <row r="388" ht="14.25" customHeight="1">
      <c r="A388" s="67"/>
      <c r="C388" s="67"/>
      <c r="D388" s="67"/>
      <c r="F388" s="67"/>
      <c r="G388" s="67"/>
      <c r="N388" s="67"/>
      <c r="Q388" s="67"/>
      <c r="R388" s="67"/>
    </row>
    <row r="389" ht="14.25" customHeight="1">
      <c r="A389" s="67"/>
      <c r="C389" s="67"/>
      <c r="D389" s="67"/>
      <c r="F389" s="67"/>
      <c r="G389" s="67"/>
      <c r="N389" s="67"/>
      <c r="Q389" s="67"/>
      <c r="R389" s="67"/>
    </row>
    <row r="390" ht="14.25" customHeight="1">
      <c r="A390" s="67"/>
      <c r="C390" s="67"/>
      <c r="D390" s="67"/>
      <c r="F390" s="67"/>
      <c r="G390" s="67"/>
      <c r="N390" s="67"/>
      <c r="Q390" s="67"/>
      <c r="R390" s="67"/>
    </row>
    <row r="391" ht="14.25" customHeight="1">
      <c r="A391" s="67"/>
      <c r="C391" s="67"/>
      <c r="D391" s="67"/>
      <c r="F391" s="67"/>
      <c r="G391" s="67"/>
      <c r="N391" s="67"/>
      <c r="Q391" s="67"/>
      <c r="R391" s="67"/>
    </row>
    <row r="392" ht="14.25" customHeight="1">
      <c r="A392" s="67"/>
      <c r="C392" s="67"/>
      <c r="D392" s="67"/>
      <c r="F392" s="67"/>
      <c r="G392" s="67"/>
      <c r="N392" s="67"/>
      <c r="Q392" s="67"/>
      <c r="R392" s="67"/>
    </row>
    <row r="393" ht="14.25" customHeight="1">
      <c r="A393" s="67"/>
      <c r="C393" s="67"/>
      <c r="D393" s="67"/>
      <c r="F393" s="67"/>
      <c r="G393" s="67"/>
      <c r="N393" s="67"/>
      <c r="Q393" s="67"/>
      <c r="R393" s="67"/>
    </row>
    <row r="394" ht="14.25" customHeight="1">
      <c r="A394" s="67"/>
      <c r="C394" s="67"/>
      <c r="D394" s="67"/>
      <c r="F394" s="67"/>
      <c r="G394" s="67"/>
      <c r="N394" s="67"/>
      <c r="Q394" s="67"/>
      <c r="R394" s="67"/>
    </row>
    <row r="395" ht="14.25" customHeight="1">
      <c r="A395" s="67"/>
      <c r="C395" s="67"/>
      <c r="D395" s="67"/>
      <c r="F395" s="67"/>
      <c r="G395" s="67"/>
      <c r="N395" s="67"/>
      <c r="Q395" s="67"/>
      <c r="R395" s="67"/>
    </row>
    <row r="396" ht="14.25" customHeight="1">
      <c r="A396" s="67"/>
      <c r="C396" s="67"/>
      <c r="D396" s="67"/>
      <c r="F396" s="67"/>
      <c r="G396" s="67"/>
      <c r="N396" s="67"/>
      <c r="Q396" s="67"/>
      <c r="R396" s="67"/>
    </row>
    <row r="397" ht="14.25" customHeight="1">
      <c r="A397" s="67"/>
      <c r="C397" s="67"/>
      <c r="D397" s="67"/>
      <c r="F397" s="67"/>
      <c r="G397" s="67"/>
      <c r="N397" s="67"/>
      <c r="Q397" s="67"/>
      <c r="R397" s="67"/>
    </row>
    <row r="398" ht="14.25" customHeight="1">
      <c r="A398" s="67"/>
      <c r="C398" s="67"/>
      <c r="D398" s="67"/>
      <c r="F398" s="67"/>
      <c r="G398" s="67"/>
      <c r="N398" s="67"/>
      <c r="Q398" s="67"/>
      <c r="R398" s="67"/>
    </row>
    <row r="399" ht="14.25" customHeight="1">
      <c r="A399" s="67"/>
      <c r="C399" s="67"/>
      <c r="D399" s="67"/>
      <c r="F399" s="67"/>
      <c r="G399" s="67"/>
      <c r="N399" s="67"/>
      <c r="Q399" s="67"/>
      <c r="R399" s="67"/>
    </row>
    <row r="400" ht="14.25" customHeight="1">
      <c r="A400" s="67"/>
      <c r="C400" s="67"/>
      <c r="D400" s="67"/>
      <c r="F400" s="67"/>
      <c r="G400" s="67"/>
      <c r="N400" s="67"/>
      <c r="Q400" s="67"/>
      <c r="R400" s="67"/>
    </row>
    <row r="401" ht="14.25" customHeight="1">
      <c r="A401" s="67"/>
      <c r="C401" s="67"/>
      <c r="D401" s="67"/>
      <c r="F401" s="67"/>
      <c r="G401" s="67"/>
      <c r="N401" s="67"/>
      <c r="Q401" s="67"/>
      <c r="R401" s="67"/>
    </row>
    <row r="402" ht="14.25" customHeight="1">
      <c r="A402" s="67"/>
      <c r="C402" s="67"/>
      <c r="D402" s="67"/>
      <c r="F402" s="67"/>
      <c r="G402" s="67"/>
      <c r="N402" s="67"/>
      <c r="Q402" s="67"/>
      <c r="R402" s="67"/>
    </row>
    <row r="403" ht="14.25" customHeight="1">
      <c r="A403" s="67"/>
      <c r="C403" s="67"/>
      <c r="D403" s="67"/>
      <c r="F403" s="67"/>
      <c r="G403" s="67"/>
      <c r="N403" s="67"/>
      <c r="Q403" s="67"/>
      <c r="R403" s="67"/>
    </row>
    <row r="404" ht="14.25" customHeight="1">
      <c r="A404" s="67"/>
      <c r="C404" s="67"/>
      <c r="D404" s="67"/>
      <c r="F404" s="67"/>
      <c r="G404" s="67"/>
      <c r="N404" s="67"/>
      <c r="Q404" s="67"/>
      <c r="R404" s="67"/>
    </row>
    <row r="405" ht="14.25" customHeight="1">
      <c r="A405" s="67"/>
      <c r="C405" s="67"/>
      <c r="D405" s="67"/>
      <c r="F405" s="67"/>
      <c r="G405" s="67"/>
      <c r="N405" s="67"/>
      <c r="Q405" s="67"/>
      <c r="R405" s="67"/>
    </row>
    <row r="406" ht="14.25" customHeight="1">
      <c r="A406" s="67"/>
      <c r="C406" s="67"/>
      <c r="D406" s="67"/>
      <c r="F406" s="67"/>
      <c r="G406" s="67"/>
      <c r="N406" s="67"/>
      <c r="Q406" s="67"/>
      <c r="R406" s="67"/>
    </row>
    <row r="407" ht="14.25" customHeight="1">
      <c r="A407" s="67"/>
      <c r="C407" s="67"/>
      <c r="D407" s="67"/>
      <c r="F407" s="67"/>
      <c r="G407" s="67"/>
      <c r="N407" s="67"/>
      <c r="Q407" s="67"/>
      <c r="R407" s="67"/>
    </row>
    <row r="408" ht="14.25" customHeight="1">
      <c r="A408" s="67"/>
      <c r="C408" s="67"/>
      <c r="D408" s="67"/>
      <c r="F408" s="67"/>
      <c r="G408" s="67"/>
      <c r="N408" s="67"/>
      <c r="Q408" s="67"/>
      <c r="R408" s="67"/>
    </row>
    <row r="409" ht="14.25" customHeight="1">
      <c r="A409" s="67"/>
      <c r="C409" s="67"/>
      <c r="D409" s="67"/>
      <c r="F409" s="67"/>
      <c r="G409" s="67"/>
      <c r="N409" s="67"/>
      <c r="Q409" s="67"/>
      <c r="R409" s="67"/>
    </row>
    <row r="410" ht="14.25" customHeight="1">
      <c r="A410" s="67"/>
      <c r="C410" s="67"/>
      <c r="D410" s="67"/>
      <c r="F410" s="67"/>
      <c r="G410" s="67"/>
      <c r="N410" s="67"/>
      <c r="Q410" s="67"/>
      <c r="R410" s="67"/>
    </row>
    <row r="411" ht="14.25" customHeight="1">
      <c r="A411" s="67"/>
      <c r="C411" s="67"/>
      <c r="D411" s="67"/>
      <c r="F411" s="67"/>
      <c r="G411" s="67"/>
      <c r="N411" s="67"/>
      <c r="Q411" s="67"/>
      <c r="R411" s="67"/>
    </row>
    <row r="412" ht="14.25" customHeight="1">
      <c r="A412" s="67"/>
      <c r="C412" s="67"/>
      <c r="D412" s="67"/>
      <c r="F412" s="67"/>
      <c r="G412" s="67"/>
      <c r="N412" s="67"/>
      <c r="Q412" s="67"/>
      <c r="R412" s="67"/>
    </row>
    <row r="413" ht="14.25" customHeight="1">
      <c r="A413" s="67"/>
      <c r="C413" s="67"/>
      <c r="D413" s="67"/>
      <c r="F413" s="67"/>
      <c r="G413" s="67"/>
      <c r="N413" s="67"/>
      <c r="Q413" s="67"/>
      <c r="R413" s="67"/>
    </row>
    <row r="414" ht="14.25" customHeight="1">
      <c r="A414" s="67"/>
      <c r="C414" s="67"/>
      <c r="D414" s="67"/>
      <c r="F414" s="67"/>
      <c r="G414" s="67"/>
      <c r="N414" s="67"/>
      <c r="Q414" s="67"/>
      <c r="R414" s="67"/>
    </row>
    <row r="415" ht="14.25" customHeight="1">
      <c r="A415" s="67"/>
      <c r="C415" s="67"/>
      <c r="D415" s="67"/>
      <c r="F415" s="67"/>
      <c r="G415" s="67"/>
      <c r="N415" s="67"/>
      <c r="Q415" s="67"/>
      <c r="R415" s="67"/>
    </row>
    <row r="416" ht="14.25" customHeight="1">
      <c r="A416" s="67"/>
      <c r="C416" s="67"/>
      <c r="D416" s="67"/>
      <c r="F416" s="67"/>
      <c r="G416" s="67"/>
      <c r="N416" s="67"/>
      <c r="Q416" s="67"/>
      <c r="R416" s="67"/>
    </row>
    <row r="417" ht="14.25" customHeight="1">
      <c r="A417" s="67"/>
      <c r="C417" s="67"/>
      <c r="D417" s="67"/>
      <c r="F417" s="67"/>
      <c r="G417" s="67"/>
      <c r="N417" s="67"/>
      <c r="Q417" s="67"/>
      <c r="R417" s="67"/>
    </row>
    <row r="418" ht="14.25" customHeight="1">
      <c r="A418" s="67"/>
      <c r="C418" s="67"/>
      <c r="D418" s="67"/>
      <c r="F418" s="67"/>
      <c r="G418" s="67"/>
      <c r="N418" s="67"/>
      <c r="Q418" s="67"/>
      <c r="R418" s="67"/>
    </row>
    <row r="419" ht="14.25" customHeight="1">
      <c r="A419" s="67"/>
      <c r="C419" s="67"/>
      <c r="D419" s="67"/>
      <c r="F419" s="67"/>
      <c r="G419" s="67"/>
      <c r="N419" s="67"/>
      <c r="Q419" s="67"/>
      <c r="R419" s="67"/>
    </row>
    <row r="420" ht="14.25" customHeight="1">
      <c r="A420" s="67"/>
      <c r="C420" s="67"/>
      <c r="D420" s="67"/>
      <c r="F420" s="67"/>
      <c r="G420" s="67"/>
      <c r="N420" s="67"/>
      <c r="Q420" s="67"/>
      <c r="R420" s="67"/>
    </row>
    <row r="421" ht="14.25" customHeight="1">
      <c r="A421" s="67"/>
      <c r="C421" s="67"/>
      <c r="D421" s="67"/>
      <c r="F421" s="67"/>
      <c r="G421" s="67"/>
      <c r="N421" s="67"/>
      <c r="Q421" s="67"/>
      <c r="R421" s="67"/>
    </row>
    <row r="422" ht="14.25" customHeight="1">
      <c r="A422" s="67"/>
      <c r="C422" s="67"/>
      <c r="D422" s="67"/>
      <c r="F422" s="67"/>
      <c r="G422" s="67"/>
      <c r="N422" s="67"/>
      <c r="Q422" s="67"/>
      <c r="R422" s="67"/>
    </row>
    <row r="423" ht="14.25" customHeight="1">
      <c r="A423" s="67"/>
      <c r="C423" s="67"/>
      <c r="D423" s="67"/>
      <c r="F423" s="67"/>
      <c r="G423" s="67"/>
      <c r="N423" s="67"/>
      <c r="Q423" s="67"/>
      <c r="R423" s="67"/>
    </row>
    <row r="424" ht="14.25" customHeight="1">
      <c r="A424" s="67"/>
      <c r="C424" s="67"/>
      <c r="D424" s="67"/>
      <c r="F424" s="67"/>
      <c r="G424" s="67"/>
      <c r="N424" s="67"/>
      <c r="Q424" s="67"/>
      <c r="R424" s="67"/>
    </row>
    <row r="425" ht="14.25" customHeight="1">
      <c r="A425" s="67"/>
      <c r="C425" s="67"/>
      <c r="D425" s="67"/>
      <c r="F425" s="67"/>
      <c r="G425" s="67"/>
      <c r="N425" s="67"/>
      <c r="Q425" s="67"/>
      <c r="R425" s="67"/>
    </row>
    <row r="426" ht="14.25" customHeight="1">
      <c r="A426" s="67"/>
      <c r="C426" s="67"/>
      <c r="D426" s="67"/>
      <c r="F426" s="67"/>
      <c r="G426" s="67"/>
      <c r="N426" s="67"/>
      <c r="Q426" s="67"/>
      <c r="R426" s="67"/>
    </row>
    <row r="427" ht="14.25" customHeight="1">
      <c r="A427" s="67"/>
      <c r="C427" s="67"/>
      <c r="D427" s="67"/>
      <c r="F427" s="67"/>
      <c r="G427" s="67"/>
      <c r="N427" s="67"/>
      <c r="Q427" s="67"/>
      <c r="R427" s="67"/>
    </row>
    <row r="428" ht="14.25" customHeight="1">
      <c r="A428" s="67"/>
      <c r="C428" s="67"/>
      <c r="D428" s="67"/>
      <c r="F428" s="67"/>
      <c r="G428" s="67"/>
      <c r="N428" s="67"/>
      <c r="Q428" s="67"/>
      <c r="R428" s="67"/>
    </row>
    <row r="429" ht="14.25" customHeight="1">
      <c r="A429" s="67"/>
      <c r="C429" s="67"/>
      <c r="D429" s="67"/>
      <c r="F429" s="67"/>
      <c r="G429" s="67"/>
      <c r="N429" s="67"/>
      <c r="Q429" s="67"/>
      <c r="R429" s="67"/>
    </row>
    <row r="430" ht="14.25" customHeight="1">
      <c r="A430" s="67"/>
      <c r="C430" s="67"/>
      <c r="D430" s="67"/>
      <c r="F430" s="67"/>
      <c r="G430" s="67"/>
      <c r="N430" s="67"/>
      <c r="Q430" s="67"/>
      <c r="R430" s="67"/>
    </row>
    <row r="431" ht="14.25" customHeight="1">
      <c r="A431" s="67"/>
      <c r="C431" s="67"/>
      <c r="D431" s="67"/>
      <c r="F431" s="67"/>
      <c r="G431" s="67"/>
      <c r="N431" s="67"/>
      <c r="Q431" s="67"/>
      <c r="R431" s="67"/>
    </row>
    <row r="432" ht="14.25" customHeight="1">
      <c r="A432" s="67"/>
      <c r="C432" s="67"/>
      <c r="D432" s="67"/>
      <c r="F432" s="67"/>
      <c r="G432" s="67"/>
      <c r="N432" s="67"/>
      <c r="Q432" s="67"/>
      <c r="R432" s="67"/>
    </row>
    <row r="433" ht="14.25" customHeight="1">
      <c r="A433" s="67"/>
      <c r="C433" s="67"/>
      <c r="D433" s="67"/>
      <c r="F433" s="67"/>
      <c r="G433" s="67"/>
      <c r="N433" s="67"/>
      <c r="Q433" s="67"/>
      <c r="R433" s="67"/>
    </row>
    <row r="434" ht="14.25" customHeight="1">
      <c r="A434" s="67"/>
      <c r="C434" s="67"/>
      <c r="D434" s="67"/>
      <c r="F434" s="67"/>
      <c r="G434" s="67"/>
      <c r="N434" s="67"/>
      <c r="Q434" s="67"/>
      <c r="R434" s="67"/>
    </row>
    <row r="435" ht="14.25" customHeight="1">
      <c r="A435" s="67"/>
      <c r="C435" s="67"/>
      <c r="D435" s="67"/>
      <c r="F435" s="67"/>
      <c r="G435" s="67"/>
      <c r="N435" s="67"/>
      <c r="Q435" s="67"/>
      <c r="R435" s="67"/>
    </row>
    <row r="436" ht="14.25" customHeight="1">
      <c r="A436" s="67"/>
      <c r="C436" s="67"/>
      <c r="D436" s="67"/>
      <c r="F436" s="67"/>
      <c r="G436" s="67"/>
      <c r="N436" s="67"/>
      <c r="Q436" s="67"/>
      <c r="R436" s="67"/>
    </row>
    <row r="437" ht="14.25" customHeight="1">
      <c r="A437" s="67"/>
      <c r="C437" s="67"/>
      <c r="D437" s="67"/>
      <c r="F437" s="67"/>
      <c r="G437" s="67"/>
      <c r="N437" s="67"/>
      <c r="Q437" s="67"/>
      <c r="R437" s="67"/>
    </row>
    <row r="438" ht="14.25" customHeight="1">
      <c r="A438" s="67"/>
      <c r="C438" s="67"/>
      <c r="D438" s="67"/>
      <c r="F438" s="67"/>
      <c r="G438" s="67"/>
      <c r="N438" s="67"/>
      <c r="Q438" s="67"/>
      <c r="R438" s="67"/>
    </row>
    <row r="439" ht="14.25" customHeight="1">
      <c r="A439" s="67"/>
      <c r="C439" s="67"/>
      <c r="D439" s="67"/>
      <c r="F439" s="67"/>
      <c r="G439" s="67"/>
      <c r="N439" s="67"/>
      <c r="Q439" s="67"/>
      <c r="R439" s="67"/>
    </row>
    <row r="440" ht="14.25" customHeight="1">
      <c r="A440" s="67"/>
      <c r="C440" s="67"/>
      <c r="D440" s="67"/>
      <c r="F440" s="67"/>
      <c r="G440" s="67"/>
      <c r="N440" s="67"/>
      <c r="Q440" s="67"/>
      <c r="R440" s="67"/>
    </row>
    <row r="441" ht="14.25" customHeight="1">
      <c r="A441" s="67"/>
      <c r="C441" s="67"/>
      <c r="D441" s="67"/>
      <c r="F441" s="67"/>
      <c r="G441" s="67"/>
      <c r="N441" s="67"/>
      <c r="Q441" s="67"/>
      <c r="R441" s="67"/>
    </row>
    <row r="442" ht="14.25" customHeight="1">
      <c r="A442" s="67"/>
      <c r="C442" s="67"/>
      <c r="D442" s="67"/>
      <c r="F442" s="67"/>
      <c r="G442" s="67"/>
      <c r="N442" s="67"/>
      <c r="Q442" s="67"/>
      <c r="R442" s="67"/>
    </row>
    <row r="443" ht="14.25" customHeight="1">
      <c r="A443" s="67"/>
      <c r="C443" s="67"/>
      <c r="D443" s="67"/>
      <c r="F443" s="67"/>
      <c r="G443" s="67"/>
      <c r="N443" s="67"/>
      <c r="Q443" s="67"/>
      <c r="R443" s="67"/>
    </row>
    <row r="444" ht="14.25" customHeight="1">
      <c r="A444" s="67"/>
      <c r="C444" s="67"/>
      <c r="D444" s="67"/>
      <c r="F444" s="67"/>
      <c r="G444" s="67"/>
      <c r="N444" s="67"/>
      <c r="Q444" s="67"/>
      <c r="R444" s="67"/>
    </row>
    <row r="445" ht="14.25" customHeight="1">
      <c r="A445" s="67"/>
      <c r="C445" s="67"/>
      <c r="D445" s="67"/>
      <c r="F445" s="67"/>
      <c r="G445" s="67"/>
      <c r="N445" s="67"/>
      <c r="Q445" s="67"/>
      <c r="R445" s="67"/>
    </row>
    <row r="446" ht="14.25" customHeight="1">
      <c r="A446" s="67"/>
      <c r="C446" s="67"/>
      <c r="D446" s="67"/>
      <c r="F446" s="67"/>
      <c r="G446" s="67"/>
      <c r="N446" s="67"/>
      <c r="Q446" s="67"/>
      <c r="R446" s="67"/>
    </row>
    <row r="447" ht="14.25" customHeight="1">
      <c r="A447" s="67"/>
      <c r="C447" s="67"/>
      <c r="D447" s="67"/>
      <c r="F447" s="67"/>
      <c r="G447" s="67"/>
      <c r="N447" s="67"/>
      <c r="Q447" s="67"/>
      <c r="R447" s="67"/>
    </row>
    <row r="448" ht="14.25" customHeight="1">
      <c r="A448" s="67"/>
      <c r="C448" s="67"/>
      <c r="D448" s="67"/>
      <c r="F448" s="67"/>
      <c r="G448" s="67"/>
      <c r="N448" s="67"/>
      <c r="Q448" s="67"/>
      <c r="R448" s="67"/>
    </row>
    <row r="449" ht="14.25" customHeight="1">
      <c r="A449" s="67"/>
      <c r="C449" s="67"/>
      <c r="D449" s="67"/>
      <c r="F449" s="67"/>
      <c r="G449" s="67"/>
      <c r="N449" s="67"/>
      <c r="Q449" s="67"/>
      <c r="R449" s="67"/>
    </row>
    <row r="450" ht="14.25" customHeight="1">
      <c r="A450" s="67"/>
      <c r="C450" s="67"/>
      <c r="D450" s="67"/>
      <c r="F450" s="67"/>
      <c r="G450" s="67"/>
      <c r="N450" s="67"/>
      <c r="Q450" s="67"/>
      <c r="R450" s="67"/>
    </row>
    <row r="451" ht="14.25" customHeight="1">
      <c r="A451" s="67"/>
      <c r="C451" s="67"/>
      <c r="D451" s="67"/>
      <c r="F451" s="67"/>
      <c r="G451" s="67"/>
      <c r="N451" s="67"/>
      <c r="Q451" s="67"/>
      <c r="R451" s="67"/>
    </row>
    <row r="452" ht="14.25" customHeight="1">
      <c r="A452" s="67"/>
      <c r="C452" s="67"/>
      <c r="D452" s="67"/>
      <c r="F452" s="67"/>
      <c r="G452" s="67"/>
      <c r="N452" s="67"/>
      <c r="Q452" s="67"/>
      <c r="R452" s="67"/>
    </row>
    <row r="453" ht="14.25" customHeight="1">
      <c r="A453" s="67"/>
      <c r="C453" s="67"/>
      <c r="D453" s="67"/>
      <c r="F453" s="67"/>
      <c r="G453" s="67"/>
      <c r="N453" s="67"/>
      <c r="Q453" s="67"/>
      <c r="R453" s="67"/>
    </row>
    <row r="454" ht="14.25" customHeight="1">
      <c r="A454" s="67"/>
      <c r="C454" s="67"/>
      <c r="D454" s="67"/>
      <c r="F454" s="67"/>
      <c r="G454" s="67"/>
      <c r="N454" s="67"/>
      <c r="Q454" s="67"/>
      <c r="R454" s="67"/>
    </row>
    <row r="455" ht="14.25" customHeight="1">
      <c r="A455" s="67"/>
      <c r="C455" s="67"/>
      <c r="D455" s="67"/>
      <c r="F455" s="67"/>
      <c r="G455" s="67"/>
      <c r="N455" s="67"/>
      <c r="Q455" s="67"/>
      <c r="R455" s="67"/>
    </row>
    <row r="456" ht="14.25" customHeight="1">
      <c r="A456" s="67"/>
      <c r="C456" s="67"/>
      <c r="D456" s="67"/>
      <c r="F456" s="67"/>
      <c r="G456" s="67"/>
      <c r="N456" s="67"/>
      <c r="Q456" s="67"/>
      <c r="R456" s="67"/>
    </row>
    <row r="457" ht="14.25" customHeight="1">
      <c r="A457" s="67"/>
      <c r="C457" s="67"/>
      <c r="D457" s="67"/>
      <c r="F457" s="67"/>
      <c r="G457" s="67"/>
      <c r="N457" s="67"/>
      <c r="Q457" s="67"/>
      <c r="R457" s="67"/>
    </row>
    <row r="458" ht="14.25" customHeight="1">
      <c r="A458" s="67"/>
      <c r="C458" s="67"/>
      <c r="D458" s="67"/>
      <c r="F458" s="67"/>
      <c r="G458" s="67"/>
      <c r="N458" s="67"/>
      <c r="Q458" s="67"/>
      <c r="R458" s="67"/>
    </row>
    <row r="459" ht="14.25" customHeight="1">
      <c r="A459" s="67"/>
      <c r="C459" s="67"/>
      <c r="D459" s="67"/>
      <c r="F459" s="67"/>
      <c r="G459" s="67"/>
      <c r="N459" s="67"/>
      <c r="Q459" s="67"/>
      <c r="R459" s="67"/>
    </row>
    <row r="460" ht="14.25" customHeight="1">
      <c r="A460" s="67"/>
      <c r="C460" s="67"/>
      <c r="D460" s="67"/>
      <c r="F460" s="67"/>
      <c r="G460" s="67"/>
      <c r="N460" s="67"/>
      <c r="Q460" s="67"/>
      <c r="R460" s="67"/>
    </row>
    <row r="461" ht="14.25" customHeight="1">
      <c r="A461" s="67"/>
      <c r="C461" s="67"/>
      <c r="D461" s="67"/>
      <c r="F461" s="67"/>
      <c r="G461" s="67"/>
      <c r="N461" s="67"/>
      <c r="Q461" s="67"/>
      <c r="R461" s="67"/>
    </row>
    <row r="462" ht="14.25" customHeight="1">
      <c r="A462" s="67"/>
      <c r="C462" s="67"/>
      <c r="D462" s="67"/>
      <c r="F462" s="67"/>
      <c r="G462" s="67"/>
      <c r="N462" s="67"/>
      <c r="Q462" s="67"/>
      <c r="R462" s="67"/>
    </row>
    <row r="463" ht="14.25" customHeight="1">
      <c r="A463" s="67"/>
      <c r="C463" s="67"/>
      <c r="D463" s="67"/>
      <c r="F463" s="67"/>
      <c r="G463" s="67"/>
      <c r="N463" s="67"/>
      <c r="Q463" s="67"/>
      <c r="R463" s="67"/>
    </row>
    <row r="464" ht="14.25" customHeight="1">
      <c r="A464" s="67"/>
      <c r="C464" s="67"/>
      <c r="D464" s="67"/>
      <c r="F464" s="67"/>
      <c r="G464" s="67"/>
      <c r="N464" s="67"/>
      <c r="Q464" s="67"/>
      <c r="R464" s="67"/>
    </row>
    <row r="465" ht="14.25" customHeight="1">
      <c r="A465" s="67"/>
      <c r="C465" s="67"/>
      <c r="D465" s="67"/>
      <c r="F465" s="67"/>
      <c r="G465" s="67"/>
      <c r="N465" s="67"/>
      <c r="Q465" s="67"/>
      <c r="R465" s="67"/>
    </row>
    <row r="466" ht="14.25" customHeight="1">
      <c r="A466" s="67"/>
      <c r="C466" s="67"/>
      <c r="D466" s="67"/>
      <c r="F466" s="67"/>
      <c r="G466" s="67"/>
      <c r="N466" s="67"/>
      <c r="Q466" s="67"/>
      <c r="R466" s="67"/>
    </row>
    <row r="467" ht="14.25" customHeight="1">
      <c r="A467" s="67"/>
      <c r="C467" s="67"/>
      <c r="D467" s="67"/>
      <c r="F467" s="67"/>
      <c r="G467" s="67"/>
      <c r="N467" s="67"/>
      <c r="Q467" s="67"/>
      <c r="R467" s="67"/>
    </row>
    <row r="468" ht="14.25" customHeight="1">
      <c r="A468" s="67"/>
      <c r="C468" s="67"/>
      <c r="D468" s="67"/>
      <c r="F468" s="67"/>
      <c r="G468" s="67"/>
      <c r="N468" s="67"/>
      <c r="Q468" s="67"/>
      <c r="R468" s="67"/>
    </row>
    <row r="469" ht="14.25" customHeight="1">
      <c r="A469" s="67"/>
      <c r="C469" s="67"/>
      <c r="D469" s="67"/>
      <c r="F469" s="67"/>
      <c r="G469" s="67"/>
      <c r="N469" s="67"/>
      <c r="Q469" s="67"/>
      <c r="R469" s="67"/>
    </row>
    <row r="470" ht="14.25" customHeight="1">
      <c r="A470" s="67"/>
      <c r="C470" s="67"/>
      <c r="D470" s="67"/>
      <c r="F470" s="67"/>
      <c r="G470" s="67"/>
      <c r="N470" s="67"/>
      <c r="Q470" s="67"/>
      <c r="R470" s="67"/>
    </row>
    <row r="471" ht="14.25" customHeight="1">
      <c r="A471" s="67"/>
      <c r="C471" s="67"/>
      <c r="D471" s="67"/>
      <c r="F471" s="67"/>
      <c r="G471" s="67"/>
      <c r="N471" s="67"/>
      <c r="Q471" s="67"/>
      <c r="R471" s="67"/>
    </row>
    <row r="472" ht="14.25" customHeight="1">
      <c r="A472" s="67"/>
      <c r="C472" s="67"/>
      <c r="D472" s="67"/>
      <c r="F472" s="67"/>
      <c r="G472" s="67"/>
      <c r="N472" s="67"/>
      <c r="Q472" s="67"/>
      <c r="R472" s="67"/>
    </row>
    <row r="473" ht="14.25" customHeight="1">
      <c r="A473" s="67"/>
      <c r="C473" s="67"/>
      <c r="D473" s="67"/>
      <c r="F473" s="67"/>
      <c r="G473" s="67"/>
      <c r="N473" s="67"/>
      <c r="Q473" s="67"/>
      <c r="R473" s="67"/>
    </row>
    <row r="474" ht="14.25" customHeight="1">
      <c r="A474" s="67"/>
      <c r="C474" s="67"/>
      <c r="D474" s="67"/>
      <c r="F474" s="67"/>
      <c r="G474" s="67"/>
      <c r="N474" s="67"/>
      <c r="Q474" s="67"/>
      <c r="R474" s="67"/>
    </row>
    <row r="475" ht="14.25" customHeight="1">
      <c r="A475" s="67"/>
      <c r="C475" s="67"/>
      <c r="D475" s="67"/>
      <c r="F475" s="67"/>
      <c r="G475" s="67"/>
      <c r="N475" s="67"/>
      <c r="Q475" s="67"/>
      <c r="R475" s="67"/>
    </row>
    <row r="476" ht="14.25" customHeight="1">
      <c r="A476" s="67"/>
      <c r="C476" s="67"/>
      <c r="D476" s="67"/>
      <c r="F476" s="67"/>
      <c r="G476" s="67"/>
      <c r="N476" s="67"/>
      <c r="Q476" s="67"/>
      <c r="R476" s="67"/>
    </row>
    <row r="477" ht="14.25" customHeight="1">
      <c r="A477" s="67"/>
      <c r="C477" s="67"/>
      <c r="D477" s="67"/>
      <c r="F477" s="67"/>
      <c r="G477" s="67"/>
      <c r="N477" s="67"/>
      <c r="Q477" s="67"/>
      <c r="R477" s="67"/>
    </row>
    <row r="478" ht="14.25" customHeight="1">
      <c r="A478" s="67"/>
      <c r="C478" s="67"/>
      <c r="D478" s="67"/>
      <c r="F478" s="67"/>
      <c r="G478" s="67"/>
      <c r="N478" s="67"/>
      <c r="Q478" s="67"/>
      <c r="R478" s="67"/>
    </row>
    <row r="479" ht="14.25" customHeight="1">
      <c r="A479" s="67"/>
      <c r="C479" s="67"/>
      <c r="D479" s="67"/>
      <c r="F479" s="67"/>
      <c r="G479" s="67"/>
      <c r="N479" s="67"/>
      <c r="Q479" s="67"/>
      <c r="R479" s="67"/>
    </row>
    <row r="480" ht="14.25" customHeight="1">
      <c r="A480" s="67"/>
      <c r="C480" s="67"/>
      <c r="D480" s="67"/>
      <c r="F480" s="67"/>
      <c r="G480" s="67"/>
      <c r="N480" s="67"/>
      <c r="Q480" s="67"/>
      <c r="R480" s="67"/>
    </row>
    <row r="481" ht="14.25" customHeight="1">
      <c r="A481" s="67"/>
      <c r="C481" s="67"/>
      <c r="D481" s="67"/>
      <c r="F481" s="67"/>
      <c r="G481" s="67"/>
      <c r="N481" s="67"/>
      <c r="Q481" s="67"/>
      <c r="R481" s="67"/>
    </row>
    <row r="482" ht="14.25" customHeight="1">
      <c r="A482" s="67"/>
      <c r="C482" s="67"/>
      <c r="D482" s="67"/>
      <c r="F482" s="67"/>
      <c r="G482" s="67"/>
      <c r="N482" s="67"/>
      <c r="Q482" s="67"/>
      <c r="R482" s="67"/>
    </row>
    <row r="483" ht="14.25" customHeight="1">
      <c r="A483" s="67"/>
      <c r="C483" s="67"/>
      <c r="D483" s="67"/>
      <c r="F483" s="67"/>
      <c r="G483" s="67"/>
      <c r="N483" s="67"/>
      <c r="Q483" s="67"/>
      <c r="R483" s="67"/>
    </row>
    <row r="484" ht="14.25" customHeight="1">
      <c r="A484" s="67"/>
      <c r="C484" s="67"/>
      <c r="D484" s="67"/>
      <c r="F484" s="67"/>
      <c r="G484" s="67"/>
      <c r="N484" s="67"/>
      <c r="Q484" s="67"/>
      <c r="R484" s="67"/>
    </row>
    <row r="485" ht="14.25" customHeight="1">
      <c r="A485" s="67"/>
      <c r="C485" s="67"/>
      <c r="D485" s="67"/>
      <c r="F485" s="67"/>
      <c r="G485" s="67"/>
      <c r="N485" s="67"/>
      <c r="Q485" s="67"/>
      <c r="R485" s="67"/>
    </row>
    <row r="486" ht="14.25" customHeight="1">
      <c r="A486" s="67"/>
      <c r="C486" s="67"/>
      <c r="D486" s="67"/>
      <c r="F486" s="67"/>
      <c r="G486" s="67"/>
      <c r="N486" s="67"/>
      <c r="Q486" s="67"/>
      <c r="R486" s="67"/>
    </row>
    <row r="487" ht="14.25" customHeight="1">
      <c r="A487" s="67"/>
      <c r="C487" s="67"/>
      <c r="D487" s="67"/>
      <c r="F487" s="67"/>
      <c r="G487" s="67"/>
      <c r="N487" s="67"/>
      <c r="Q487" s="67"/>
      <c r="R487" s="67"/>
    </row>
    <row r="488" ht="14.25" customHeight="1">
      <c r="A488" s="67"/>
      <c r="C488" s="67"/>
      <c r="D488" s="67"/>
      <c r="F488" s="67"/>
      <c r="G488" s="67"/>
      <c r="N488" s="67"/>
      <c r="Q488" s="67"/>
      <c r="R488" s="67"/>
    </row>
    <row r="489" ht="14.25" customHeight="1">
      <c r="A489" s="67"/>
      <c r="C489" s="67"/>
      <c r="D489" s="67"/>
      <c r="F489" s="67"/>
      <c r="G489" s="67"/>
      <c r="N489" s="67"/>
      <c r="Q489" s="67"/>
      <c r="R489" s="67"/>
    </row>
    <row r="490" ht="14.25" customHeight="1">
      <c r="A490" s="67"/>
      <c r="C490" s="67"/>
      <c r="D490" s="67"/>
      <c r="F490" s="67"/>
      <c r="G490" s="67"/>
      <c r="N490" s="67"/>
      <c r="Q490" s="67"/>
      <c r="R490" s="67"/>
    </row>
    <row r="491" ht="14.25" customHeight="1">
      <c r="A491" s="67"/>
      <c r="C491" s="67"/>
      <c r="D491" s="67"/>
      <c r="F491" s="67"/>
      <c r="G491" s="67"/>
      <c r="N491" s="67"/>
      <c r="Q491" s="67"/>
      <c r="R491" s="67"/>
    </row>
    <row r="492" ht="14.25" customHeight="1">
      <c r="A492" s="67"/>
      <c r="C492" s="67"/>
      <c r="D492" s="67"/>
      <c r="F492" s="67"/>
      <c r="G492" s="67"/>
      <c r="N492" s="67"/>
      <c r="Q492" s="67"/>
      <c r="R492" s="67"/>
    </row>
    <row r="493" ht="14.25" customHeight="1">
      <c r="A493" s="67"/>
      <c r="C493" s="67"/>
      <c r="D493" s="67"/>
      <c r="F493" s="67"/>
      <c r="G493" s="67"/>
      <c r="N493" s="67"/>
      <c r="Q493" s="67"/>
      <c r="R493" s="67"/>
    </row>
    <row r="494" ht="14.25" customHeight="1">
      <c r="A494" s="67"/>
      <c r="C494" s="67"/>
      <c r="D494" s="67"/>
      <c r="F494" s="67"/>
      <c r="G494" s="67"/>
      <c r="N494" s="67"/>
      <c r="Q494" s="67"/>
      <c r="R494" s="67"/>
    </row>
    <row r="495" ht="14.25" customHeight="1">
      <c r="A495" s="67"/>
      <c r="C495" s="67"/>
      <c r="D495" s="67"/>
      <c r="F495" s="67"/>
      <c r="G495" s="67"/>
      <c r="N495" s="67"/>
      <c r="Q495" s="67"/>
      <c r="R495" s="67"/>
    </row>
    <row r="496" ht="14.25" customHeight="1">
      <c r="A496" s="67"/>
      <c r="C496" s="67"/>
      <c r="D496" s="67"/>
      <c r="F496" s="67"/>
      <c r="G496" s="67"/>
      <c r="N496" s="67"/>
      <c r="Q496" s="67"/>
      <c r="R496" s="67"/>
    </row>
    <row r="497" ht="14.25" customHeight="1">
      <c r="A497" s="67"/>
      <c r="C497" s="67"/>
      <c r="D497" s="67"/>
      <c r="F497" s="67"/>
      <c r="G497" s="67"/>
      <c r="N497" s="67"/>
      <c r="Q497" s="67"/>
      <c r="R497" s="67"/>
    </row>
    <row r="498" ht="14.25" customHeight="1">
      <c r="A498" s="67"/>
      <c r="C498" s="67"/>
      <c r="D498" s="67"/>
      <c r="F498" s="67"/>
      <c r="G498" s="67"/>
      <c r="N498" s="67"/>
      <c r="Q498" s="67"/>
      <c r="R498" s="67"/>
    </row>
    <row r="499" ht="14.25" customHeight="1">
      <c r="A499" s="67"/>
      <c r="C499" s="67"/>
      <c r="D499" s="67"/>
      <c r="F499" s="67"/>
      <c r="G499" s="67"/>
      <c r="N499" s="67"/>
      <c r="Q499" s="67"/>
      <c r="R499" s="67"/>
    </row>
    <row r="500" ht="14.25" customHeight="1">
      <c r="A500" s="67"/>
      <c r="C500" s="67"/>
      <c r="D500" s="67"/>
      <c r="F500" s="67"/>
      <c r="G500" s="67"/>
      <c r="N500" s="67"/>
      <c r="Q500" s="67"/>
      <c r="R500" s="67"/>
    </row>
    <row r="501" ht="14.25" customHeight="1">
      <c r="A501" s="67"/>
      <c r="C501" s="67"/>
      <c r="D501" s="67"/>
      <c r="F501" s="67"/>
      <c r="G501" s="67"/>
      <c r="N501" s="67"/>
      <c r="Q501" s="67"/>
      <c r="R501" s="67"/>
    </row>
    <row r="502" ht="14.25" customHeight="1">
      <c r="A502" s="67"/>
      <c r="C502" s="67"/>
      <c r="D502" s="67"/>
      <c r="F502" s="67"/>
      <c r="G502" s="67"/>
      <c r="N502" s="67"/>
      <c r="Q502" s="67"/>
      <c r="R502" s="67"/>
    </row>
    <row r="503" ht="14.25" customHeight="1">
      <c r="A503" s="67"/>
      <c r="C503" s="67"/>
      <c r="D503" s="67"/>
      <c r="F503" s="67"/>
      <c r="G503" s="67"/>
      <c r="N503" s="67"/>
      <c r="Q503" s="67"/>
      <c r="R503" s="67"/>
    </row>
    <row r="504" ht="14.25" customHeight="1">
      <c r="A504" s="67"/>
      <c r="C504" s="67"/>
      <c r="D504" s="67"/>
      <c r="F504" s="67"/>
      <c r="G504" s="67"/>
      <c r="N504" s="67"/>
      <c r="Q504" s="67"/>
      <c r="R504" s="67"/>
    </row>
    <row r="505" ht="14.25" customHeight="1">
      <c r="A505" s="67"/>
      <c r="C505" s="67"/>
      <c r="D505" s="67"/>
      <c r="F505" s="67"/>
      <c r="G505" s="67"/>
      <c r="N505" s="67"/>
      <c r="Q505" s="67"/>
      <c r="R505" s="67"/>
    </row>
    <row r="506" ht="14.25" customHeight="1">
      <c r="A506" s="67"/>
      <c r="C506" s="67"/>
      <c r="D506" s="67"/>
      <c r="F506" s="67"/>
      <c r="G506" s="67"/>
      <c r="N506" s="67"/>
      <c r="Q506" s="67"/>
      <c r="R506" s="67"/>
    </row>
    <row r="507" ht="14.25" customHeight="1">
      <c r="A507" s="67"/>
      <c r="C507" s="67"/>
      <c r="D507" s="67"/>
      <c r="F507" s="67"/>
      <c r="G507" s="67"/>
      <c r="N507" s="67"/>
      <c r="Q507" s="67"/>
      <c r="R507" s="67"/>
    </row>
    <row r="508" ht="14.25" customHeight="1">
      <c r="A508" s="67"/>
      <c r="C508" s="67"/>
      <c r="D508" s="67"/>
      <c r="F508" s="67"/>
      <c r="G508" s="67"/>
      <c r="N508" s="67"/>
      <c r="Q508" s="67"/>
      <c r="R508" s="67"/>
    </row>
    <row r="509" ht="14.25" customHeight="1">
      <c r="A509" s="67"/>
      <c r="C509" s="67"/>
      <c r="D509" s="67"/>
      <c r="F509" s="67"/>
      <c r="G509" s="67"/>
      <c r="N509" s="67"/>
      <c r="Q509" s="67"/>
      <c r="R509" s="67"/>
    </row>
    <row r="510" ht="14.25" customHeight="1">
      <c r="A510" s="67"/>
      <c r="C510" s="67"/>
      <c r="D510" s="67"/>
      <c r="F510" s="67"/>
      <c r="G510" s="67"/>
      <c r="N510" s="67"/>
      <c r="Q510" s="67"/>
      <c r="R510" s="67"/>
    </row>
    <row r="511" ht="14.25" customHeight="1">
      <c r="A511" s="67"/>
      <c r="C511" s="67"/>
      <c r="D511" s="67"/>
      <c r="F511" s="67"/>
      <c r="G511" s="67"/>
      <c r="N511" s="67"/>
      <c r="Q511" s="67"/>
      <c r="R511" s="67"/>
    </row>
    <row r="512" ht="14.25" customHeight="1">
      <c r="A512" s="67"/>
      <c r="C512" s="67"/>
      <c r="D512" s="67"/>
      <c r="F512" s="67"/>
      <c r="G512" s="67"/>
      <c r="N512" s="67"/>
      <c r="Q512" s="67"/>
      <c r="R512" s="67"/>
    </row>
    <row r="513" ht="14.25" customHeight="1">
      <c r="A513" s="67"/>
      <c r="C513" s="67"/>
      <c r="D513" s="67"/>
      <c r="F513" s="67"/>
      <c r="G513" s="67"/>
      <c r="N513" s="67"/>
      <c r="Q513" s="67"/>
      <c r="R513" s="67"/>
    </row>
    <row r="514" ht="14.25" customHeight="1">
      <c r="A514" s="67"/>
      <c r="C514" s="67"/>
      <c r="D514" s="67"/>
      <c r="F514" s="67"/>
      <c r="G514" s="67"/>
      <c r="N514" s="67"/>
      <c r="Q514" s="67"/>
      <c r="R514" s="67"/>
    </row>
    <row r="515" ht="14.25" customHeight="1">
      <c r="A515" s="67"/>
      <c r="C515" s="67"/>
      <c r="D515" s="67"/>
      <c r="F515" s="67"/>
      <c r="G515" s="67"/>
      <c r="N515" s="67"/>
      <c r="Q515" s="67"/>
      <c r="R515" s="67"/>
    </row>
    <row r="516" ht="14.25" customHeight="1">
      <c r="A516" s="67"/>
      <c r="C516" s="67"/>
      <c r="D516" s="67"/>
      <c r="F516" s="67"/>
      <c r="G516" s="67"/>
      <c r="N516" s="67"/>
      <c r="Q516" s="67"/>
      <c r="R516" s="67"/>
    </row>
    <row r="517" ht="14.25" customHeight="1">
      <c r="A517" s="67"/>
      <c r="C517" s="67"/>
      <c r="D517" s="67"/>
      <c r="F517" s="67"/>
      <c r="G517" s="67"/>
      <c r="N517" s="67"/>
      <c r="Q517" s="67"/>
      <c r="R517" s="67"/>
    </row>
    <row r="518" ht="14.25" customHeight="1">
      <c r="A518" s="67"/>
      <c r="C518" s="67"/>
      <c r="D518" s="67"/>
      <c r="F518" s="67"/>
      <c r="G518" s="67"/>
      <c r="N518" s="67"/>
      <c r="Q518" s="67"/>
      <c r="R518" s="67"/>
    </row>
    <row r="519" ht="14.25" customHeight="1">
      <c r="A519" s="67"/>
      <c r="C519" s="67"/>
      <c r="D519" s="67"/>
      <c r="F519" s="67"/>
      <c r="G519" s="67"/>
      <c r="N519" s="67"/>
      <c r="Q519" s="67"/>
      <c r="R519" s="67"/>
    </row>
    <row r="520" ht="14.25" customHeight="1">
      <c r="A520" s="67"/>
      <c r="C520" s="67"/>
      <c r="D520" s="67"/>
      <c r="F520" s="67"/>
      <c r="G520" s="67"/>
      <c r="N520" s="67"/>
      <c r="Q520" s="67"/>
      <c r="R520" s="67"/>
    </row>
    <row r="521" ht="14.25" customHeight="1">
      <c r="A521" s="67"/>
      <c r="C521" s="67"/>
      <c r="D521" s="67"/>
      <c r="F521" s="67"/>
      <c r="G521" s="67"/>
      <c r="N521" s="67"/>
      <c r="Q521" s="67"/>
      <c r="R521" s="67"/>
    </row>
    <row r="522" ht="14.25" customHeight="1">
      <c r="A522" s="67"/>
      <c r="C522" s="67"/>
      <c r="D522" s="67"/>
      <c r="F522" s="67"/>
      <c r="G522" s="67"/>
      <c r="N522" s="67"/>
      <c r="Q522" s="67"/>
      <c r="R522" s="67"/>
    </row>
    <row r="523" ht="14.25" customHeight="1">
      <c r="A523" s="67"/>
      <c r="C523" s="67"/>
      <c r="D523" s="67"/>
      <c r="F523" s="67"/>
      <c r="G523" s="67"/>
      <c r="N523" s="67"/>
      <c r="Q523" s="67"/>
      <c r="R523" s="67"/>
    </row>
    <row r="524" ht="14.25" customHeight="1">
      <c r="A524" s="67"/>
      <c r="C524" s="67"/>
      <c r="D524" s="67"/>
      <c r="F524" s="67"/>
      <c r="G524" s="67"/>
      <c r="N524" s="67"/>
      <c r="Q524" s="67"/>
      <c r="R524" s="67"/>
    </row>
    <row r="525" ht="14.25" customHeight="1">
      <c r="A525" s="67"/>
      <c r="C525" s="67"/>
      <c r="D525" s="67"/>
      <c r="F525" s="67"/>
      <c r="G525" s="67"/>
      <c r="N525" s="67"/>
      <c r="Q525" s="67"/>
      <c r="R525" s="67"/>
    </row>
    <row r="526" ht="14.25" customHeight="1">
      <c r="A526" s="67"/>
      <c r="C526" s="67"/>
      <c r="D526" s="67"/>
      <c r="F526" s="67"/>
      <c r="G526" s="67"/>
      <c r="N526" s="67"/>
      <c r="Q526" s="67"/>
      <c r="R526" s="67"/>
    </row>
    <row r="527" ht="14.25" customHeight="1">
      <c r="A527" s="67"/>
      <c r="C527" s="67"/>
      <c r="D527" s="67"/>
      <c r="F527" s="67"/>
      <c r="G527" s="67"/>
      <c r="N527" s="67"/>
      <c r="Q527" s="67"/>
      <c r="R527" s="67"/>
    </row>
    <row r="528" ht="14.25" customHeight="1">
      <c r="A528" s="67"/>
      <c r="C528" s="67"/>
      <c r="D528" s="67"/>
      <c r="F528" s="67"/>
      <c r="G528" s="67"/>
      <c r="N528" s="67"/>
      <c r="Q528" s="67"/>
      <c r="R528" s="67"/>
    </row>
    <row r="529" ht="14.25" customHeight="1">
      <c r="A529" s="67"/>
      <c r="C529" s="67"/>
      <c r="D529" s="67"/>
      <c r="F529" s="67"/>
      <c r="G529" s="67"/>
      <c r="N529" s="67"/>
      <c r="Q529" s="67"/>
      <c r="R529" s="67"/>
    </row>
    <row r="530" ht="14.25" customHeight="1">
      <c r="A530" s="67"/>
      <c r="C530" s="67"/>
      <c r="D530" s="67"/>
      <c r="F530" s="67"/>
      <c r="G530" s="67"/>
      <c r="N530" s="67"/>
      <c r="Q530" s="67"/>
      <c r="R530" s="67"/>
    </row>
    <row r="531" ht="14.25" customHeight="1">
      <c r="A531" s="67"/>
      <c r="C531" s="67"/>
      <c r="D531" s="67"/>
      <c r="F531" s="67"/>
      <c r="G531" s="67"/>
      <c r="N531" s="67"/>
      <c r="Q531" s="67"/>
      <c r="R531" s="67"/>
    </row>
    <row r="532" ht="14.25" customHeight="1">
      <c r="A532" s="67"/>
      <c r="C532" s="67"/>
      <c r="D532" s="67"/>
      <c r="F532" s="67"/>
      <c r="G532" s="67"/>
      <c r="N532" s="67"/>
      <c r="Q532" s="67"/>
      <c r="R532" s="67"/>
    </row>
    <row r="533" ht="14.25" customHeight="1">
      <c r="A533" s="67"/>
      <c r="C533" s="67"/>
      <c r="D533" s="67"/>
      <c r="F533" s="67"/>
      <c r="G533" s="67"/>
      <c r="N533" s="67"/>
      <c r="Q533" s="67"/>
      <c r="R533" s="67"/>
    </row>
    <row r="534" ht="14.25" customHeight="1">
      <c r="A534" s="67"/>
      <c r="C534" s="67"/>
      <c r="D534" s="67"/>
      <c r="F534" s="67"/>
      <c r="G534" s="67"/>
      <c r="N534" s="67"/>
      <c r="Q534" s="67"/>
      <c r="R534" s="67"/>
    </row>
    <row r="535" ht="14.25" customHeight="1">
      <c r="A535" s="67"/>
      <c r="C535" s="67"/>
      <c r="D535" s="67"/>
      <c r="F535" s="67"/>
      <c r="G535" s="67"/>
      <c r="N535" s="67"/>
      <c r="Q535" s="67"/>
      <c r="R535" s="67"/>
    </row>
    <row r="536" ht="14.25" customHeight="1">
      <c r="A536" s="67"/>
      <c r="C536" s="67"/>
      <c r="D536" s="67"/>
      <c r="F536" s="67"/>
      <c r="G536" s="67"/>
      <c r="N536" s="67"/>
      <c r="Q536" s="67"/>
      <c r="R536" s="67"/>
    </row>
    <row r="537" ht="14.25" customHeight="1">
      <c r="A537" s="67"/>
      <c r="C537" s="67"/>
      <c r="D537" s="67"/>
      <c r="F537" s="67"/>
      <c r="G537" s="67"/>
      <c r="N537" s="67"/>
      <c r="Q537" s="67"/>
      <c r="R537" s="67"/>
    </row>
    <row r="538" ht="14.25" customHeight="1">
      <c r="A538" s="67"/>
      <c r="C538" s="67"/>
      <c r="D538" s="67"/>
      <c r="F538" s="67"/>
      <c r="G538" s="67"/>
      <c r="N538" s="67"/>
      <c r="Q538" s="67"/>
      <c r="R538" s="67"/>
    </row>
    <row r="539" ht="14.25" customHeight="1">
      <c r="A539" s="67"/>
      <c r="C539" s="67"/>
      <c r="D539" s="67"/>
      <c r="F539" s="67"/>
      <c r="G539" s="67"/>
      <c r="N539" s="67"/>
      <c r="Q539" s="67"/>
      <c r="R539" s="67"/>
    </row>
    <row r="540" ht="14.25" customHeight="1">
      <c r="A540" s="67"/>
      <c r="C540" s="67"/>
      <c r="D540" s="67"/>
      <c r="F540" s="67"/>
      <c r="G540" s="67"/>
      <c r="N540" s="67"/>
      <c r="Q540" s="67"/>
      <c r="R540" s="67"/>
    </row>
    <row r="541" ht="14.25" customHeight="1">
      <c r="A541" s="67"/>
      <c r="C541" s="67"/>
      <c r="D541" s="67"/>
      <c r="F541" s="67"/>
      <c r="G541" s="67"/>
      <c r="N541" s="67"/>
      <c r="Q541" s="67"/>
      <c r="R541" s="67"/>
    </row>
    <row r="542" ht="14.25" customHeight="1">
      <c r="A542" s="67"/>
      <c r="C542" s="67"/>
      <c r="D542" s="67"/>
      <c r="F542" s="67"/>
      <c r="G542" s="67"/>
      <c r="N542" s="67"/>
      <c r="Q542" s="67"/>
      <c r="R542" s="67"/>
    </row>
    <row r="543" ht="14.25" customHeight="1">
      <c r="A543" s="67"/>
      <c r="C543" s="67"/>
      <c r="D543" s="67"/>
      <c r="F543" s="67"/>
      <c r="G543" s="67"/>
      <c r="N543" s="67"/>
      <c r="Q543" s="67"/>
      <c r="R543" s="67"/>
    </row>
    <row r="544" ht="14.25" customHeight="1">
      <c r="A544" s="67"/>
      <c r="C544" s="67"/>
      <c r="D544" s="67"/>
      <c r="F544" s="67"/>
      <c r="G544" s="67"/>
      <c r="N544" s="67"/>
      <c r="Q544" s="67"/>
      <c r="R544" s="67"/>
    </row>
    <row r="545" ht="14.25" customHeight="1">
      <c r="A545" s="67"/>
      <c r="C545" s="67"/>
      <c r="D545" s="67"/>
      <c r="F545" s="67"/>
      <c r="G545" s="67"/>
      <c r="N545" s="67"/>
      <c r="Q545" s="67"/>
      <c r="R545" s="67"/>
    </row>
    <row r="546" ht="14.25" customHeight="1">
      <c r="A546" s="67"/>
      <c r="C546" s="67"/>
      <c r="D546" s="67"/>
      <c r="F546" s="67"/>
      <c r="G546" s="67"/>
      <c r="N546" s="67"/>
      <c r="Q546" s="67"/>
      <c r="R546" s="67"/>
    </row>
    <row r="547" ht="14.25" customHeight="1">
      <c r="A547" s="67"/>
      <c r="C547" s="67"/>
      <c r="D547" s="67"/>
      <c r="F547" s="67"/>
      <c r="G547" s="67"/>
      <c r="N547" s="67"/>
      <c r="Q547" s="67"/>
      <c r="R547" s="67"/>
    </row>
    <row r="548" ht="14.25" customHeight="1">
      <c r="A548" s="67"/>
      <c r="C548" s="67"/>
      <c r="D548" s="67"/>
      <c r="F548" s="67"/>
      <c r="G548" s="67"/>
      <c r="N548" s="67"/>
      <c r="Q548" s="67"/>
      <c r="R548" s="67"/>
    </row>
    <row r="549" ht="14.25" customHeight="1">
      <c r="A549" s="67"/>
      <c r="C549" s="67"/>
      <c r="D549" s="67"/>
      <c r="F549" s="67"/>
      <c r="G549" s="67"/>
      <c r="N549" s="67"/>
      <c r="Q549" s="67"/>
      <c r="R549" s="67"/>
    </row>
    <row r="550" ht="14.25" customHeight="1">
      <c r="A550" s="67"/>
      <c r="C550" s="67"/>
      <c r="D550" s="67"/>
      <c r="F550" s="67"/>
      <c r="G550" s="67"/>
      <c r="N550" s="67"/>
      <c r="Q550" s="67"/>
      <c r="R550" s="67"/>
    </row>
    <row r="551" ht="14.25" customHeight="1">
      <c r="A551" s="67"/>
      <c r="C551" s="67"/>
      <c r="D551" s="67"/>
      <c r="F551" s="67"/>
      <c r="G551" s="67"/>
      <c r="N551" s="67"/>
      <c r="Q551" s="67"/>
      <c r="R551" s="67"/>
    </row>
    <row r="552" ht="14.25" customHeight="1">
      <c r="A552" s="67"/>
      <c r="C552" s="67"/>
      <c r="D552" s="67"/>
      <c r="F552" s="67"/>
      <c r="G552" s="67"/>
      <c r="N552" s="67"/>
      <c r="Q552" s="67"/>
      <c r="R552" s="67"/>
    </row>
    <row r="553" ht="14.25" customHeight="1">
      <c r="A553" s="67"/>
      <c r="C553" s="67"/>
      <c r="D553" s="67"/>
      <c r="F553" s="67"/>
      <c r="G553" s="67"/>
      <c r="N553" s="67"/>
      <c r="Q553" s="67"/>
      <c r="R553" s="67"/>
    </row>
    <row r="554" ht="14.25" customHeight="1">
      <c r="A554" s="67"/>
      <c r="C554" s="67"/>
      <c r="D554" s="67"/>
      <c r="F554" s="67"/>
      <c r="G554" s="67"/>
      <c r="N554" s="67"/>
      <c r="Q554" s="67"/>
      <c r="R554" s="67"/>
    </row>
    <row r="555" ht="14.25" customHeight="1">
      <c r="A555" s="67"/>
      <c r="C555" s="67"/>
      <c r="D555" s="67"/>
      <c r="F555" s="67"/>
      <c r="G555" s="67"/>
      <c r="N555" s="67"/>
      <c r="Q555" s="67"/>
      <c r="R555" s="67"/>
    </row>
    <row r="556" ht="14.25" customHeight="1">
      <c r="A556" s="67"/>
      <c r="C556" s="67"/>
      <c r="D556" s="67"/>
      <c r="F556" s="67"/>
      <c r="G556" s="67"/>
      <c r="N556" s="67"/>
      <c r="Q556" s="67"/>
      <c r="R556" s="67"/>
    </row>
    <row r="557" ht="14.25" customHeight="1">
      <c r="A557" s="67"/>
      <c r="C557" s="67"/>
      <c r="D557" s="67"/>
      <c r="F557" s="67"/>
      <c r="G557" s="67"/>
      <c r="N557" s="67"/>
      <c r="Q557" s="67"/>
      <c r="R557" s="67"/>
    </row>
    <row r="558" ht="14.25" customHeight="1">
      <c r="A558" s="67"/>
      <c r="C558" s="67"/>
      <c r="D558" s="67"/>
      <c r="F558" s="67"/>
      <c r="G558" s="67"/>
      <c r="N558" s="67"/>
      <c r="Q558" s="67"/>
      <c r="R558" s="67"/>
    </row>
    <row r="559" ht="14.25" customHeight="1">
      <c r="A559" s="67"/>
      <c r="C559" s="67"/>
      <c r="D559" s="67"/>
      <c r="F559" s="67"/>
      <c r="G559" s="67"/>
      <c r="N559" s="67"/>
      <c r="Q559" s="67"/>
      <c r="R559" s="67"/>
    </row>
    <row r="560" ht="14.25" customHeight="1">
      <c r="A560" s="67"/>
      <c r="C560" s="67"/>
      <c r="D560" s="67"/>
      <c r="F560" s="67"/>
      <c r="G560" s="67"/>
      <c r="N560" s="67"/>
      <c r="Q560" s="67"/>
      <c r="R560" s="67"/>
    </row>
    <row r="561" ht="14.25" customHeight="1">
      <c r="A561" s="67"/>
      <c r="C561" s="67"/>
      <c r="D561" s="67"/>
      <c r="F561" s="67"/>
      <c r="G561" s="67"/>
      <c r="N561" s="67"/>
      <c r="Q561" s="67"/>
      <c r="R561" s="67"/>
    </row>
    <row r="562" ht="14.25" customHeight="1">
      <c r="A562" s="67"/>
      <c r="C562" s="67"/>
      <c r="D562" s="67"/>
      <c r="F562" s="67"/>
      <c r="G562" s="67"/>
      <c r="N562" s="67"/>
      <c r="Q562" s="67"/>
      <c r="R562" s="67"/>
    </row>
    <row r="563" ht="14.25" customHeight="1">
      <c r="A563" s="67"/>
      <c r="C563" s="67"/>
      <c r="D563" s="67"/>
      <c r="F563" s="67"/>
      <c r="G563" s="67"/>
      <c r="N563" s="67"/>
      <c r="Q563" s="67"/>
      <c r="R563" s="67"/>
    </row>
    <row r="564" ht="14.25" customHeight="1">
      <c r="A564" s="67"/>
      <c r="C564" s="67"/>
      <c r="D564" s="67"/>
      <c r="F564" s="67"/>
      <c r="G564" s="67"/>
      <c r="N564" s="67"/>
      <c r="Q564" s="67"/>
      <c r="R564" s="67"/>
    </row>
    <row r="565" ht="14.25" customHeight="1">
      <c r="A565" s="67"/>
      <c r="C565" s="67"/>
      <c r="D565" s="67"/>
      <c r="F565" s="67"/>
      <c r="G565" s="67"/>
      <c r="N565" s="67"/>
      <c r="Q565" s="67"/>
      <c r="R565" s="67"/>
    </row>
    <row r="566" ht="14.25" customHeight="1">
      <c r="A566" s="67"/>
      <c r="C566" s="67"/>
      <c r="D566" s="67"/>
      <c r="F566" s="67"/>
      <c r="G566" s="67"/>
      <c r="N566" s="67"/>
      <c r="Q566" s="67"/>
      <c r="R566" s="67"/>
    </row>
    <row r="567" ht="14.25" customHeight="1">
      <c r="A567" s="67"/>
      <c r="C567" s="67"/>
      <c r="D567" s="67"/>
      <c r="F567" s="67"/>
      <c r="G567" s="67"/>
      <c r="N567" s="67"/>
      <c r="Q567" s="67"/>
      <c r="R567" s="67"/>
    </row>
    <row r="568" ht="14.25" customHeight="1">
      <c r="A568" s="67"/>
      <c r="C568" s="67"/>
      <c r="D568" s="67"/>
      <c r="F568" s="67"/>
      <c r="G568" s="67"/>
      <c r="N568" s="67"/>
      <c r="Q568" s="67"/>
      <c r="R568" s="67"/>
    </row>
    <row r="569" ht="14.25" customHeight="1">
      <c r="A569" s="67"/>
      <c r="C569" s="67"/>
      <c r="D569" s="67"/>
      <c r="F569" s="67"/>
      <c r="G569" s="67"/>
      <c r="N569" s="67"/>
      <c r="Q569" s="67"/>
      <c r="R569" s="67"/>
    </row>
    <row r="570" ht="14.25" customHeight="1">
      <c r="A570" s="67"/>
      <c r="C570" s="67"/>
      <c r="D570" s="67"/>
      <c r="F570" s="67"/>
      <c r="G570" s="67"/>
      <c r="N570" s="67"/>
      <c r="Q570" s="67"/>
      <c r="R570" s="67"/>
    </row>
    <row r="571" ht="14.25" customHeight="1">
      <c r="A571" s="67"/>
      <c r="C571" s="67"/>
      <c r="D571" s="67"/>
      <c r="F571" s="67"/>
      <c r="G571" s="67"/>
      <c r="N571" s="67"/>
      <c r="Q571" s="67"/>
      <c r="R571" s="67"/>
    </row>
    <row r="572" ht="14.25" customHeight="1">
      <c r="A572" s="67"/>
      <c r="C572" s="67"/>
      <c r="D572" s="67"/>
      <c r="F572" s="67"/>
      <c r="G572" s="67"/>
      <c r="N572" s="67"/>
      <c r="Q572" s="67"/>
      <c r="R572" s="67"/>
    </row>
    <row r="573" ht="14.25" customHeight="1">
      <c r="A573" s="67"/>
      <c r="C573" s="67"/>
      <c r="D573" s="67"/>
      <c r="F573" s="67"/>
      <c r="G573" s="67"/>
      <c r="N573" s="67"/>
      <c r="Q573" s="67"/>
      <c r="R573" s="67"/>
    </row>
    <row r="574" ht="14.25" customHeight="1">
      <c r="A574" s="67"/>
      <c r="C574" s="67"/>
      <c r="D574" s="67"/>
      <c r="F574" s="67"/>
      <c r="G574" s="67"/>
      <c r="N574" s="67"/>
      <c r="Q574" s="67"/>
      <c r="R574" s="67"/>
    </row>
    <row r="575" ht="14.25" customHeight="1">
      <c r="A575" s="67"/>
      <c r="C575" s="67"/>
      <c r="D575" s="67"/>
      <c r="F575" s="67"/>
      <c r="G575" s="67"/>
      <c r="N575" s="67"/>
      <c r="Q575" s="67"/>
      <c r="R575" s="67"/>
    </row>
    <row r="576" ht="14.25" customHeight="1">
      <c r="A576" s="67"/>
      <c r="C576" s="67"/>
      <c r="D576" s="67"/>
      <c r="F576" s="67"/>
      <c r="G576" s="67"/>
      <c r="N576" s="67"/>
      <c r="Q576" s="67"/>
      <c r="R576" s="67"/>
    </row>
    <row r="577" ht="14.25" customHeight="1">
      <c r="A577" s="67"/>
      <c r="C577" s="67"/>
      <c r="D577" s="67"/>
      <c r="F577" s="67"/>
      <c r="G577" s="67"/>
      <c r="N577" s="67"/>
      <c r="Q577" s="67"/>
      <c r="R577" s="67"/>
    </row>
    <row r="578" ht="14.25" customHeight="1">
      <c r="A578" s="67"/>
      <c r="C578" s="67"/>
      <c r="D578" s="67"/>
      <c r="F578" s="67"/>
      <c r="G578" s="67"/>
      <c r="N578" s="67"/>
      <c r="Q578" s="67"/>
      <c r="R578" s="67"/>
    </row>
    <row r="579" ht="14.25" customHeight="1">
      <c r="A579" s="67"/>
      <c r="C579" s="67"/>
      <c r="D579" s="67"/>
      <c r="F579" s="67"/>
      <c r="G579" s="67"/>
      <c r="N579" s="67"/>
      <c r="Q579" s="67"/>
      <c r="R579" s="67"/>
    </row>
    <row r="580" ht="14.25" customHeight="1">
      <c r="A580" s="67"/>
      <c r="C580" s="67"/>
      <c r="D580" s="67"/>
      <c r="F580" s="67"/>
      <c r="G580" s="67"/>
      <c r="N580" s="67"/>
      <c r="Q580" s="67"/>
      <c r="R580" s="67"/>
    </row>
    <row r="581" ht="14.25" customHeight="1">
      <c r="A581" s="67"/>
      <c r="C581" s="67"/>
      <c r="D581" s="67"/>
      <c r="F581" s="67"/>
      <c r="G581" s="67"/>
      <c r="N581" s="67"/>
      <c r="Q581" s="67"/>
      <c r="R581" s="67"/>
    </row>
    <row r="582" ht="14.25" customHeight="1">
      <c r="A582" s="67"/>
      <c r="C582" s="67"/>
      <c r="D582" s="67"/>
      <c r="F582" s="67"/>
      <c r="G582" s="67"/>
      <c r="N582" s="67"/>
      <c r="Q582" s="67"/>
      <c r="R582" s="67"/>
    </row>
    <row r="583" ht="14.25" customHeight="1">
      <c r="A583" s="67"/>
      <c r="C583" s="67"/>
      <c r="D583" s="67"/>
      <c r="F583" s="67"/>
      <c r="G583" s="67"/>
      <c r="N583" s="67"/>
      <c r="Q583" s="67"/>
      <c r="R583" s="67"/>
    </row>
    <row r="584" ht="14.25" customHeight="1">
      <c r="A584" s="67"/>
      <c r="C584" s="67"/>
      <c r="D584" s="67"/>
      <c r="F584" s="67"/>
      <c r="G584" s="67"/>
      <c r="N584" s="67"/>
      <c r="Q584" s="67"/>
      <c r="R584" s="67"/>
    </row>
    <row r="585" ht="14.25" customHeight="1">
      <c r="A585" s="67"/>
      <c r="C585" s="67"/>
      <c r="D585" s="67"/>
      <c r="F585" s="67"/>
      <c r="G585" s="67"/>
      <c r="N585" s="67"/>
      <c r="Q585" s="67"/>
      <c r="R585" s="67"/>
    </row>
    <row r="586" ht="14.25" customHeight="1">
      <c r="A586" s="67"/>
      <c r="C586" s="67"/>
      <c r="D586" s="67"/>
      <c r="F586" s="67"/>
      <c r="G586" s="67"/>
      <c r="N586" s="67"/>
      <c r="Q586" s="67"/>
      <c r="R586" s="67"/>
    </row>
    <row r="587" ht="14.25" customHeight="1">
      <c r="A587" s="67"/>
      <c r="C587" s="67"/>
      <c r="D587" s="67"/>
      <c r="F587" s="67"/>
      <c r="G587" s="67"/>
      <c r="N587" s="67"/>
      <c r="Q587" s="67"/>
      <c r="R587" s="67"/>
    </row>
    <row r="588" ht="14.25" customHeight="1">
      <c r="A588" s="67"/>
      <c r="C588" s="67"/>
      <c r="D588" s="67"/>
      <c r="F588" s="67"/>
      <c r="G588" s="67"/>
      <c r="N588" s="67"/>
      <c r="Q588" s="67"/>
      <c r="R588" s="67"/>
    </row>
    <row r="589" ht="14.25" customHeight="1">
      <c r="A589" s="67"/>
      <c r="C589" s="67"/>
      <c r="D589" s="67"/>
      <c r="F589" s="67"/>
      <c r="G589" s="67"/>
      <c r="N589" s="67"/>
      <c r="Q589" s="67"/>
      <c r="R589" s="67"/>
    </row>
    <row r="590" ht="14.25" customHeight="1">
      <c r="A590" s="67"/>
      <c r="C590" s="67"/>
      <c r="D590" s="67"/>
      <c r="F590" s="67"/>
      <c r="G590" s="67"/>
      <c r="N590" s="67"/>
      <c r="Q590" s="67"/>
      <c r="R590" s="67"/>
    </row>
    <row r="591" ht="14.25" customHeight="1">
      <c r="A591" s="67"/>
      <c r="C591" s="67"/>
      <c r="D591" s="67"/>
      <c r="F591" s="67"/>
      <c r="G591" s="67"/>
      <c r="N591" s="67"/>
      <c r="Q591" s="67"/>
      <c r="R591" s="67"/>
    </row>
    <row r="592" ht="14.25" customHeight="1">
      <c r="A592" s="67"/>
      <c r="C592" s="67"/>
      <c r="D592" s="67"/>
      <c r="F592" s="67"/>
      <c r="G592" s="67"/>
      <c r="N592" s="67"/>
      <c r="Q592" s="67"/>
      <c r="R592" s="67"/>
    </row>
    <row r="593" ht="14.25" customHeight="1">
      <c r="A593" s="67"/>
      <c r="C593" s="67"/>
      <c r="D593" s="67"/>
      <c r="F593" s="67"/>
      <c r="G593" s="67"/>
      <c r="N593" s="67"/>
      <c r="Q593" s="67"/>
      <c r="R593" s="67"/>
    </row>
    <row r="594" ht="14.25" customHeight="1">
      <c r="A594" s="67"/>
      <c r="C594" s="67"/>
      <c r="D594" s="67"/>
      <c r="F594" s="67"/>
      <c r="G594" s="67"/>
      <c r="N594" s="67"/>
      <c r="Q594" s="67"/>
      <c r="R594" s="67"/>
    </row>
    <row r="595" ht="14.25" customHeight="1">
      <c r="A595" s="67"/>
      <c r="C595" s="67"/>
      <c r="D595" s="67"/>
      <c r="F595" s="67"/>
      <c r="G595" s="67"/>
      <c r="N595" s="67"/>
      <c r="Q595" s="67"/>
      <c r="R595" s="67"/>
    </row>
    <row r="596" ht="14.25" customHeight="1">
      <c r="A596" s="67"/>
      <c r="C596" s="67"/>
      <c r="D596" s="67"/>
      <c r="F596" s="67"/>
      <c r="G596" s="67"/>
      <c r="N596" s="67"/>
      <c r="Q596" s="67"/>
      <c r="R596" s="67"/>
    </row>
    <row r="597" ht="14.25" customHeight="1">
      <c r="A597" s="67"/>
      <c r="C597" s="67"/>
      <c r="D597" s="67"/>
      <c r="F597" s="67"/>
      <c r="G597" s="67"/>
      <c r="N597" s="67"/>
      <c r="Q597" s="67"/>
      <c r="R597" s="67"/>
    </row>
    <row r="598" ht="14.25" customHeight="1">
      <c r="A598" s="67"/>
      <c r="C598" s="67"/>
      <c r="D598" s="67"/>
      <c r="F598" s="67"/>
      <c r="G598" s="67"/>
      <c r="N598" s="67"/>
      <c r="Q598" s="67"/>
      <c r="R598" s="67"/>
    </row>
    <row r="599" ht="14.25" customHeight="1">
      <c r="A599" s="67"/>
      <c r="C599" s="67"/>
      <c r="D599" s="67"/>
      <c r="F599" s="67"/>
      <c r="G599" s="67"/>
      <c r="N599" s="67"/>
      <c r="Q599" s="67"/>
      <c r="R599" s="67"/>
    </row>
    <row r="600" ht="14.25" customHeight="1">
      <c r="A600" s="67"/>
      <c r="C600" s="67"/>
      <c r="D600" s="67"/>
      <c r="F600" s="67"/>
      <c r="G600" s="67"/>
      <c r="N600" s="67"/>
      <c r="Q600" s="67"/>
      <c r="R600" s="67"/>
    </row>
    <row r="601" ht="14.25" customHeight="1">
      <c r="A601" s="67"/>
      <c r="C601" s="67"/>
      <c r="D601" s="67"/>
      <c r="F601" s="67"/>
      <c r="G601" s="67"/>
      <c r="N601" s="67"/>
      <c r="Q601" s="67"/>
      <c r="R601" s="67"/>
    </row>
    <row r="602" ht="14.25" customHeight="1">
      <c r="A602" s="67"/>
      <c r="C602" s="67"/>
      <c r="D602" s="67"/>
      <c r="F602" s="67"/>
      <c r="G602" s="67"/>
      <c r="N602" s="67"/>
      <c r="Q602" s="67"/>
      <c r="R602" s="67"/>
    </row>
    <row r="603" ht="14.25" customHeight="1">
      <c r="A603" s="67"/>
      <c r="C603" s="67"/>
      <c r="D603" s="67"/>
      <c r="F603" s="67"/>
      <c r="G603" s="67"/>
      <c r="N603" s="67"/>
      <c r="Q603" s="67"/>
      <c r="R603" s="67"/>
    </row>
    <row r="604" ht="14.25" customHeight="1">
      <c r="A604" s="67"/>
      <c r="C604" s="67"/>
      <c r="D604" s="67"/>
      <c r="F604" s="67"/>
      <c r="G604" s="67"/>
      <c r="N604" s="67"/>
      <c r="Q604" s="67"/>
      <c r="R604" s="67"/>
    </row>
    <row r="605" ht="14.25" customHeight="1">
      <c r="A605" s="67"/>
      <c r="C605" s="67"/>
      <c r="D605" s="67"/>
      <c r="F605" s="67"/>
      <c r="G605" s="67"/>
      <c r="N605" s="67"/>
      <c r="Q605" s="67"/>
      <c r="R605" s="67"/>
    </row>
    <row r="606" ht="14.25" customHeight="1">
      <c r="A606" s="67"/>
      <c r="C606" s="67"/>
      <c r="D606" s="67"/>
      <c r="F606" s="67"/>
      <c r="G606" s="67"/>
      <c r="N606" s="67"/>
      <c r="Q606" s="67"/>
      <c r="R606" s="67"/>
    </row>
    <row r="607" ht="14.25" customHeight="1">
      <c r="A607" s="67"/>
      <c r="C607" s="67"/>
      <c r="D607" s="67"/>
      <c r="F607" s="67"/>
      <c r="G607" s="67"/>
      <c r="N607" s="67"/>
      <c r="Q607" s="67"/>
      <c r="R607" s="67"/>
    </row>
    <row r="608" ht="14.25" customHeight="1">
      <c r="A608" s="67"/>
      <c r="C608" s="67"/>
      <c r="D608" s="67"/>
      <c r="F608" s="67"/>
      <c r="G608" s="67"/>
      <c r="N608" s="67"/>
      <c r="Q608" s="67"/>
      <c r="R608" s="67"/>
    </row>
    <row r="609" ht="14.25" customHeight="1">
      <c r="A609" s="67"/>
      <c r="C609" s="67"/>
      <c r="D609" s="67"/>
      <c r="F609" s="67"/>
      <c r="G609" s="67"/>
      <c r="N609" s="67"/>
      <c r="Q609" s="67"/>
      <c r="R609" s="67"/>
    </row>
    <row r="610" ht="14.25" customHeight="1">
      <c r="A610" s="67"/>
      <c r="C610" s="67"/>
      <c r="D610" s="67"/>
      <c r="F610" s="67"/>
      <c r="G610" s="67"/>
      <c r="N610" s="67"/>
      <c r="Q610" s="67"/>
      <c r="R610" s="67"/>
    </row>
    <row r="611" ht="14.25" customHeight="1">
      <c r="A611" s="67"/>
      <c r="C611" s="67"/>
      <c r="D611" s="67"/>
      <c r="F611" s="67"/>
      <c r="G611" s="67"/>
      <c r="N611" s="67"/>
      <c r="Q611" s="67"/>
      <c r="R611" s="67"/>
    </row>
    <row r="612" ht="14.25" customHeight="1">
      <c r="A612" s="67"/>
      <c r="C612" s="67"/>
      <c r="D612" s="67"/>
      <c r="F612" s="67"/>
      <c r="G612" s="67"/>
      <c r="N612" s="67"/>
      <c r="Q612" s="67"/>
      <c r="R612" s="67"/>
    </row>
    <row r="613" ht="14.25" customHeight="1">
      <c r="A613" s="67"/>
      <c r="C613" s="67"/>
      <c r="D613" s="67"/>
      <c r="F613" s="67"/>
      <c r="G613" s="67"/>
      <c r="N613" s="67"/>
      <c r="Q613" s="67"/>
      <c r="R613" s="67"/>
    </row>
    <row r="614" ht="14.25" customHeight="1">
      <c r="A614" s="67"/>
      <c r="C614" s="67"/>
      <c r="D614" s="67"/>
      <c r="F614" s="67"/>
      <c r="G614" s="67"/>
      <c r="N614" s="67"/>
      <c r="Q614" s="67"/>
      <c r="R614" s="67"/>
    </row>
    <row r="615" ht="14.25" customHeight="1">
      <c r="A615" s="67"/>
      <c r="C615" s="67"/>
      <c r="D615" s="67"/>
      <c r="F615" s="67"/>
      <c r="G615" s="67"/>
      <c r="N615" s="67"/>
      <c r="Q615" s="67"/>
      <c r="R615" s="67"/>
    </row>
    <row r="616" ht="14.25" customHeight="1">
      <c r="A616" s="67"/>
      <c r="C616" s="67"/>
      <c r="D616" s="67"/>
      <c r="F616" s="67"/>
      <c r="G616" s="67"/>
      <c r="N616" s="67"/>
      <c r="Q616" s="67"/>
      <c r="R616" s="67"/>
    </row>
    <row r="617" ht="14.25" customHeight="1">
      <c r="A617" s="67"/>
      <c r="C617" s="67"/>
      <c r="D617" s="67"/>
      <c r="F617" s="67"/>
      <c r="G617" s="67"/>
      <c r="N617" s="67"/>
      <c r="Q617" s="67"/>
      <c r="R617" s="67"/>
    </row>
    <row r="618" ht="14.25" customHeight="1">
      <c r="A618" s="67"/>
      <c r="C618" s="67"/>
      <c r="D618" s="67"/>
      <c r="F618" s="67"/>
      <c r="G618" s="67"/>
      <c r="N618" s="67"/>
      <c r="Q618" s="67"/>
      <c r="R618" s="67"/>
    </row>
    <row r="619" ht="14.25" customHeight="1">
      <c r="A619" s="67"/>
      <c r="C619" s="67"/>
      <c r="D619" s="67"/>
      <c r="F619" s="67"/>
      <c r="G619" s="67"/>
      <c r="N619" s="67"/>
      <c r="Q619" s="67"/>
      <c r="R619" s="67"/>
    </row>
    <row r="620" ht="14.25" customHeight="1">
      <c r="A620" s="67"/>
      <c r="C620" s="67"/>
      <c r="D620" s="67"/>
      <c r="F620" s="67"/>
      <c r="G620" s="67"/>
      <c r="N620" s="67"/>
      <c r="Q620" s="67"/>
      <c r="R620" s="67"/>
    </row>
    <row r="621" ht="14.25" customHeight="1">
      <c r="A621" s="67"/>
      <c r="C621" s="67"/>
      <c r="D621" s="67"/>
      <c r="F621" s="67"/>
      <c r="G621" s="67"/>
      <c r="N621" s="67"/>
      <c r="Q621" s="67"/>
      <c r="R621" s="67"/>
    </row>
    <row r="622" ht="14.25" customHeight="1">
      <c r="A622" s="67"/>
      <c r="C622" s="67"/>
      <c r="D622" s="67"/>
      <c r="F622" s="67"/>
      <c r="G622" s="67"/>
      <c r="N622" s="67"/>
      <c r="Q622" s="67"/>
      <c r="R622" s="67"/>
    </row>
    <row r="623" ht="14.25" customHeight="1">
      <c r="A623" s="67"/>
      <c r="C623" s="67"/>
      <c r="D623" s="67"/>
      <c r="F623" s="67"/>
      <c r="G623" s="67"/>
      <c r="N623" s="67"/>
      <c r="Q623" s="67"/>
      <c r="R623" s="67"/>
    </row>
    <row r="624" ht="14.25" customHeight="1">
      <c r="A624" s="67"/>
      <c r="C624" s="67"/>
      <c r="D624" s="67"/>
      <c r="F624" s="67"/>
      <c r="G624" s="67"/>
      <c r="N624" s="67"/>
      <c r="Q624" s="67"/>
      <c r="R624" s="67"/>
    </row>
    <row r="625" ht="14.25" customHeight="1">
      <c r="A625" s="67"/>
      <c r="C625" s="67"/>
      <c r="D625" s="67"/>
      <c r="F625" s="67"/>
      <c r="G625" s="67"/>
      <c r="N625" s="67"/>
      <c r="Q625" s="67"/>
      <c r="R625" s="67"/>
    </row>
    <row r="626" ht="14.25" customHeight="1">
      <c r="A626" s="67"/>
      <c r="C626" s="67"/>
      <c r="D626" s="67"/>
      <c r="F626" s="67"/>
      <c r="G626" s="67"/>
      <c r="N626" s="67"/>
      <c r="Q626" s="67"/>
      <c r="R626" s="67"/>
    </row>
    <row r="627" ht="14.25" customHeight="1">
      <c r="A627" s="67"/>
      <c r="C627" s="67"/>
      <c r="D627" s="67"/>
      <c r="F627" s="67"/>
      <c r="G627" s="67"/>
      <c r="N627" s="67"/>
      <c r="Q627" s="67"/>
      <c r="R627" s="67"/>
    </row>
    <row r="628" ht="14.25" customHeight="1">
      <c r="A628" s="67"/>
      <c r="C628" s="67"/>
      <c r="D628" s="67"/>
      <c r="F628" s="67"/>
      <c r="G628" s="67"/>
      <c r="N628" s="67"/>
      <c r="Q628" s="67"/>
      <c r="R628" s="67"/>
    </row>
    <row r="629" ht="14.25" customHeight="1">
      <c r="A629" s="67"/>
      <c r="C629" s="67"/>
      <c r="D629" s="67"/>
      <c r="F629" s="67"/>
      <c r="G629" s="67"/>
      <c r="N629" s="67"/>
      <c r="Q629" s="67"/>
      <c r="R629" s="67"/>
    </row>
    <row r="630" ht="14.25" customHeight="1">
      <c r="A630" s="67"/>
      <c r="C630" s="67"/>
      <c r="D630" s="67"/>
      <c r="F630" s="67"/>
      <c r="G630" s="67"/>
      <c r="N630" s="67"/>
      <c r="Q630" s="67"/>
      <c r="R630" s="67"/>
    </row>
    <row r="631" ht="14.25" customHeight="1">
      <c r="A631" s="67"/>
      <c r="C631" s="67"/>
      <c r="D631" s="67"/>
      <c r="F631" s="67"/>
      <c r="G631" s="67"/>
      <c r="N631" s="67"/>
      <c r="Q631" s="67"/>
      <c r="R631" s="67"/>
    </row>
    <row r="632" ht="14.25" customHeight="1">
      <c r="A632" s="67"/>
      <c r="C632" s="67"/>
      <c r="D632" s="67"/>
      <c r="F632" s="67"/>
      <c r="G632" s="67"/>
      <c r="N632" s="67"/>
      <c r="Q632" s="67"/>
      <c r="R632" s="67"/>
    </row>
    <row r="633" ht="14.25" customHeight="1">
      <c r="A633" s="67"/>
      <c r="C633" s="67"/>
      <c r="D633" s="67"/>
      <c r="F633" s="67"/>
      <c r="G633" s="67"/>
      <c r="N633" s="67"/>
      <c r="Q633" s="67"/>
      <c r="R633" s="67"/>
    </row>
    <row r="634" ht="14.25" customHeight="1">
      <c r="A634" s="67"/>
      <c r="C634" s="67"/>
      <c r="D634" s="67"/>
      <c r="F634" s="67"/>
      <c r="G634" s="67"/>
      <c r="N634" s="67"/>
      <c r="Q634" s="67"/>
      <c r="R634" s="67"/>
    </row>
    <row r="635" ht="14.25" customHeight="1">
      <c r="A635" s="67"/>
      <c r="C635" s="67"/>
      <c r="D635" s="67"/>
      <c r="F635" s="67"/>
      <c r="G635" s="67"/>
      <c r="N635" s="67"/>
      <c r="Q635" s="67"/>
      <c r="R635" s="67"/>
    </row>
    <row r="636" ht="14.25" customHeight="1">
      <c r="A636" s="67"/>
      <c r="C636" s="67"/>
      <c r="D636" s="67"/>
      <c r="F636" s="67"/>
      <c r="G636" s="67"/>
      <c r="N636" s="67"/>
      <c r="Q636" s="67"/>
      <c r="R636" s="67"/>
    </row>
    <row r="637" ht="14.25" customHeight="1">
      <c r="A637" s="67"/>
      <c r="C637" s="67"/>
      <c r="D637" s="67"/>
      <c r="F637" s="67"/>
      <c r="G637" s="67"/>
      <c r="N637" s="67"/>
      <c r="Q637" s="67"/>
      <c r="R637" s="67"/>
    </row>
    <row r="638" ht="14.25" customHeight="1">
      <c r="A638" s="67"/>
      <c r="C638" s="67"/>
      <c r="D638" s="67"/>
      <c r="F638" s="67"/>
      <c r="G638" s="67"/>
      <c r="N638" s="67"/>
      <c r="Q638" s="67"/>
      <c r="R638" s="67"/>
    </row>
    <row r="639" ht="14.25" customHeight="1">
      <c r="A639" s="67"/>
      <c r="C639" s="67"/>
      <c r="D639" s="67"/>
      <c r="F639" s="67"/>
      <c r="G639" s="67"/>
      <c r="N639" s="67"/>
      <c r="Q639" s="67"/>
      <c r="R639" s="67"/>
    </row>
    <row r="640" ht="14.25" customHeight="1">
      <c r="A640" s="67"/>
      <c r="C640" s="67"/>
      <c r="D640" s="67"/>
      <c r="F640" s="67"/>
      <c r="G640" s="67"/>
      <c r="N640" s="67"/>
      <c r="Q640" s="67"/>
      <c r="R640" s="67"/>
    </row>
    <row r="641" ht="14.25" customHeight="1">
      <c r="A641" s="67"/>
      <c r="C641" s="67"/>
      <c r="D641" s="67"/>
      <c r="F641" s="67"/>
      <c r="G641" s="67"/>
      <c r="N641" s="67"/>
      <c r="Q641" s="67"/>
      <c r="R641" s="67"/>
    </row>
    <row r="642" ht="14.25" customHeight="1">
      <c r="A642" s="67"/>
      <c r="C642" s="67"/>
      <c r="D642" s="67"/>
      <c r="F642" s="67"/>
      <c r="G642" s="67"/>
      <c r="N642" s="67"/>
      <c r="Q642" s="67"/>
      <c r="R642" s="67"/>
    </row>
    <row r="643" ht="14.25" customHeight="1">
      <c r="A643" s="67"/>
      <c r="C643" s="67"/>
      <c r="D643" s="67"/>
      <c r="F643" s="67"/>
      <c r="G643" s="67"/>
      <c r="N643" s="67"/>
      <c r="Q643" s="67"/>
      <c r="R643" s="67"/>
    </row>
    <row r="644" ht="14.25" customHeight="1">
      <c r="A644" s="67"/>
      <c r="C644" s="67"/>
      <c r="D644" s="67"/>
      <c r="F644" s="67"/>
      <c r="G644" s="67"/>
      <c r="N644" s="67"/>
      <c r="Q644" s="67"/>
      <c r="R644" s="67"/>
    </row>
    <row r="645" ht="14.25" customHeight="1">
      <c r="A645" s="67"/>
      <c r="C645" s="67"/>
      <c r="D645" s="67"/>
      <c r="F645" s="67"/>
      <c r="G645" s="67"/>
      <c r="N645" s="67"/>
      <c r="Q645" s="67"/>
      <c r="R645" s="67"/>
    </row>
    <row r="646" ht="14.25" customHeight="1">
      <c r="A646" s="67"/>
      <c r="C646" s="67"/>
      <c r="D646" s="67"/>
      <c r="F646" s="67"/>
      <c r="G646" s="67"/>
      <c r="N646" s="67"/>
      <c r="Q646" s="67"/>
      <c r="R646" s="67"/>
    </row>
    <row r="647" ht="14.25" customHeight="1">
      <c r="A647" s="67"/>
      <c r="C647" s="67"/>
      <c r="D647" s="67"/>
      <c r="F647" s="67"/>
      <c r="G647" s="67"/>
      <c r="N647" s="67"/>
      <c r="Q647" s="67"/>
      <c r="R647" s="67"/>
    </row>
    <row r="648" ht="14.25" customHeight="1">
      <c r="A648" s="67"/>
      <c r="C648" s="67"/>
      <c r="D648" s="67"/>
      <c r="F648" s="67"/>
      <c r="G648" s="67"/>
      <c r="N648" s="67"/>
      <c r="Q648" s="67"/>
      <c r="R648" s="67"/>
    </row>
    <row r="649" ht="14.25" customHeight="1">
      <c r="A649" s="67"/>
      <c r="C649" s="67"/>
      <c r="D649" s="67"/>
      <c r="F649" s="67"/>
      <c r="G649" s="67"/>
      <c r="N649" s="67"/>
      <c r="Q649" s="67"/>
      <c r="R649" s="67"/>
    </row>
    <row r="650" ht="14.25" customHeight="1">
      <c r="A650" s="67"/>
      <c r="C650" s="67"/>
      <c r="D650" s="67"/>
      <c r="F650" s="67"/>
      <c r="G650" s="67"/>
      <c r="N650" s="67"/>
      <c r="Q650" s="67"/>
      <c r="R650" s="67"/>
    </row>
    <row r="651" ht="14.25" customHeight="1">
      <c r="A651" s="67"/>
      <c r="C651" s="67"/>
      <c r="D651" s="67"/>
      <c r="F651" s="67"/>
      <c r="G651" s="67"/>
      <c r="N651" s="67"/>
      <c r="Q651" s="67"/>
      <c r="R651" s="67"/>
    </row>
    <row r="652" ht="14.25" customHeight="1">
      <c r="A652" s="67"/>
      <c r="C652" s="67"/>
      <c r="D652" s="67"/>
      <c r="F652" s="67"/>
      <c r="G652" s="67"/>
      <c r="N652" s="67"/>
      <c r="Q652" s="67"/>
      <c r="R652" s="67"/>
    </row>
    <row r="653" ht="14.25" customHeight="1">
      <c r="A653" s="67"/>
      <c r="C653" s="67"/>
      <c r="D653" s="67"/>
      <c r="F653" s="67"/>
      <c r="G653" s="67"/>
      <c r="N653" s="67"/>
      <c r="Q653" s="67"/>
      <c r="R653" s="67"/>
    </row>
    <row r="654" ht="14.25" customHeight="1">
      <c r="A654" s="67"/>
      <c r="C654" s="67"/>
      <c r="D654" s="67"/>
      <c r="F654" s="67"/>
      <c r="G654" s="67"/>
      <c r="N654" s="67"/>
      <c r="Q654" s="67"/>
      <c r="R654" s="67"/>
    </row>
    <row r="655" ht="14.25" customHeight="1">
      <c r="A655" s="67"/>
      <c r="C655" s="67"/>
      <c r="D655" s="67"/>
      <c r="F655" s="67"/>
      <c r="G655" s="67"/>
      <c r="N655" s="67"/>
      <c r="Q655" s="67"/>
      <c r="R655" s="67"/>
    </row>
    <row r="656" ht="14.25" customHeight="1">
      <c r="A656" s="67"/>
      <c r="C656" s="67"/>
      <c r="D656" s="67"/>
      <c r="F656" s="67"/>
      <c r="G656" s="67"/>
      <c r="N656" s="67"/>
      <c r="Q656" s="67"/>
      <c r="R656" s="67"/>
    </row>
    <row r="657" ht="14.25" customHeight="1">
      <c r="A657" s="67"/>
      <c r="C657" s="67"/>
      <c r="D657" s="67"/>
      <c r="F657" s="67"/>
      <c r="G657" s="67"/>
      <c r="N657" s="67"/>
      <c r="Q657" s="67"/>
      <c r="R657" s="67"/>
    </row>
    <row r="658" ht="14.25" customHeight="1">
      <c r="A658" s="67"/>
      <c r="C658" s="67"/>
      <c r="D658" s="67"/>
      <c r="F658" s="67"/>
      <c r="G658" s="67"/>
      <c r="N658" s="67"/>
      <c r="Q658" s="67"/>
      <c r="R658" s="67"/>
    </row>
    <row r="659" ht="14.25" customHeight="1">
      <c r="A659" s="67"/>
      <c r="C659" s="67"/>
      <c r="D659" s="67"/>
      <c r="F659" s="67"/>
      <c r="G659" s="67"/>
      <c r="N659" s="67"/>
      <c r="Q659" s="67"/>
      <c r="R659" s="67"/>
    </row>
    <row r="660" ht="14.25" customHeight="1">
      <c r="A660" s="67"/>
      <c r="C660" s="67"/>
      <c r="D660" s="67"/>
      <c r="F660" s="67"/>
      <c r="G660" s="67"/>
      <c r="N660" s="67"/>
      <c r="Q660" s="67"/>
      <c r="R660" s="67"/>
    </row>
    <row r="661" ht="14.25" customHeight="1">
      <c r="A661" s="67"/>
      <c r="C661" s="67"/>
      <c r="D661" s="67"/>
      <c r="F661" s="67"/>
      <c r="G661" s="67"/>
      <c r="N661" s="67"/>
      <c r="Q661" s="67"/>
      <c r="R661" s="67"/>
    </row>
    <row r="662" ht="14.25" customHeight="1">
      <c r="A662" s="67"/>
      <c r="C662" s="67"/>
      <c r="D662" s="67"/>
      <c r="F662" s="67"/>
      <c r="G662" s="67"/>
      <c r="N662" s="67"/>
      <c r="Q662" s="67"/>
      <c r="R662" s="67"/>
    </row>
    <row r="663" ht="14.25" customHeight="1">
      <c r="A663" s="67"/>
      <c r="C663" s="67"/>
      <c r="D663" s="67"/>
      <c r="F663" s="67"/>
      <c r="G663" s="67"/>
      <c r="N663" s="67"/>
      <c r="Q663" s="67"/>
      <c r="R663" s="67"/>
    </row>
    <row r="664" ht="14.25" customHeight="1">
      <c r="A664" s="67"/>
      <c r="C664" s="67"/>
      <c r="D664" s="67"/>
      <c r="F664" s="67"/>
      <c r="G664" s="67"/>
      <c r="N664" s="67"/>
      <c r="Q664" s="67"/>
      <c r="R664" s="67"/>
    </row>
    <row r="665" ht="14.25" customHeight="1">
      <c r="A665" s="67"/>
      <c r="C665" s="67"/>
      <c r="D665" s="67"/>
      <c r="F665" s="67"/>
      <c r="G665" s="67"/>
      <c r="N665" s="67"/>
      <c r="Q665" s="67"/>
      <c r="R665" s="67"/>
    </row>
    <row r="666" ht="14.25" customHeight="1">
      <c r="A666" s="67"/>
      <c r="C666" s="67"/>
      <c r="D666" s="67"/>
      <c r="F666" s="67"/>
      <c r="G666" s="67"/>
      <c r="N666" s="67"/>
      <c r="Q666" s="67"/>
      <c r="R666" s="67"/>
    </row>
    <row r="667" ht="14.25" customHeight="1">
      <c r="A667" s="67"/>
      <c r="C667" s="67"/>
      <c r="D667" s="67"/>
      <c r="F667" s="67"/>
      <c r="G667" s="67"/>
      <c r="N667" s="67"/>
      <c r="Q667" s="67"/>
      <c r="R667" s="67"/>
    </row>
    <row r="668" ht="14.25" customHeight="1">
      <c r="A668" s="67"/>
      <c r="C668" s="67"/>
      <c r="D668" s="67"/>
      <c r="F668" s="67"/>
      <c r="G668" s="67"/>
      <c r="N668" s="67"/>
      <c r="Q668" s="67"/>
      <c r="R668" s="67"/>
    </row>
    <row r="669" ht="14.25" customHeight="1">
      <c r="A669" s="67"/>
      <c r="C669" s="67"/>
      <c r="D669" s="67"/>
      <c r="F669" s="67"/>
      <c r="G669" s="67"/>
      <c r="N669" s="67"/>
      <c r="Q669" s="67"/>
      <c r="R669" s="67"/>
    </row>
    <row r="670" ht="14.25" customHeight="1">
      <c r="A670" s="67"/>
      <c r="C670" s="67"/>
      <c r="D670" s="67"/>
      <c r="F670" s="67"/>
      <c r="G670" s="67"/>
      <c r="N670" s="67"/>
      <c r="Q670" s="67"/>
      <c r="R670" s="67"/>
    </row>
    <row r="671" ht="14.25" customHeight="1">
      <c r="A671" s="67"/>
      <c r="C671" s="67"/>
      <c r="D671" s="67"/>
      <c r="F671" s="67"/>
      <c r="G671" s="67"/>
      <c r="N671" s="67"/>
      <c r="Q671" s="67"/>
      <c r="R671" s="67"/>
    </row>
    <row r="672" ht="14.25" customHeight="1">
      <c r="A672" s="67"/>
      <c r="C672" s="67"/>
      <c r="D672" s="67"/>
      <c r="F672" s="67"/>
      <c r="G672" s="67"/>
      <c r="N672" s="67"/>
      <c r="Q672" s="67"/>
      <c r="R672" s="67"/>
    </row>
    <row r="673" ht="14.25" customHeight="1">
      <c r="A673" s="67"/>
      <c r="C673" s="67"/>
      <c r="D673" s="67"/>
      <c r="F673" s="67"/>
      <c r="G673" s="67"/>
      <c r="N673" s="67"/>
      <c r="Q673" s="67"/>
      <c r="R673" s="67"/>
    </row>
    <row r="674" ht="14.25" customHeight="1">
      <c r="A674" s="67"/>
      <c r="C674" s="67"/>
      <c r="D674" s="67"/>
      <c r="F674" s="67"/>
      <c r="G674" s="67"/>
      <c r="N674" s="67"/>
      <c r="Q674" s="67"/>
      <c r="R674" s="67"/>
    </row>
    <row r="675" ht="14.25" customHeight="1">
      <c r="A675" s="67"/>
      <c r="C675" s="67"/>
      <c r="D675" s="67"/>
      <c r="F675" s="67"/>
      <c r="G675" s="67"/>
      <c r="N675" s="67"/>
      <c r="Q675" s="67"/>
      <c r="R675" s="67"/>
    </row>
    <row r="676" ht="14.25" customHeight="1">
      <c r="A676" s="67"/>
      <c r="C676" s="67"/>
      <c r="D676" s="67"/>
      <c r="F676" s="67"/>
      <c r="G676" s="67"/>
      <c r="N676" s="67"/>
      <c r="Q676" s="67"/>
      <c r="R676" s="67"/>
    </row>
    <row r="677" ht="14.25" customHeight="1">
      <c r="A677" s="67"/>
      <c r="C677" s="67"/>
      <c r="D677" s="67"/>
      <c r="F677" s="67"/>
      <c r="G677" s="67"/>
      <c r="N677" s="67"/>
      <c r="Q677" s="67"/>
      <c r="R677" s="67"/>
    </row>
    <row r="678" ht="14.25" customHeight="1">
      <c r="A678" s="67"/>
      <c r="C678" s="67"/>
      <c r="D678" s="67"/>
      <c r="F678" s="67"/>
      <c r="G678" s="67"/>
      <c r="N678" s="67"/>
      <c r="Q678" s="67"/>
      <c r="R678" s="67"/>
    </row>
    <row r="679" ht="14.25" customHeight="1">
      <c r="A679" s="67"/>
      <c r="C679" s="67"/>
      <c r="D679" s="67"/>
      <c r="F679" s="67"/>
      <c r="G679" s="67"/>
      <c r="N679" s="67"/>
      <c r="Q679" s="67"/>
      <c r="R679" s="67"/>
    </row>
    <row r="680" ht="14.25" customHeight="1">
      <c r="A680" s="67"/>
      <c r="C680" s="67"/>
      <c r="D680" s="67"/>
      <c r="F680" s="67"/>
      <c r="G680" s="67"/>
      <c r="N680" s="67"/>
      <c r="Q680" s="67"/>
      <c r="R680" s="67"/>
    </row>
    <row r="681" ht="14.25" customHeight="1">
      <c r="A681" s="67"/>
      <c r="C681" s="67"/>
      <c r="D681" s="67"/>
      <c r="F681" s="67"/>
      <c r="G681" s="67"/>
      <c r="N681" s="67"/>
      <c r="Q681" s="67"/>
      <c r="R681" s="67"/>
    </row>
    <row r="682" ht="14.25" customHeight="1">
      <c r="A682" s="67"/>
      <c r="C682" s="67"/>
      <c r="D682" s="67"/>
      <c r="F682" s="67"/>
      <c r="G682" s="67"/>
      <c r="N682" s="67"/>
      <c r="Q682" s="67"/>
      <c r="R682" s="67"/>
    </row>
    <row r="683" ht="14.25" customHeight="1">
      <c r="A683" s="67"/>
      <c r="C683" s="67"/>
      <c r="D683" s="67"/>
      <c r="F683" s="67"/>
      <c r="G683" s="67"/>
      <c r="N683" s="67"/>
      <c r="Q683" s="67"/>
      <c r="R683" s="67"/>
    </row>
    <row r="684" ht="14.25" customHeight="1">
      <c r="A684" s="67"/>
      <c r="C684" s="67"/>
      <c r="D684" s="67"/>
      <c r="F684" s="67"/>
      <c r="G684" s="67"/>
      <c r="N684" s="67"/>
      <c r="Q684" s="67"/>
      <c r="R684" s="67"/>
    </row>
    <row r="685" ht="14.25" customHeight="1">
      <c r="A685" s="67"/>
      <c r="C685" s="67"/>
      <c r="D685" s="67"/>
      <c r="F685" s="67"/>
      <c r="G685" s="67"/>
      <c r="N685" s="67"/>
      <c r="Q685" s="67"/>
      <c r="R685" s="67"/>
    </row>
    <row r="686" ht="14.25" customHeight="1">
      <c r="A686" s="67"/>
      <c r="C686" s="67"/>
      <c r="D686" s="67"/>
      <c r="F686" s="67"/>
      <c r="G686" s="67"/>
      <c r="N686" s="67"/>
      <c r="Q686" s="67"/>
      <c r="R686" s="67"/>
    </row>
    <row r="687" ht="14.25" customHeight="1">
      <c r="A687" s="67"/>
      <c r="C687" s="67"/>
      <c r="D687" s="67"/>
      <c r="F687" s="67"/>
      <c r="G687" s="67"/>
      <c r="N687" s="67"/>
      <c r="Q687" s="67"/>
      <c r="R687" s="67"/>
    </row>
    <row r="688" ht="14.25" customHeight="1">
      <c r="A688" s="67"/>
      <c r="C688" s="67"/>
      <c r="D688" s="67"/>
      <c r="F688" s="67"/>
      <c r="G688" s="67"/>
      <c r="N688" s="67"/>
      <c r="Q688" s="67"/>
      <c r="R688" s="67"/>
    </row>
    <row r="689" ht="14.25" customHeight="1">
      <c r="A689" s="67"/>
      <c r="C689" s="67"/>
      <c r="D689" s="67"/>
      <c r="F689" s="67"/>
      <c r="G689" s="67"/>
      <c r="N689" s="67"/>
      <c r="Q689" s="67"/>
      <c r="R689" s="67"/>
    </row>
    <row r="690" ht="14.25" customHeight="1">
      <c r="A690" s="67"/>
      <c r="C690" s="67"/>
      <c r="D690" s="67"/>
      <c r="F690" s="67"/>
      <c r="G690" s="67"/>
      <c r="N690" s="67"/>
      <c r="Q690" s="67"/>
      <c r="R690" s="67"/>
    </row>
    <row r="691" ht="14.25" customHeight="1">
      <c r="A691" s="67"/>
      <c r="C691" s="67"/>
      <c r="D691" s="67"/>
      <c r="F691" s="67"/>
      <c r="G691" s="67"/>
      <c r="N691" s="67"/>
      <c r="Q691" s="67"/>
      <c r="R691" s="67"/>
    </row>
    <row r="692" ht="14.25" customHeight="1">
      <c r="A692" s="67"/>
      <c r="C692" s="67"/>
      <c r="D692" s="67"/>
      <c r="F692" s="67"/>
      <c r="G692" s="67"/>
      <c r="N692" s="67"/>
      <c r="Q692" s="67"/>
      <c r="R692" s="67"/>
    </row>
    <row r="693" ht="14.25" customHeight="1">
      <c r="A693" s="67"/>
      <c r="C693" s="67"/>
      <c r="D693" s="67"/>
      <c r="F693" s="67"/>
      <c r="G693" s="67"/>
      <c r="N693" s="67"/>
      <c r="Q693" s="67"/>
      <c r="R693" s="67"/>
    </row>
    <row r="694" ht="14.25" customHeight="1">
      <c r="A694" s="67"/>
      <c r="C694" s="67"/>
      <c r="D694" s="67"/>
      <c r="F694" s="67"/>
      <c r="G694" s="67"/>
      <c r="N694" s="67"/>
      <c r="Q694" s="67"/>
      <c r="R694" s="67"/>
    </row>
    <row r="695" ht="14.25" customHeight="1">
      <c r="A695" s="67"/>
      <c r="C695" s="67"/>
      <c r="D695" s="67"/>
      <c r="F695" s="67"/>
      <c r="G695" s="67"/>
      <c r="N695" s="67"/>
      <c r="Q695" s="67"/>
      <c r="R695" s="67"/>
    </row>
    <row r="696" ht="14.25" customHeight="1">
      <c r="A696" s="67"/>
      <c r="C696" s="67"/>
      <c r="D696" s="67"/>
      <c r="F696" s="67"/>
      <c r="G696" s="67"/>
      <c r="N696" s="67"/>
      <c r="Q696" s="67"/>
      <c r="R696" s="67"/>
    </row>
    <row r="697" ht="14.25" customHeight="1">
      <c r="A697" s="67"/>
      <c r="C697" s="67"/>
      <c r="D697" s="67"/>
      <c r="F697" s="67"/>
      <c r="G697" s="67"/>
      <c r="N697" s="67"/>
      <c r="Q697" s="67"/>
      <c r="R697" s="67"/>
    </row>
    <row r="698" ht="14.25" customHeight="1">
      <c r="A698" s="67"/>
      <c r="C698" s="67"/>
      <c r="D698" s="67"/>
      <c r="F698" s="67"/>
      <c r="G698" s="67"/>
      <c r="N698" s="67"/>
      <c r="Q698" s="67"/>
      <c r="R698" s="67"/>
    </row>
    <row r="699" ht="14.25" customHeight="1">
      <c r="A699" s="67"/>
      <c r="C699" s="67"/>
      <c r="D699" s="67"/>
      <c r="F699" s="67"/>
      <c r="G699" s="67"/>
      <c r="N699" s="67"/>
      <c r="Q699" s="67"/>
      <c r="R699" s="67"/>
    </row>
    <row r="700" ht="14.25" customHeight="1">
      <c r="A700" s="67"/>
      <c r="C700" s="67"/>
      <c r="D700" s="67"/>
      <c r="F700" s="67"/>
      <c r="G700" s="67"/>
      <c r="N700" s="67"/>
      <c r="Q700" s="67"/>
      <c r="R700" s="67"/>
    </row>
    <row r="701" ht="14.25" customHeight="1">
      <c r="A701" s="67"/>
      <c r="C701" s="67"/>
      <c r="D701" s="67"/>
      <c r="F701" s="67"/>
      <c r="G701" s="67"/>
      <c r="N701" s="67"/>
      <c r="Q701" s="67"/>
      <c r="R701" s="67"/>
    </row>
    <row r="702" ht="14.25" customHeight="1">
      <c r="A702" s="67"/>
      <c r="C702" s="67"/>
      <c r="D702" s="67"/>
      <c r="F702" s="67"/>
      <c r="G702" s="67"/>
      <c r="N702" s="67"/>
      <c r="Q702" s="67"/>
      <c r="R702" s="67"/>
    </row>
    <row r="703" ht="14.25" customHeight="1">
      <c r="A703" s="67"/>
      <c r="C703" s="67"/>
      <c r="D703" s="67"/>
      <c r="F703" s="67"/>
      <c r="G703" s="67"/>
      <c r="N703" s="67"/>
      <c r="Q703" s="67"/>
      <c r="R703" s="67"/>
    </row>
    <row r="704" ht="14.25" customHeight="1">
      <c r="A704" s="67"/>
      <c r="C704" s="67"/>
      <c r="D704" s="67"/>
      <c r="F704" s="67"/>
      <c r="G704" s="67"/>
      <c r="N704" s="67"/>
      <c r="Q704" s="67"/>
      <c r="R704" s="67"/>
    </row>
    <row r="705" ht="14.25" customHeight="1">
      <c r="A705" s="67"/>
      <c r="C705" s="67"/>
      <c r="D705" s="67"/>
      <c r="F705" s="67"/>
      <c r="G705" s="67"/>
      <c r="N705" s="67"/>
      <c r="Q705" s="67"/>
      <c r="R705" s="67"/>
    </row>
    <row r="706" ht="14.25" customHeight="1">
      <c r="A706" s="67"/>
      <c r="C706" s="67"/>
      <c r="D706" s="67"/>
      <c r="F706" s="67"/>
      <c r="G706" s="67"/>
      <c r="N706" s="67"/>
      <c r="Q706" s="67"/>
      <c r="R706" s="67"/>
    </row>
    <row r="707" ht="14.25" customHeight="1">
      <c r="A707" s="67"/>
      <c r="C707" s="67"/>
      <c r="D707" s="67"/>
      <c r="F707" s="67"/>
      <c r="G707" s="67"/>
      <c r="N707" s="67"/>
      <c r="Q707" s="67"/>
      <c r="R707" s="67"/>
    </row>
    <row r="708" ht="14.25" customHeight="1">
      <c r="A708" s="67"/>
      <c r="C708" s="67"/>
      <c r="D708" s="67"/>
      <c r="F708" s="67"/>
      <c r="G708" s="67"/>
      <c r="N708" s="67"/>
      <c r="Q708" s="67"/>
      <c r="R708" s="67"/>
    </row>
    <row r="709" ht="14.25" customHeight="1">
      <c r="A709" s="67"/>
      <c r="C709" s="67"/>
      <c r="D709" s="67"/>
      <c r="F709" s="67"/>
      <c r="G709" s="67"/>
      <c r="N709" s="67"/>
      <c r="Q709" s="67"/>
      <c r="R709" s="67"/>
    </row>
    <row r="710" ht="14.25" customHeight="1">
      <c r="A710" s="67"/>
      <c r="C710" s="67"/>
      <c r="D710" s="67"/>
      <c r="F710" s="67"/>
      <c r="G710" s="67"/>
      <c r="N710" s="67"/>
      <c r="Q710" s="67"/>
      <c r="R710" s="67"/>
    </row>
    <row r="711" ht="14.25" customHeight="1">
      <c r="A711" s="67"/>
      <c r="C711" s="67"/>
      <c r="D711" s="67"/>
      <c r="F711" s="67"/>
      <c r="G711" s="67"/>
      <c r="N711" s="67"/>
      <c r="Q711" s="67"/>
      <c r="R711" s="67"/>
    </row>
    <row r="712" ht="14.25" customHeight="1">
      <c r="A712" s="67"/>
      <c r="C712" s="67"/>
      <c r="D712" s="67"/>
      <c r="F712" s="67"/>
      <c r="G712" s="67"/>
      <c r="N712" s="67"/>
      <c r="Q712" s="67"/>
      <c r="R712" s="67"/>
    </row>
    <row r="713" ht="14.25" customHeight="1">
      <c r="A713" s="67"/>
      <c r="C713" s="67"/>
      <c r="D713" s="67"/>
      <c r="F713" s="67"/>
      <c r="G713" s="67"/>
      <c r="N713" s="67"/>
      <c r="Q713" s="67"/>
      <c r="R713" s="67"/>
    </row>
    <row r="714" ht="14.25" customHeight="1">
      <c r="A714" s="67"/>
      <c r="C714" s="67"/>
      <c r="D714" s="67"/>
      <c r="F714" s="67"/>
      <c r="G714" s="67"/>
      <c r="N714" s="67"/>
      <c r="Q714" s="67"/>
      <c r="R714" s="67"/>
    </row>
    <row r="715" ht="14.25" customHeight="1">
      <c r="A715" s="67"/>
      <c r="C715" s="67"/>
      <c r="D715" s="67"/>
      <c r="F715" s="67"/>
      <c r="G715" s="67"/>
      <c r="N715" s="67"/>
      <c r="Q715" s="67"/>
      <c r="R715" s="67"/>
    </row>
    <row r="716" ht="14.25" customHeight="1">
      <c r="A716" s="67"/>
      <c r="C716" s="67"/>
      <c r="D716" s="67"/>
      <c r="F716" s="67"/>
      <c r="G716" s="67"/>
      <c r="N716" s="67"/>
      <c r="Q716" s="67"/>
      <c r="R716" s="67"/>
    </row>
    <row r="717" ht="14.25" customHeight="1">
      <c r="A717" s="67"/>
      <c r="C717" s="67"/>
      <c r="D717" s="67"/>
      <c r="F717" s="67"/>
      <c r="G717" s="67"/>
      <c r="N717" s="67"/>
      <c r="Q717" s="67"/>
      <c r="R717" s="67"/>
    </row>
    <row r="718" ht="14.25" customHeight="1">
      <c r="A718" s="67"/>
      <c r="C718" s="67"/>
      <c r="D718" s="67"/>
      <c r="F718" s="67"/>
      <c r="G718" s="67"/>
      <c r="N718" s="67"/>
      <c r="Q718" s="67"/>
      <c r="R718" s="67"/>
    </row>
    <row r="719" ht="14.25" customHeight="1">
      <c r="A719" s="67"/>
      <c r="C719" s="67"/>
      <c r="D719" s="67"/>
      <c r="F719" s="67"/>
      <c r="G719" s="67"/>
      <c r="N719" s="67"/>
      <c r="Q719" s="67"/>
      <c r="R719" s="67"/>
    </row>
    <row r="720" ht="14.25" customHeight="1">
      <c r="A720" s="67"/>
      <c r="C720" s="67"/>
      <c r="D720" s="67"/>
      <c r="F720" s="67"/>
      <c r="G720" s="67"/>
      <c r="N720" s="67"/>
      <c r="Q720" s="67"/>
      <c r="R720" s="67"/>
    </row>
    <row r="721" ht="14.25" customHeight="1">
      <c r="A721" s="67"/>
      <c r="C721" s="67"/>
      <c r="D721" s="67"/>
      <c r="F721" s="67"/>
      <c r="G721" s="67"/>
      <c r="N721" s="67"/>
      <c r="Q721" s="67"/>
      <c r="R721" s="67"/>
    </row>
    <row r="722" ht="14.25" customHeight="1">
      <c r="A722" s="67"/>
      <c r="C722" s="67"/>
      <c r="D722" s="67"/>
      <c r="F722" s="67"/>
      <c r="G722" s="67"/>
      <c r="N722" s="67"/>
      <c r="Q722" s="67"/>
      <c r="R722" s="67"/>
    </row>
    <row r="723" ht="14.25" customHeight="1">
      <c r="A723" s="67"/>
      <c r="C723" s="67"/>
      <c r="D723" s="67"/>
      <c r="F723" s="67"/>
      <c r="G723" s="67"/>
      <c r="N723" s="67"/>
      <c r="Q723" s="67"/>
      <c r="R723" s="67"/>
    </row>
    <row r="724" ht="14.25" customHeight="1">
      <c r="A724" s="67"/>
      <c r="C724" s="67"/>
      <c r="D724" s="67"/>
      <c r="F724" s="67"/>
      <c r="G724" s="67"/>
      <c r="N724" s="67"/>
      <c r="Q724" s="67"/>
      <c r="R724" s="67"/>
    </row>
    <row r="725" ht="14.25" customHeight="1">
      <c r="A725" s="67"/>
      <c r="C725" s="67"/>
      <c r="D725" s="67"/>
      <c r="F725" s="67"/>
      <c r="G725" s="67"/>
      <c r="N725" s="67"/>
      <c r="Q725" s="67"/>
      <c r="R725" s="67"/>
    </row>
    <row r="726" ht="14.25" customHeight="1">
      <c r="A726" s="67"/>
      <c r="C726" s="67"/>
      <c r="D726" s="67"/>
      <c r="F726" s="67"/>
      <c r="G726" s="67"/>
      <c r="N726" s="67"/>
      <c r="Q726" s="67"/>
      <c r="R726" s="67"/>
    </row>
    <row r="727" ht="14.25" customHeight="1">
      <c r="A727" s="67"/>
      <c r="C727" s="67"/>
      <c r="D727" s="67"/>
      <c r="F727" s="67"/>
      <c r="G727" s="67"/>
      <c r="N727" s="67"/>
      <c r="Q727" s="67"/>
      <c r="R727" s="67"/>
    </row>
    <row r="728" ht="14.25" customHeight="1">
      <c r="A728" s="67"/>
      <c r="C728" s="67"/>
      <c r="D728" s="67"/>
      <c r="F728" s="67"/>
      <c r="G728" s="67"/>
      <c r="N728" s="67"/>
      <c r="Q728" s="67"/>
      <c r="R728" s="67"/>
    </row>
    <row r="729" ht="14.25" customHeight="1">
      <c r="A729" s="67"/>
      <c r="C729" s="67"/>
      <c r="D729" s="67"/>
      <c r="F729" s="67"/>
      <c r="G729" s="67"/>
      <c r="N729" s="67"/>
      <c r="Q729" s="67"/>
      <c r="R729" s="67"/>
    </row>
    <row r="730" ht="14.25" customHeight="1">
      <c r="A730" s="67"/>
      <c r="C730" s="67"/>
      <c r="D730" s="67"/>
      <c r="F730" s="67"/>
      <c r="G730" s="67"/>
      <c r="N730" s="67"/>
      <c r="Q730" s="67"/>
      <c r="R730" s="67"/>
    </row>
    <row r="731" ht="14.25" customHeight="1">
      <c r="A731" s="67"/>
      <c r="C731" s="67"/>
      <c r="D731" s="67"/>
      <c r="F731" s="67"/>
      <c r="G731" s="67"/>
      <c r="N731" s="67"/>
      <c r="Q731" s="67"/>
      <c r="R731" s="67"/>
    </row>
    <row r="732" ht="14.25" customHeight="1">
      <c r="A732" s="67"/>
      <c r="C732" s="67"/>
      <c r="D732" s="67"/>
      <c r="F732" s="67"/>
      <c r="G732" s="67"/>
      <c r="N732" s="67"/>
      <c r="Q732" s="67"/>
      <c r="R732" s="67"/>
    </row>
    <row r="733" ht="14.25" customHeight="1">
      <c r="A733" s="67"/>
      <c r="C733" s="67"/>
      <c r="D733" s="67"/>
      <c r="F733" s="67"/>
      <c r="G733" s="67"/>
      <c r="N733" s="67"/>
      <c r="Q733" s="67"/>
      <c r="R733" s="67"/>
    </row>
    <row r="734" ht="14.25" customHeight="1">
      <c r="A734" s="67"/>
      <c r="C734" s="67"/>
      <c r="D734" s="67"/>
      <c r="F734" s="67"/>
      <c r="G734" s="67"/>
      <c r="N734" s="67"/>
      <c r="Q734" s="67"/>
      <c r="R734" s="67"/>
    </row>
    <row r="735" ht="14.25" customHeight="1">
      <c r="A735" s="67"/>
      <c r="C735" s="67"/>
      <c r="D735" s="67"/>
      <c r="F735" s="67"/>
      <c r="G735" s="67"/>
      <c r="N735" s="67"/>
      <c r="Q735" s="67"/>
      <c r="R735" s="67"/>
    </row>
    <row r="736" ht="14.25" customHeight="1">
      <c r="A736" s="67"/>
      <c r="C736" s="67"/>
      <c r="D736" s="67"/>
      <c r="F736" s="67"/>
      <c r="G736" s="67"/>
      <c r="N736" s="67"/>
      <c r="Q736" s="67"/>
      <c r="R736" s="67"/>
    </row>
    <row r="737" ht="14.25" customHeight="1">
      <c r="A737" s="67"/>
      <c r="C737" s="67"/>
      <c r="D737" s="67"/>
      <c r="F737" s="67"/>
      <c r="G737" s="67"/>
      <c r="N737" s="67"/>
      <c r="Q737" s="67"/>
      <c r="R737" s="67"/>
    </row>
    <row r="738" ht="14.25" customHeight="1">
      <c r="A738" s="67"/>
      <c r="C738" s="67"/>
      <c r="D738" s="67"/>
      <c r="F738" s="67"/>
      <c r="G738" s="67"/>
      <c r="N738" s="67"/>
      <c r="Q738" s="67"/>
      <c r="R738" s="67"/>
    </row>
    <row r="739" ht="14.25" customHeight="1">
      <c r="A739" s="67"/>
      <c r="C739" s="67"/>
      <c r="D739" s="67"/>
      <c r="F739" s="67"/>
      <c r="G739" s="67"/>
      <c r="N739" s="67"/>
      <c r="Q739" s="67"/>
      <c r="R739" s="67"/>
    </row>
    <row r="740" ht="14.25" customHeight="1">
      <c r="A740" s="67"/>
      <c r="C740" s="67"/>
      <c r="D740" s="67"/>
      <c r="F740" s="67"/>
      <c r="G740" s="67"/>
      <c r="N740" s="67"/>
      <c r="Q740" s="67"/>
      <c r="R740" s="67"/>
    </row>
    <row r="741" ht="14.25" customHeight="1">
      <c r="A741" s="67"/>
      <c r="C741" s="67"/>
      <c r="D741" s="67"/>
      <c r="F741" s="67"/>
      <c r="G741" s="67"/>
      <c r="N741" s="67"/>
      <c r="Q741" s="67"/>
      <c r="R741" s="67"/>
    </row>
    <row r="742" ht="14.25" customHeight="1">
      <c r="A742" s="67"/>
      <c r="C742" s="67"/>
      <c r="D742" s="67"/>
      <c r="F742" s="67"/>
      <c r="G742" s="67"/>
      <c r="N742" s="67"/>
      <c r="Q742" s="67"/>
      <c r="R742" s="67"/>
    </row>
    <row r="743" ht="14.25" customHeight="1">
      <c r="A743" s="67"/>
      <c r="C743" s="67"/>
      <c r="D743" s="67"/>
      <c r="F743" s="67"/>
      <c r="G743" s="67"/>
      <c r="N743" s="67"/>
      <c r="Q743" s="67"/>
      <c r="R743" s="67"/>
    </row>
    <row r="744" ht="14.25" customHeight="1">
      <c r="A744" s="67"/>
      <c r="C744" s="67"/>
      <c r="D744" s="67"/>
      <c r="F744" s="67"/>
      <c r="G744" s="67"/>
      <c r="N744" s="67"/>
      <c r="Q744" s="67"/>
      <c r="R744" s="67"/>
    </row>
    <row r="745" ht="14.25" customHeight="1">
      <c r="A745" s="67"/>
      <c r="C745" s="67"/>
      <c r="D745" s="67"/>
      <c r="F745" s="67"/>
      <c r="G745" s="67"/>
      <c r="N745" s="67"/>
      <c r="Q745" s="67"/>
      <c r="R745" s="67"/>
    </row>
    <row r="746" ht="14.25" customHeight="1">
      <c r="A746" s="67"/>
      <c r="C746" s="67"/>
      <c r="D746" s="67"/>
      <c r="F746" s="67"/>
      <c r="G746" s="67"/>
      <c r="N746" s="67"/>
      <c r="Q746" s="67"/>
      <c r="R746" s="67"/>
    </row>
    <row r="747" ht="14.25" customHeight="1">
      <c r="A747" s="67"/>
      <c r="C747" s="67"/>
      <c r="D747" s="67"/>
      <c r="F747" s="67"/>
      <c r="G747" s="67"/>
      <c r="N747" s="67"/>
      <c r="Q747" s="67"/>
      <c r="R747" s="67"/>
    </row>
    <row r="748" ht="14.25" customHeight="1">
      <c r="A748" s="67"/>
      <c r="C748" s="67"/>
      <c r="D748" s="67"/>
      <c r="F748" s="67"/>
      <c r="G748" s="67"/>
      <c r="N748" s="67"/>
      <c r="Q748" s="67"/>
      <c r="R748" s="67"/>
    </row>
    <row r="749" ht="14.25" customHeight="1">
      <c r="A749" s="67"/>
      <c r="C749" s="67"/>
      <c r="D749" s="67"/>
      <c r="F749" s="67"/>
      <c r="G749" s="67"/>
      <c r="N749" s="67"/>
      <c r="Q749" s="67"/>
      <c r="R749" s="67"/>
    </row>
    <row r="750" ht="14.25" customHeight="1">
      <c r="A750" s="67"/>
      <c r="C750" s="67"/>
      <c r="D750" s="67"/>
      <c r="F750" s="67"/>
      <c r="G750" s="67"/>
      <c r="N750" s="67"/>
      <c r="Q750" s="67"/>
      <c r="R750" s="67"/>
    </row>
    <row r="751" ht="14.25" customHeight="1">
      <c r="A751" s="67"/>
      <c r="C751" s="67"/>
      <c r="D751" s="67"/>
      <c r="F751" s="67"/>
      <c r="G751" s="67"/>
      <c r="N751" s="67"/>
      <c r="Q751" s="67"/>
      <c r="R751" s="67"/>
    </row>
    <row r="752" ht="14.25" customHeight="1">
      <c r="A752" s="67"/>
      <c r="C752" s="67"/>
      <c r="D752" s="67"/>
      <c r="F752" s="67"/>
      <c r="G752" s="67"/>
      <c r="N752" s="67"/>
      <c r="Q752" s="67"/>
      <c r="R752" s="67"/>
    </row>
    <row r="753" ht="14.25" customHeight="1">
      <c r="A753" s="67"/>
      <c r="C753" s="67"/>
      <c r="D753" s="67"/>
      <c r="F753" s="67"/>
      <c r="G753" s="67"/>
      <c r="N753" s="67"/>
      <c r="Q753" s="67"/>
      <c r="R753" s="67"/>
    </row>
    <row r="754" ht="14.25" customHeight="1">
      <c r="A754" s="67"/>
      <c r="C754" s="67"/>
      <c r="D754" s="67"/>
      <c r="F754" s="67"/>
      <c r="G754" s="67"/>
      <c r="N754" s="67"/>
      <c r="Q754" s="67"/>
      <c r="R754" s="67"/>
    </row>
    <row r="755" ht="14.25" customHeight="1">
      <c r="A755" s="67"/>
      <c r="C755" s="67"/>
      <c r="D755" s="67"/>
      <c r="F755" s="67"/>
      <c r="G755" s="67"/>
      <c r="N755" s="67"/>
      <c r="Q755" s="67"/>
      <c r="R755" s="67"/>
    </row>
    <row r="756" ht="14.25" customHeight="1">
      <c r="A756" s="67"/>
      <c r="C756" s="67"/>
      <c r="D756" s="67"/>
      <c r="F756" s="67"/>
      <c r="G756" s="67"/>
      <c r="N756" s="67"/>
      <c r="Q756" s="67"/>
      <c r="R756" s="67"/>
    </row>
    <row r="757" ht="14.25" customHeight="1">
      <c r="A757" s="67"/>
      <c r="C757" s="67"/>
      <c r="D757" s="67"/>
      <c r="F757" s="67"/>
      <c r="G757" s="67"/>
      <c r="N757" s="67"/>
      <c r="Q757" s="67"/>
      <c r="R757" s="67"/>
    </row>
    <row r="758" ht="14.25" customHeight="1">
      <c r="A758" s="67"/>
      <c r="C758" s="67"/>
      <c r="D758" s="67"/>
      <c r="F758" s="67"/>
      <c r="G758" s="67"/>
      <c r="N758" s="67"/>
      <c r="Q758" s="67"/>
      <c r="R758" s="67"/>
    </row>
    <row r="759" ht="14.25" customHeight="1">
      <c r="A759" s="67"/>
      <c r="C759" s="67"/>
      <c r="D759" s="67"/>
      <c r="F759" s="67"/>
      <c r="G759" s="67"/>
      <c r="N759" s="67"/>
      <c r="Q759" s="67"/>
      <c r="R759" s="67"/>
    </row>
    <row r="760" ht="14.25" customHeight="1">
      <c r="A760" s="67"/>
      <c r="C760" s="67"/>
      <c r="D760" s="67"/>
      <c r="F760" s="67"/>
      <c r="G760" s="67"/>
      <c r="N760" s="67"/>
      <c r="Q760" s="67"/>
      <c r="R760" s="67"/>
    </row>
    <row r="761" ht="14.25" customHeight="1">
      <c r="A761" s="67"/>
      <c r="C761" s="67"/>
      <c r="D761" s="67"/>
      <c r="F761" s="67"/>
      <c r="G761" s="67"/>
      <c r="N761" s="67"/>
      <c r="Q761" s="67"/>
      <c r="R761" s="67"/>
    </row>
    <row r="762" ht="14.25" customHeight="1">
      <c r="A762" s="67"/>
      <c r="C762" s="67"/>
      <c r="D762" s="67"/>
      <c r="F762" s="67"/>
      <c r="G762" s="67"/>
      <c r="N762" s="67"/>
      <c r="Q762" s="67"/>
      <c r="R762" s="67"/>
    </row>
    <row r="763" ht="14.25" customHeight="1">
      <c r="A763" s="67"/>
      <c r="C763" s="67"/>
      <c r="D763" s="67"/>
      <c r="F763" s="67"/>
      <c r="G763" s="67"/>
      <c r="N763" s="67"/>
      <c r="Q763" s="67"/>
      <c r="R763" s="67"/>
    </row>
    <row r="764" ht="14.25" customHeight="1">
      <c r="A764" s="67"/>
      <c r="C764" s="67"/>
      <c r="D764" s="67"/>
      <c r="F764" s="67"/>
      <c r="G764" s="67"/>
      <c r="N764" s="67"/>
      <c r="Q764" s="67"/>
      <c r="R764" s="67"/>
    </row>
    <row r="765" ht="14.25" customHeight="1">
      <c r="A765" s="67"/>
      <c r="C765" s="67"/>
      <c r="D765" s="67"/>
      <c r="F765" s="67"/>
      <c r="G765" s="67"/>
      <c r="N765" s="67"/>
      <c r="Q765" s="67"/>
      <c r="R765" s="67"/>
    </row>
    <row r="766" ht="14.25" customHeight="1">
      <c r="A766" s="67"/>
      <c r="C766" s="67"/>
      <c r="D766" s="67"/>
      <c r="F766" s="67"/>
      <c r="G766" s="67"/>
      <c r="N766" s="67"/>
      <c r="Q766" s="67"/>
      <c r="R766" s="67"/>
    </row>
    <row r="767" ht="14.25" customHeight="1">
      <c r="A767" s="67"/>
      <c r="C767" s="67"/>
      <c r="D767" s="67"/>
      <c r="F767" s="67"/>
      <c r="G767" s="67"/>
      <c r="N767" s="67"/>
      <c r="Q767" s="67"/>
      <c r="R767" s="67"/>
    </row>
    <row r="768" ht="14.25" customHeight="1">
      <c r="A768" s="67"/>
      <c r="C768" s="67"/>
      <c r="D768" s="67"/>
      <c r="F768" s="67"/>
      <c r="G768" s="67"/>
      <c r="N768" s="67"/>
      <c r="Q768" s="67"/>
      <c r="R768" s="67"/>
    </row>
    <row r="769" ht="14.25" customHeight="1">
      <c r="A769" s="67"/>
      <c r="C769" s="67"/>
      <c r="D769" s="67"/>
      <c r="F769" s="67"/>
      <c r="G769" s="67"/>
      <c r="N769" s="67"/>
      <c r="Q769" s="67"/>
      <c r="R769" s="67"/>
    </row>
    <row r="770" ht="14.25" customHeight="1">
      <c r="A770" s="67"/>
      <c r="C770" s="67"/>
      <c r="D770" s="67"/>
      <c r="F770" s="67"/>
      <c r="G770" s="67"/>
      <c r="N770" s="67"/>
      <c r="Q770" s="67"/>
      <c r="R770" s="67"/>
    </row>
    <row r="771" ht="14.25" customHeight="1">
      <c r="A771" s="67"/>
      <c r="C771" s="67"/>
      <c r="D771" s="67"/>
      <c r="F771" s="67"/>
      <c r="G771" s="67"/>
      <c r="N771" s="67"/>
      <c r="Q771" s="67"/>
      <c r="R771" s="67"/>
    </row>
    <row r="772" ht="14.25" customHeight="1">
      <c r="A772" s="67"/>
      <c r="C772" s="67"/>
      <c r="D772" s="67"/>
      <c r="F772" s="67"/>
      <c r="G772" s="67"/>
      <c r="N772" s="67"/>
      <c r="Q772" s="67"/>
      <c r="R772" s="67"/>
    </row>
    <row r="773" ht="14.25" customHeight="1">
      <c r="A773" s="67"/>
      <c r="C773" s="67"/>
      <c r="D773" s="67"/>
      <c r="F773" s="67"/>
      <c r="G773" s="67"/>
      <c r="N773" s="67"/>
      <c r="Q773" s="67"/>
      <c r="R773" s="67"/>
    </row>
    <row r="774" ht="14.25" customHeight="1">
      <c r="A774" s="67"/>
      <c r="C774" s="67"/>
      <c r="D774" s="67"/>
      <c r="F774" s="67"/>
      <c r="G774" s="67"/>
      <c r="N774" s="67"/>
      <c r="Q774" s="67"/>
      <c r="R774" s="67"/>
    </row>
    <row r="775" ht="14.25" customHeight="1">
      <c r="A775" s="67"/>
      <c r="C775" s="67"/>
      <c r="D775" s="67"/>
      <c r="F775" s="67"/>
      <c r="G775" s="67"/>
      <c r="N775" s="67"/>
      <c r="Q775" s="67"/>
      <c r="R775" s="67"/>
    </row>
    <row r="776" ht="14.25" customHeight="1">
      <c r="A776" s="67"/>
      <c r="C776" s="67"/>
      <c r="D776" s="67"/>
      <c r="F776" s="67"/>
      <c r="G776" s="67"/>
      <c r="N776" s="67"/>
      <c r="Q776" s="67"/>
      <c r="R776" s="67"/>
    </row>
    <row r="777" ht="14.25" customHeight="1">
      <c r="A777" s="67"/>
      <c r="C777" s="67"/>
      <c r="D777" s="67"/>
      <c r="F777" s="67"/>
      <c r="G777" s="67"/>
      <c r="N777" s="67"/>
      <c r="Q777" s="67"/>
      <c r="R777" s="67"/>
    </row>
    <row r="778" ht="14.25" customHeight="1">
      <c r="A778" s="67"/>
      <c r="C778" s="67"/>
      <c r="D778" s="67"/>
      <c r="F778" s="67"/>
      <c r="G778" s="67"/>
      <c r="N778" s="67"/>
      <c r="Q778" s="67"/>
      <c r="R778" s="67"/>
    </row>
    <row r="779" ht="14.25" customHeight="1">
      <c r="A779" s="67"/>
      <c r="C779" s="67"/>
      <c r="D779" s="67"/>
      <c r="F779" s="67"/>
      <c r="G779" s="67"/>
      <c r="N779" s="67"/>
      <c r="Q779" s="67"/>
      <c r="R779" s="67"/>
    </row>
    <row r="780" ht="14.25" customHeight="1">
      <c r="A780" s="67"/>
      <c r="C780" s="67"/>
      <c r="D780" s="67"/>
      <c r="F780" s="67"/>
      <c r="G780" s="67"/>
      <c r="N780" s="67"/>
      <c r="Q780" s="67"/>
      <c r="R780" s="67"/>
    </row>
    <row r="781" ht="14.25" customHeight="1">
      <c r="A781" s="67"/>
      <c r="C781" s="67"/>
      <c r="D781" s="67"/>
      <c r="F781" s="67"/>
      <c r="G781" s="67"/>
      <c r="N781" s="67"/>
      <c r="Q781" s="67"/>
      <c r="R781" s="67"/>
    </row>
    <row r="782" ht="14.25" customHeight="1">
      <c r="A782" s="67"/>
      <c r="C782" s="67"/>
      <c r="D782" s="67"/>
      <c r="F782" s="67"/>
      <c r="G782" s="67"/>
      <c r="N782" s="67"/>
      <c r="Q782" s="67"/>
      <c r="R782" s="67"/>
    </row>
    <row r="783" ht="14.25" customHeight="1">
      <c r="A783" s="67"/>
      <c r="C783" s="67"/>
      <c r="D783" s="67"/>
      <c r="F783" s="67"/>
      <c r="G783" s="67"/>
      <c r="N783" s="67"/>
      <c r="Q783" s="67"/>
      <c r="R783" s="67"/>
    </row>
    <row r="784" ht="14.25" customHeight="1">
      <c r="A784" s="67"/>
      <c r="C784" s="67"/>
      <c r="D784" s="67"/>
      <c r="F784" s="67"/>
      <c r="G784" s="67"/>
      <c r="N784" s="67"/>
      <c r="Q784" s="67"/>
      <c r="R784" s="67"/>
    </row>
    <row r="785" ht="14.25" customHeight="1">
      <c r="A785" s="67"/>
      <c r="C785" s="67"/>
      <c r="D785" s="67"/>
      <c r="F785" s="67"/>
      <c r="G785" s="67"/>
      <c r="N785" s="67"/>
      <c r="Q785" s="67"/>
      <c r="R785" s="67"/>
    </row>
    <row r="786" ht="14.25" customHeight="1">
      <c r="A786" s="67"/>
      <c r="C786" s="67"/>
      <c r="D786" s="67"/>
      <c r="F786" s="67"/>
      <c r="G786" s="67"/>
      <c r="N786" s="67"/>
      <c r="Q786" s="67"/>
      <c r="R786" s="67"/>
    </row>
    <row r="787" ht="14.25" customHeight="1">
      <c r="A787" s="67"/>
      <c r="C787" s="67"/>
      <c r="D787" s="67"/>
      <c r="F787" s="67"/>
      <c r="G787" s="67"/>
      <c r="N787" s="67"/>
      <c r="Q787" s="67"/>
      <c r="R787" s="67"/>
    </row>
    <row r="788" ht="14.25" customHeight="1">
      <c r="A788" s="67"/>
      <c r="C788" s="67"/>
      <c r="D788" s="67"/>
      <c r="F788" s="67"/>
      <c r="G788" s="67"/>
      <c r="N788" s="67"/>
      <c r="Q788" s="67"/>
      <c r="R788" s="67"/>
    </row>
    <row r="789" ht="14.25" customHeight="1">
      <c r="A789" s="67"/>
      <c r="C789" s="67"/>
      <c r="D789" s="67"/>
      <c r="F789" s="67"/>
      <c r="G789" s="67"/>
      <c r="N789" s="67"/>
      <c r="Q789" s="67"/>
      <c r="R789" s="67"/>
    </row>
    <row r="790" ht="14.25" customHeight="1">
      <c r="A790" s="67"/>
      <c r="C790" s="67"/>
      <c r="D790" s="67"/>
      <c r="F790" s="67"/>
      <c r="G790" s="67"/>
      <c r="N790" s="67"/>
      <c r="Q790" s="67"/>
      <c r="R790" s="67"/>
    </row>
    <row r="791" ht="14.25" customHeight="1">
      <c r="A791" s="67"/>
      <c r="C791" s="67"/>
      <c r="D791" s="67"/>
      <c r="F791" s="67"/>
      <c r="G791" s="67"/>
      <c r="N791" s="67"/>
      <c r="Q791" s="67"/>
      <c r="R791" s="67"/>
    </row>
    <row r="792" ht="14.25" customHeight="1">
      <c r="A792" s="67"/>
      <c r="C792" s="67"/>
      <c r="D792" s="67"/>
      <c r="F792" s="67"/>
      <c r="G792" s="67"/>
      <c r="N792" s="67"/>
      <c r="Q792" s="67"/>
      <c r="R792" s="67"/>
    </row>
    <row r="793" ht="14.25" customHeight="1">
      <c r="A793" s="67"/>
      <c r="C793" s="67"/>
      <c r="D793" s="67"/>
      <c r="F793" s="67"/>
      <c r="G793" s="67"/>
      <c r="N793" s="67"/>
      <c r="Q793" s="67"/>
      <c r="R793" s="67"/>
    </row>
    <row r="794" ht="14.25" customHeight="1">
      <c r="A794" s="67"/>
      <c r="C794" s="67"/>
      <c r="D794" s="67"/>
      <c r="F794" s="67"/>
      <c r="G794" s="67"/>
      <c r="N794" s="67"/>
      <c r="Q794" s="67"/>
      <c r="R794" s="67"/>
    </row>
    <row r="795" ht="14.25" customHeight="1">
      <c r="A795" s="67"/>
      <c r="C795" s="67"/>
      <c r="D795" s="67"/>
      <c r="F795" s="67"/>
      <c r="G795" s="67"/>
      <c r="N795" s="67"/>
      <c r="Q795" s="67"/>
      <c r="R795" s="67"/>
    </row>
    <row r="796" ht="14.25" customHeight="1">
      <c r="A796" s="67"/>
      <c r="C796" s="67"/>
      <c r="D796" s="67"/>
      <c r="F796" s="67"/>
      <c r="G796" s="67"/>
      <c r="N796" s="67"/>
      <c r="Q796" s="67"/>
      <c r="R796" s="67"/>
    </row>
    <row r="797" ht="14.25" customHeight="1">
      <c r="A797" s="67"/>
      <c r="C797" s="67"/>
      <c r="D797" s="67"/>
      <c r="F797" s="67"/>
      <c r="G797" s="67"/>
      <c r="N797" s="67"/>
      <c r="Q797" s="67"/>
      <c r="R797" s="67"/>
    </row>
    <row r="798" ht="14.25" customHeight="1">
      <c r="A798" s="67"/>
      <c r="C798" s="67"/>
      <c r="D798" s="67"/>
      <c r="F798" s="67"/>
      <c r="G798" s="67"/>
      <c r="N798" s="67"/>
      <c r="Q798" s="67"/>
      <c r="R798" s="67"/>
    </row>
    <row r="799" ht="14.25" customHeight="1">
      <c r="A799" s="67"/>
      <c r="C799" s="67"/>
      <c r="D799" s="67"/>
      <c r="F799" s="67"/>
      <c r="G799" s="67"/>
      <c r="N799" s="67"/>
      <c r="Q799" s="67"/>
      <c r="R799" s="67"/>
    </row>
    <row r="800" ht="14.25" customHeight="1">
      <c r="A800" s="67"/>
      <c r="C800" s="67"/>
      <c r="D800" s="67"/>
      <c r="F800" s="67"/>
      <c r="G800" s="67"/>
      <c r="N800" s="67"/>
      <c r="Q800" s="67"/>
      <c r="R800" s="67"/>
    </row>
    <row r="801" ht="14.25" customHeight="1">
      <c r="A801" s="67"/>
      <c r="C801" s="67"/>
      <c r="D801" s="67"/>
      <c r="F801" s="67"/>
      <c r="G801" s="67"/>
      <c r="N801" s="67"/>
      <c r="Q801" s="67"/>
      <c r="R801" s="67"/>
    </row>
    <row r="802" ht="14.25" customHeight="1">
      <c r="A802" s="67"/>
      <c r="C802" s="67"/>
      <c r="D802" s="67"/>
      <c r="F802" s="67"/>
      <c r="G802" s="67"/>
      <c r="N802" s="67"/>
      <c r="Q802" s="67"/>
      <c r="R802" s="67"/>
    </row>
    <row r="803" ht="14.25" customHeight="1">
      <c r="A803" s="67"/>
      <c r="C803" s="67"/>
      <c r="D803" s="67"/>
      <c r="F803" s="67"/>
      <c r="G803" s="67"/>
      <c r="N803" s="67"/>
      <c r="Q803" s="67"/>
      <c r="R803" s="67"/>
    </row>
    <row r="804" ht="14.25" customHeight="1">
      <c r="A804" s="67"/>
      <c r="C804" s="67"/>
      <c r="D804" s="67"/>
      <c r="F804" s="67"/>
      <c r="G804" s="67"/>
      <c r="N804" s="67"/>
      <c r="Q804" s="67"/>
      <c r="R804" s="67"/>
    </row>
    <row r="805" ht="14.25" customHeight="1">
      <c r="A805" s="67"/>
      <c r="C805" s="67"/>
      <c r="D805" s="67"/>
      <c r="F805" s="67"/>
      <c r="G805" s="67"/>
      <c r="N805" s="67"/>
      <c r="Q805" s="67"/>
      <c r="R805" s="67"/>
    </row>
    <row r="806" ht="14.25" customHeight="1">
      <c r="A806" s="67"/>
      <c r="C806" s="67"/>
      <c r="D806" s="67"/>
      <c r="F806" s="67"/>
      <c r="G806" s="67"/>
      <c r="N806" s="67"/>
      <c r="Q806" s="67"/>
      <c r="R806" s="67"/>
    </row>
    <row r="807" ht="14.25" customHeight="1">
      <c r="A807" s="67"/>
      <c r="C807" s="67"/>
      <c r="D807" s="67"/>
      <c r="F807" s="67"/>
      <c r="G807" s="67"/>
      <c r="N807" s="67"/>
      <c r="Q807" s="67"/>
      <c r="R807" s="67"/>
    </row>
    <row r="808" ht="14.25" customHeight="1">
      <c r="A808" s="67"/>
      <c r="C808" s="67"/>
      <c r="D808" s="67"/>
      <c r="F808" s="67"/>
      <c r="G808" s="67"/>
      <c r="N808" s="67"/>
      <c r="Q808" s="67"/>
      <c r="R808" s="67"/>
    </row>
    <row r="809" ht="14.25" customHeight="1">
      <c r="A809" s="67"/>
      <c r="C809" s="67"/>
      <c r="D809" s="67"/>
      <c r="F809" s="67"/>
      <c r="G809" s="67"/>
      <c r="N809" s="67"/>
      <c r="Q809" s="67"/>
      <c r="R809" s="67"/>
    </row>
    <row r="810" ht="14.25" customHeight="1">
      <c r="A810" s="67"/>
      <c r="C810" s="67"/>
      <c r="D810" s="67"/>
      <c r="F810" s="67"/>
      <c r="G810" s="67"/>
      <c r="N810" s="67"/>
      <c r="Q810" s="67"/>
      <c r="R810" s="67"/>
    </row>
    <row r="811" ht="14.25" customHeight="1">
      <c r="A811" s="67"/>
      <c r="C811" s="67"/>
      <c r="D811" s="67"/>
      <c r="F811" s="67"/>
      <c r="G811" s="67"/>
      <c r="N811" s="67"/>
      <c r="Q811" s="67"/>
      <c r="R811" s="67"/>
    </row>
    <row r="812" ht="14.25" customHeight="1">
      <c r="A812" s="67"/>
      <c r="C812" s="67"/>
      <c r="D812" s="67"/>
      <c r="F812" s="67"/>
      <c r="G812" s="67"/>
      <c r="N812" s="67"/>
      <c r="Q812" s="67"/>
      <c r="R812" s="67"/>
    </row>
    <row r="813" ht="14.25" customHeight="1">
      <c r="A813" s="67"/>
      <c r="C813" s="67"/>
      <c r="D813" s="67"/>
      <c r="F813" s="67"/>
      <c r="G813" s="67"/>
      <c r="N813" s="67"/>
      <c r="Q813" s="67"/>
      <c r="R813" s="67"/>
    </row>
    <row r="814" ht="14.25" customHeight="1">
      <c r="A814" s="67"/>
      <c r="C814" s="67"/>
      <c r="D814" s="67"/>
      <c r="F814" s="67"/>
      <c r="G814" s="67"/>
      <c r="N814" s="67"/>
      <c r="Q814" s="67"/>
      <c r="R814" s="67"/>
    </row>
    <row r="815" ht="14.25" customHeight="1">
      <c r="A815" s="67"/>
      <c r="C815" s="67"/>
      <c r="D815" s="67"/>
      <c r="F815" s="67"/>
      <c r="G815" s="67"/>
      <c r="N815" s="67"/>
      <c r="Q815" s="67"/>
      <c r="R815" s="67"/>
    </row>
    <row r="816" ht="14.25" customHeight="1">
      <c r="A816" s="67"/>
      <c r="C816" s="67"/>
      <c r="D816" s="67"/>
      <c r="F816" s="67"/>
      <c r="G816" s="67"/>
      <c r="N816" s="67"/>
      <c r="Q816" s="67"/>
      <c r="R816" s="67"/>
    </row>
    <row r="817" ht="14.25" customHeight="1">
      <c r="A817" s="67"/>
      <c r="C817" s="67"/>
      <c r="D817" s="67"/>
      <c r="F817" s="67"/>
      <c r="G817" s="67"/>
      <c r="N817" s="67"/>
      <c r="Q817" s="67"/>
      <c r="R817" s="67"/>
    </row>
    <row r="818" ht="14.25" customHeight="1">
      <c r="A818" s="67"/>
      <c r="C818" s="67"/>
      <c r="D818" s="67"/>
      <c r="F818" s="67"/>
      <c r="G818" s="67"/>
      <c r="N818" s="67"/>
      <c r="Q818" s="67"/>
      <c r="R818" s="67"/>
    </row>
    <row r="819" ht="14.25" customHeight="1">
      <c r="A819" s="67"/>
      <c r="C819" s="67"/>
      <c r="D819" s="67"/>
      <c r="F819" s="67"/>
      <c r="G819" s="67"/>
      <c r="N819" s="67"/>
      <c r="Q819" s="67"/>
      <c r="R819" s="67"/>
    </row>
    <row r="820" ht="14.25" customHeight="1">
      <c r="A820" s="67"/>
      <c r="C820" s="67"/>
      <c r="D820" s="67"/>
      <c r="F820" s="67"/>
      <c r="G820" s="67"/>
      <c r="N820" s="67"/>
      <c r="Q820" s="67"/>
      <c r="R820" s="67"/>
    </row>
    <row r="821" ht="14.25" customHeight="1">
      <c r="A821" s="67"/>
      <c r="C821" s="67"/>
      <c r="D821" s="67"/>
      <c r="F821" s="67"/>
      <c r="G821" s="67"/>
      <c r="N821" s="67"/>
      <c r="Q821" s="67"/>
      <c r="R821" s="67"/>
    </row>
    <row r="822" ht="14.25" customHeight="1">
      <c r="A822" s="67"/>
      <c r="C822" s="67"/>
      <c r="D822" s="67"/>
      <c r="F822" s="67"/>
      <c r="G822" s="67"/>
      <c r="N822" s="67"/>
      <c r="Q822" s="67"/>
      <c r="R822" s="67"/>
    </row>
    <row r="823" ht="14.25" customHeight="1">
      <c r="A823" s="67"/>
      <c r="C823" s="67"/>
      <c r="D823" s="67"/>
      <c r="F823" s="67"/>
      <c r="G823" s="67"/>
      <c r="N823" s="67"/>
      <c r="Q823" s="67"/>
      <c r="R823" s="67"/>
    </row>
    <row r="824" ht="14.25" customHeight="1">
      <c r="A824" s="67"/>
      <c r="C824" s="67"/>
      <c r="D824" s="67"/>
      <c r="F824" s="67"/>
      <c r="G824" s="67"/>
      <c r="N824" s="67"/>
      <c r="Q824" s="67"/>
      <c r="R824" s="67"/>
    </row>
    <row r="825" ht="14.25" customHeight="1">
      <c r="A825" s="67"/>
      <c r="C825" s="67"/>
      <c r="D825" s="67"/>
      <c r="F825" s="67"/>
      <c r="G825" s="67"/>
      <c r="N825" s="67"/>
      <c r="Q825" s="67"/>
      <c r="R825" s="67"/>
    </row>
    <row r="826" ht="14.25" customHeight="1">
      <c r="A826" s="67"/>
      <c r="C826" s="67"/>
      <c r="D826" s="67"/>
      <c r="F826" s="67"/>
      <c r="G826" s="67"/>
      <c r="N826" s="67"/>
      <c r="Q826" s="67"/>
      <c r="R826" s="67"/>
    </row>
    <row r="827" ht="14.25" customHeight="1">
      <c r="A827" s="67"/>
      <c r="C827" s="67"/>
      <c r="D827" s="67"/>
      <c r="F827" s="67"/>
      <c r="G827" s="67"/>
      <c r="N827" s="67"/>
      <c r="Q827" s="67"/>
      <c r="R827" s="67"/>
    </row>
    <row r="828" ht="14.25" customHeight="1">
      <c r="A828" s="67"/>
      <c r="C828" s="67"/>
      <c r="D828" s="67"/>
      <c r="F828" s="67"/>
      <c r="G828" s="67"/>
      <c r="N828" s="67"/>
      <c r="Q828" s="67"/>
      <c r="R828" s="67"/>
    </row>
    <row r="829" ht="14.25" customHeight="1">
      <c r="A829" s="67"/>
      <c r="C829" s="67"/>
      <c r="D829" s="67"/>
      <c r="F829" s="67"/>
      <c r="G829" s="67"/>
      <c r="N829" s="67"/>
      <c r="Q829" s="67"/>
      <c r="R829" s="67"/>
    </row>
    <row r="830" ht="14.25" customHeight="1">
      <c r="A830" s="67"/>
      <c r="C830" s="67"/>
      <c r="D830" s="67"/>
      <c r="F830" s="67"/>
      <c r="G830" s="67"/>
      <c r="N830" s="67"/>
      <c r="Q830" s="67"/>
      <c r="R830" s="67"/>
    </row>
    <row r="831" ht="14.25" customHeight="1">
      <c r="A831" s="67"/>
      <c r="C831" s="67"/>
      <c r="D831" s="67"/>
      <c r="F831" s="67"/>
      <c r="G831" s="67"/>
      <c r="N831" s="67"/>
      <c r="Q831" s="67"/>
      <c r="R831" s="67"/>
    </row>
    <row r="832" ht="14.25" customHeight="1">
      <c r="A832" s="67"/>
      <c r="C832" s="67"/>
      <c r="D832" s="67"/>
      <c r="F832" s="67"/>
      <c r="G832" s="67"/>
      <c r="N832" s="67"/>
      <c r="Q832" s="67"/>
      <c r="R832" s="67"/>
    </row>
    <row r="833" ht="14.25" customHeight="1">
      <c r="A833" s="67"/>
      <c r="C833" s="67"/>
      <c r="D833" s="67"/>
      <c r="F833" s="67"/>
      <c r="G833" s="67"/>
      <c r="N833" s="67"/>
      <c r="Q833" s="67"/>
      <c r="R833" s="67"/>
    </row>
    <row r="834" ht="14.25" customHeight="1">
      <c r="A834" s="67"/>
      <c r="C834" s="67"/>
      <c r="D834" s="67"/>
      <c r="F834" s="67"/>
      <c r="G834" s="67"/>
      <c r="N834" s="67"/>
      <c r="Q834" s="67"/>
      <c r="R834" s="67"/>
    </row>
    <row r="835" ht="14.25" customHeight="1">
      <c r="A835" s="67"/>
      <c r="C835" s="67"/>
      <c r="D835" s="67"/>
      <c r="F835" s="67"/>
      <c r="G835" s="67"/>
      <c r="N835" s="67"/>
      <c r="Q835" s="67"/>
      <c r="R835" s="67"/>
    </row>
    <row r="836" ht="14.25" customHeight="1">
      <c r="A836" s="67"/>
      <c r="C836" s="67"/>
      <c r="D836" s="67"/>
      <c r="F836" s="67"/>
      <c r="G836" s="67"/>
      <c r="N836" s="67"/>
      <c r="Q836" s="67"/>
      <c r="R836" s="67"/>
    </row>
    <row r="837" ht="14.25" customHeight="1">
      <c r="A837" s="67"/>
      <c r="C837" s="67"/>
      <c r="D837" s="67"/>
      <c r="F837" s="67"/>
      <c r="G837" s="67"/>
      <c r="N837" s="67"/>
      <c r="Q837" s="67"/>
      <c r="R837" s="67"/>
    </row>
    <row r="838" ht="14.25" customHeight="1">
      <c r="A838" s="67"/>
      <c r="C838" s="67"/>
      <c r="D838" s="67"/>
      <c r="F838" s="67"/>
      <c r="G838" s="67"/>
      <c r="N838" s="67"/>
      <c r="Q838" s="67"/>
      <c r="R838" s="67"/>
    </row>
    <row r="839" ht="14.25" customHeight="1">
      <c r="A839" s="67"/>
      <c r="C839" s="67"/>
      <c r="D839" s="67"/>
      <c r="F839" s="67"/>
      <c r="G839" s="67"/>
      <c r="N839" s="67"/>
      <c r="Q839" s="67"/>
      <c r="R839" s="67"/>
    </row>
    <row r="840" ht="14.25" customHeight="1">
      <c r="A840" s="67"/>
      <c r="C840" s="67"/>
      <c r="D840" s="67"/>
      <c r="F840" s="67"/>
      <c r="G840" s="67"/>
      <c r="N840" s="67"/>
      <c r="Q840" s="67"/>
      <c r="R840" s="67"/>
    </row>
    <row r="841" ht="14.25" customHeight="1">
      <c r="A841" s="67"/>
      <c r="C841" s="67"/>
      <c r="D841" s="67"/>
      <c r="F841" s="67"/>
      <c r="G841" s="67"/>
      <c r="N841" s="67"/>
      <c r="Q841" s="67"/>
      <c r="R841" s="67"/>
    </row>
    <row r="842" ht="14.25" customHeight="1">
      <c r="A842" s="67"/>
      <c r="C842" s="67"/>
      <c r="D842" s="67"/>
      <c r="F842" s="67"/>
      <c r="G842" s="67"/>
      <c r="N842" s="67"/>
      <c r="Q842" s="67"/>
      <c r="R842" s="67"/>
    </row>
    <row r="843" ht="14.25" customHeight="1">
      <c r="A843" s="67"/>
      <c r="C843" s="67"/>
      <c r="D843" s="67"/>
      <c r="F843" s="67"/>
      <c r="G843" s="67"/>
      <c r="N843" s="67"/>
      <c r="Q843" s="67"/>
      <c r="R843" s="67"/>
    </row>
    <row r="844" ht="14.25" customHeight="1">
      <c r="A844" s="67"/>
      <c r="C844" s="67"/>
      <c r="D844" s="67"/>
      <c r="F844" s="67"/>
      <c r="G844" s="67"/>
      <c r="N844" s="67"/>
      <c r="Q844" s="67"/>
      <c r="R844" s="67"/>
    </row>
    <row r="845" ht="14.25" customHeight="1">
      <c r="A845" s="67"/>
      <c r="C845" s="67"/>
      <c r="D845" s="67"/>
      <c r="F845" s="67"/>
      <c r="G845" s="67"/>
      <c r="N845" s="67"/>
      <c r="Q845" s="67"/>
      <c r="R845" s="67"/>
    </row>
    <row r="846" ht="14.25" customHeight="1">
      <c r="A846" s="67"/>
      <c r="C846" s="67"/>
      <c r="D846" s="67"/>
      <c r="F846" s="67"/>
      <c r="G846" s="67"/>
      <c r="N846" s="67"/>
      <c r="Q846" s="67"/>
      <c r="R846" s="67"/>
    </row>
    <row r="847" ht="14.25" customHeight="1">
      <c r="A847" s="67"/>
      <c r="C847" s="67"/>
      <c r="D847" s="67"/>
      <c r="F847" s="67"/>
      <c r="G847" s="67"/>
      <c r="N847" s="67"/>
      <c r="Q847" s="67"/>
      <c r="R847" s="67"/>
    </row>
    <row r="848" ht="14.25" customHeight="1">
      <c r="A848" s="67"/>
      <c r="C848" s="67"/>
      <c r="D848" s="67"/>
      <c r="F848" s="67"/>
      <c r="G848" s="67"/>
      <c r="N848" s="67"/>
      <c r="Q848" s="67"/>
      <c r="R848" s="67"/>
    </row>
    <row r="849" ht="14.25" customHeight="1">
      <c r="A849" s="67"/>
      <c r="C849" s="67"/>
      <c r="D849" s="67"/>
      <c r="F849" s="67"/>
      <c r="G849" s="67"/>
      <c r="N849" s="67"/>
      <c r="Q849" s="67"/>
      <c r="R849" s="67"/>
    </row>
    <row r="850" ht="14.25" customHeight="1">
      <c r="A850" s="67"/>
      <c r="C850" s="67"/>
      <c r="D850" s="67"/>
      <c r="F850" s="67"/>
      <c r="G850" s="67"/>
      <c r="N850" s="67"/>
      <c r="Q850" s="67"/>
      <c r="R850" s="67"/>
    </row>
    <row r="851" ht="14.25" customHeight="1">
      <c r="A851" s="67"/>
      <c r="C851" s="67"/>
      <c r="D851" s="67"/>
      <c r="F851" s="67"/>
      <c r="G851" s="67"/>
      <c r="N851" s="67"/>
      <c r="Q851" s="67"/>
      <c r="R851" s="67"/>
    </row>
    <row r="852" ht="14.25" customHeight="1">
      <c r="A852" s="67"/>
      <c r="C852" s="67"/>
      <c r="D852" s="67"/>
      <c r="F852" s="67"/>
      <c r="G852" s="67"/>
      <c r="N852" s="67"/>
      <c r="Q852" s="67"/>
      <c r="R852" s="67"/>
    </row>
    <row r="853" ht="14.25" customHeight="1">
      <c r="A853" s="67"/>
      <c r="C853" s="67"/>
      <c r="D853" s="67"/>
      <c r="F853" s="67"/>
      <c r="G853" s="67"/>
      <c r="N853" s="67"/>
      <c r="Q853" s="67"/>
      <c r="R853" s="67"/>
    </row>
    <row r="854" ht="14.25" customHeight="1">
      <c r="A854" s="67"/>
      <c r="C854" s="67"/>
      <c r="D854" s="67"/>
      <c r="F854" s="67"/>
      <c r="G854" s="67"/>
      <c r="N854" s="67"/>
      <c r="Q854" s="67"/>
      <c r="R854" s="67"/>
    </row>
    <row r="855" ht="14.25" customHeight="1">
      <c r="A855" s="67"/>
      <c r="C855" s="67"/>
      <c r="D855" s="67"/>
      <c r="F855" s="67"/>
      <c r="G855" s="67"/>
      <c r="N855" s="67"/>
      <c r="Q855" s="67"/>
      <c r="R855" s="67"/>
    </row>
    <row r="856" ht="14.25" customHeight="1">
      <c r="A856" s="67"/>
      <c r="C856" s="67"/>
      <c r="D856" s="67"/>
      <c r="F856" s="67"/>
      <c r="G856" s="67"/>
      <c r="N856" s="67"/>
      <c r="Q856" s="67"/>
      <c r="R856" s="67"/>
    </row>
    <row r="857" ht="14.25" customHeight="1">
      <c r="A857" s="67"/>
      <c r="C857" s="67"/>
      <c r="D857" s="67"/>
      <c r="F857" s="67"/>
      <c r="G857" s="67"/>
      <c r="N857" s="67"/>
      <c r="Q857" s="67"/>
      <c r="R857" s="67"/>
    </row>
    <row r="858" ht="14.25" customHeight="1">
      <c r="A858" s="67"/>
      <c r="C858" s="67"/>
      <c r="D858" s="67"/>
      <c r="F858" s="67"/>
      <c r="G858" s="67"/>
      <c r="N858" s="67"/>
      <c r="Q858" s="67"/>
      <c r="R858" s="67"/>
    </row>
    <row r="859" ht="14.25" customHeight="1">
      <c r="A859" s="67"/>
      <c r="C859" s="67"/>
      <c r="D859" s="67"/>
      <c r="F859" s="67"/>
      <c r="G859" s="67"/>
      <c r="N859" s="67"/>
      <c r="Q859" s="67"/>
      <c r="R859" s="67"/>
    </row>
    <row r="860" ht="14.25" customHeight="1">
      <c r="A860" s="67"/>
      <c r="C860" s="67"/>
      <c r="D860" s="67"/>
      <c r="F860" s="67"/>
      <c r="G860" s="67"/>
      <c r="N860" s="67"/>
      <c r="Q860" s="67"/>
      <c r="R860" s="67"/>
    </row>
    <row r="861" ht="14.25" customHeight="1">
      <c r="A861" s="67"/>
      <c r="C861" s="67"/>
      <c r="D861" s="67"/>
      <c r="F861" s="67"/>
      <c r="G861" s="67"/>
      <c r="N861" s="67"/>
      <c r="Q861" s="67"/>
      <c r="R861" s="67"/>
    </row>
    <row r="862" ht="14.25" customHeight="1">
      <c r="A862" s="67"/>
      <c r="C862" s="67"/>
      <c r="D862" s="67"/>
      <c r="F862" s="67"/>
      <c r="G862" s="67"/>
      <c r="N862" s="67"/>
      <c r="Q862" s="67"/>
      <c r="R862" s="67"/>
    </row>
    <row r="863" ht="14.25" customHeight="1">
      <c r="A863" s="67"/>
      <c r="C863" s="67"/>
      <c r="D863" s="67"/>
      <c r="F863" s="67"/>
      <c r="G863" s="67"/>
      <c r="N863" s="67"/>
      <c r="Q863" s="67"/>
      <c r="R863" s="67"/>
    </row>
    <row r="864" ht="14.25" customHeight="1">
      <c r="A864" s="67"/>
      <c r="C864" s="67"/>
      <c r="D864" s="67"/>
      <c r="F864" s="67"/>
      <c r="G864" s="67"/>
      <c r="N864" s="67"/>
      <c r="Q864" s="67"/>
      <c r="R864" s="67"/>
    </row>
    <row r="865" ht="14.25" customHeight="1">
      <c r="A865" s="67"/>
      <c r="C865" s="67"/>
      <c r="D865" s="67"/>
      <c r="F865" s="67"/>
      <c r="G865" s="67"/>
      <c r="N865" s="67"/>
      <c r="Q865" s="67"/>
      <c r="R865" s="67"/>
    </row>
    <row r="866" ht="14.25" customHeight="1">
      <c r="A866" s="67"/>
      <c r="C866" s="67"/>
      <c r="D866" s="67"/>
      <c r="F866" s="67"/>
      <c r="G866" s="67"/>
      <c r="N866" s="67"/>
      <c r="Q866" s="67"/>
      <c r="R866" s="67"/>
    </row>
    <row r="867" ht="14.25" customHeight="1">
      <c r="A867" s="67"/>
      <c r="C867" s="67"/>
      <c r="D867" s="67"/>
      <c r="F867" s="67"/>
      <c r="G867" s="67"/>
      <c r="N867" s="67"/>
      <c r="Q867" s="67"/>
      <c r="R867" s="67"/>
    </row>
    <row r="868" ht="14.25" customHeight="1">
      <c r="A868" s="67"/>
      <c r="C868" s="67"/>
      <c r="D868" s="67"/>
      <c r="F868" s="67"/>
      <c r="G868" s="67"/>
      <c r="N868" s="67"/>
      <c r="Q868" s="67"/>
      <c r="R868" s="67"/>
    </row>
    <row r="869" ht="14.25" customHeight="1">
      <c r="A869" s="67"/>
      <c r="C869" s="67"/>
      <c r="D869" s="67"/>
      <c r="F869" s="67"/>
      <c r="G869" s="67"/>
      <c r="N869" s="67"/>
      <c r="Q869" s="67"/>
      <c r="R869" s="67"/>
    </row>
    <row r="870" ht="14.25" customHeight="1">
      <c r="A870" s="67"/>
      <c r="C870" s="67"/>
      <c r="D870" s="67"/>
      <c r="F870" s="67"/>
      <c r="G870" s="67"/>
      <c r="N870" s="67"/>
      <c r="Q870" s="67"/>
      <c r="R870" s="67"/>
    </row>
    <row r="871" ht="14.25" customHeight="1">
      <c r="A871" s="67"/>
      <c r="C871" s="67"/>
      <c r="D871" s="67"/>
      <c r="F871" s="67"/>
      <c r="G871" s="67"/>
      <c r="N871" s="67"/>
      <c r="Q871" s="67"/>
      <c r="R871" s="67"/>
    </row>
    <row r="872" ht="14.25" customHeight="1">
      <c r="A872" s="67"/>
      <c r="C872" s="67"/>
      <c r="D872" s="67"/>
      <c r="F872" s="67"/>
      <c r="G872" s="67"/>
      <c r="N872" s="67"/>
      <c r="Q872" s="67"/>
      <c r="R872" s="67"/>
    </row>
    <row r="873" ht="14.25" customHeight="1">
      <c r="A873" s="67"/>
      <c r="C873" s="67"/>
      <c r="D873" s="67"/>
      <c r="F873" s="67"/>
      <c r="G873" s="67"/>
      <c r="N873" s="67"/>
      <c r="Q873" s="67"/>
      <c r="R873" s="67"/>
    </row>
    <row r="874" ht="14.25" customHeight="1">
      <c r="A874" s="67"/>
      <c r="C874" s="67"/>
      <c r="D874" s="67"/>
      <c r="F874" s="67"/>
      <c r="G874" s="67"/>
      <c r="N874" s="67"/>
      <c r="Q874" s="67"/>
      <c r="R874" s="67"/>
    </row>
    <row r="875" ht="14.25" customHeight="1">
      <c r="A875" s="67"/>
      <c r="C875" s="67"/>
      <c r="D875" s="67"/>
      <c r="F875" s="67"/>
      <c r="G875" s="67"/>
      <c r="N875" s="67"/>
      <c r="Q875" s="67"/>
      <c r="R875" s="67"/>
    </row>
    <row r="876" ht="14.25" customHeight="1">
      <c r="A876" s="67"/>
      <c r="C876" s="67"/>
      <c r="D876" s="67"/>
      <c r="F876" s="67"/>
      <c r="G876" s="67"/>
      <c r="N876" s="67"/>
      <c r="Q876" s="67"/>
      <c r="R876" s="67"/>
    </row>
    <row r="877" ht="14.25" customHeight="1">
      <c r="A877" s="67"/>
      <c r="C877" s="67"/>
      <c r="D877" s="67"/>
      <c r="F877" s="67"/>
      <c r="G877" s="67"/>
      <c r="N877" s="67"/>
      <c r="Q877" s="67"/>
      <c r="R877" s="67"/>
    </row>
    <row r="878" ht="14.25" customHeight="1">
      <c r="A878" s="67"/>
      <c r="C878" s="67"/>
      <c r="D878" s="67"/>
      <c r="F878" s="67"/>
      <c r="G878" s="67"/>
      <c r="N878" s="67"/>
      <c r="Q878" s="67"/>
      <c r="R878" s="67"/>
    </row>
    <row r="879" ht="14.25" customHeight="1">
      <c r="A879" s="67"/>
      <c r="C879" s="67"/>
      <c r="D879" s="67"/>
      <c r="F879" s="67"/>
      <c r="G879" s="67"/>
      <c r="N879" s="67"/>
      <c r="Q879" s="67"/>
      <c r="R879" s="67"/>
    </row>
    <row r="880" ht="14.25" customHeight="1">
      <c r="A880" s="67"/>
      <c r="C880" s="67"/>
      <c r="D880" s="67"/>
      <c r="F880" s="67"/>
      <c r="G880" s="67"/>
      <c r="N880" s="67"/>
      <c r="Q880" s="67"/>
      <c r="R880" s="67"/>
    </row>
    <row r="881" ht="14.25" customHeight="1">
      <c r="A881" s="67"/>
      <c r="C881" s="67"/>
      <c r="D881" s="67"/>
      <c r="F881" s="67"/>
      <c r="G881" s="67"/>
      <c r="N881" s="67"/>
      <c r="Q881" s="67"/>
      <c r="R881" s="67"/>
    </row>
    <row r="882" ht="14.25" customHeight="1">
      <c r="A882" s="67"/>
      <c r="C882" s="67"/>
      <c r="D882" s="67"/>
      <c r="F882" s="67"/>
      <c r="G882" s="67"/>
      <c r="N882" s="67"/>
      <c r="Q882" s="67"/>
      <c r="R882" s="67"/>
    </row>
    <row r="883" ht="14.25" customHeight="1">
      <c r="A883" s="67"/>
      <c r="C883" s="67"/>
      <c r="D883" s="67"/>
      <c r="F883" s="67"/>
      <c r="G883" s="67"/>
      <c r="N883" s="67"/>
      <c r="Q883" s="67"/>
      <c r="R883" s="67"/>
    </row>
    <row r="884" ht="14.25" customHeight="1">
      <c r="A884" s="67"/>
      <c r="C884" s="67"/>
      <c r="D884" s="67"/>
      <c r="F884" s="67"/>
      <c r="G884" s="67"/>
      <c r="N884" s="67"/>
      <c r="Q884" s="67"/>
      <c r="R884" s="67"/>
    </row>
    <row r="885" ht="14.25" customHeight="1">
      <c r="A885" s="67"/>
      <c r="C885" s="67"/>
      <c r="D885" s="67"/>
      <c r="F885" s="67"/>
      <c r="G885" s="67"/>
      <c r="N885" s="67"/>
      <c r="Q885" s="67"/>
      <c r="R885" s="67"/>
    </row>
    <row r="886" ht="14.25" customHeight="1">
      <c r="A886" s="67"/>
      <c r="C886" s="67"/>
      <c r="D886" s="67"/>
      <c r="F886" s="67"/>
      <c r="G886" s="67"/>
      <c r="N886" s="67"/>
      <c r="Q886" s="67"/>
      <c r="R886" s="67"/>
    </row>
    <row r="887" ht="14.25" customHeight="1">
      <c r="A887" s="67"/>
      <c r="C887" s="67"/>
      <c r="D887" s="67"/>
      <c r="F887" s="67"/>
      <c r="G887" s="67"/>
      <c r="N887" s="67"/>
      <c r="Q887" s="67"/>
      <c r="R887" s="67"/>
    </row>
    <row r="888" ht="14.25" customHeight="1">
      <c r="A888" s="67"/>
      <c r="C888" s="67"/>
      <c r="D888" s="67"/>
      <c r="F888" s="67"/>
      <c r="G888" s="67"/>
      <c r="N888" s="67"/>
      <c r="Q888" s="67"/>
      <c r="R888" s="67"/>
    </row>
    <row r="889" ht="14.25" customHeight="1">
      <c r="A889" s="67"/>
      <c r="C889" s="67"/>
      <c r="D889" s="67"/>
      <c r="F889" s="67"/>
      <c r="G889" s="67"/>
      <c r="N889" s="67"/>
      <c r="Q889" s="67"/>
      <c r="R889" s="67"/>
    </row>
    <row r="890" ht="14.25" customHeight="1">
      <c r="A890" s="67"/>
      <c r="C890" s="67"/>
      <c r="D890" s="67"/>
      <c r="F890" s="67"/>
      <c r="G890" s="67"/>
      <c r="N890" s="67"/>
      <c r="Q890" s="67"/>
      <c r="R890" s="67"/>
    </row>
    <row r="891" ht="14.25" customHeight="1">
      <c r="A891" s="67"/>
      <c r="C891" s="67"/>
      <c r="D891" s="67"/>
      <c r="F891" s="67"/>
      <c r="G891" s="67"/>
      <c r="N891" s="67"/>
      <c r="Q891" s="67"/>
      <c r="R891" s="67"/>
    </row>
    <row r="892" ht="14.25" customHeight="1">
      <c r="A892" s="67"/>
      <c r="C892" s="67"/>
      <c r="D892" s="67"/>
      <c r="F892" s="67"/>
      <c r="G892" s="67"/>
      <c r="N892" s="67"/>
      <c r="Q892" s="67"/>
      <c r="R892" s="67"/>
    </row>
    <row r="893" ht="14.25" customHeight="1">
      <c r="A893" s="67"/>
      <c r="C893" s="67"/>
      <c r="D893" s="67"/>
      <c r="F893" s="67"/>
      <c r="G893" s="67"/>
      <c r="N893" s="67"/>
      <c r="Q893" s="67"/>
      <c r="R893" s="67"/>
    </row>
    <row r="894" ht="14.25" customHeight="1">
      <c r="A894" s="67"/>
      <c r="C894" s="67"/>
      <c r="D894" s="67"/>
      <c r="F894" s="67"/>
      <c r="G894" s="67"/>
      <c r="N894" s="67"/>
      <c r="Q894" s="67"/>
      <c r="R894" s="67"/>
    </row>
    <row r="895" ht="14.25" customHeight="1">
      <c r="A895" s="67"/>
      <c r="C895" s="67"/>
      <c r="D895" s="67"/>
      <c r="F895" s="67"/>
      <c r="G895" s="67"/>
      <c r="N895" s="67"/>
      <c r="Q895" s="67"/>
      <c r="R895" s="67"/>
    </row>
    <row r="896" ht="14.25" customHeight="1">
      <c r="A896" s="67"/>
      <c r="C896" s="67"/>
      <c r="D896" s="67"/>
      <c r="F896" s="67"/>
      <c r="G896" s="67"/>
      <c r="N896" s="67"/>
      <c r="Q896" s="67"/>
      <c r="R896" s="67"/>
    </row>
    <row r="897" ht="14.25" customHeight="1">
      <c r="A897" s="67"/>
      <c r="C897" s="67"/>
      <c r="D897" s="67"/>
      <c r="F897" s="67"/>
      <c r="G897" s="67"/>
      <c r="N897" s="67"/>
      <c r="Q897" s="67"/>
      <c r="R897" s="67"/>
    </row>
    <row r="898" ht="14.25" customHeight="1">
      <c r="A898" s="67"/>
      <c r="C898" s="67"/>
      <c r="D898" s="67"/>
      <c r="F898" s="67"/>
      <c r="G898" s="67"/>
      <c r="N898" s="67"/>
      <c r="Q898" s="67"/>
      <c r="R898" s="67"/>
    </row>
    <row r="899" ht="14.25" customHeight="1">
      <c r="A899" s="67"/>
      <c r="C899" s="67"/>
      <c r="D899" s="67"/>
      <c r="F899" s="67"/>
      <c r="G899" s="67"/>
      <c r="N899" s="67"/>
      <c r="Q899" s="67"/>
      <c r="R899" s="67"/>
    </row>
    <row r="900" ht="14.25" customHeight="1">
      <c r="A900" s="67"/>
      <c r="C900" s="67"/>
      <c r="D900" s="67"/>
      <c r="F900" s="67"/>
      <c r="G900" s="67"/>
      <c r="N900" s="67"/>
      <c r="Q900" s="67"/>
      <c r="R900" s="67"/>
    </row>
    <row r="901" ht="14.25" customHeight="1">
      <c r="A901" s="67"/>
      <c r="C901" s="67"/>
      <c r="D901" s="67"/>
      <c r="F901" s="67"/>
      <c r="G901" s="67"/>
      <c r="N901" s="67"/>
      <c r="Q901" s="67"/>
      <c r="R901" s="67"/>
    </row>
    <row r="902" ht="14.25" customHeight="1">
      <c r="A902" s="67"/>
      <c r="C902" s="67"/>
      <c r="D902" s="67"/>
      <c r="F902" s="67"/>
      <c r="G902" s="67"/>
      <c r="N902" s="67"/>
      <c r="Q902" s="67"/>
      <c r="R902" s="67"/>
    </row>
    <row r="903" ht="14.25" customHeight="1">
      <c r="A903" s="67"/>
      <c r="C903" s="67"/>
      <c r="D903" s="67"/>
      <c r="F903" s="67"/>
      <c r="G903" s="67"/>
      <c r="N903" s="67"/>
      <c r="Q903" s="67"/>
      <c r="R903" s="67"/>
    </row>
    <row r="904" ht="14.25" customHeight="1">
      <c r="A904" s="67"/>
      <c r="C904" s="67"/>
      <c r="D904" s="67"/>
      <c r="F904" s="67"/>
      <c r="G904" s="67"/>
      <c r="N904" s="67"/>
      <c r="Q904" s="67"/>
      <c r="R904" s="67"/>
    </row>
    <row r="905" ht="14.25" customHeight="1">
      <c r="A905" s="67"/>
      <c r="C905" s="67"/>
      <c r="D905" s="67"/>
      <c r="F905" s="67"/>
      <c r="G905" s="67"/>
      <c r="N905" s="67"/>
      <c r="Q905" s="67"/>
      <c r="R905" s="67"/>
    </row>
    <row r="906" ht="14.25" customHeight="1">
      <c r="A906" s="67"/>
      <c r="C906" s="67"/>
      <c r="D906" s="67"/>
      <c r="F906" s="67"/>
      <c r="G906" s="67"/>
      <c r="N906" s="67"/>
      <c r="Q906" s="67"/>
      <c r="R906" s="67"/>
    </row>
    <row r="907" ht="14.25" customHeight="1">
      <c r="A907" s="67"/>
      <c r="C907" s="67"/>
      <c r="D907" s="67"/>
      <c r="F907" s="67"/>
      <c r="G907" s="67"/>
      <c r="N907" s="67"/>
      <c r="Q907" s="67"/>
      <c r="R907" s="67"/>
    </row>
    <row r="908" ht="14.25" customHeight="1">
      <c r="A908" s="67"/>
      <c r="C908" s="67"/>
      <c r="D908" s="67"/>
      <c r="F908" s="67"/>
      <c r="G908" s="67"/>
      <c r="N908" s="67"/>
      <c r="Q908" s="67"/>
      <c r="R908" s="67"/>
    </row>
    <row r="909" ht="14.25" customHeight="1">
      <c r="A909" s="67"/>
      <c r="C909" s="67"/>
      <c r="D909" s="67"/>
      <c r="F909" s="67"/>
      <c r="G909" s="67"/>
      <c r="N909" s="67"/>
      <c r="Q909" s="67"/>
      <c r="R909" s="67"/>
    </row>
    <row r="910" ht="14.25" customHeight="1">
      <c r="A910" s="67"/>
      <c r="C910" s="67"/>
      <c r="D910" s="67"/>
      <c r="F910" s="67"/>
      <c r="G910" s="67"/>
      <c r="N910" s="67"/>
      <c r="Q910" s="67"/>
      <c r="R910" s="67"/>
    </row>
    <row r="911" ht="14.25" customHeight="1">
      <c r="A911" s="67"/>
      <c r="C911" s="67"/>
      <c r="D911" s="67"/>
      <c r="F911" s="67"/>
      <c r="G911" s="67"/>
      <c r="N911" s="67"/>
      <c r="Q911" s="67"/>
      <c r="R911" s="67"/>
    </row>
    <row r="912" ht="14.25" customHeight="1">
      <c r="A912" s="67"/>
      <c r="C912" s="67"/>
      <c r="D912" s="67"/>
      <c r="F912" s="67"/>
      <c r="G912" s="67"/>
      <c r="N912" s="67"/>
      <c r="Q912" s="67"/>
      <c r="R912" s="67"/>
    </row>
    <row r="913" ht="14.25" customHeight="1">
      <c r="A913" s="67"/>
      <c r="C913" s="67"/>
      <c r="D913" s="67"/>
      <c r="F913" s="67"/>
      <c r="G913" s="67"/>
      <c r="N913" s="67"/>
      <c r="Q913" s="67"/>
      <c r="R913" s="67"/>
    </row>
    <row r="914" ht="14.25" customHeight="1">
      <c r="A914" s="67"/>
      <c r="C914" s="67"/>
      <c r="D914" s="67"/>
      <c r="F914" s="67"/>
      <c r="G914" s="67"/>
      <c r="N914" s="67"/>
      <c r="Q914" s="67"/>
      <c r="R914" s="67"/>
    </row>
    <row r="915" ht="14.25" customHeight="1">
      <c r="A915" s="67"/>
      <c r="C915" s="67"/>
      <c r="D915" s="67"/>
      <c r="F915" s="67"/>
      <c r="G915" s="67"/>
      <c r="N915" s="67"/>
      <c r="Q915" s="67"/>
      <c r="R915" s="67"/>
    </row>
    <row r="916" ht="14.25" customHeight="1">
      <c r="A916" s="67"/>
      <c r="C916" s="67"/>
      <c r="D916" s="67"/>
      <c r="F916" s="67"/>
      <c r="G916" s="67"/>
      <c r="N916" s="67"/>
      <c r="Q916" s="67"/>
      <c r="R916" s="67"/>
    </row>
    <row r="917" ht="14.25" customHeight="1">
      <c r="A917" s="67"/>
      <c r="C917" s="67"/>
      <c r="D917" s="67"/>
      <c r="F917" s="67"/>
      <c r="G917" s="67"/>
      <c r="N917" s="67"/>
      <c r="Q917" s="67"/>
      <c r="R917" s="67"/>
    </row>
    <row r="918" ht="14.25" customHeight="1">
      <c r="A918" s="67"/>
      <c r="C918" s="67"/>
      <c r="D918" s="67"/>
      <c r="F918" s="67"/>
      <c r="G918" s="67"/>
      <c r="N918" s="67"/>
      <c r="Q918" s="67"/>
      <c r="R918" s="67"/>
    </row>
    <row r="919" ht="14.25" customHeight="1">
      <c r="A919" s="67"/>
      <c r="C919" s="67"/>
      <c r="D919" s="67"/>
      <c r="F919" s="67"/>
      <c r="G919" s="67"/>
      <c r="N919" s="67"/>
      <c r="Q919" s="67"/>
      <c r="R919" s="67"/>
    </row>
    <row r="920" ht="14.25" customHeight="1">
      <c r="A920" s="67"/>
      <c r="C920" s="67"/>
      <c r="D920" s="67"/>
      <c r="F920" s="67"/>
      <c r="G920" s="67"/>
      <c r="N920" s="67"/>
      <c r="Q920" s="67"/>
      <c r="R920" s="67"/>
    </row>
    <row r="921" ht="14.25" customHeight="1">
      <c r="A921" s="67"/>
      <c r="C921" s="67"/>
      <c r="D921" s="67"/>
      <c r="F921" s="67"/>
      <c r="G921" s="67"/>
      <c r="N921" s="67"/>
      <c r="Q921" s="67"/>
      <c r="R921" s="67"/>
    </row>
    <row r="922" ht="14.25" customHeight="1">
      <c r="A922" s="67"/>
      <c r="C922" s="67"/>
      <c r="D922" s="67"/>
      <c r="F922" s="67"/>
      <c r="G922" s="67"/>
      <c r="N922" s="67"/>
      <c r="Q922" s="67"/>
      <c r="R922" s="67"/>
    </row>
    <row r="923" ht="14.25" customHeight="1">
      <c r="A923" s="67"/>
      <c r="C923" s="67"/>
      <c r="D923" s="67"/>
      <c r="F923" s="67"/>
      <c r="G923" s="67"/>
      <c r="N923" s="67"/>
      <c r="Q923" s="67"/>
      <c r="R923" s="67"/>
    </row>
    <row r="924" ht="14.25" customHeight="1">
      <c r="A924" s="67"/>
      <c r="C924" s="67"/>
      <c r="D924" s="67"/>
      <c r="F924" s="67"/>
      <c r="G924" s="67"/>
      <c r="N924" s="67"/>
      <c r="Q924" s="67"/>
      <c r="R924" s="67"/>
    </row>
    <row r="925" ht="14.25" customHeight="1">
      <c r="A925" s="67"/>
      <c r="C925" s="67"/>
      <c r="D925" s="67"/>
      <c r="F925" s="67"/>
      <c r="G925" s="67"/>
      <c r="N925" s="67"/>
      <c r="Q925" s="67"/>
      <c r="R925" s="67"/>
    </row>
    <row r="926" ht="14.25" customHeight="1">
      <c r="A926" s="67"/>
      <c r="C926" s="67"/>
      <c r="D926" s="67"/>
      <c r="F926" s="67"/>
      <c r="G926" s="67"/>
      <c r="N926" s="67"/>
      <c r="Q926" s="67"/>
      <c r="R926" s="67"/>
    </row>
    <row r="927" ht="14.25" customHeight="1">
      <c r="A927" s="67"/>
      <c r="C927" s="67"/>
      <c r="D927" s="67"/>
      <c r="F927" s="67"/>
      <c r="G927" s="67"/>
      <c r="N927" s="67"/>
      <c r="Q927" s="67"/>
      <c r="R927" s="67"/>
    </row>
    <row r="928" ht="14.25" customHeight="1">
      <c r="A928" s="67"/>
      <c r="C928" s="67"/>
      <c r="D928" s="67"/>
      <c r="F928" s="67"/>
      <c r="G928" s="67"/>
      <c r="N928" s="67"/>
      <c r="Q928" s="67"/>
      <c r="R928" s="67"/>
    </row>
    <row r="929" ht="14.25" customHeight="1">
      <c r="A929" s="67"/>
      <c r="C929" s="67"/>
      <c r="D929" s="67"/>
      <c r="F929" s="67"/>
      <c r="G929" s="67"/>
      <c r="N929" s="67"/>
      <c r="Q929" s="67"/>
      <c r="R929" s="67"/>
    </row>
    <row r="930" ht="14.25" customHeight="1">
      <c r="A930" s="67"/>
      <c r="C930" s="67"/>
      <c r="D930" s="67"/>
      <c r="F930" s="67"/>
      <c r="G930" s="67"/>
      <c r="N930" s="67"/>
      <c r="Q930" s="67"/>
      <c r="R930" s="67"/>
    </row>
    <row r="931" ht="14.25" customHeight="1">
      <c r="A931" s="67"/>
      <c r="C931" s="67"/>
      <c r="D931" s="67"/>
      <c r="F931" s="67"/>
      <c r="G931" s="67"/>
      <c r="N931" s="67"/>
      <c r="Q931" s="67"/>
      <c r="R931" s="67"/>
    </row>
    <row r="932" ht="14.25" customHeight="1">
      <c r="A932" s="67"/>
      <c r="C932" s="67"/>
      <c r="D932" s="67"/>
      <c r="F932" s="67"/>
      <c r="G932" s="67"/>
      <c r="N932" s="67"/>
      <c r="Q932" s="67"/>
      <c r="R932" s="67"/>
    </row>
    <row r="933" ht="14.25" customHeight="1">
      <c r="A933" s="67"/>
      <c r="C933" s="67"/>
      <c r="D933" s="67"/>
      <c r="F933" s="67"/>
      <c r="G933" s="67"/>
      <c r="N933" s="67"/>
      <c r="Q933" s="67"/>
      <c r="R933" s="67"/>
    </row>
    <row r="934" ht="14.25" customHeight="1">
      <c r="A934" s="67"/>
      <c r="C934" s="67"/>
      <c r="D934" s="67"/>
      <c r="F934" s="67"/>
      <c r="G934" s="67"/>
      <c r="N934" s="67"/>
      <c r="Q934" s="67"/>
      <c r="R934" s="67"/>
    </row>
    <row r="935" ht="14.25" customHeight="1">
      <c r="A935" s="67"/>
      <c r="C935" s="67"/>
      <c r="D935" s="67"/>
      <c r="F935" s="67"/>
      <c r="G935" s="67"/>
      <c r="N935" s="67"/>
      <c r="Q935" s="67"/>
      <c r="R935" s="67"/>
    </row>
    <row r="936" ht="14.25" customHeight="1">
      <c r="A936" s="67"/>
      <c r="C936" s="67"/>
      <c r="D936" s="67"/>
      <c r="F936" s="67"/>
      <c r="G936" s="67"/>
      <c r="N936" s="67"/>
      <c r="Q936" s="67"/>
      <c r="R936" s="67"/>
    </row>
    <row r="937" ht="14.25" customHeight="1">
      <c r="A937" s="67"/>
      <c r="C937" s="67"/>
      <c r="D937" s="67"/>
      <c r="F937" s="67"/>
      <c r="G937" s="67"/>
      <c r="N937" s="67"/>
      <c r="Q937" s="67"/>
      <c r="R937" s="67"/>
    </row>
    <row r="938" ht="14.25" customHeight="1">
      <c r="A938" s="67"/>
      <c r="C938" s="67"/>
      <c r="D938" s="67"/>
      <c r="F938" s="67"/>
      <c r="G938" s="67"/>
      <c r="N938" s="67"/>
      <c r="Q938" s="67"/>
      <c r="R938" s="67"/>
    </row>
    <row r="939" ht="14.25" customHeight="1">
      <c r="A939" s="67"/>
      <c r="C939" s="67"/>
      <c r="D939" s="67"/>
      <c r="F939" s="67"/>
      <c r="G939" s="67"/>
      <c r="N939" s="67"/>
      <c r="Q939" s="67"/>
      <c r="R939" s="67"/>
    </row>
    <row r="940" ht="14.25" customHeight="1">
      <c r="A940" s="67"/>
      <c r="C940" s="67"/>
      <c r="D940" s="67"/>
      <c r="F940" s="67"/>
      <c r="G940" s="67"/>
      <c r="N940" s="67"/>
      <c r="Q940" s="67"/>
      <c r="R940" s="67"/>
    </row>
    <row r="941" ht="14.25" customHeight="1">
      <c r="A941" s="67"/>
      <c r="C941" s="67"/>
      <c r="D941" s="67"/>
      <c r="F941" s="67"/>
      <c r="G941" s="67"/>
      <c r="N941" s="67"/>
      <c r="Q941" s="67"/>
      <c r="R941" s="67"/>
    </row>
    <row r="942" ht="14.25" customHeight="1">
      <c r="A942" s="67"/>
      <c r="C942" s="67"/>
      <c r="D942" s="67"/>
      <c r="F942" s="67"/>
      <c r="G942" s="67"/>
      <c r="N942" s="67"/>
      <c r="Q942" s="67"/>
      <c r="R942" s="67"/>
    </row>
    <row r="943" ht="14.25" customHeight="1">
      <c r="A943" s="67"/>
      <c r="C943" s="67"/>
      <c r="D943" s="67"/>
      <c r="F943" s="67"/>
      <c r="G943" s="67"/>
      <c r="N943" s="67"/>
      <c r="Q943" s="67"/>
      <c r="R943" s="67"/>
    </row>
    <row r="944" ht="14.25" customHeight="1">
      <c r="A944" s="67"/>
      <c r="C944" s="67"/>
      <c r="D944" s="67"/>
      <c r="F944" s="67"/>
      <c r="G944" s="67"/>
      <c r="N944" s="67"/>
      <c r="Q944" s="67"/>
      <c r="R944" s="67"/>
    </row>
    <row r="945" ht="14.25" customHeight="1">
      <c r="A945" s="67"/>
      <c r="C945" s="67"/>
      <c r="D945" s="67"/>
      <c r="F945" s="67"/>
      <c r="G945" s="67"/>
      <c r="N945" s="67"/>
      <c r="Q945" s="67"/>
      <c r="R945" s="67"/>
    </row>
  </sheetData>
  <mergeCells count="2">
    <mergeCell ref="A1:F1"/>
    <mergeCell ref="G1:W1"/>
  </mergeCells>
  <dataValidations>
    <dataValidation type="list" allowBlank="1" showErrorMessage="1" sqref="F4:F387">
      <formula1>тип_данных[property_type]</formula1>
    </dataValidation>
    <dataValidation type="list" allowBlank="1" showErrorMessage="1" sqref="G4:J47 G48:H387">
      <formula1>"Y,N"</formula1>
    </dataValidation>
  </dataValidations>
  <printOptions/>
  <pageMargins bottom="0.75" footer="0.0" header="0.0" left="0.7" right="0.7" top="0.75"/>
  <pageSetup paperSize="9" orientation="portrait"/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1.14"/>
    <col customWidth="1" min="2" max="2" width="17.43"/>
    <col customWidth="1" min="3" max="4" width="8.71"/>
    <col customWidth="1" min="5" max="5" width="18.57"/>
    <col customWidth="1" min="6" max="6" width="30.0"/>
    <col customWidth="1" min="7" max="26" width="8.71"/>
  </cols>
  <sheetData>
    <row r="1" ht="14.25" customHeight="1">
      <c r="A1" s="68" t="s">
        <v>7</v>
      </c>
      <c r="B1" s="69" t="s">
        <v>27</v>
      </c>
      <c r="E1" s="68" t="s">
        <v>429</v>
      </c>
      <c r="F1" s="70" t="s">
        <v>27</v>
      </c>
    </row>
    <row r="2" ht="14.25" customHeight="1">
      <c r="A2" s="71" t="s">
        <v>430</v>
      </c>
      <c r="B2" s="72" t="s">
        <v>48</v>
      </c>
      <c r="E2" s="71" t="s">
        <v>431</v>
      </c>
      <c r="F2" s="73"/>
    </row>
    <row r="3" ht="14.25" customHeight="1">
      <c r="A3" s="74" t="s">
        <v>432</v>
      </c>
      <c r="B3" s="75" t="s">
        <v>47</v>
      </c>
      <c r="E3" s="74" t="s">
        <v>433</v>
      </c>
      <c r="F3" s="76" t="s">
        <v>434</v>
      </c>
    </row>
    <row r="4" ht="14.25" customHeight="1">
      <c r="A4" s="71" t="s">
        <v>435</v>
      </c>
      <c r="B4" s="72" t="s">
        <v>56</v>
      </c>
      <c r="E4" s="71" t="s">
        <v>436</v>
      </c>
      <c r="F4" s="77" t="s">
        <v>437</v>
      </c>
    </row>
    <row r="5" ht="14.25" customHeight="1">
      <c r="A5" s="74" t="s">
        <v>438</v>
      </c>
      <c r="B5" s="75" t="s">
        <v>439</v>
      </c>
      <c r="E5" s="74" t="s">
        <v>440</v>
      </c>
      <c r="F5" s="76" t="s">
        <v>441</v>
      </c>
    </row>
    <row r="6" ht="14.25" customHeight="1">
      <c r="A6" s="71" t="s">
        <v>442</v>
      </c>
      <c r="B6" s="72" t="s">
        <v>443</v>
      </c>
      <c r="E6" s="71" t="s">
        <v>444</v>
      </c>
      <c r="F6" s="77" t="s">
        <v>445</v>
      </c>
    </row>
    <row r="7" ht="14.25" customHeight="1">
      <c r="A7" s="78" t="s">
        <v>446</v>
      </c>
      <c r="B7" s="79" t="s">
        <v>71</v>
      </c>
      <c r="E7" s="80"/>
      <c r="F7" s="81"/>
    </row>
    <row r="8" ht="14.25" customHeight="1">
      <c r="F8" s="82"/>
    </row>
    <row r="9" ht="14.25" customHeight="1">
      <c r="F9" s="82"/>
    </row>
    <row r="10" ht="14.25" customHeight="1">
      <c r="F10" s="82"/>
    </row>
    <row r="11" ht="14.25" customHeight="1">
      <c r="F11" s="82"/>
    </row>
    <row r="12" ht="14.25" customHeight="1">
      <c r="F12" s="82"/>
    </row>
    <row r="13" ht="14.25" customHeight="1">
      <c r="F13" s="82"/>
    </row>
    <row r="14" ht="14.25" customHeight="1">
      <c r="F14" s="82"/>
    </row>
    <row r="15" ht="14.25" customHeight="1">
      <c r="F15" s="82"/>
    </row>
    <row r="16" ht="14.25" customHeight="1">
      <c r="F16" s="82"/>
    </row>
    <row r="17" ht="14.25" customHeight="1">
      <c r="F17" s="82"/>
    </row>
    <row r="18" ht="14.25" customHeight="1">
      <c r="F18" s="82"/>
    </row>
    <row r="19" ht="14.25" customHeight="1">
      <c r="F19" s="82"/>
    </row>
    <row r="20" ht="14.25" customHeight="1">
      <c r="F20" s="82"/>
    </row>
    <row r="21" ht="14.25" customHeight="1">
      <c r="F21" s="82"/>
    </row>
    <row r="22" ht="14.25" customHeight="1">
      <c r="F22" s="82"/>
    </row>
    <row r="23" ht="14.25" customHeight="1">
      <c r="F23" s="82"/>
    </row>
    <row r="24" ht="14.25" customHeight="1">
      <c r="F24" s="82"/>
    </row>
    <row r="25" ht="14.25" customHeight="1">
      <c r="F25" s="82"/>
    </row>
    <row r="26" ht="14.25" customHeight="1">
      <c r="F26" s="82"/>
    </row>
    <row r="27" ht="14.25" customHeight="1">
      <c r="F27" s="82"/>
    </row>
    <row r="28" ht="14.25" customHeight="1">
      <c r="F28" s="82"/>
    </row>
    <row r="29" ht="14.25" customHeight="1">
      <c r="F29" s="82"/>
    </row>
    <row r="30" ht="14.25" customHeight="1">
      <c r="F30" s="82"/>
    </row>
    <row r="31" ht="14.25" customHeight="1">
      <c r="F31" s="82"/>
    </row>
    <row r="32" ht="14.25" customHeight="1">
      <c r="F32" s="82"/>
    </row>
    <row r="33" ht="14.25" customHeight="1">
      <c r="F33" s="82"/>
    </row>
    <row r="34" ht="14.25" customHeight="1">
      <c r="F34" s="82"/>
    </row>
    <row r="35" ht="14.25" customHeight="1">
      <c r="F35" s="82"/>
    </row>
    <row r="36" ht="14.25" customHeight="1">
      <c r="F36" s="82"/>
    </row>
    <row r="37" ht="14.25" customHeight="1">
      <c r="F37" s="82"/>
    </row>
    <row r="38" ht="14.25" customHeight="1">
      <c r="F38" s="82"/>
    </row>
    <row r="39" ht="14.25" customHeight="1">
      <c r="F39" s="82"/>
    </row>
    <row r="40" ht="14.25" customHeight="1">
      <c r="F40" s="82"/>
    </row>
    <row r="41" ht="14.25" customHeight="1">
      <c r="F41" s="82"/>
    </row>
    <row r="42" ht="14.25" customHeight="1">
      <c r="F42" s="82"/>
    </row>
    <row r="43" ht="14.25" customHeight="1">
      <c r="F43" s="82"/>
    </row>
    <row r="44" ht="14.25" customHeight="1">
      <c r="F44" s="82"/>
    </row>
    <row r="45" ht="14.25" customHeight="1">
      <c r="F45" s="82"/>
    </row>
    <row r="46" ht="14.25" customHeight="1">
      <c r="F46" s="82"/>
    </row>
    <row r="47" ht="14.25" customHeight="1">
      <c r="F47" s="82"/>
    </row>
    <row r="48" ht="14.25" customHeight="1">
      <c r="F48" s="82"/>
    </row>
    <row r="49" ht="14.25" customHeight="1">
      <c r="F49" s="82"/>
    </row>
    <row r="50" ht="14.25" customHeight="1">
      <c r="F50" s="82"/>
    </row>
    <row r="51" ht="14.25" customHeight="1">
      <c r="F51" s="82"/>
    </row>
    <row r="52" ht="14.25" customHeight="1">
      <c r="F52" s="82"/>
    </row>
    <row r="53" ht="14.25" customHeight="1">
      <c r="F53" s="82"/>
    </row>
    <row r="54" ht="14.25" customHeight="1">
      <c r="F54" s="82"/>
    </row>
    <row r="55" ht="14.25" customHeight="1">
      <c r="F55" s="82"/>
    </row>
    <row r="56" ht="14.25" customHeight="1">
      <c r="F56" s="82"/>
    </row>
    <row r="57" ht="14.25" customHeight="1">
      <c r="F57" s="82"/>
    </row>
    <row r="58" ht="14.25" customHeight="1">
      <c r="F58" s="82"/>
    </row>
    <row r="59" ht="14.25" customHeight="1">
      <c r="F59" s="82"/>
    </row>
    <row r="60" ht="14.25" customHeight="1">
      <c r="F60" s="82"/>
    </row>
    <row r="61" ht="14.25" customHeight="1">
      <c r="F61" s="82"/>
    </row>
    <row r="62" ht="14.25" customHeight="1">
      <c r="F62" s="82"/>
    </row>
    <row r="63" ht="14.25" customHeight="1">
      <c r="F63" s="82"/>
    </row>
    <row r="64" ht="14.25" customHeight="1">
      <c r="F64" s="82"/>
    </row>
    <row r="65" ht="14.25" customHeight="1">
      <c r="F65" s="82"/>
    </row>
    <row r="66" ht="14.25" customHeight="1">
      <c r="F66" s="82"/>
    </row>
    <row r="67" ht="14.25" customHeight="1">
      <c r="F67" s="82"/>
    </row>
    <row r="68" ht="14.25" customHeight="1">
      <c r="F68" s="82"/>
    </row>
    <row r="69" ht="14.25" customHeight="1">
      <c r="F69" s="82"/>
    </row>
    <row r="70" ht="14.25" customHeight="1">
      <c r="F70" s="82"/>
    </row>
    <row r="71" ht="14.25" customHeight="1">
      <c r="F71" s="82"/>
    </row>
    <row r="72" ht="14.25" customHeight="1">
      <c r="F72" s="82"/>
    </row>
    <row r="73" ht="14.25" customHeight="1">
      <c r="F73" s="82"/>
    </row>
    <row r="74" ht="14.25" customHeight="1">
      <c r="F74" s="82"/>
    </row>
    <row r="75" ht="14.25" customHeight="1">
      <c r="F75" s="82"/>
    </row>
    <row r="76" ht="14.25" customHeight="1">
      <c r="F76" s="82"/>
    </row>
    <row r="77" ht="14.25" customHeight="1">
      <c r="F77" s="82"/>
    </row>
    <row r="78" ht="14.25" customHeight="1">
      <c r="F78" s="82"/>
    </row>
    <row r="79" ht="14.25" customHeight="1">
      <c r="F79" s="82"/>
    </row>
    <row r="80" ht="14.25" customHeight="1">
      <c r="F80" s="82"/>
    </row>
    <row r="81" ht="14.25" customHeight="1">
      <c r="F81" s="82"/>
    </row>
    <row r="82" ht="14.25" customHeight="1">
      <c r="F82" s="82"/>
    </row>
    <row r="83" ht="14.25" customHeight="1">
      <c r="F83" s="82"/>
    </row>
    <row r="84" ht="14.25" customHeight="1">
      <c r="F84" s="82"/>
    </row>
    <row r="85" ht="14.25" customHeight="1">
      <c r="F85" s="82"/>
    </row>
    <row r="86" ht="14.25" customHeight="1">
      <c r="F86" s="82"/>
    </row>
    <row r="87" ht="14.25" customHeight="1">
      <c r="F87" s="82"/>
    </row>
    <row r="88" ht="14.25" customHeight="1">
      <c r="F88" s="82"/>
    </row>
    <row r="89" ht="14.25" customHeight="1">
      <c r="F89" s="82"/>
    </row>
    <row r="90" ht="14.25" customHeight="1">
      <c r="F90" s="82"/>
    </row>
    <row r="91" ht="14.25" customHeight="1">
      <c r="F91" s="82"/>
    </row>
    <row r="92" ht="14.25" customHeight="1">
      <c r="F92" s="82"/>
    </row>
    <row r="93" ht="14.25" customHeight="1">
      <c r="F93" s="82"/>
    </row>
    <row r="94" ht="14.25" customHeight="1">
      <c r="F94" s="82"/>
    </row>
    <row r="95" ht="14.25" customHeight="1">
      <c r="F95" s="82"/>
    </row>
    <row r="96" ht="14.25" customHeight="1">
      <c r="F96" s="82"/>
    </row>
    <row r="97" ht="14.25" customHeight="1">
      <c r="F97" s="82"/>
    </row>
    <row r="98" ht="14.25" customHeight="1">
      <c r="F98" s="82"/>
    </row>
    <row r="99" ht="14.25" customHeight="1">
      <c r="F99" s="82"/>
    </row>
    <row r="100" ht="14.25" customHeight="1">
      <c r="F100" s="82"/>
    </row>
    <row r="101" ht="14.25" customHeight="1">
      <c r="F101" s="82"/>
    </row>
    <row r="102" ht="14.25" customHeight="1">
      <c r="F102" s="82"/>
    </row>
    <row r="103" ht="14.25" customHeight="1">
      <c r="F103" s="82"/>
    </row>
    <row r="104" ht="14.25" customHeight="1">
      <c r="F104" s="82"/>
    </row>
    <row r="105" ht="14.25" customHeight="1">
      <c r="F105" s="82"/>
    </row>
    <row r="106" ht="14.25" customHeight="1">
      <c r="F106" s="82"/>
    </row>
    <row r="107" ht="14.25" customHeight="1">
      <c r="F107" s="82"/>
    </row>
    <row r="108" ht="14.25" customHeight="1">
      <c r="F108" s="82"/>
    </row>
    <row r="109" ht="14.25" customHeight="1">
      <c r="F109" s="82"/>
    </row>
    <row r="110" ht="14.25" customHeight="1">
      <c r="F110" s="82"/>
    </row>
    <row r="111" ht="14.25" customHeight="1">
      <c r="F111" s="82"/>
    </row>
    <row r="112" ht="14.25" customHeight="1">
      <c r="F112" s="82"/>
    </row>
    <row r="113" ht="14.25" customHeight="1">
      <c r="F113" s="82"/>
    </row>
    <row r="114" ht="14.25" customHeight="1">
      <c r="F114" s="82"/>
    </row>
    <row r="115" ht="14.25" customHeight="1">
      <c r="F115" s="82"/>
    </row>
    <row r="116" ht="14.25" customHeight="1">
      <c r="F116" s="82"/>
    </row>
    <row r="117" ht="14.25" customHeight="1">
      <c r="F117" s="82"/>
    </row>
    <row r="118" ht="14.25" customHeight="1">
      <c r="F118" s="82"/>
    </row>
    <row r="119" ht="14.25" customHeight="1">
      <c r="F119" s="82"/>
    </row>
    <row r="120" ht="14.25" customHeight="1">
      <c r="F120" s="82"/>
    </row>
    <row r="121" ht="14.25" customHeight="1">
      <c r="F121" s="82"/>
    </row>
    <row r="122" ht="14.25" customHeight="1">
      <c r="F122" s="82"/>
    </row>
    <row r="123" ht="14.25" customHeight="1">
      <c r="F123" s="82"/>
    </row>
    <row r="124" ht="14.25" customHeight="1">
      <c r="F124" s="82"/>
    </row>
    <row r="125" ht="14.25" customHeight="1">
      <c r="F125" s="82"/>
    </row>
    <row r="126" ht="14.25" customHeight="1">
      <c r="F126" s="82"/>
    </row>
    <row r="127" ht="14.25" customHeight="1">
      <c r="F127" s="82"/>
    </row>
    <row r="128" ht="14.25" customHeight="1">
      <c r="F128" s="82"/>
    </row>
    <row r="129" ht="14.25" customHeight="1">
      <c r="F129" s="82"/>
    </row>
    <row r="130" ht="14.25" customHeight="1">
      <c r="F130" s="82"/>
    </row>
    <row r="131" ht="14.25" customHeight="1">
      <c r="F131" s="82"/>
    </row>
    <row r="132" ht="14.25" customHeight="1">
      <c r="F132" s="82"/>
    </row>
    <row r="133" ht="14.25" customHeight="1">
      <c r="F133" s="82"/>
    </row>
    <row r="134" ht="14.25" customHeight="1">
      <c r="F134" s="82"/>
    </row>
    <row r="135" ht="14.25" customHeight="1">
      <c r="F135" s="82"/>
    </row>
    <row r="136" ht="14.25" customHeight="1">
      <c r="F136" s="82"/>
    </row>
    <row r="137" ht="14.25" customHeight="1">
      <c r="F137" s="82"/>
    </row>
    <row r="138" ht="14.25" customHeight="1">
      <c r="F138" s="82"/>
    </row>
    <row r="139" ht="14.25" customHeight="1">
      <c r="F139" s="82"/>
    </row>
    <row r="140" ht="14.25" customHeight="1">
      <c r="F140" s="82"/>
    </row>
    <row r="141" ht="14.25" customHeight="1">
      <c r="F141" s="82"/>
    </row>
    <row r="142" ht="14.25" customHeight="1">
      <c r="F142" s="82"/>
    </row>
    <row r="143" ht="14.25" customHeight="1">
      <c r="F143" s="82"/>
    </row>
    <row r="144" ht="14.25" customHeight="1">
      <c r="F144" s="82"/>
    </row>
    <row r="145" ht="14.25" customHeight="1">
      <c r="F145" s="82"/>
    </row>
    <row r="146" ht="14.25" customHeight="1">
      <c r="F146" s="82"/>
    </row>
    <row r="147" ht="14.25" customHeight="1">
      <c r="F147" s="82"/>
    </row>
    <row r="148" ht="14.25" customHeight="1">
      <c r="F148" s="82"/>
    </row>
    <row r="149" ht="14.25" customHeight="1">
      <c r="F149" s="82"/>
    </row>
    <row r="150" ht="14.25" customHeight="1">
      <c r="F150" s="82"/>
    </row>
    <row r="151" ht="14.25" customHeight="1">
      <c r="F151" s="82"/>
    </row>
    <row r="152" ht="14.25" customHeight="1">
      <c r="F152" s="82"/>
    </row>
    <row r="153" ht="14.25" customHeight="1">
      <c r="F153" s="82"/>
    </row>
    <row r="154" ht="14.25" customHeight="1">
      <c r="F154" s="82"/>
    </row>
    <row r="155" ht="14.25" customHeight="1">
      <c r="F155" s="82"/>
    </row>
    <row r="156" ht="14.25" customHeight="1">
      <c r="F156" s="82"/>
    </row>
    <row r="157" ht="14.25" customHeight="1">
      <c r="F157" s="82"/>
    </row>
    <row r="158" ht="14.25" customHeight="1">
      <c r="F158" s="82"/>
    </row>
    <row r="159" ht="14.25" customHeight="1">
      <c r="F159" s="82"/>
    </row>
    <row r="160" ht="14.25" customHeight="1">
      <c r="F160" s="82"/>
    </row>
    <row r="161" ht="14.25" customHeight="1">
      <c r="F161" s="82"/>
    </row>
    <row r="162" ht="14.25" customHeight="1">
      <c r="F162" s="82"/>
    </row>
    <row r="163" ht="14.25" customHeight="1">
      <c r="F163" s="82"/>
    </row>
    <row r="164" ht="14.25" customHeight="1">
      <c r="F164" s="82"/>
    </row>
    <row r="165" ht="14.25" customHeight="1">
      <c r="F165" s="82"/>
    </row>
    <row r="166" ht="14.25" customHeight="1">
      <c r="F166" s="82"/>
    </row>
    <row r="167" ht="14.25" customHeight="1">
      <c r="F167" s="82"/>
    </row>
    <row r="168" ht="14.25" customHeight="1">
      <c r="F168" s="82"/>
    </row>
    <row r="169" ht="14.25" customHeight="1">
      <c r="F169" s="82"/>
    </row>
    <row r="170" ht="14.25" customHeight="1">
      <c r="F170" s="82"/>
    </row>
    <row r="171" ht="14.25" customHeight="1">
      <c r="F171" s="82"/>
    </row>
    <row r="172" ht="14.25" customHeight="1">
      <c r="F172" s="82"/>
    </row>
    <row r="173" ht="14.25" customHeight="1">
      <c r="F173" s="82"/>
    </row>
    <row r="174" ht="14.25" customHeight="1">
      <c r="F174" s="82"/>
    </row>
    <row r="175" ht="14.25" customHeight="1">
      <c r="F175" s="82"/>
    </row>
    <row r="176" ht="14.25" customHeight="1">
      <c r="F176" s="82"/>
    </row>
    <row r="177" ht="14.25" customHeight="1">
      <c r="F177" s="82"/>
    </row>
    <row r="178" ht="14.25" customHeight="1">
      <c r="F178" s="82"/>
    </row>
    <row r="179" ht="14.25" customHeight="1">
      <c r="F179" s="82"/>
    </row>
    <row r="180" ht="14.25" customHeight="1">
      <c r="F180" s="82"/>
    </row>
    <row r="181" ht="14.25" customHeight="1">
      <c r="F181" s="82"/>
    </row>
    <row r="182" ht="14.25" customHeight="1">
      <c r="F182" s="82"/>
    </row>
    <row r="183" ht="14.25" customHeight="1">
      <c r="F183" s="82"/>
    </row>
    <row r="184" ht="14.25" customHeight="1">
      <c r="F184" s="82"/>
    </row>
    <row r="185" ht="14.25" customHeight="1">
      <c r="F185" s="82"/>
    </row>
    <row r="186" ht="14.25" customHeight="1">
      <c r="F186" s="82"/>
    </row>
    <row r="187" ht="14.25" customHeight="1">
      <c r="F187" s="82"/>
    </row>
    <row r="188" ht="14.25" customHeight="1">
      <c r="F188" s="82"/>
    </row>
    <row r="189" ht="14.25" customHeight="1">
      <c r="F189" s="82"/>
    </row>
    <row r="190" ht="14.25" customHeight="1">
      <c r="F190" s="82"/>
    </row>
    <row r="191" ht="14.25" customHeight="1">
      <c r="F191" s="82"/>
    </row>
    <row r="192" ht="14.25" customHeight="1">
      <c r="F192" s="82"/>
    </row>
    <row r="193" ht="14.25" customHeight="1">
      <c r="F193" s="82"/>
    </row>
    <row r="194" ht="14.25" customHeight="1">
      <c r="F194" s="82"/>
    </row>
    <row r="195" ht="14.25" customHeight="1">
      <c r="F195" s="82"/>
    </row>
    <row r="196" ht="14.25" customHeight="1">
      <c r="F196" s="82"/>
    </row>
    <row r="197" ht="14.25" customHeight="1">
      <c r="F197" s="82"/>
    </row>
    <row r="198" ht="14.25" customHeight="1">
      <c r="F198" s="82"/>
    </row>
    <row r="199" ht="14.25" customHeight="1">
      <c r="F199" s="82"/>
    </row>
    <row r="200" ht="14.25" customHeight="1">
      <c r="F200" s="82"/>
    </row>
    <row r="201" ht="14.25" customHeight="1">
      <c r="F201" s="82"/>
    </row>
    <row r="202" ht="14.25" customHeight="1">
      <c r="F202" s="82"/>
    </row>
    <row r="203" ht="14.25" customHeight="1">
      <c r="F203" s="82"/>
    </row>
    <row r="204" ht="14.25" customHeight="1">
      <c r="F204" s="82"/>
    </row>
    <row r="205" ht="14.25" customHeight="1">
      <c r="F205" s="82"/>
    </row>
    <row r="206" ht="14.25" customHeight="1">
      <c r="F206" s="82"/>
    </row>
    <row r="207" ht="14.25" customHeight="1">
      <c r="F207" s="82"/>
    </row>
    <row r="208" ht="14.25" customHeight="1">
      <c r="F208" s="82"/>
    </row>
    <row r="209" ht="14.25" customHeight="1">
      <c r="F209" s="82"/>
    </row>
    <row r="210" ht="14.25" customHeight="1">
      <c r="F210" s="82"/>
    </row>
    <row r="211" ht="14.25" customHeight="1">
      <c r="F211" s="82"/>
    </row>
    <row r="212" ht="14.25" customHeight="1">
      <c r="F212" s="82"/>
    </row>
    <row r="213" ht="14.25" customHeight="1">
      <c r="F213" s="82"/>
    </row>
    <row r="214" ht="14.25" customHeight="1">
      <c r="F214" s="82"/>
    </row>
    <row r="215" ht="14.25" customHeight="1">
      <c r="F215" s="82"/>
    </row>
    <row r="216" ht="14.25" customHeight="1">
      <c r="F216" s="82"/>
    </row>
    <row r="217" ht="14.25" customHeight="1">
      <c r="F217" s="82"/>
    </row>
    <row r="218" ht="14.25" customHeight="1">
      <c r="F218" s="82"/>
    </row>
    <row r="219" ht="14.25" customHeight="1">
      <c r="F219" s="82"/>
    </row>
    <row r="220" ht="14.25" customHeight="1">
      <c r="F220" s="82"/>
    </row>
    <row r="221" ht="14.25" customHeight="1">
      <c r="F221" s="82"/>
    </row>
    <row r="222" ht="14.25" customHeight="1">
      <c r="F222" s="82"/>
    </row>
    <row r="223" ht="14.25" customHeight="1">
      <c r="F223" s="82"/>
    </row>
    <row r="224" ht="14.25" customHeight="1">
      <c r="F224" s="82"/>
    </row>
    <row r="225" ht="14.25" customHeight="1">
      <c r="F225" s="82"/>
    </row>
    <row r="226" ht="14.25" customHeight="1">
      <c r="F226" s="82"/>
    </row>
    <row r="227" ht="14.25" customHeight="1">
      <c r="F227" s="82"/>
    </row>
    <row r="228" ht="14.25" customHeight="1">
      <c r="F228" s="82"/>
    </row>
    <row r="229" ht="14.25" customHeight="1">
      <c r="F229" s="82"/>
    </row>
    <row r="230" ht="14.25" customHeight="1">
      <c r="F230" s="82"/>
    </row>
    <row r="231" ht="14.25" customHeight="1">
      <c r="F231" s="82"/>
    </row>
    <row r="232" ht="14.25" customHeight="1">
      <c r="F232" s="82"/>
    </row>
    <row r="233" ht="14.25" customHeight="1">
      <c r="F233" s="82"/>
    </row>
    <row r="234" ht="14.25" customHeight="1">
      <c r="F234" s="82"/>
    </row>
    <row r="235" ht="14.25" customHeight="1">
      <c r="F235" s="82"/>
    </row>
    <row r="236" ht="14.25" customHeight="1">
      <c r="F236" s="82"/>
    </row>
    <row r="237" ht="14.25" customHeight="1">
      <c r="F237" s="82"/>
    </row>
    <row r="238" ht="14.25" customHeight="1">
      <c r="F238" s="82"/>
    </row>
    <row r="239" ht="14.25" customHeight="1">
      <c r="F239" s="82"/>
    </row>
    <row r="240" ht="14.25" customHeight="1">
      <c r="F240" s="82"/>
    </row>
    <row r="241" ht="14.25" customHeight="1">
      <c r="F241" s="82"/>
    </row>
    <row r="242" ht="14.25" customHeight="1">
      <c r="F242" s="82"/>
    </row>
    <row r="243" ht="14.25" customHeight="1">
      <c r="F243" s="82"/>
    </row>
    <row r="244" ht="14.25" customHeight="1">
      <c r="F244" s="82"/>
    </row>
    <row r="245" ht="14.25" customHeight="1">
      <c r="F245" s="82"/>
    </row>
    <row r="246" ht="14.25" customHeight="1">
      <c r="F246" s="82"/>
    </row>
    <row r="247" ht="14.25" customHeight="1">
      <c r="F247" s="82"/>
    </row>
    <row r="248" ht="14.25" customHeight="1">
      <c r="F248" s="82"/>
    </row>
    <row r="249" ht="14.25" customHeight="1">
      <c r="F249" s="82"/>
    </row>
    <row r="250" ht="14.25" customHeight="1">
      <c r="F250" s="82"/>
    </row>
    <row r="251" ht="14.25" customHeight="1">
      <c r="F251" s="82"/>
    </row>
    <row r="252" ht="14.25" customHeight="1">
      <c r="F252" s="82"/>
    </row>
    <row r="253" ht="14.25" customHeight="1">
      <c r="F253" s="82"/>
    </row>
    <row r="254" ht="14.25" customHeight="1">
      <c r="F254" s="82"/>
    </row>
    <row r="255" ht="14.25" customHeight="1">
      <c r="F255" s="82"/>
    </row>
    <row r="256" ht="14.25" customHeight="1">
      <c r="F256" s="82"/>
    </row>
    <row r="257" ht="14.25" customHeight="1">
      <c r="F257" s="82"/>
    </row>
    <row r="258" ht="14.25" customHeight="1">
      <c r="F258" s="82"/>
    </row>
    <row r="259" ht="14.25" customHeight="1">
      <c r="F259" s="82"/>
    </row>
    <row r="260" ht="14.25" customHeight="1">
      <c r="F260" s="82"/>
    </row>
    <row r="261" ht="14.25" customHeight="1">
      <c r="F261" s="82"/>
    </row>
    <row r="262" ht="14.25" customHeight="1">
      <c r="F262" s="82"/>
    </row>
    <row r="263" ht="14.25" customHeight="1">
      <c r="F263" s="82"/>
    </row>
    <row r="264" ht="14.25" customHeight="1">
      <c r="F264" s="82"/>
    </row>
    <row r="265" ht="14.25" customHeight="1">
      <c r="F265" s="82"/>
    </row>
    <row r="266" ht="14.25" customHeight="1">
      <c r="F266" s="82"/>
    </row>
    <row r="267" ht="14.25" customHeight="1">
      <c r="F267" s="82"/>
    </row>
    <row r="268" ht="14.25" customHeight="1">
      <c r="F268" s="82"/>
    </row>
    <row r="269" ht="14.25" customHeight="1">
      <c r="F269" s="82"/>
    </row>
    <row r="270" ht="14.25" customHeight="1">
      <c r="F270" s="82"/>
    </row>
    <row r="271" ht="14.25" customHeight="1">
      <c r="F271" s="82"/>
    </row>
    <row r="272" ht="14.25" customHeight="1">
      <c r="F272" s="82"/>
    </row>
    <row r="273" ht="14.25" customHeight="1">
      <c r="F273" s="82"/>
    </row>
    <row r="274" ht="14.25" customHeight="1">
      <c r="F274" s="82"/>
    </row>
    <row r="275" ht="14.25" customHeight="1">
      <c r="F275" s="82"/>
    </row>
    <row r="276" ht="14.25" customHeight="1">
      <c r="F276" s="82"/>
    </row>
    <row r="277" ht="14.25" customHeight="1">
      <c r="F277" s="82"/>
    </row>
    <row r="278" ht="14.25" customHeight="1">
      <c r="F278" s="82"/>
    </row>
    <row r="279" ht="14.25" customHeight="1">
      <c r="F279" s="82"/>
    </row>
    <row r="280" ht="14.25" customHeight="1">
      <c r="F280" s="82"/>
    </row>
    <row r="281" ht="14.25" customHeight="1">
      <c r="F281" s="82"/>
    </row>
    <row r="282" ht="14.25" customHeight="1">
      <c r="F282" s="82"/>
    </row>
    <row r="283" ht="14.25" customHeight="1">
      <c r="F283" s="82"/>
    </row>
    <row r="284" ht="14.25" customHeight="1">
      <c r="F284" s="82"/>
    </row>
    <row r="285" ht="14.25" customHeight="1">
      <c r="F285" s="82"/>
    </row>
    <row r="286" ht="14.25" customHeight="1">
      <c r="F286" s="82"/>
    </row>
    <row r="287" ht="14.25" customHeight="1">
      <c r="F287" s="82"/>
    </row>
    <row r="288" ht="14.25" customHeight="1">
      <c r="F288" s="82"/>
    </row>
    <row r="289" ht="14.25" customHeight="1">
      <c r="F289" s="82"/>
    </row>
    <row r="290" ht="14.25" customHeight="1">
      <c r="F290" s="82"/>
    </row>
    <row r="291" ht="14.25" customHeight="1">
      <c r="F291" s="82"/>
    </row>
    <row r="292" ht="14.25" customHeight="1">
      <c r="F292" s="82"/>
    </row>
    <row r="293" ht="14.25" customHeight="1">
      <c r="F293" s="82"/>
    </row>
    <row r="294" ht="14.25" customHeight="1">
      <c r="F294" s="82"/>
    </row>
    <row r="295" ht="14.25" customHeight="1">
      <c r="F295" s="82"/>
    </row>
    <row r="296" ht="14.25" customHeight="1">
      <c r="F296" s="82"/>
    </row>
    <row r="297" ht="14.25" customHeight="1">
      <c r="F297" s="82"/>
    </row>
    <row r="298" ht="14.25" customHeight="1">
      <c r="F298" s="82"/>
    </row>
    <row r="299" ht="14.25" customHeight="1">
      <c r="F299" s="82"/>
    </row>
    <row r="300" ht="14.25" customHeight="1">
      <c r="F300" s="82"/>
    </row>
    <row r="301" ht="14.25" customHeight="1">
      <c r="F301" s="82"/>
    </row>
    <row r="302" ht="14.25" customHeight="1">
      <c r="F302" s="82"/>
    </row>
    <row r="303" ht="14.25" customHeight="1">
      <c r="F303" s="82"/>
    </row>
    <row r="304" ht="14.25" customHeight="1">
      <c r="F304" s="82"/>
    </row>
    <row r="305" ht="14.25" customHeight="1">
      <c r="F305" s="82"/>
    </row>
    <row r="306" ht="14.25" customHeight="1">
      <c r="F306" s="82"/>
    </row>
    <row r="307" ht="14.25" customHeight="1">
      <c r="F307" s="82"/>
    </row>
    <row r="308" ht="14.25" customHeight="1">
      <c r="F308" s="82"/>
    </row>
    <row r="309" ht="14.25" customHeight="1">
      <c r="F309" s="82"/>
    </row>
    <row r="310" ht="14.25" customHeight="1">
      <c r="F310" s="82"/>
    </row>
    <row r="311" ht="14.25" customHeight="1">
      <c r="F311" s="82"/>
    </row>
    <row r="312" ht="14.25" customHeight="1">
      <c r="F312" s="82"/>
    </row>
    <row r="313" ht="14.25" customHeight="1">
      <c r="F313" s="82"/>
    </row>
    <row r="314" ht="14.25" customHeight="1">
      <c r="F314" s="82"/>
    </row>
    <row r="315" ht="14.25" customHeight="1">
      <c r="F315" s="82"/>
    </row>
    <row r="316" ht="14.25" customHeight="1">
      <c r="F316" s="82"/>
    </row>
    <row r="317" ht="14.25" customHeight="1">
      <c r="F317" s="82"/>
    </row>
    <row r="318" ht="14.25" customHeight="1">
      <c r="F318" s="82"/>
    </row>
    <row r="319" ht="14.25" customHeight="1">
      <c r="F319" s="82"/>
    </row>
    <row r="320" ht="14.25" customHeight="1">
      <c r="F320" s="82"/>
    </row>
    <row r="321" ht="14.25" customHeight="1">
      <c r="F321" s="82"/>
    </row>
    <row r="322" ht="14.25" customHeight="1">
      <c r="F322" s="82"/>
    </row>
    <row r="323" ht="14.25" customHeight="1">
      <c r="F323" s="82"/>
    </row>
    <row r="324" ht="14.25" customHeight="1">
      <c r="F324" s="82"/>
    </row>
    <row r="325" ht="14.25" customHeight="1">
      <c r="F325" s="82"/>
    </row>
    <row r="326" ht="14.25" customHeight="1">
      <c r="F326" s="82"/>
    </row>
    <row r="327" ht="14.25" customHeight="1">
      <c r="F327" s="82"/>
    </row>
    <row r="328" ht="14.25" customHeight="1">
      <c r="F328" s="82"/>
    </row>
    <row r="329" ht="14.25" customHeight="1">
      <c r="F329" s="82"/>
    </row>
    <row r="330" ht="14.25" customHeight="1">
      <c r="F330" s="82"/>
    </row>
    <row r="331" ht="14.25" customHeight="1">
      <c r="F331" s="82"/>
    </row>
    <row r="332" ht="14.25" customHeight="1">
      <c r="F332" s="82"/>
    </row>
    <row r="333" ht="14.25" customHeight="1">
      <c r="F333" s="82"/>
    </row>
    <row r="334" ht="14.25" customHeight="1">
      <c r="F334" s="82"/>
    </row>
    <row r="335" ht="14.25" customHeight="1">
      <c r="F335" s="82"/>
    </row>
    <row r="336" ht="14.25" customHeight="1">
      <c r="F336" s="82"/>
    </row>
    <row r="337" ht="14.25" customHeight="1">
      <c r="F337" s="82"/>
    </row>
    <row r="338" ht="14.25" customHeight="1">
      <c r="F338" s="82"/>
    </row>
    <row r="339" ht="14.25" customHeight="1">
      <c r="F339" s="82"/>
    </row>
    <row r="340" ht="14.25" customHeight="1">
      <c r="F340" s="82"/>
    </row>
    <row r="341" ht="14.25" customHeight="1">
      <c r="F341" s="82"/>
    </row>
    <row r="342" ht="14.25" customHeight="1">
      <c r="F342" s="82"/>
    </row>
    <row r="343" ht="14.25" customHeight="1">
      <c r="F343" s="82"/>
    </row>
    <row r="344" ht="14.25" customHeight="1">
      <c r="F344" s="82"/>
    </row>
    <row r="345" ht="14.25" customHeight="1">
      <c r="F345" s="82"/>
    </row>
    <row r="346" ht="14.25" customHeight="1">
      <c r="F346" s="82"/>
    </row>
    <row r="347" ht="14.25" customHeight="1">
      <c r="F347" s="82"/>
    </row>
    <row r="348" ht="14.25" customHeight="1">
      <c r="F348" s="82"/>
    </row>
    <row r="349" ht="14.25" customHeight="1">
      <c r="F349" s="82"/>
    </row>
    <row r="350" ht="14.25" customHeight="1">
      <c r="F350" s="82"/>
    </row>
    <row r="351" ht="14.25" customHeight="1">
      <c r="F351" s="82"/>
    </row>
    <row r="352" ht="14.25" customHeight="1">
      <c r="F352" s="82"/>
    </row>
    <row r="353" ht="14.25" customHeight="1">
      <c r="F353" s="82"/>
    </row>
    <row r="354" ht="14.25" customHeight="1">
      <c r="F354" s="82"/>
    </row>
    <row r="355" ht="14.25" customHeight="1">
      <c r="F355" s="82"/>
    </row>
    <row r="356" ht="14.25" customHeight="1">
      <c r="F356" s="82"/>
    </row>
    <row r="357" ht="14.25" customHeight="1">
      <c r="F357" s="82"/>
    </row>
    <row r="358" ht="14.25" customHeight="1">
      <c r="F358" s="82"/>
    </row>
    <row r="359" ht="14.25" customHeight="1">
      <c r="F359" s="82"/>
    </row>
    <row r="360" ht="14.25" customHeight="1">
      <c r="F360" s="82"/>
    </row>
    <row r="361" ht="14.25" customHeight="1">
      <c r="F361" s="82"/>
    </row>
    <row r="362" ht="14.25" customHeight="1">
      <c r="F362" s="82"/>
    </row>
    <row r="363" ht="14.25" customHeight="1">
      <c r="F363" s="82"/>
    </row>
    <row r="364" ht="14.25" customHeight="1">
      <c r="F364" s="82"/>
    </row>
    <row r="365" ht="14.25" customHeight="1">
      <c r="F365" s="82"/>
    </row>
    <row r="366" ht="14.25" customHeight="1">
      <c r="F366" s="82"/>
    </row>
    <row r="367" ht="14.25" customHeight="1">
      <c r="F367" s="82"/>
    </row>
    <row r="368" ht="14.25" customHeight="1">
      <c r="F368" s="82"/>
    </row>
    <row r="369" ht="14.25" customHeight="1">
      <c r="F369" s="82"/>
    </row>
    <row r="370" ht="14.25" customHeight="1">
      <c r="F370" s="82"/>
    </row>
    <row r="371" ht="14.25" customHeight="1">
      <c r="F371" s="82"/>
    </row>
    <row r="372" ht="14.25" customHeight="1">
      <c r="F372" s="82"/>
    </row>
    <row r="373" ht="14.25" customHeight="1">
      <c r="F373" s="82"/>
    </row>
    <row r="374" ht="14.25" customHeight="1">
      <c r="F374" s="82"/>
    </row>
    <row r="375" ht="14.25" customHeight="1">
      <c r="F375" s="82"/>
    </row>
    <row r="376" ht="14.25" customHeight="1">
      <c r="F376" s="82"/>
    </row>
    <row r="377" ht="14.25" customHeight="1">
      <c r="F377" s="82"/>
    </row>
    <row r="378" ht="14.25" customHeight="1">
      <c r="F378" s="82"/>
    </row>
    <row r="379" ht="14.25" customHeight="1">
      <c r="F379" s="82"/>
    </row>
    <row r="380" ht="14.25" customHeight="1">
      <c r="F380" s="82"/>
    </row>
    <row r="381" ht="14.25" customHeight="1">
      <c r="F381" s="82"/>
    </row>
    <row r="382" ht="14.25" customHeight="1">
      <c r="F382" s="82"/>
    </row>
    <row r="383" ht="14.25" customHeight="1">
      <c r="F383" s="82"/>
    </row>
    <row r="384" ht="14.25" customHeight="1">
      <c r="F384" s="82"/>
    </row>
    <row r="385" ht="14.25" customHeight="1">
      <c r="F385" s="82"/>
    </row>
    <row r="386" ht="14.25" customHeight="1">
      <c r="F386" s="82"/>
    </row>
    <row r="387" ht="14.25" customHeight="1">
      <c r="F387" s="82"/>
    </row>
    <row r="388" ht="14.25" customHeight="1">
      <c r="F388" s="82"/>
    </row>
    <row r="389" ht="14.25" customHeight="1">
      <c r="F389" s="82"/>
    </row>
    <row r="390" ht="14.25" customHeight="1">
      <c r="F390" s="82"/>
    </row>
    <row r="391" ht="14.25" customHeight="1">
      <c r="F391" s="82"/>
    </row>
    <row r="392" ht="14.25" customHeight="1">
      <c r="F392" s="82"/>
    </row>
    <row r="393" ht="14.25" customHeight="1">
      <c r="F393" s="82"/>
    </row>
    <row r="394" ht="14.25" customHeight="1">
      <c r="F394" s="82"/>
    </row>
    <row r="395" ht="14.25" customHeight="1">
      <c r="F395" s="82"/>
    </row>
    <row r="396" ht="14.25" customHeight="1">
      <c r="F396" s="82"/>
    </row>
    <row r="397" ht="14.25" customHeight="1">
      <c r="F397" s="82"/>
    </row>
    <row r="398" ht="14.25" customHeight="1">
      <c r="F398" s="82"/>
    </row>
    <row r="399" ht="14.25" customHeight="1">
      <c r="F399" s="82"/>
    </row>
    <row r="400" ht="14.25" customHeight="1">
      <c r="F400" s="82"/>
    </row>
    <row r="401" ht="14.25" customHeight="1">
      <c r="F401" s="82"/>
    </row>
    <row r="402" ht="14.25" customHeight="1">
      <c r="F402" s="82"/>
    </row>
    <row r="403" ht="14.25" customHeight="1">
      <c r="F403" s="82"/>
    </row>
    <row r="404" ht="14.25" customHeight="1">
      <c r="F404" s="82"/>
    </row>
    <row r="405" ht="14.25" customHeight="1">
      <c r="F405" s="82"/>
    </row>
    <row r="406" ht="14.25" customHeight="1">
      <c r="F406" s="82"/>
    </row>
    <row r="407" ht="14.25" customHeight="1">
      <c r="F407" s="82"/>
    </row>
    <row r="408" ht="14.25" customHeight="1">
      <c r="F408" s="82"/>
    </row>
    <row r="409" ht="14.25" customHeight="1">
      <c r="F409" s="82"/>
    </row>
    <row r="410" ht="14.25" customHeight="1">
      <c r="F410" s="82"/>
    </row>
    <row r="411" ht="14.25" customHeight="1">
      <c r="F411" s="82"/>
    </row>
    <row r="412" ht="14.25" customHeight="1">
      <c r="F412" s="82"/>
    </row>
    <row r="413" ht="14.25" customHeight="1">
      <c r="F413" s="82"/>
    </row>
    <row r="414" ht="14.25" customHeight="1">
      <c r="F414" s="82"/>
    </row>
    <row r="415" ht="14.25" customHeight="1">
      <c r="F415" s="82"/>
    </row>
    <row r="416" ht="14.25" customHeight="1">
      <c r="F416" s="82"/>
    </row>
    <row r="417" ht="14.25" customHeight="1">
      <c r="F417" s="82"/>
    </row>
    <row r="418" ht="14.25" customHeight="1">
      <c r="F418" s="82"/>
    </row>
    <row r="419" ht="14.25" customHeight="1">
      <c r="F419" s="82"/>
    </row>
    <row r="420" ht="14.25" customHeight="1">
      <c r="F420" s="82"/>
    </row>
    <row r="421" ht="14.25" customHeight="1">
      <c r="F421" s="82"/>
    </row>
    <row r="422" ht="14.25" customHeight="1">
      <c r="F422" s="82"/>
    </row>
    <row r="423" ht="14.25" customHeight="1">
      <c r="F423" s="82"/>
    </row>
    <row r="424" ht="14.25" customHeight="1">
      <c r="F424" s="82"/>
    </row>
    <row r="425" ht="14.25" customHeight="1">
      <c r="F425" s="82"/>
    </row>
    <row r="426" ht="14.25" customHeight="1">
      <c r="F426" s="82"/>
    </row>
    <row r="427" ht="14.25" customHeight="1">
      <c r="F427" s="82"/>
    </row>
    <row r="428" ht="14.25" customHeight="1">
      <c r="F428" s="82"/>
    </row>
    <row r="429" ht="14.25" customHeight="1">
      <c r="F429" s="82"/>
    </row>
    <row r="430" ht="14.25" customHeight="1">
      <c r="F430" s="82"/>
    </row>
    <row r="431" ht="14.25" customHeight="1">
      <c r="F431" s="82"/>
    </row>
    <row r="432" ht="14.25" customHeight="1">
      <c r="F432" s="82"/>
    </row>
    <row r="433" ht="14.25" customHeight="1">
      <c r="F433" s="82"/>
    </row>
    <row r="434" ht="14.25" customHeight="1">
      <c r="F434" s="82"/>
    </row>
    <row r="435" ht="14.25" customHeight="1">
      <c r="F435" s="82"/>
    </row>
    <row r="436" ht="14.25" customHeight="1">
      <c r="F436" s="82"/>
    </row>
    <row r="437" ht="14.25" customHeight="1">
      <c r="F437" s="82"/>
    </row>
    <row r="438" ht="14.25" customHeight="1">
      <c r="F438" s="82"/>
    </row>
    <row r="439" ht="14.25" customHeight="1">
      <c r="F439" s="82"/>
    </row>
    <row r="440" ht="14.25" customHeight="1">
      <c r="F440" s="82"/>
    </row>
    <row r="441" ht="14.25" customHeight="1">
      <c r="F441" s="82"/>
    </row>
    <row r="442" ht="14.25" customHeight="1">
      <c r="F442" s="82"/>
    </row>
    <row r="443" ht="14.25" customHeight="1">
      <c r="F443" s="82"/>
    </row>
    <row r="444" ht="14.25" customHeight="1">
      <c r="F444" s="82"/>
    </row>
    <row r="445" ht="14.25" customHeight="1">
      <c r="F445" s="82"/>
    </row>
    <row r="446" ht="14.25" customHeight="1">
      <c r="F446" s="82"/>
    </row>
    <row r="447" ht="14.25" customHeight="1">
      <c r="F447" s="82"/>
    </row>
    <row r="448" ht="14.25" customHeight="1">
      <c r="F448" s="82"/>
    </row>
    <row r="449" ht="14.25" customHeight="1">
      <c r="F449" s="82"/>
    </row>
    <row r="450" ht="14.25" customHeight="1">
      <c r="F450" s="82"/>
    </row>
    <row r="451" ht="14.25" customHeight="1">
      <c r="F451" s="82"/>
    </row>
    <row r="452" ht="14.25" customHeight="1">
      <c r="F452" s="82"/>
    </row>
    <row r="453" ht="14.25" customHeight="1">
      <c r="F453" s="82"/>
    </row>
    <row r="454" ht="14.25" customHeight="1">
      <c r="F454" s="82"/>
    </row>
    <row r="455" ht="14.25" customHeight="1">
      <c r="F455" s="82"/>
    </row>
    <row r="456" ht="14.25" customHeight="1">
      <c r="F456" s="82"/>
    </row>
    <row r="457" ht="14.25" customHeight="1">
      <c r="F457" s="82"/>
    </row>
    <row r="458" ht="14.25" customHeight="1">
      <c r="F458" s="82"/>
    </row>
    <row r="459" ht="14.25" customHeight="1">
      <c r="F459" s="82"/>
    </row>
    <row r="460" ht="14.25" customHeight="1">
      <c r="F460" s="82"/>
    </row>
    <row r="461" ht="14.25" customHeight="1">
      <c r="F461" s="82"/>
    </row>
    <row r="462" ht="14.25" customHeight="1">
      <c r="F462" s="82"/>
    </row>
    <row r="463" ht="14.25" customHeight="1">
      <c r="F463" s="82"/>
    </row>
    <row r="464" ht="14.25" customHeight="1">
      <c r="F464" s="82"/>
    </row>
    <row r="465" ht="14.25" customHeight="1">
      <c r="F465" s="82"/>
    </row>
    <row r="466" ht="14.25" customHeight="1">
      <c r="F466" s="82"/>
    </row>
    <row r="467" ht="14.25" customHeight="1">
      <c r="F467" s="82"/>
    </row>
    <row r="468" ht="14.25" customHeight="1">
      <c r="F468" s="82"/>
    </row>
    <row r="469" ht="14.25" customHeight="1">
      <c r="F469" s="82"/>
    </row>
    <row r="470" ht="14.25" customHeight="1">
      <c r="F470" s="82"/>
    </row>
    <row r="471" ht="14.25" customHeight="1">
      <c r="F471" s="82"/>
    </row>
    <row r="472" ht="14.25" customHeight="1">
      <c r="F472" s="82"/>
    </row>
    <row r="473" ht="14.25" customHeight="1">
      <c r="F473" s="82"/>
    </row>
    <row r="474" ht="14.25" customHeight="1">
      <c r="F474" s="82"/>
    </row>
    <row r="475" ht="14.25" customHeight="1">
      <c r="F475" s="82"/>
    </row>
    <row r="476" ht="14.25" customHeight="1">
      <c r="F476" s="82"/>
    </row>
    <row r="477" ht="14.25" customHeight="1">
      <c r="F477" s="82"/>
    </row>
    <row r="478" ht="14.25" customHeight="1">
      <c r="F478" s="82"/>
    </row>
    <row r="479" ht="14.25" customHeight="1">
      <c r="F479" s="82"/>
    </row>
    <row r="480" ht="14.25" customHeight="1">
      <c r="F480" s="82"/>
    </row>
    <row r="481" ht="14.25" customHeight="1">
      <c r="F481" s="82"/>
    </row>
    <row r="482" ht="14.25" customHeight="1">
      <c r="F482" s="82"/>
    </row>
    <row r="483" ht="14.25" customHeight="1">
      <c r="F483" s="82"/>
    </row>
    <row r="484" ht="14.25" customHeight="1">
      <c r="F484" s="82"/>
    </row>
    <row r="485" ht="14.25" customHeight="1">
      <c r="F485" s="82"/>
    </row>
    <row r="486" ht="14.25" customHeight="1">
      <c r="F486" s="82"/>
    </row>
    <row r="487" ht="14.25" customHeight="1">
      <c r="F487" s="82"/>
    </row>
    <row r="488" ht="14.25" customHeight="1">
      <c r="F488" s="82"/>
    </row>
    <row r="489" ht="14.25" customHeight="1">
      <c r="F489" s="82"/>
    </row>
    <row r="490" ht="14.25" customHeight="1">
      <c r="F490" s="82"/>
    </row>
    <row r="491" ht="14.25" customHeight="1">
      <c r="F491" s="82"/>
    </row>
    <row r="492" ht="14.25" customHeight="1">
      <c r="F492" s="82"/>
    </row>
    <row r="493" ht="14.25" customHeight="1">
      <c r="F493" s="82"/>
    </row>
    <row r="494" ht="14.25" customHeight="1">
      <c r="F494" s="82"/>
    </row>
    <row r="495" ht="14.25" customHeight="1">
      <c r="F495" s="82"/>
    </row>
    <row r="496" ht="14.25" customHeight="1">
      <c r="F496" s="82"/>
    </row>
    <row r="497" ht="14.25" customHeight="1">
      <c r="F497" s="82"/>
    </row>
    <row r="498" ht="14.25" customHeight="1">
      <c r="F498" s="82"/>
    </row>
    <row r="499" ht="14.25" customHeight="1">
      <c r="F499" s="82"/>
    </row>
    <row r="500" ht="14.25" customHeight="1">
      <c r="F500" s="82"/>
    </row>
    <row r="501" ht="14.25" customHeight="1">
      <c r="F501" s="82"/>
    </row>
    <row r="502" ht="14.25" customHeight="1">
      <c r="F502" s="82"/>
    </row>
    <row r="503" ht="14.25" customHeight="1">
      <c r="F503" s="82"/>
    </row>
    <row r="504" ht="14.25" customHeight="1">
      <c r="F504" s="82"/>
    </row>
    <row r="505" ht="14.25" customHeight="1">
      <c r="F505" s="82"/>
    </row>
    <row r="506" ht="14.25" customHeight="1">
      <c r="F506" s="82"/>
    </row>
    <row r="507" ht="14.25" customHeight="1">
      <c r="F507" s="82"/>
    </row>
    <row r="508" ht="14.25" customHeight="1">
      <c r="F508" s="82"/>
    </row>
    <row r="509" ht="14.25" customHeight="1">
      <c r="F509" s="82"/>
    </row>
    <row r="510" ht="14.25" customHeight="1">
      <c r="F510" s="82"/>
    </row>
    <row r="511" ht="14.25" customHeight="1">
      <c r="F511" s="82"/>
    </row>
    <row r="512" ht="14.25" customHeight="1">
      <c r="F512" s="82"/>
    </row>
    <row r="513" ht="14.25" customHeight="1">
      <c r="F513" s="82"/>
    </row>
    <row r="514" ht="14.25" customHeight="1">
      <c r="F514" s="82"/>
    </row>
    <row r="515" ht="14.25" customHeight="1">
      <c r="F515" s="82"/>
    </row>
    <row r="516" ht="14.25" customHeight="1">
      <c r="F516" s="82"/>
    </row>
    <row r="517" ht="14.25" customHeight="1">
      <c r="F517" s="82"/>
    </row>
    <row r="518" ht="14.25" customHeight="1">
      <c r="F518" s="82"/>
    </row>
    <row r="519" ht="14.25" customHeight="1">
      <c r="F519" s="82"/>
    </row>
    <row r="520" ht="14.25" customHeight="1">
      <c r="F520" s="82"/>
    </row>
    <row r="521" ht="14.25" customHeight="1">
      <c r="F521" s="82"/>
    </row>
    <row r="522" ht="14.25" customHeight="1">
      <c r="F522" s="82"/>
    </row>
    <row r="523" ht="14.25" customHeight="1">
      <c r="F523" s="82"/>
    </row>
    <row r="524" ht="14.25" customHeight="1">
      <c r="F524" s="82"/>
    </row>
    <row r="525" ht="14.25" customHeight="1">
      <c r="F525" s="82"/>
    </row>
    <row r="526" ht="14.25" customHeight="1">
      <c r="F526" s="82"/>
    </row>
    <row r="527" ht="14.25" customHeight="1">
      <c r="F527" s="82"/>
    </row>
    <row r="528" ht="14.25" customHeight="1">
      <c r="F528" s="82"/>
    </row>
    <row r="529" ht="14.25" customHeight="1">
      <c r="F529" s="82"/>
    </row>
    <row r="530" ht="14.25" customHeight="1">
      <c r="F530" s="82"/>
    </row>
    <row r="531" ht="14.25" customHeight="1">
      <c r="F531" s="82"/>
    </row>
    <row r="532" ht="14.25" customHeight="1">
      <c r="F532" s="82"/>
    </row>
    <row r="533" ht="14.25" customHeight="1">
      <c r="F533" s="82"/>
    </row>
    <row r="534" ht="14.25" customHeight="1">
      <c r="F534" s="82"/>
    </row>
    <row r="535" ht="14.25" customHeight="1">
      <c r="F535" s="82"/>
    </row>
    <row r="536" ht="14.25" customHeight="1">
      <c r="F536" s="82"/>
    </row>
    <row r="537" ht="14.25" customHeight="1">
      <c r="F537" s="82"/>
    </row>
    <row r="538" ht="14.25" customHeight="1">
      <c r="F538" s="82"/>
    </row>
    <row r="539" ht="14.25" customHeight="1">
      <c r="F539" s="82"/>
    </row>
    <row r="540" ht="14.25" customHeight="1">
      <c r="F540" s="82"/>
    </row>
    <row r="541" ht="14.25" customHeight="1">
      <c r="F541" s="82"/>
    </row>
    <row r="542" ht="14.25" customHeight="1">
      <c r="F542" s="82"/>
    </row>
    <row r="543" ht="14.25" customHeight="1">
      <c r="F543" s="82"/>
    </row>
    <row r="544" ht="14.25" customHeight="1">
      <c r="F544" s="82"/>
    </row>
    <row r="545" ht="14.25" customHeight="1">
      <c r="F545" s="82"/>
    </row>
    <row r="546" ht="14.25" customHeight="1">
      <c r="F546" s="82"/>
    </row>
    <row r="547" ht="14.25" customHeight="1">
      <c r="F547" s="82"/>
    </row>
    <row r="548" ht="14.25" customHeight="1">
      <c r="F548" s="82"/>
    </row>
    <row r="549" ht="14.25" customHeight="1">
      <c r="F549" s="82"/>
    </row>
    <row r="550" ht="14.25" customHeight="1">
      <c r="F550" s="82"/>
    </row>
    <row r="551" ht="14.25" customHeight="1">
      <c r="F551" s="82"/>
    </row>
    <row r="552" ht="14.25" customHeight="1">
      <c r="F552" s="82"/>
    </row>
    <row r="553" ht="14.25" customHeight="1">
      <c r="F553" s="82"/>
    </row>
    <row r="554" ht="14.25" customHeight="1">
      <c r="F554" s="82"/>
    </row>
    <row r="555" ht="14.25" customHeight="1">
      <c r="F555" s="82"/>
    </row>
    <row r="556" ht="14.25" customHeight="1">
      <c r="F556" s="82"/>
    </row>
    <row r="557" ht="14.25" customHeight="1">
      <c r="F557" s="82"/>
    </row>
    <row r="558" ht="14.25" customHeight="1">
      <c r="F558" s="82"/>
    </row>
    <row r="559" ht="14.25" customHeight="1">
      <c r="F559" s="82"/>
    </row>
    <row r="560" ht="14.25" customHeight="1">
      <c r="F560" s="82"/>
    </row>
    <row r="561" ht="14.25" customHeight="1">
      <c r="F561" s="82"/>
    </row>
    <row r="562" ht="14.25" customHeight="1">
      <c r="F562" s="82"/>
    </row>
    <row r="563" ht="14.25" customHeight="1">
      <c r="F563" s="82"/>
    </row>
    <row r="564" ht="14.25" customHeight="1">
      <c r="F564" s="82"/>
    </row>
    <row r="565" ht="14.25" customHeight="1">
      <c r="F565" s="82"/>
    </row>
    <row r="566" ht="14.25" customHeight="1">
      <c r="F566" s="82"/>
    </row>
    <row r="567" ht="14.25" customHeight="1">
      <c r="F567" s="82"/>
    </row>
    <row r="568" ht="14.25" customHeight="1">
      <c r="F568" s="82"/>
    </row>
    <row r="569" ht="14.25" customHeight="1">
      <c r="F569" s="82"/>
    </row>
    <row r="570" ht="14.25" customHeight="1">
      <c r="F570" s="82"/>
    </row>
    <row r="571" ht="14.25" customHeight="1">
      <c r="F571" s="82"/>
    </row>
    <row r="572" ht="14.25" customHeight="1">
      <c r="F572" s="82"/>
    </row>
    <row r="573" ht="14.25" customHeight="1">
      <c r="F573" s="82"/>
    </row>
    <row r="574" ht="14.25" customHeight="1">
      <c r="F574" s="82"/>
    </row>
    <row r="575" ht="14.25" customHeight="1">
      <c r="F575" s="82"/>
    </row>
    <row r="576" ht="14.25" customHeight="1">
      <c r="F576" s="82"/>
    </row>
    <row r="577" ht="14.25" customHeight="1">
      <c r="F577" s="82"/>
    </row>
    <row r="578" ht="14.25" customHeight="1">
      <c r="F578" s="82"/>
    </row>
    <row r="579" ht="14.25" customHeight="1">
      <c r="F579" s="82"/>
    </row>
    <row r="580" ht="14.25" customHeight="1">
      <c r="F580" s="82"/>
    </row>
    <row r="581" ht="14.25" customHeight="1">
      <c r="F581" s="82"/>
    </row>
    <row r="582" ht="14.25" customHeight="1">
      <c r="F582" s="82"/>
    </row>
    <row r="583" ht="14.25" customHeight="1">
      <c r="F583" s="82"/>
    </row>
    <row r="584" ht="14.25" customHeight="1">
      <c r="F584" s="82"/>
    </row>
    <row r="585" ht="14.25" customHeight="1">
      <c r="F585" s="82"/>
    </row>
    <row r="586" ht="14.25" customHeight="1">
      <c r="F586" s="82"/>
    </row>
    <row r="587" ht="14.25" customHeight="1">
      <c r="F587" s="82"/>
    </row>
    <row r="588" ht="14.25" customHeight="1">
      <c r="F588" s="82"/>
    </row>
    <row r="589" ht="14.25" customHeight="1">
      <c r="F589" s="82"/>
    </row>
    <row r="590" ht="14.25" customHeight="1">
      <c r="F590" s="82"/>
    </row>
    <row r="591" ht="14.25" customHeight="1">
      <c r="F591" s="82"/>
    </row>
    <row r="592" ht="14.25" customHeight="1">
      <c r="F592" s="82"/>
    </row>
    <row r="593" ht="14.25" customHeight="1">
      <c r="F593" s="82"/>
    </row>
    <row r="594" ht="14.25" customHeight="1">
      <c r="F594" s="82"/>
    </row>
    <row r="595" ht="14.25" customHeight="1">
      <c r="F595" s="82"/>
    </row>
    <row r="596" ht="14.25" customHeight="1">
      <c r="F596" s="82"/>
    </row>
    <row r="597" ht="14.25" customHeight="1">
      <c r="F597" s="82"/>
    </row>
    <row r="598" ht="14.25" customHeight="1">
      <c r="F598" s="82"/>
    </row>
    <row r="599" ht="14.25" customHeight="1">
      <c r="F599" s="82"/>
    </row>
    <row r="600" ht="14.25" customHeight="1">
      <c r="F600" s="82"/>
    </row>
    <row r="601" ht="14.25" customHeight="1">
      <c r="F601" s="82"/>
    </row>
    <row r="602" ht="14.25" customHeight="1">
      <c r="F602" s="82"/>
    </row>
    <row r="603" ht="14.25" customHeight="1">
      <c r="F603" s="82"/>
    </row>
    <row r="604" ht="14.25" customHeight="1">
      <c r="F604" s="82"/>
    </row>
    <row r="605" ht="14.25" customHeight="1">
      <c r="F605" s="82"/>
    </row>
    <row r="606" ht="14.25" customHeight="1">
      <c r="F606" s="82"/>
    </row>
    <row r="607" ht="14.25" customHeight="1">
      <c r="F607" s="82"/>
    </row>
    <row r="608" ht="14.25" customHeight="1">
      <c r="F608" s="82"/>
    </row>
    <row r="609" ht="14.25" customHeight="1">
      <c r="F609" s="82"/>
    </row>
    <row r="610" ht="14.25" customHeight="1">
      <c r="F610" s="82"/>
    </row>
    <row r="611" ht="14.25" customHeight="1">
      <c r="F611" s="82"/>
    </row>
    <row r="612" ht="14.25" customHeight="1">
      <c r="F612" s="82"/>
    </row>
    <row r="613" ht="14.25" customHeight="1">
      <c r="F613" s="82"/>
    </row>
    <row r="614" ht="14.25" customHeight="1">
      <c r="F614" s="82"/>
    </row>
    <row r="615" ht="14.25" customHeight="1">
      <c r="F615" s="82"/>
    </row>
    <row r="616" ht="14.25" customHeight="1">
      <c r="F616" s="82"/>
    </row>
    <row r="617" ht="14.25" customHeight="1">
      <c r="F617" s="82"/>
    </row>
    <row r="618" ht="14.25" customHeight="1">
      <c r="F618" s="82"/>
    </row>
    <row r="619" ht="14.25" customHeight="1">
      <c r="F619" s="82"/>
    </row>
    <row r="620" ht="14.25" customHeight="1">
      <c r="F620" s="82"/>
    </row>
    <row r="621" ht="14.25" customHeight="1">
      <c r="F621" s="82"/>
    </row>
    <row r="622" ht="14.25" customHeight="1">
      <c r="F622" s="82"/>
    </row>
    <row r="623" ht="14.25" customHeight="1">
      <c r="F623" s="82"/>
    </row>
    <row r="624" ht="14.25" customHeight="1">
      <c r="F624" s="82"/>
    </row>
    <row r="625" ht="14.25" customHeight="1">
      <c r="F625" s="82"/>
    </row>
    <row r="626" ht="14.25" customHeight="1">
      <c r="F626" s="82"/>
    </row>
    <row r="627" ht="14.25" customHeight="1">
      <c r="F627" s="82"/>
    </row>
    <row r="628" ht="14.25" customHeight="1">
      <c r="F628" s="82"/>
    </row>
    <row r="629" ht="14.25" customHeight="1">
      <c r="F629" s="82"/>
    </row>
    <row r="630" ht="14.25" customHeight="1">
      <c r="F630" s="82"/>
    </row>
    <row r="631" ht="14.25" customHeight="1">
      <c r="F631" s="82"/>
    </row>
    <row r="632" ht="14.25" customHeight="1">
      <c r="F632" s="82"/>
    </row>
    <row r="633" ht="14.25" customHeight="1">
      <c r="F633" s="82"/>
    </row>
    <row r="634" ht="14.25" customHeight="1">
      <c r="F634" s="82"/>
    </row>
    <row r="635" ht="14.25" customHeight="1">
      <c r="F635" s="82"/>
    </row>
    <row r="636" ht="14.25" customHeight="1">
      <c r="F636" s="82"/>
    </row>
    <row r="637" ht="14.25" customHeight="1">
      <c r="F637" s="82"/>
    </row>
    <row r="638" ht="14.25" customHeight="1">
      <c r="F638" s="82"/>
    </row>
    <row r="639" ht="14.25" customHeight="1">
      <c r="F639" s="82"/>
    </row>
    <row r="640" ht="14.25" customHeight="1">
      <c r="F640" s="82"/>
    </row>
    <row r="641" ht="14.25" customHeight="1">
      <c r="F641" s="82"/>
    </row>
    <row r="642" ht="14.25" customHeight="1">
      <c r="F642" s="82"/>
    </row>
    <row r="643" ht="14.25" customHeight="1">
      <c r="F643" s="82"/>
    </row>
    <row r="644" ht="14.25" customHeight="1">
      <c r="F644" s="82"/>
    </row>
    <row r="645" ht="14.25" customHeight="1">
      <c r="F645" s="82"/>
    </row>
    <row r="646" ht="14.25" customHeight="1">
      <c r="F646" s="82"/>
    </row>
    <row r="647" ht="14.25" customHeight="1">
      <c r="F647" s="82"/>
    </row>
    <row r="648" ht="14.25" customHeight="1">
      <c r="F648" s="82"/>
    </row>
    <row r="649" ht="14.25" customHeight="1">
      <c r="F649" s="82"/>
    </row>
    <row r="650" ht="14.25" customHeight="1">
      <c r="F650" s="82"/>
    </row>
    <row r="651" ht="14.25" customHeight="1">
      <c r="F651" s="82"/>
    </row>
    <row r="652" ht="14.25" customHeight="1">
      <c r="F652" s="82"/>
    </row>
    <row r="653" ht="14.25" customHeight="1">
      <c r="F653" s="82"/>
    </row>
    <row r="654" ht="14.25" customHeight="1">
      <c r="F654" s="82"/>
    </row>
    <row r="655" ht="14.25" customHeight="1">
      <c r="F655" s="82"/>
    </row>
    <row r="656" ht="14.25" customHeight="1">
      <c r="F656" s="82"/>
    </row>
    <row r="657" ht="14.25" customHeight="1">
      <c r="F657" s="82"/>
    </row>
    <row r="658" ht="14.25" customHeight="1">
      <c r="F658" s="82"/>
    </row>
    <row r="659" ht="14.25" customHeight="1">
      <c r="F659" s="82"/>
    </row>
    <row r="660" ht="14.25" customHeight="1">
      <c r="F660" s="82"/>
    </row>
    <row r="661" ht="14.25" customHeight="1">
      <c r="F661" s="82"/>
    </row>
    <row r="662" ht="14.25" customHeight="1">
      <c r="F662" s="82"/>
    </row>
    <row r="663" ht="14.25" customHeight="1">
      <c r="F663" s="82"/>
    </row>
    <row r="664" ht="14.25" customHeight="1">
      <c r="F664" s="82"/>
    </row>
    <row r="665" ht="14.25" customHeight="1">
      <c r="F665" s="82"/>
    </row>
    <row r="666" ht="14.25" customHeight="1">
      <c r="F666" s="82"/>
    </row>
    <row r="667" ht="14.25" customHeight="1">
      <c r="F667" s="82"/>
    </row>
    <row r="668" ht="14.25" customHeight="1">
      <c r="F668" s="82"/>
    </row>
    <row r="669" ht="14.25" customHeight="1">
      <c r="F669" s="82"/>
    </row>
    <row r="670" ht="14.25" customHeight="1">
      <c r="F670" s="82"/>
    </row>
    <row r="671" ht="14.25" customHeight="1">
      <c r="F671" s="82"/>
    </row>
    <row r="672" ht="14.25" customHeight="1">
      <c r="F672" s="82"/>
    </row>
    <row r="673" ht="14.25" customHeight="1">
      <c r="F673" s="82"/>
    </row>
    <row r="674" ht="14.25" customHeight="1">
      <c r="F674" s="82"/>
    </row>
    <row r="675" ht="14.25" customHeight="1">
      <c r="F675" s="82"/>
    </row>
    <row r="676" ht="14.25" customHeight="1">
      <c r="F676" s="82"/>
    </row>
    <row r="677" ht="14.25" customHeight="1">
      <c r="F677" s="82"/>
    </row>
    <row r="678" ht="14.25" customHeight="1">
      <c r="F678" s="82"/>
    </row>
    <row r="679" ht="14.25" customHeight="1">
      <c r="F679" s="82"/>
    </row>
    <row r="680" ht="14.25" customHeight="1">
      <c r="F680" s="82"/>
    </row>
    <row r="681" ht="14.25" customHeight="1">
      <c r="F681" s="82"/>
    </row>
    <row r="682" ht="14.25" customHeight="1">
      <c r="F682" s="82"/>
    </row>
    <row r="683" ht="14.25" customHeight="1">
      <c r="F683" s="82"/>
    </row>
    <row r="684" ht="14.25" customHeight="1">
      <c r="F684" s="82"/>
    </row>
    <row r="685" ht="14.25" customHeight="1">
      <c r="F685" s="82"/>
    </row>
    <row r="686" ht="14.25" customHeight="1">
      <c r="F686" s="82"/>
    </row>
    <row r="687" ht="14.25" customHeight="1">
      <c r="F687" s="82"/>
    </row>
    <row r="688" ht="14.25" customHeight="1">
      <c r="F688" s="82"/>
    </row>
    <row r="689" ht="14.25" customHeight="1">
      <c r="F689" s="82"/>
    </row>
    <row r="690" ht="14.25" customHeight="1">
      <c r="F690" s="82"/>
    </row>
    <row r="691" ht="14.25" customHeight="1">
      <c r="F691" s="82"/>
    </row>
    <row r="692" ht="14.25" customHeight="1">
      <c r="F692" s="82"/>
    </row>
    <row r="693" ht="14.25" customHeight="1">
      <c r="F693" s="82"/>
    </row>
    <row r="694" ht="14.25" customHeight="1">
      <c r="F694" s="82"/>
    </row>
    <row r="695" ht="14.25" customHeight="1">
      <c r="F695" s="82"/>
    </row>
    <row r="696" ht="14.25" customHeight="1">
      <c r="F696" s="82"/>
    </row>
    <row r="697" ht="14.25" customHeight="1">
      <c r="F697" s="82"/>
    </row>
    <row r="698" ht="14.25" customHeight="1">
      <c r="F698" s="82"/>
    </row>
    <row r="699" ht="14.25" customHeight="1">
      <c r="F699" s="82"/>
    </row>
    <row r="700" ht="14.25" customHeight="1">
      <c r="F700" s="82"/>
    </row>
    <row r="701" ht="14.25" customHeight="1">
      <c r="F701" s="82"/>
    </row>
    <row r="702" ht="14.25" customHeight="1">
      <c r="F702" s="82"/>
    </row>
    <row r="703" ht="14.25" customHeight="1">
      <c r="F703" s="82"/>
    </row>
    <row r="704" ht="14.25" customHeight="1">
      <c r="F704" s="82"/>
    </row>
    <row r="705" ht="14.25" customHeight="1">
      <c r="F705" s="82"/>
    </row>
    <row r="706" ht="14.25" customHeight="1">
      <c r="F706" s="82"/>
    </row>
    <row r="707" ht="14.25" customHeight="1">
      <c r="F707" s="82"/>
    </row>
    <row r="708" ht="14.25" customHeight="1">
      <c r="F708" s="82"/>
    </row>
    <row r="709" ht="14.25" customHeight="1">
      <c r="F709" s="82"/>
    </row>
    <row r="710" ht="14.25" customHeight="1">
      <c r="F710" s="82"/>
    </row>
    <row r="711" ht="14.25" customHeight="1">
      <c r="F711" s="82"/>
    </row>
    <row r="712" ht="14.25" customHeight="1">
      <c r="F712" s="82"/>
    </row>
    <row r="713" ht="14.25" customHeight="1">
      <c r="F713" s="82"/>
    </row>
    <row r="714" ht="14.25" customHeight="1">
      <c r="F714" s="82"/>
    </row>
    <row r="715" ht="14.25" customHeight="1">
      <c r="F715" s="82"/>
    </row>
    <row r="716" ht="14.25" customHeight="1">
      <c r="F716" s="82"/>
    </row>
    <row r="717" ht="14.25" customHeight="1">
      <c r="F717" s="82"/>
    </row>
    <row r="718" ht="14.25" customHeight="1">
      <c r="F718" s="82"/>
    </row>
    <row r="719" ht="14.25" customHeight="1">
      <c r="F719" s="82"/>
    </row>
    <row r="720" ht="14.25" customHeight="1">
      <c r="F720" s="82"/>
    </row>
    <row r="721" ht="14.25" customHeight="1">
      <c r="F721" s="82"/>
    </row>
    <row r="722" ht="14.25" customHeight="1">
      <c r="F722" s="82"/>
    </row>
    <row r="723" ht="14.25" customHeight="1">
      <c r="F723" s="82"/>
    </row>
    <row r="724" ht="14.25" customHeight="1">
      <c r="F724" s="82"/>
    </row>
    <row r="725" ht="14.25" customHeight="1">
      <c r="F725" s="82"/>
    </row>
    <row r="726" ht="14.25" customHeight="1">
      <c r="F726" s="82"/>
    </row>
    <row r="727" ht="14.25" customHeight="1">
      <c r="F727" s="82"/>
    </row>
    <row r="728" ht="14.25" customHeight="1">
      <c r="F728" s="82"/>
    </row>
    <row r="729" ht="14.25" customHeight="1">
      <c r="F729" s="82"/>
    </row>
    <row r="730" ht="14.25" customHeight="1">
      <c r="F730" s="82"/>
    </row>
    <row r="731" ht="14.25" customHeight="1">
      <c r="F731" s="82"/>
    </row>
    <row r="732" ht="14.25" customHeight="1">
      <c r="F732" s="82"/>
    </row>
    <row r="733" ht="14.25" customHeight="1">
      <c r="F733" s="82"/>
    </row>
    <row r="734" ht="14.25" customHeight="1">
      <c r="F734" s="82"/>
    </row>
    <row r="735" ht="14.25" customHeight="1">
      <c r="F735" s="82"/>
    </row>
    <row r="736" ht="14.25" customHeight="1">
      <c r="F736" s="82"/>
    </row>
    <row r="737" ht="14.25" customHeight="1">
      <c r="F737" s="82"/>
    </row>
    <row r="738" ht="14.25" customHeight="1">
      <c r="F738" s="82"/>
    </row>
    <row r="739" ht="14.25" customHeight="1">
      <c r="F739" s="82"/>
    </row>
    <row r="740" ht="14.25" customHeight="1">
      <c r="F740" s="82"/>
    </row>
    <row r="741" ht="14.25" customHeight="1">
      <c r="F741" s="82"/>
    </row>
    <row r="742" ht="14.25" customHeight="1">
      <c r="F742" s="82"/>
    </row>
    <row r="743" ht="14.25" customHeight="1">
      <c r="F743" s="82"/>
    </row>
    <row r="744" ht="14.25" customHeight="1">
      <c r="F744" s="82"/>
    </row>
    <row r="745" ht="14.25" customHeight="1">
      <c r="F745" s="82"/>
    </row>
    <row r="746" ht="14.25" customHeight="1">
      <c r="F746" s="82"/>
    </row>
    <row r="747" ht="14.25" customHeight="1">
      <c r="F747" s="82"/>
    </row>
    <row r="748" ht="14.25" customHeight="1">
      <c r="F748" s="82"/>
    </row>
    <row r="749" ht="14.25" customHeight="1">
      <c r="F749" s="82"/>
    </row>
    <row r="750" ht="14.25" customHeight="1">
      <c r="F750" s="82"/>
    </row>
    <row r="751" ht="14.25" customHeight="1">
      <c r="F751" s="82"/>
    </row>
    <row r="752" ht="14.25" customHeight="1">
      <c r="F752" s="82"/>
    </row>
    <row r="753" ht="14.25" customHeight="1">
      <c r="F753" s="82"/>
    </row>
    <row r="754" ht="14.25" customHeight="1">
      <c r="F754" s="82"/>
    </row>
    <row r="755" ht="14.25" customHeight="1">
      <c r="F755" s="82"/>
    </row>
    <row r="756" ht="14.25" customHeight="1">
      <c r="F756" s="82"/>
    </row>
    <row r="757" ht="14.25" customHeight="1">
      <c r="F757" s="82"/>
    </row>
    <row r="758" ht="14.25" customHeight="1">
      <c r="F758" s="82"/>
    </row>
    <row r="759" ht="14.25" customHeight="1">
      <c r="F759" s="82"/>
    </row>
    <row r="760" ht="14.25" customHeight="1">
      <c r="F760" s="82"/>
    </row>
    <row r="761" ht="14.25" customHeight="1">
      <c r="F761" s="82"/>
    </row>
    <row r="762" ht="14.25" customHeight="1">
      <c r="F762" s="82"/>
    </row>
    <row r="763" ht="14.25" customHeight="1">
      <c r="F763" s="82"/>
    </row>
    <row r="764" ht="14.25" customHeight="1">
      <c r="F764" s="82"/>
    </row>
    <row r="765" ht="14.25" customHeight="1">
      <c r="F765" s="82"/>
    </row>
    <row r="766" ht="14.25" customHeight="1">
      <c r="F766" s="82"/>
    </row>
    <row r="767" ht="14.25" customHeight="1">
      <c r="F767" s="82"/>
    </row>
    <row r="768" ht="14.25" customHeight="1">
      <c r="F768" s="82"/>
    </row>
    <row r="769" ht="14.25" customHeight="1">
      <c r="F769" s="82"/>
    </row>
    <row r="770" ht="14.25" customHeight="1">
      <c r="F770" s="82"/>
    </row>
    <row r="771" ht="14.25" customHeight="1">
      <c r="F771" s="82"/>
    </row>
    <row r="772" ht="14.25" customHeight="1">
      <c r="F772" s="82"/>
    </row>
    <row r="773" ht="14.25" customHeight="1">
      <c r="F773" s="82"/>
    </row>
    <row r="774" ht="14.25" customHeight="1">
      <c r="F774" s="82"/>
    </row>
    <row r="775" ht="14.25" customHeight="1">
      <c r="F775" s="82"/>
    </row>
    <row r="776" ht="14.25" customHeight="1">
      <c r="F776" s="82"/>
    </row>
    <row r="777" ht="14.25" customHeight="1">
      <c r="F777" s="82"/>
    </row>
    <row r="778" ht="14.25" customHeight="1">
      <c r="F778" s="82"/>
    </row>
    <row r="779" ht="14.25" customHeight="1">
      <c r="F779" s="82"/>
    </row>
    <row r="780" ht="14.25" customHeight="1">
      <c r="F780" s="82"/>
    </row>
    <row r="781" ht="14.25" customHeight="1">
      <c r="F781" s="82"/>
    </row>
    <row r="782" ht="14.25" customHeight="1">
      <c r="F782" s="82"/>
    </row>
    <row r="783" ht="14.25" customHeight="1">
      <c r="F783" s="82"/>
    </row>
    <row r="784" ht="14.25" customHeight="1">
      <c r="F784" s="82"/>
    </row>
    <row r="785" ht="14.25" customHeight="1">
      <c r="F785" s="82"/>
    </row>
    <row r="786" ht="14.25" customHeight="1">
      <c r="F786" s="82"/>
    </row>
    <row r="787" ht="14.25" customHeight="1">
      <c r="F787" s="82"/>
    </row>
    <row r="788" ht="14.25" customHeight="1">
      <c r="F788" s="82"/>
    </row>
    <row r="789" ht="14.25" customHeight="1">
      <c r="F789" s="82"/>
    </row>
    <row r="790" ht="14.25" customHeight="1">
      <c r="F790" s="82"/>
    </row>
    <row r="791" ht="14.25" customHeight="1">
      <c r="F791" s="82"/>
    </row>
    <row r="792" ht="14.25" customHeight="1">
      <c r="F792" s="82"/>
    </row>
    <row r="793" ht="14.25" customHeight="1">
      <c r="F793" s="82"/>
    </row>
    <row r="794" ht="14.25" customHeight="1">
      <c r="F794" s="82"/>
    </row>
    <row r="795" ht="14.25" customHeight="1">
      <c r="F795" s="82"/>
    </row>
    <row r="796" ht="14.25" customHeight="1">
      <c r="F796" s="82"/>
    </row>
    <row r="797" ht="14.25" customHeight="1">
      <c r="F797" s="82"/>
    </row>
    <row r="798" ht="14.25" customHeight="1">
      <c r="F798" s="82"/>
    </row>
    <row r="799" ht="14.25" customHeight="1">
      <c r="F799" s="82"/>
    </row>
    <row r="800" ht="14.25" customHeight="1">
      <c r="F800" s="82"/>
    </row>
    <row r="801" ht="14.25" customHeight="1">
      <c r="F801" s="82"/>
    </row>
    <row r="802" ht="14.25" customHeight="1">
      <c r="F802" s="82"/>
    </row>
    <row r="803" ht="14.25" customHeight="1">
      <c r="F803" s="82"/>
    </row>
    <row r="804" ht="14.25" customHeight="1">
      <c r="F804" s="82"/>
    </row>
    <row r="805" ht="14.25" customHeight="1">
      <c r="F805" s="82"/>
    </row>
    <row r="806" ht="14.25" customHeight="1">
      <c r="F806" s="82"/>
    </row>
    <row r="807" ht="14.25" customHeight="1">
      <c r="F807" s="82"/>
    </row>
    <row r="808" ht="14.25" customHeight="1">
      <c r="F808" s="82"/>
    </row>
    <row r="809" ht="14.25" customHeight="1">
      <c r="F809" s="82"/>
    </row>
    <row r="810" ht="14.25" customHeight="1">
      <c r="F810" s="82"/>
    </row>
    <row r="811" ht="14.25" customHeight="1">
      <c r="F811" s="82"/>
    </row>
    <row r="812" ht="14.25" customHeight="1">
      <c r="F812" s="82"/>
    </row>
    <row r="813" ht="14.25" customHeight="1">
      <c r="F813" s="82"/>
    </row>
    <row r="814" ht="14.25" customHeight="1">
      <c r="F814" s="82"/>
    </row>
    <row r="815" ht="14.25" customHeight="1">
      <c r="F815" s="82"/>
    </row>
    <row r="816" ht="14.25" customHeight="1">
      <c r="F816" s="82"/>
    </row>
    <row r="817" ht="14.25" customHeight="1">
      <c r="F817" s="82"/>
    </row>
    <row r="818" ht="14.25" customHeight="1">
      <c r="F818" s="82"/>
    </row>
    <row r="819" ht="14.25" customHeight="1">
      <c r="F819" s="82"/>
    </row>
    <row r="820" ht="14.25" customHeight="1">
      <c r="F820" s="82"/>
    </row>
    <row r="821" ht="14.25" customHeight="1">
      <c r="F821" s="82"/>
    </row>
    <row r="822" ht="14.25" customHeight="1">
      <c r="F822" s="82"/>
    </row>
    <row r="823" ht="14.25" customHeight="1">
      <c r="F823" s="82"/>
    </row>
    <row r="824" ht="14.25" customHeight="1">
      <c r="F824" s="82"/>
    </row>
    <row r="825" ht="14.25" customHeight="1">
      <c r="F825" s="82"/>
    </row>
    <row r="826" ht="14.25" customHeight="1">
      <c r="F826" s="82"/>
    </row>
    <row r="827" ht="14.25" customHeight="1">
      <c r="F827" s="82"/>
    </row>
    <row r="828" ht="14.25" customHeight="1">
      <c r="F828" s="82"/>
    </row>
    <row r="829" ht="14.25" customHeight="1">
      <c r="F829" s="82"/>
    </row>
    <row r="830" ht="14.25" customHeight="1">
      <c r="F830" s="82"/>
    </row>
    <row r="831" ht="14.25" customHeight="1">
      <c r="F831" s="82"/>
    </row>
    <row r="832" ht="14.25" customHeight="1">
      <c r="F832" s="82"/>
    </row>
    <row r="833" ht="14.25" customHeight="1">
      <c r="F833" s="82"/>
    </row>
    <row r="834" ht="14.25" customHeight="1">
      <c r="F834" s="82"/>
    </row>
    <row r="835" ht="14.25" customHeight="1">
      <c r="F835" s="82"/>
    </row>
    <row r="836" ht="14.25" customHeight="1">
      <c r="F836" s="82"/>
    </row>
    <row r="837" ht="14.25" customHeight="1">
      <c r="F837" s="82"/>
    </row>
    <row r="838" ht="14.25" customHeight="1">
      <c r="F838" s="82"/>
    </row>
    <row r="839" ht="14.25" customHeight="1">
      <c r="F839" s="82"/>
    </row>
    <row r="840" ht="14.25" customHeight="1">
      <c r="F840" s="82"/>
    </row>
    <row r="841" ht="14.25" customHeight="1">
      <c r="F841" s="82"/>
    </row>
    <row r="842" ht="14.25" customHeight="1">
      <c r="F842" s="82"/>
    </row>
    <row r="843" ht="14.25" customHeight="1">
      <c r="F843" s="82"/>
    </row>
    <row r="844" ht="14.25" customHeight="1">
      <c r="F844" s="82"/>
    </row>
    <row r="845" ht="14.25" customHeight="1">
      <c r="F845" s="82"/>
    </row>
    <row r="846" ht="14.25" customHeight="1">
      <c r="F846" s="82"/>
    </row>
    <row r="847" ht="14.25" customHeight="1">
      <c r="F847" s="82"/>
    </row>
    <row r="848" ht="14.25" customHeight="1">
      <c r="F848" s="82"/>
    </row>
    <row r="849" ht="14.25" customHeight="1">
      <c r="F849" s="82"/>
    </row>
    <row r="850" ht="14.25" customHeight="1">
      <c r="F850" s="82"/>
    </row>
    <row r="851" ht="14.25" customHeight="1">
      <c r="F851" s="82"/>
    </row>
    <row r="852" ht="14.25" customHeight="1">
      <c r="F852" s="82"/>
    </row>
    <row r="853" ht="14.25" customHeight="1">
      <c r="F853" s="82"/>
    </row>
    <row r="854" ht="14.25" customHeight="1">
      <c r="F854" s="82"/>
    </row>
    <row r="855" ht="14.25" customHeight="1">
      <c r="F855" s="82"/>
    </row>
    <row r="856" ht="14.25" customHeight="1">
      <c r="F856" s="82"/>
    </row>
    <row r="857" ht="14.25" customHeight="1">
      <c r="F857" s="82"/>
    </row>
    <row r="858" ht="14.25" customHeight="1">
      <c r="F858" s="82"/>
    </row>
    <row r="859" ht="14.25" customHeight="1">
      <c r="F859" s="82"/>
    </row>
    <row r="860" ht="14.25" customHeight="1">
      <c r="F860" s="82"/>
    </row>
    <row r="861" ht="14.25" customHeight="1">
      <c r="F861" s="82"/>
    </row>
    <row r="862" ht="14.25" customHeight="1">
      <c r="F862" s="82"/>
    </row>
    <row r="863" ht="14.25" customHeight="1">
      <c r="F863" s="82"/>
    </row>
    <row r="864" ht="14.25" customHeight="1">
      <c r="F864" s="82"/>
    </row>
    <row r="865" ht="14.25" customHeight="1">
      <c r="F865" s="82"/>
    </row>
    <row r="866" ht="14.25" customHeight="1">
      <c r="F866" s="82"/>
    </row>
    <row r="867" ht="14.25" customHeight="1">
      <c r="F867" s="82"/>
    </row>
    <row r="868" ht="14.25" customHeight="1">
      <c r="F868" s="82"/>
    </row>
    <row r="869" ht="14.25" customHeight="1">
      <c r="F869" s="82"/>
    </row>
    <row r="870" ht="14.25" customHeight="1">
      <c r="F870" s="82"/>
    </row>
    <row r="871" ht="14.25" customHeight="1">
      <c r="F871" s="82"/>
    </row>
    <row r="872" ht="14.25" customHeight="1">
      <c r="F872" s="82"/>
    </row>
    <row r="873" ht="14.25" customHeight="1">
      <c r="F873" s="82"/>
    </row>
    <row r="874" ht="14.25" customHeight="1">
      <c r="F874" s="82"/>
    </row>
    <row r="875" ht="14.25" customHeight="1">
      <c r="F875" s="82"/>
    </row>
    <row r="876" ht="14.25" customHeight="1">
      <c r="F876" s="82"/>
    </row>
    <row r="877" ht="14.25" customHeight="1">
      <c r="F877" s="82"/>
    </row>
    <row r="878" ht="14.25" customHeight="1">
      <c r="F878" s="82"/>
    </row>
    <row r="879" ht="14.25" customHeight="1">
      <c r="F879" s="82"/>
    </row>
    <row r="880" ht="14.25" customHeight="1">
      <c r="F880" s="82"/>
    </row>
    <row r="881" ht="14.25" customHeight="1">
      <c r="F881" s="82"/>
    </row>
    <row r="882" ht="14.25" customHeight="1">
      <c r="F882" s="82"/>
    </row>
    <row r="883" ht="14.25" customHeight="1">
      <c r="F883" s="82"/>
    </row>
    <row r="884" ht="14.25" customHeight="1">
      <c r="F884" s="82"/>
    </row>
    <row r="885" ht="14.25" customHeight="1">
      <c r="F885" s="82"/>
    </row>
    <row r="886" ht="14.25" customHeight="1">
      <c r="F886" s="82"/>
    </row>
    <row r="887" ht="14.25" customHeight="1">
      <c r="F887" s="82"/>
    </row>
    <row r="888" ht="14.25" customHeight="1">
      <c r="F888" s="82"/>
    </row>
    <row r="889" ht="14.25" customHeight="1">
      <c r="F889" s="82"/>
    </row>
    <row r="890" ht="14.25" customHeight="1">
      <c r="F890" s="82"/>
    </row>
    <row r="891" ht="14.25" customHeight="1">
      <c r="F891" s="82"/>
    </row>
    <row r="892" ht="14.25" customHeight="1">
      <c r="F892" s="82"/>
    </row>
    <row r="893" ht="14.25" customHeight="1">
      <c r="F893" s="82"/>
    </row>
    <row r="894" ht="14.25" customHeight="1">
      <c r="F894" s="82"/>
    </row>
    <row r="895" ht="14.25" customHeight="1">
      <c r="F895" s="82"/>
    </row>
    <row r="896" ht="14.25" customHeight="1">
      <c r="F896" s="82"/>
    </row>
    <row r="897" ht="14.25" customHeight="1">
      <c r="F897" s="82"/>
    </row>
    <row r="898" ht="14.25" customHeight="1">
      <c r="F898" s="82"/>
    </row>
    <row r="899" ht="14.25" customHeight="1">
      <c r="F899" s="82"/>
    </row>
    <row r="900" ht="14.25" customHeight="1">
      <c r="F900" s="82"/>
    </row>
    <row r="901" ht="14.25" customHeight="1">
      <c r="F901" s="82"/>
    </row>
    <row r="902" ht="14.25" customHeight="1">
      <c r="F902" s="82"/>
    </row>
    <row r="903" ht="14.25" customHeight="1">
      <c r="F903" s="82"/>
    </row>
    <row r="904" ht="14.25" customHeight="1">
      <c r="F904" s="82"/>
    </row>
    <row r="905" ht="14.25" customHeight="1">
      <c r="F905" s="82"/>
    </row>
    <row r="906" ht="14.25" customHeight="1">
      <c r="F906" s="82"/>
    </row>
    <row r="907" ht="14.25" customHeight="1">
      <c r="F907" s="82"/>
    </row>
    <row r="908" ht="14.25" customHeight="1">
      <c r="F908" s="82"/>
    </row>
    <row r="909" ht="14.25" customHeight="1">
      <c r="F909" s="82"/>
    </row>
    <row r="910" ht="14.25" customHeight="1">
      <c r="F910" s="82"/>
    </row>
    <row r="911" ht="14.25" customHeight="1">
      <c r="F911" s="82"/>
    </row>
    <row r="912" ht="14.25" customHeight="1">
      <c r="F912" s="82"/>
    </row>
    <row r="913" ht="14.25" customHeight="1">
      <c r="F913" s="82"/>
    </row>
    <row r="914" ht="14.25" customHeight="1">
      <c r="F914" s="82"/>
    </row>
    <row r="915" ht="14.25" customHeight="1">
      <c r="F915" s="82"/>
    </row>
    <row r="916" ht="14.25" customHeight="1">
      <c r="F916" s="82"/>
    </row>
    <row r="917" ht="14.25" customHeight="1">
      <c r="F917" s="82"/>
    </row>
    <row r="918" ht="14.25" customHeight="1">
      <c r="F918" s="82"/>
    </row>
    <row r="919" ht="14.25" customHeight="1">
      <c r="F919" s="82"/>
    </row>
    <row r="920" ht="14.25" customHeight="1">
      <c r="F920" s="82"/>
    </row>
    <row r="921" ht="14.25" customHeight="1">
      <c r="F921" s="82"/>
    </row>
    <row r="922" ht="14.25" customHeight="1">
      <c r="F922" s="82"/>
    </row>
    <row r="923" ht="14.25" customHeight="1">
      <c r="F923" s="82"/>
    </row>
    <row r="924" ht="14.25" customHeight="1">
      <c r="F924" s="82"/>
    </row>
    <row r="925" ht="14.25" customHeight="1">
      <c r="F925" s="82"/>
    </row>
    <row r="926" ht="14.25" customHeight="1">
      <c r="F926" s="82"/>
    </row>
    <row r="927" ht="14.25" customHeight="1">
      <c r="F927" s="82"/>
    </row>
    <row r="928" ht="14.25" customHeight="1">
      <c r="F928" s="82"/>
    </row>
    <row r="929" ht="14.25" customHeight="1">
      <c r="F929" s="82"/>
    </row>
    <row r="930" ht="14.25" customHeight="1">
      <c r="F930" s="82"/>
    </row>
    <row r="931" ht="14.25" customHeight="1">
      <c r="F931" s="82"/>
    </row>
    <row r="932" ht="14.25" customHeight="1">
      <c r="F932" s="82"/>
    </row>
    <row r="933" ht="14.25" customHeight="1">
      <c r="F933" s="82"/>
    </row>
    <row r="934" ht="14.25" customHeight="1">
      <c r="F934" s="82"/>
    </row>
    <row r="935" ht="14.25" customHeight="1">
      <c r="F935" s="82"/>
    </row>
    <row r="936" ht="14.25" customHeight="1">
      <c r="F936" s="82"/>
    </row>
    <row r="937" ht="14.25" customHeight="1">
      <c r="F937" s="82"/>
    </row>
    <row r="938" ht="14.25" customHeight="1">
      <c r="F938" s="82"/>
    </row>
    <row r="939" ht="14.25" customHeight="1">
      <c r="F939" s="82"/>
    </row>
    <row r="940" ht="14.25" customHeight="1">
      <c r="F940" s="82"/>
    </row>
    <row r="941" ht="14.25" customHeight="1">
      <c r="F941" s="82"/>
    </row>
    <row r="942" ht="14.25" customHeight="1">
      <c r="F942" s="82"/>
    </row>
    <row r="943" ht="14.25" customHeight="1">
      <c r="F943" s="82"/>
    </row>
    <row r="944" ht="14.25" customHeight="1">
      <c r="F944" s="82"/>
    </row>
    <row r="945" ht="14.25" customHeight="1">
      <c r="F945" s="82"/>
    </row>
    <row r="946" ht="14.25" customHeight="1">
      <c r="F946" s="82"/>
    </row>
    <row r="947" ht="14.25" customHeight="1">
      <c r="F947" s="82"/>
    </row>
    <row r="948" ht="14.25" customHeight="1">
      <c r="F948" s="82"/>
    </row>
    <row r="949" ht="14.25" customHeight="1">
      <c r="F949" s="82"/>
    </row>
    <row r="950" ht="14.25" customHeight="1">
      <c r="F950" s="82"/>
    </row>
    <row r="951" ht="14.25" customHeight="1">
      <c r="F951" s="82"/>
    </row>
    <row r="952" ht="14.25" customHeight="1">
      <c r="F952" s="82"/>
    </row>
    <row r="953" ht="14.25" customHeight="1">
      <c r="F953" s="82"/>
    </row>
    <row r="954" ht="14.25" customHeight="1">
      <c r="F954" s="82"/>
    </row>
    <row r="955" ht="14.25" customHeight="1">
      <c r="F955" s="82"/>
    </row>
    <row r="956" ht="14.25" customHeight="1">
      <c r="F956" s="82"/>
    </row>
    <row r="957" ht="14.25" customHeight="1">
      <c r="F957" s="82"/>
    </row>
    <row r="958" ht="14.25" customHeight="1">
      <c r="F958" s="82"/>
    </row>
    <row r="959" ht="14.25" customHeight="1">
      <c r="F959" s="82"/>
    </row>
    <row r="960" ht="14.25" customHeight="1">
      <c r="F960" s="82"/>
    </row>
    <row r="961" ht="14.25" customHeight="1">
      <c r="F961" s="82"/>
    </row>
    <row r="962" ht="14.25" customHeight="1">
      <c r="F962" s="82"/>
    </row>
    <row r="963" ht="14.25" customHeight="1">
      <c r="F963" s="82"/>
    </row>
    <row r="964" ht="14.25" customHeight="1">
      <c r="F964" s="82"/>
    </row>
    <row r="965" ht="14.25" customHeight="1">
      <c r="F965" s="82"/>
    </row>
    <row r="966" ht="14.25" customHeight="1">
      <c r="F966" s="82"/>
    </row>
    <row r="967" ht="14.25" customHeight="1">
      <c r="F967" s="82"/>
    </row>
    <row r="968" ht="14.25" customHeight="1">
      <c r="F968" s="82"/>
    </row>
    <row r="969" ht="14.25" customHeight="1">
      <c r="F969" s="82"/>
    </row>
    <row r="970" ht="14.25" customHeight="1">
      <c r="F970" s="82"/>
    </row>
    <row r="971" ht="14.25" customHeight="1">
      <c r="F971" s="82"/>
    </row>
    <row r="972" ht="14.25" customHeight="1">
      <c r="F972" s="82"/>
    </row>
    <row r="973" ht="14.25" customHeight="1">
      <c r="F973" s="82"/>
    </row>
    <row r="974" ht="14.25" customHeight="1">
      <c r="F974" s="82"/>
    </row>
    <row r="975" ht="14.25" customHeight="1">
      <c r="F975" s="82"/>
    </row>
    <row r="976" ht="14.25" customHeight="1">
      <c r="F976" s="82"/>
    </row>
    <row r="977" ht="14.25" customHeight="1">
      <c r="F977" s="82"/>
    </row>
    <row r="978" ht="14.25" customHeight="1">
      <c r="F978" s="82"/>
    </row>
    <row r="979" ht="14.25" customHeight="1">
      <c r="F979" s="82"/>
    </row>
    <row r="980" ht="14.25" customHeight="1">
      <c r="F980" s="82"/>
    </row>
    <row r="981" ht="14.25" customHeight="1">
      <c r="F981" s="82"/>
    </row>
    <row r="982" ht="14.25" customHeight="1">
      <c r="F982" s="82"/>
    </row>
    <row r="983" ht="14.25" customHeight="1">
      <c r="F983" s="82"/>
    </row>
    <row r="984" ht="14.25" customHeight="1">
      <c r="F984" s="82"/>
    </row>
    <row r="985" ht="14.25" customHeight="1">
      <c r="F985" s="82"/>
    </row>
    <row r="986" ht="14.25" customHeight="1">
      <c r="F986" s="82"/>
    </row>
    <row r="987" ht="14.25" customHeight="1">
      <c r="F987" s="82"/>
    </row>
    <row r="988" ht="14.25" customHeight="1">
      <c r="F988" s="82"/>
    </row>
    <row r="989" ht="14.25" customHeight="1">
      <c r="F989" s="82"/>
    </row>
    <row r="990" ht="14.25" customHeight="1">
      <c r="F990" s="82"/>
    </row>
    <row r="991" ht="14.25" customHeight="1">
      <c r="F991" s="82"/>
    </row>
    <row r="992" ht="14.25" customHeight="1">
      <c r="F992" s="82"/>
    </row>
    <row r="993" ht="14.25" customHeight="1">
      <c r="F993" s="82"/>
    </row>
    <row r="994" ht="14.25" customHeight="1">
      <c r="F994" s="82"/>
    </row>
    <row r="995" ht="14.25" customHeight="1">
      <c r="F995" s="82"/>
    </row>
    <row r="996" ht="14.25" customHeight="1">
      <c r="F996" s="82"/>
    </row>
    <row r="997" ht="14.25" customHeight="1">
      <c r="F997" s="82"/>
    </row>
    <row r="998" ht="14.25" customHeight="1">
      <c r="F998" s="82"/>
    </row>
    <row r="999" ht="14.25" customHeight="1">
      <c r="F999" s="82"/>
    </row>
    <row r="1000" ht="14.25" customHeight="1">
      <c r="F1000" s="82"/>
    </row>
  </sheetData>
  <dataValidations>
    <dataValidation allowBlank="1" showDropDown="1" sqref="A2:B7 E2:F7"/>
  </dataValidations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29.57"/>
  </cols>
  <sheetData>
    <row r="1">
      <c r="A1" s="83" t="s">
        <v>447</v>
      </c>
      <c r="B1" s="83" t="s">
        <v>448</v>
      </c>
      <c r="C1" s="83" t="s">
        <v>5</v>
      </c>
      <c r="D1" s="83" t="s">
        <v>16</v>
      </c>
      <c r="E1" s="83" t="s">
        <v>6</v>
      </c>
    </row>
    <row r="2">
      <c r="A2" s="84" t="s">
        <v>449</v>
      </c>
      <c r="B2" s="84" t="s">
        <v>450</v>
      </c>
      <c r="C2" s="84" t="s">
        <v>25</v>
      </c>
      <c r="D2" s="84" t="s">
        <v>36</v>
      </c>
      <c r="E2" s="84" t="s">
        <v>451</v>
      </c>
    </row>
    <row r="3">
      <c r="A3" s="85" t="s">
        <v>48</v>
      </c>
      <c r="B3" s="86" t="s">
        <v>48</v>
      </c>
      <c r="C3" s="87">
        <v>100.0</v>
      </c>
      <c r="D3" s="88" t="s">
        <v>452</v>
      </c>
      <c r="E3" s="86" t="s">
        <v>48</v>
      </c>
    </row>
    <row r="4">
      <c r="A4" s="89" t="s">
        <v>47</v>
      </c>
      <c r="B4" s="90" t="s">
        <v>48</v>
      </c>
      <c r="C4" s="91">
        <v>200.0</v>
      </c>
      <c r="D4" s="89" t="s">
        <v>452</v>
      </c>
      <c r="E4" s="90" t="s">
        <v>47</v>
      </c>
    </row>
    <row r="5">
      <c r="A5" s="85" t="s">
        <v>71</v>
      </c>
      <c r="B5" s="86" t="s">
        <v>48</v>
      </c>
      <c r="C5" s="87">
        <v>300.0</v>
      </c>
      <c r="D5" s="85" t="s">
        <v>452</v>
      </c>
      <c r="E5" s="86" t="s">
        <v>71</v>
      </c>
    </row>
  </sheetData>
  <drawing r:id="rId2"/>
  <legacyDrawing r:id="rId3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92" t="s">
        <v>447</v>
      </c>
      <c r="B1" s="93" t="s">
        <v>448</v>
      </c>
      <c r="C1" s="92" t="s">
        <v>5</v>
      </c>
      <c r="D1" s="93" t="s">
        <v>16</v>
      </c>
      <c r="E1" s="92" t="s">
        <v>6</v>
      </c>
    </row>
    <row r="2">
      <c r="A2" s="94" t="s">
        <v>449</v>
      </c>
      <c r="B2" s="95" t="s">
        <v>450</v>
      </c>
      <c r="C2" s="94" t="s">
        <v>25</v>
      </c>
      <c r="D2" s="95" t="s">
        <v>36</v>
      </c>
      <c r="E2" s="94" t="s">
        <v>451</v>
      </c>
    </row>
    <row r="3">
      <c r="A3" s="96" t="s">
        <v>453</v>
      </c>
      <c r="B3" s="90" t="s">
        <v>48</v>
      </c>
      <c r="C3" s="91">
        <v>100.0</v>
      </c>
      <c r="D3" s="89" t="s">
        <v>454</v>
      </c>
      <c r="E3" s="91" t="str">
        <f>IFERROR(__xludf.DUMMYFUNCTION("GOOGLETRANSLATE(A3,""RU"",""EN"" )"),"Horizontal")</f>
        <v>Horizontal</v>
      </c>
    </row>
    <row r="4">
      <c r="A4" s="97" t="s">
        <v>455</v>
      </c>
      <c r="B4" s="98" t="s">
        <v>48</v>
      </c>
      <c r="C4" s="99">
        <v>200.0</v>
      </c>
      <c r="D4" s="100" t="s">
        <v>454</v>
      </c>
      <c r="E4" s="99" t="str">
        <f>IFERROR(__xludf.DUMMYFUNCTION("GOOGLETRANSLATE(A4,""RU"",""EN"" )"),"Vertical")</f>
        <v>Vertical</v>
      </c>
    </row>
  </sheetData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26.0"/>
  </cols>
  <sheetData>
    <row r="1">
      <c r="A1" s="92" t="s">
        <v>447</v>
      </c>
      <c r="B1" s="92" t="s">
        <v>448</v>
      </c>
      <c r="C1" s="92" t="s">
        <v>5</v>
      </c>
      <c r="D1" s="92" t="s">
        <v>16</v>
      </c>
      <c r="E1" s="92" t="s">
        <v>6</v>
      </c>
    </row>
    <row r="2">
      <c r="A2" s="94" t="s">
        <v>449</v>
      </c>
      <c r="B2" s="94" t="s">
        <v>450</v>
      </c>
      <c r="C2" s="94" t="s">
        <v>25</v>
      </c>
      <c r="D2" s="94" t="s">
        <v>36</v>
      </c>
      <c r="E2" s="94" t="s">
        <v>451</v>
      </c>
    </row>
    <row r="3">
      <c r="A3" s="101" t="s">
        <v>456</v>
      </c>
      <c r="B3" s="102" t="s">
        <v>48</v>
      </c>
      <c r="C3" s="91">
        <v>100.0</v>
      </c>
      <c r="D3" s="103" t="s">
        <v>457</v>
      </c>
      <c r="E3" s="104" t="str">
        <f>IFERROR(__xludf.DUMMYFUNCTION("GOOGLETRANSLATE(A3,""RU"",""EN"" )"),"Sewerage")</f>
        <v>Sewerage</v>
      </c>
    </row>
    <row r="4">
      <c r="A4" s="97" t="s">
        <v>458</v>
      </c>
      <c r="B4" s="98" t="s">
        <v>48</v>
      </c>
      <c r="C4" s="87">
        <v>200.0</v>
      </c>
      <c r="D4" s="100" t="s">
        <v>457</v>
      </c>
      <c r="E4" s="99" t="str">
        <f>IFERROR(__xludf.DUMMYFUNCTION("GOOGLETRANSLATE(A4,""RU"",""EN"" )"),"Water")</f>
        <v>Water</v>
      </c>
    </row>
    <row r="5">
      <c r="A5" s="101" t="s">
        <v>459</v>
      </c>
      <c r="B5" s="102" t="s">
        <v>48</v>
      </c>
      <c r="C5" s="91">
        <v>300.0</v>
      </c>
      <c r="D5" s="103" t="s">
        <v>457</v>
      </c>
      <c r="E5" s="105" t="str">
        <f>IFERROR(__xludf.DUMMYFUNCTION("GOOGLETRANSLATE(A5,""RU"",""EN"" )"),"Compressed air")</f>
        <v>Compressed air</v>
      </c>
    </row>
  </sheetData>
  <drawing r:id="rId1"/>
  <tableParts count="2"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4.71"/>
  </cols>
  <sheetData>
    <row r="1">
      <c r="A1" s="83" t="s">
        <v>447</v>
      </c>
      <c r="B1" s="83" t="s">
        <v>448</v>
      </c>
      <c r="C1" s="83" t="s">
        <v>5</v>
      </c>
      <c r="D1" s="83" t="s">
        <v>16</v>
      </c>
      <c r="E1" s="83" t="s">
        <v>6</v>
      </c>
    </row>
    <row r="2">
      <c r="A2" s="84" t="s">
        <v>449</v>
      </c>
      <c r="B2" s="84" t="s">
        <v>450</v>
      </c>
      <c r="C2" s="84" t="s">
        <v>25</v>
      </c>
      <c r="D2" s="84" t="s">
        <v>36</v>
      </c>
      <c r="E2" s="84" t="s">
        <v>451</v>
      </c>
    </row>
    <row r="3">
      <c r="A3" s="106" t="s">
        <v>460</v>
      </c>
      <c r="B3" s="107" t="s">
        <v>48</v>
      </c>
      <c r="C3" s="108">
        <v>100.0</v>
      </c>
      <c r="D3" s="109" t="s">
        <v>461</v>
      </c>
      <c r="E3" s="110" t="str">
        <f>IFERROR(__xludf.DUMMYFUNCTION("GOOGLETRANSLATE(A3,""RU"",""EN"" )"),"Pneumatic drive")</f>
        <v>Pneumatic drive</v>
      </c>
    </row>
    <row r="4">
      <c r="A4" s="111" t="s">
        <v>462</v>
      </c>
      <c r="B4" s="112" t="s">
        <v>48</v>
      </c>
      <c r="C4" s="113">
        <v>200.0</v>
      </c>
      <c r="D4" s="114" t="s">
        <v>461</v>
      </c>
      <c r="E4" s="105" t="str">
        <f>IFERROR(__xludf.DUMMYFUNCTION("GOOGLETRANSLATE(A4,""RU"",""EN"" )"),"Electric drive")</f>
        <v>Electric drive</v>
      </c>
    </row>
  </sheetData>
  <drawing r:id="rId1"/>
  <tableParts count="2"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83" t="s">
        <v>447</v>
      </c>
      <c r="B1" s="83" t="s">
        <v>448</v>
      </c>
      <c r="C1" s="83" t="s">
        <v>5</v>
      </c>
      <c r="D1" s="83" t="s">
        <v>16</v>
      </c>
      <c r="E1" s="83" t="s">
        <v>6</v>
      </c>
    </row>
    <row r="2">
      <c r="A2" s="84" t="s">
        <v>449</v>
      </c>
      <c r="B2" s="84" t="s">
        <v>450</v>
      </c>
      <c r="C2" s="84" t="s">
        <v>25</v>
      </c>
      <c r="D2" s="84" t="s">
        <v>36</v>
      </c>
      <c r="E2" s="84" t="s">
        <v>451</v>
      </c>
    </row>
    <row r="3">
      <c r="A3" s="106" t="s">
        <v>463</v>
      </c>
      <c r="B3" s="107" t="s">
        <v>48</v>
      </c>
      <c r="C3" s="108">
        <v>100.0</v>
      </c>
      <c r="D3" s="109" t="s">
        <v>464</v>
      </c>
      <c r="E3" s="110" t="str">
        <f>IFERROR(__xludf.DUMMYFUNCTION("GOOGLETRANSLATE(A3,""RU"",""EN"" )"),"Mechanical")</f>
        <v>Mechanical</v>
      </c>
    </row>
    <row r="4">
      <c r="A4" s="111" t="s">
        <v>465</v>
      </c>
      <c r="B4" s="112" t="s">
        <v>48</v>
      </c>
      <c r="C4" s="113">
        <v>200.0</v>
      </c>
      <c r="D4" s="114" t="s">
        <v>464</v>
      </c>
      <c r="E4" s="105" t="str">
        <f>IFERROR(__xludf.DUMMYFUNCTION("GOOGLETRANSLATE(A4,""RU"",""EN"" )"),"Electronic")</f>
        <v>Electronic</v>
      </c>
    </row>
  </sheetData>
  <drawing r:id="rId1"/>
  <tableParts count="2"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92" t="s">
        <v>447</v>
      </c>
      <c r="B1" s="92" t="s">
        <v>448</v>
      </c>
      <c r="C1" s="92" t="s">
        <v>5</v>
      </c>
      <c r="D1" s="92" t="s">
        <v>16</v>
      </c>
      <c r="E1" s="92" t="s">
        <v>6</v>
      </c>
    </row>
    <row r="2">
      <c r="A2" s="94" t="s">
        <v>449</v>
      </c>
      <c r="B2" s="94" t="s">
        <v>450</v>
      </c>
      <c r="C2" s="94" t="s">
        <v>25</v>
      </c>
      <c r="D2" s="94" t="s">
        <v>36</v>
      </c>
      <c r="E2" s="94" t="s">
        <v>451</v>
      </c>
    </row>
    <row r="3">
      <c r="A3" s="106" t="s">
        <v>466</v>
      </c>
      <c r="B3" s="107" t="s">
        <v>48</v>
      </c>
      <c r="C3" s="108">
        <v>100.0</v>
      </c>
      <c r="D3" s="109" t="s">
        <v>467</v>
      </c>
      <c r="E3" s="110" t="str">
        <f>IFERROR(__xludf.DUMMYFUNCTION("GOOGLETRANSLATE(A3,""RU"",""EN"" )"),"Tough ")</f>
        <v>Tough </v>
      </c>
    </row>
    <row r="4">
      <c r="A4" s="111" t="s">
        <v>468</v>
      </c>
      <c r="B4" s="112" t="s">
        <v>48</v>
      </c>
      <c r="C4" s="113">
        <v>200.0</v>
      </c>
      <c r="D4" s="114" t="s">
        <v>467</v>
      </c>
      <c r="E4" s="105" t="str">
        <f>IFERROR(__xludf.DUMMYFUNCTION("GOOGLETRANSLATE(A4,""RU"",""EN"" )"),"Soft")</f>
        <v>Soft</v>
      </c>
    </row>
  </sheetData>
  <drawing r:id="rId1"/>
  <tableParts count="2"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30.29"/>
  </cols>
  <sheetData>
    <row r="1">
      <c r="A1" s="83" t="s">
        <v>447</v>
      </c>
      <c r="B1" s="83" t="s">
        <v>448</v>
      </c>
      <c r="C1" s="83" t="s">
        <v>5</v>
      </c>
      <c r="D1" s="83" t="s">
        <v>16</v>
      </c>
      <c r="E1" s="83" t="s">
        <v>6</v>
      </c>
    </row>
    <row r="2">
      <c r="A2" s="84" t="s">
        <v>449</v>
      </c>
      <c r="B2" s="84" t="s">
        <v>450</v>
      </c>
      <c r="C2" s="84" t="s">
        <v>25</v>
      </c>
      <c r="D2" s="84" t="s">
        <v>36</v>
      </c>
      <c r="E2" s="84" t="s">
        <v>451</v>
      </c>
    </row>
    <row r="3">
      <c r="A3" s="97" t="s">
        <v>469</v>
      </c>
      <c r="B3" s="98" t="s">
        <v>48</v>
      </c>
      <c r="C3" s="87">
        <v>100.0</v>
      </c>
      <c r="D3" s="100" t="s">
        <v>470</v>
      </c>
      <c r="E3" s="110" t="str">
        <f>IFERROR(__xludf.DUMMYFUNCTION("GOOGLETRANSLATE(A3,""RU"",""EN"" )"),"Halogen")</f>
        <v>Halogen</v>
      </c>
    </row>
    <row r="4">
      <c r="A4" s="101" t="s">
        <v>471</v>
      </c>
      <c r="B4" s="102" t="s">
        <v>48</v>
      </c>
      <c r="C4" s="91">
        <v>200.0</v>
      </c>
      <c r="D4" s="103" t="s">
        <v>470</v>
      </c>
      <c r="E4" s="105" t="str">
        <f>IFERROR(__xludf.DUMMYFUNCTION("GOOGLETRANSLATE(A4,""RU"",""EN"" )"),"LED")</f>
        <v>LED</v>
      </c>
    </row>
    <row r="5">
      <c r="A5" s="97" t="s">
        <v>472</v>
      </c>
      <c r="B5" s="98" t="s">
        <v>48</v>
      </c>
      <c r="C5" s="99">
        <v>300.0</v>
      </c>
      <c r="D5" s="100" t="s">
        <v>470</v>
      </c>
      <c r="E5" s="110" t="str">
        <f>IFERROR(__xludf.DUMMYFUNCTION("GOOGLETRANSLATE(A5,""RU"",""EN"" )"),"Xenon")</f>
        <v>Xenon</v>
      </c>
    </row>
  </sheetData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2024-04-30T13:11:25Z</dcterms:created>
  <dc:creator>maksim</dc:creator>
</cp:coreProperties>
</file>