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D-AP\Desktop\Costing Sheets\October 2019\"/>
    </mc:Choice>
  </mc:AlternateContent>
  <xr:revisionPtr revIDLastSave="0" documentId="8_{14269CF7-FFC1-492B-AEE4-FF89E50FC19E}" xr6:coauthVersionLast="45" xr6:coauthVersionMax="45" xr10:uidLastSave="{00000000-0000-0000-0000-000000000000}"/>
  <bookViews>
    <workbookView xWindow="-120" yWindow="-120" windowWidth="29040" windowHeight="15840" xr2:uid="{35E862C5-58ED-4E22-A42B-0788C1ECEBF8}"/>
  </bookViews>
  <sheets>
    <sheet name="8 x 8 Costing Report" sheetId="5" r:id="rId1"/>
    <sheet name="8 x 8 Costing Breakdown" sheetId="3" r:id="rId2"/>
    <sheet name="Item Cost Index" sheetId="4" r:id="rId3"/>
    <sheet name="Readme" sheetId="6" r:id="rId4"/>
  </sheets>
  <definedNames>
    <definedName name="Height">Readme!$B$22</definedName>
    <definedName name="ItemLookup">Table1[#All]</definedName>
    <definedName name="TEMPLATE_VERSION">Readme!$B$1</definedName>
    <definedName name="TotalBaseCost">'8 x 8 Costing Report'!$K$4</definedName>
    <definedName name="TotalExtraCost">'8 x 8 Costing Report'!$E$4</definedName>
    <definedName name="Width">Readme!$B$21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3" l="1"/>
  <c r="I46" i="3"/>
  <c r="I39" i="3"/>
  <c r="K38" i="3" l="1"/>
  <c r="K18" i="3" l="1"/>
  <c r="K37" i="3" l="1"/>
  <c r="K36" i="3"/>
  <c r="I55" i="3"/>
  <c r="G55" i="3"/>
  <c r="G61" i="3"/>
  <c r="I63" i="3"/>
  <c r="I62" i="3"/>
  <c r="I61" i="3"/>
  <c r="G63" i="3"/>
  <c r="G62" i="3"/>
  <c r="A1" i="5"/>
  <c r="K35" i="3"/>
  <c r="K34" i="3"/>
  <c r="K33" i="3"/>
  <c r="K22" i="3"/>
  <c r="K20" i="3"/>
  <c r="K19" i="3"/>
  <c r="G21" i="3"/>
  <c r="G16" i="3" s="1"/>
  <c r="I16" i="3"/>
  <c r="I15" i="3"/>
  <c r="I14" i="3"/>
  <c r="F16" i="3"/>
  <c r="H16" i="3"/>
  <c r="J16" i="3"/>
  <c r="L16" i="3" s="1"/>
  <c r="G14" i="3" l="1"/>
  <c r="G15" i="3"/>
  <c r="J63" i="3"/>
  <c r="J62" i="3"/>
  <c r="F45" i="3" l="1"/>
  <c r="H45" i="3"/>
  <c r="J45" i="3"/>
  <c r="L45" i="3" s="1"/>
  <c r="F51" i="3"/>
  <c r="H51" i="3"/>
  <c r="J51" i="3"/>
  <c r="L51" i="3" s="1"/>
  <c r="F42" i="3" l="1"/>
  <c r="H42" i="3"/>
  <c r="J42" i="3"/>
  <c r="L42" i="3" s="1"/>
  <c r="H21" i="5" s="1"/>
  <c r="F41" i="3"/>
  <c r="H41" i="3"/>
  <c r="J41" i="3"/>
  <c r="L41" i="3" s="1"/>
  <c r="F13" i="3"/>
  <c r="F23" i="3"/>
  <c r="F32" i="3"/>
  <c r="F40" i="3"/>
  <c r="F52" i="3"/>
  <c r="F60" i="3"/>
  <c r="H13" i="3"/>
  <c r="H23" i="3"/>
  <c r="H32" i="3"/>
  <c r="H40" i="3"/>
  <c r="H52" i="3"/>
  <c r="H60" i="3"/>
  <c r="J13" i="3"/>
  <c r="L13" i="3" s="1"/>
  <c r="J23" i="3"/>
  <c r="L23" i="3" s="1"/>
  <c r="J32" i="3"/>
  <c r="L32" i="3" s="1"/>
  <c r="J40" i="3"/>
  <c r="L40" i="3" s="1"/>
  <c r="J52" i="3"/>
  <c r="L52" i="3" s="1"/>
  <c r="J60" i="3"/>
  <c r="L60" i="3" s="1"/>
  <c r="F59" i="3"/>
  <c r="H59" i="3"/>
  <c r="J59" i="3"/>
  <c r="L59" i="3" s="1"/>
  <c r="F25" i="3"/>
  <c r="H25" i="3"/>
  <c r="J25" i="3"/>
  <c r="L25" i="3" s="1"/>
  <c r="F28" i="3"/>
  <c r="F24" i="3"/>
  <c r="F36" i="3"/>
  <c r="F37" i="3"/>
  <c r="F26" i="3"/>
  <c r="F27" i="3"/>
  <c r="F33" i="3"/>
  <c r="F34" i="3"/>
  <c r="F35" i="3"/>
  <c r="F31" i="3"/>
  <c r="H28" i="3"/>
  <c r="H24" i="3"/>
  <c r="H36" i="3"/>
  <c r="H37" i="3"/>
  <c r="H26" i="3"/>
  <c r="H27" i="3"/>
  <c r="H33" i="3"/>
  <c r="H34" i="3"/>
  <c r="H35" i="3"/>
  <c r="H31" i="3"/>
  <c r="J28" i="3"/>
  <c r="L28" i="3" s="1"/>
  <c r="J24" i="3"/>
  <c r="L24" i="3" s="1"/>
  <c r="J36" i="3"/>
  <c r="L36" i="3" s="1"/>
  <c r="J37" i="3"/>
  <c r="L37" i="3" s="1"/>
  <c r="J26" i="3"/>
  <c r="L26" i="3" s="1"/>
  <c r="J27" i="3"/>
  <c r="L27" i="3" s="1"/>
  <c r="J33" i="3"/>
  <c r="L33" i="3" s="1"/>
  <c r="J34" i="3"/>
  <c r="L34" i="3" s="1"/>
  <c r="J35" i="3"/>
  <c r="L35" i="3" s="1"/>
  <c r="J31" i="3"/>
  <c r="L31" i="3" s="1"/>
  <c r="J15" i="3"/>
  <c r="L15" i="3" s="1"/>
  <c r="J14" i="3"/>
  <c r="L14" i="3" s="1"/>
  <c r="F22" i="3"/>
  <c r="H22" i="3"/>
  <c r="J22" i="3"/>
  <c r="L22" i="3" s="1"/>
  <c r="F20" i="3"/>
  <c r="F21" i="3"/>
  <c r="F19" i="3"/>
  <c r="F14" i="3"/>
  <c r="F15" i="3"/>
  <c r="F17" i="3"/>
  <c r="F18" i="3"/>
  <c r="H20" i="3"/>
  <c r="H21" i="3"/>
  <c r="H19" i="3"/>
  <c r="H14" i="3"/>
  <c r="H15" i="3"/>
  <c r="H17" i="3"/>
  <c r="H18" i="3"/>
  <c r="J20" i="3"/>
  <c r="L20" i="3" s="1"/>
  <c r="J21" i="3"/>
  <c r="L21" i="3" s="1"/>
  <c r="J19" i="3"/>
  <c r="L19" i="3" s="1"/>
  <c r="H14" i="5" s="1"/>
  <c r="J17" i="3"/>
  <c r="L17" i="3" s="1"/>
  <c r="J18" i="3"/>
  <c r="L18" i="3" s="1"/>
  <c r="J39" i="3"/>
  <c r="L39" i="3" s="1"/>
  <c r="F38" i="3"/>
  <c r="F39" i="3"/>
  <c r="H38" i="3"/>
  <c r="H39" i="3"/>
  <c r="J38" i="3"/>
  <c r="L38" i="3" s="1"/>
  <c r="L63" i="3"/>
  <c r="J61" i="3"/>
  <c r="L61" i="3" s="1"/>
  <c r="F63" i="3"/>
  <c r="H63" i="3"/>
  <c r="F61" i="3"/>
  <c r="F62" i="3"/>
  <c r="H61" i="3"/>
  <c r="H62" i="3"/>
  <c r="L62" i="3"/>
  <c r="I54" i="3"/>
  <c r="J54" i="3" s="1"/>
  <c r="L54" i="3" s="1"/>
  <c r="J50" i="3"/>
  <c r="L50" i="3" s="1"/>
  <c r="J55" i="3"/>
  <c r="L55" i="3" s="1"/>
  <c r="J46" i="3"/>
  <c r="L46" i="3" s="1"/>
  <c r="J3" i="3"/>
  <c r="L3" i="3" s="1"/>
  <c r="J4" i="3"/>
  <c r="L4" i="3" s="1"/>
  <c r="J5" i="3"/>
  <c r="L5" i="3" s="1"/>
  <c r="J8" i="3"/>
  <c r="L8" i="3" s="1"/>
  <c r="J9" i="3"/>
  <c r="L9" i="3" s="1"/>
  <c r="J10" i="3"/>
  <c r="L10" i="3" s="1"/>
  <c r="J11" i="3"/>
  <c r="L11" i="3" s="1"/>
  <c r="J29" i="3"/>
  <c r="L29" i="3" s="1"/>
  <c r="J30" i="3"/>
  <c r="L30" i="3" s="1"/>
  <c r="J6" i="3"/>
  <c r="L6" i="3" s="1"/>
  <c r="J43" i="3"/>
  <c r="L43" i="3" s="1"/>
  <c r="J44" i="3"/>
  <c r="L44" i="3" s="1"/>
  <c r="J56" i="3"/>
  <c r="L56" i="3" s="1"/>
  <c r="J57" i="3"/>
  <c r="L57" i="3" s="1"/>
  <c r="J47" i="3"/>
  <c r="L47" i="3" s="1"/>
  <c r="J48" i="3"/>
  <c r="L48" i="3" s="1"/>
  <c r="J58" i="3"/>
  <c r="L58" i="3" s="1"/>
  <c r="J49" i="3"/>
  <c r="L49" i="3" s="1"/>
  <c r="J53" i="3"/>
  <c r="L53" i="3" s="1"/>
  <c r="H3" i="3"/>
  <c r="H4" i="3"/>
  <c r="H5" i="3"/>
  <c r="H8" i="3"/>
  <c r="H9" i="3"/>
  <c r="H10" i="3"/>
  <c r="H11" i="3"/>
  <c r="H29" i="3"/>
  <c r="H30" i="3"/>
  <c r="H12" i="3"/>
  <c r="H6" i="3"/>
  <c r="H7" i="3"/>
  <c r="H43" i="3"/>
  <c r="H44" i="3"/>
  <c r="H46" i="3"/>
  <c r="H55" i="3"/>
  <c r="H56" i="3"/>
  <c r="H57" i="3"/>
  <c r="H47" i="3"/>
  <c r="H48" i="3"/>
  <c r="H58" i="3"/>
  <c r="H49" i="3"/>
  <c r="H50" i="3"/>
  <c r="H53" i="3"/>
  <c r="H54" i="3"/>
  <c r="F54" i="3"/>
  <c r="F53" i="3"/>
  <c r="F50" i="3"/>
  <c r="F43" i="3"/>
  <c r="F44" i="3"/>
  <c r="F46" i="3"/>
  <c r="F55" i="3"/>
  <c r="F56" i="3"/>
  <c r="F57" i="3"/>
  <c r="F47" i="3"/>
  <c r="F48" i="3"/>
  <c r="F58" i="3"/>
  <c r="F49" i="3"/>
  <c r="I7" i="3"/>
  <c r="J7" i="3" s="1"/>
  <c r="I12" i="3"/>
  <c r="J12" i="3" s="1"/>
  <c r="L12" i="3" s="1"/>
  <c r="F10" i="3"/>
  <c r="F8" i="3"/>
  <c r="F11" i="3"/>
  <c r="F6" i="3"/>
  <c r="F7" i="3"/>
  <c r="F29" i="3"/>
  <c r="F30" i="3"/>
  <c r="F9" i="3"/>
  <c r="F12" i="3"/>
  <c r="F3" i="3"/>
  <c r="F4" i="3"/>
  <c r="F5" i="3"/>
  <c r="H22" i="5" l="1"/>
  <c r="H15" i="5"/>
  <c r="H16" i="5"/>
  <c r="E13" i="5"/>
  <c r="H20" i="5"/>
  <c r="H10" i="5"/>
  <c r="H18" i="5"/>
  <c r="H19" i="5"/>
  <c r="H24" i="5"/>
  <c r="H17" i="5"/>
  <c r="H9" i="5"/>
  <c r="H23" i="5"/>
  <c r="H11" i="5"/>
  <c r="E10" i="5"/>
  <c r="E15" i="5"/>
  <c r="E12" i="5"/>
  <c r="H12" i="5"/>
  <c r="E11" i="5"/>
  <c r="E14" i="5"/>
  <c r="L7" i="3"/>
  <c r="E4" i="5" s="1"/>
  <c r="E9" i="5" l="1"/>
  <c r="E16" i="5" s="1"/>
  <c r="K4" i="5"/>
  <c r="H13" i="5"/>
  <c r="H25" i="5" s="1"/>
</calcChain>
</file>

<file path=xl/sharedStrings.xml><?xml version="1.0" encoding="utf-8"?>
<sst xmlns="http://schemas.openxmlformats.org/spreadsheetml/2006/main" count="476" uniqueCount="213">
  <si>
    <t>6" x 7" x 3/16" Steel Plate</t>
  </si>
  <si>
    <t>4" Pipe Ring, Heavy</t>
  </si>
  <si>
    <t>Oil Lite Washer Bearing (1-3/4" OD, 1-1/4" ID, x 1/8")</t>
  </si>
  <si>
    <t>3/8" - 16 x 1-1/4" Carriage Bolts, Grade 2</t>
  </si>
  <si>
    <t>1/2" - 13 x 1 Carriage Bolts, Grade 2</t>
  </si>
  <si>
    <t>1/8"X1"X20 Flat Stock</t>
  </si>
  <si>
    <t>6-3/4" Charging Wheel, 1 1/4" Bore</t>
  </si>
  <si>
    <t>(RDR)Basic Hand Chain Kit</t>
  </si>
  <si>
    <t>50 B 12 A42 X 1" X 1/4" &amp; 3/8", Compound Sprocket</t>
  </si>
  <si>
    <t>3/8" - 16 x 1-1/4" Hex Head Tap Bolt, Grade 2</t>
  </si>
  <si>
    <t>1/2" x 2-1/2" Round Head Steel Rivet</t>
  </si>
  <si>
    <t>3/16"- 66 Rivet</t>
  </si>
  <si>
    <t>Galvanized Sheets, 24 Gauge, Gray Finish 48" X 114"</t>
  </si>
  <si>
    <t>Keystock 1/4" x 1/4" x 3 3/4", Bent</t>
  </si>
  <si>
    <t>1/2" - 13 Hex Nut, Flanges &amp; Serrated</t>
  </si>
  <si>
    <t>3/8" Flat Washers, USS</t>
  </si>
  <si>
    <t>1/4" - 20  Hex Nut</t>
  </si>
  <si>
    <t>1/4" - 20 x 3/8" Hex Socket Set Screw</t>
  </si>
  <si>
    <t>4" Pipe Casting, 1-1/4"</t>
  </si>
  <si>
    <t>3/8" - 16 x 3/4" Hex Head Tap Bolt, Grade 2</t>
  </si>
  <si>
    <t>4-1/8" OD x 1-1/4" Bore x 3/16" Thick, Washer</t>
  </si>
  <si>
    <t>1-1/4" Shaft Collar</t>
  </si>
  <si>
    <t>4" Spring Casting, 1-1/4"</t>
  </si>
  <si>
    <t>3/8" X 16 Hex Nut, Flanges &amp; Serrated</t>
  </si>
  <si>
    <t>18"X 18" x 3/16" Steel Plate</t>
  </si>
  <si>
    <t>#50 Roller Chain (5' length)</t>
  </si>
  <si>
    <t>50 B 40 X 1-1/4" X 1/4" Sprocket</t>
  </si>
  <si>
    <t>5/16" x 2-1/2" Spring Pin</t>
  </si>
  <si>
    <t>3" x 2" x 3/16" Angles</t>
  </si>
  <si>
    <t>3" x 3" x 3/16"Angles</t>
  </si>
  <si>
    <t>Endlock, Flat Stamped</t>
  </si>
  <si>
    <t>3/16"Washer</t>
  </si>
  <si>
    <t>2" x 2" Angle (2 x @124.25")</t>
  </si>
  <si>
    <t>Bottom Bar Rubber (@124.25")</t>
  </si>
  <si>
    <t>BRD Slats (53 x @124.25";  $0.71/lb @ ~18.5"/lb: $0.03837~/inch)</t>
  </si>
  <si>
    <t>3/8 - 16 x 1" Bolt</t>
  </si>
  <si>
    <t>3/8 x 16 Hex Nut</t>
  </si>
  <si>
    <t>Item</t>
  </si>
  <si>
    <t>Component</t>
  </si>
  <si>
    <t>Subcomponent</t>
  </si>
  <si>
    <t>Item ID</t>
  </si>
  <si>
    <t>Unit</t>
  </si>
  <si>
    <t>Cost/Unit</t>
  </si>
  <si>
    <t>Qty</t>
  </si>
  <si>
    <t>Cost</t>
  </si>
  <si>
    <t>Bracket Plates</t>
  </si>
  <si>
    <t>Standard</t>
  </si>
  <si>
    <t>283.0-CW11</t>
  </si>
  <si>
    <t>323.0-SteelPlate6</t>
  </si>
  <si>
    <t>322.0-SteelPlate18</t>
  </si>
  <si>
    <t>307.0-FlatStock1-1/8</t>
  </si>
  <si>
    <t>85.0-50B42-11</t>
  </si>
  <si>
    <t>332.0-RDRChain</t>
  </si>
  <si>
    <t>79.0-50B12A42-11</t>
  </si>
  <si>
    <t>313.0-SHAFT11-12</t>
  </si>
  <si>
    <t>193.0-BHX3811</t>
  </si>
  <si>
    <t>201.0-NHW38</t>
  </si>
  <si>
    <t>268.0-UCF 206-20</t>
  </si>
  <si>
    <t>Charge Assembly</t>
  </si>
  <si>
    <t>Hand Chain Assembly</t>
  </si>
  <si>
    <t>Duplex Assembly</t>
  </si>
  <si>
    <t>Bearing Assembly</t>
  </si>
  <si>
    <t>Piece</t>
  </si>
  <si>
    <t>Box</t>
  </si>
  <si>
    <t>Foot</t>
  </si>
  <si>
    <t>275.0-4P1</t>
  </si>
  <si>
    <t>276.0-4S1</t>
  </si>
  <si>
    <t>348.0-Spring4683</t>
  </si>
  <si>
    <t>311.0-Pipe4</t>
  </si>
  <si>
    <t>258.0-BarrelRing4</t>
  </si>
  <si>
    <t>325.0-Washer0411</t>
  </si>
  <si>
    <t>228.0-Collar11</t>
  </si>
  <si>
    <t>239.0-PRX3830</t>
  </si>
  <si>
    <t>265.0-TubeBearing4</t>
  </si>
  <si>
    <t>260.0-OilLite11</t>
  </si>
  <si>
    <t>Pipe</t>
  </si>
  <si>
    <t>Assembly</t>
  </si>
  <si>
    <t>Shell</t>
  </si>
  <si>
    <t>1-1/4" Solid Shaft, 12'</t>
  </si>
  <si>
    <t>Description</t>
  </si>
  <si>
    <t>8 Inch Unit Size</t>
  </si>
  <si>
    <t>40 Inch Unit Size</t>
  </si>
  <si>
    <t>Plugend</t>
  </si>
  <si>
    <t>.46875 x 3-3/4" Wire</t>
  </si>
  <si>
    <t>4-1/2" Pipe, .188 wall</t>
  </si>
  <si>
    <t>18 Inch Unit Size</t>
  </si>
  <si>
    <t>305.0-AI33316</t>
  </si>
  <si>
    <t>304.0-AI32316</t>
  </si>
  <si>
    <t>226.0-BSS66</t>
  </si>
  <si>
    <t>Sheet</t>
  </si>
  <si>
    <t>335A-SMGRAY48114</t>
  </si>
  <si>
    <t>Hood</t>
  </si>
  <si>
    <t>Inch</t>
  </si>
  <si>
    <t>295.0-FEnd3/16</t>
  </si>
  <si>
    <t>318A-SlatSteel5280Gray</t>
  </si>
  <si>
    <t>303.0-AI2218G</t>
  </si>
  <si>
    <t>274.0-BottomRubber</t>
  </si>
  <si>
    <t>316Washer</t>
  </si>
  <si>
    <t>1438Bolt</t>
  </si>
  <si>
    <t>14Nut</t>
  </si>
  <si>
    <t>Curtain</t>
  </si>
  <si>
    <t>Cast Endlock</t>
  </si>
  <si>
    <t>Bottom Bar</t>
  </si>
  <si>
    <t>234.0-MRR1222</t>
  </si>
  <si>
    <t>231.0-MKB1433</t>
  </si>
  <si>
    <t>38114CarBolt</t>
  </si>
  <si>
    <t>207.0-WFU38</t>
  </si>
  <si>
    <t>333.0-RDRChainKit</t>
  </si>
  <si>
    <t>182.1-BCR121</t>
  </si>
  <si>
    <t>199.0-NHW12</t>
  </si>
  <si>
    <t>192.0-BHX3810</t>
  </si>
  <si>
    <t>204.0-NHX38</t>
  </si>
  <si>
    <t>5/16" x 1" Self-Drilling Bolts</t>
  </si>
  <si>
    <t>5161SDBolts</t>
  </si>
  <si>
    <t>Hardware Bag</t>
  </si>
  <si>
    <t>Tracks</t>
  </si>
  <si>
    <t>4" Shaft Support Casting, SS1, 1-1/4"</t>
  </si>
  <si>
    <t>286.0-SS1</t>
  </si>
  <si>
    <t>Bellmouth Stops</t>
  </si>
  <si>
    <t>272.0-BellDD</t>
  </si>
  <si>
    <t>Bellmouth Stops with Tabs (pair)</t>
  </si>
  <si>
    <t>Pair</t>
  </si>
  <si>
    <t>Unit/Qty</t>
  </si>
  <si>
    <t>By Component</t>
  </si>
  <si>
    <t>Labor</t>
  </si>
  <si>
    <t>Man/Hours</t>
  </si>
  <si>
    <t>By Sub Component</t>
  </si>
  <si>
    <t>TOTAL COST W/Addons</t>
  </si>
  <si>
    <t>TOTAL BASE COST</t>
  </si>
  <si>
    <t>Total</t>
  </si>
  <si>
    <t>Painting</t>
  </si>
  <si>
    <t>Paint</t>
  </si>
  <si>
    <t>Gray Paint</t>
  </si>
  <si>
    <t>Gallon</t>
  </si>
  <si>
    <t>Self-Aligning Cast Flange Bearing, 1-1/4" Bore</t>
  </si>
  <si>
    <t>1" Solid Shaft</t>
  </si>
  <si>
    <t>SHAFT1-20</t>
  </si>
  <si>
    <t>4" Tube Bearing, 1-1/4" Bore</t>
  </si>
  <si>
    <t>279.0-6P1</t>
  </si>
  <si>
    <t>6" Pipe Casting, 6P1, 1-1/2"</t>
  </si>
  <si>
    <t>280.0-6P1</t>
  </si>
  <si>
    <t>6" Pipe Casting, 6P1, 1-1/4"</t>
  </si>
  <si>
    <t>281.0-6S1</t>
  </si>
  <si>
    <t>6" Spring Casting, 6S1, 1-1/2"</t>
  </si>
  <si>
    <t>282.0-6S1</t>
  </si>
  <si>
    <t>6" Spring Casting, 6S1, 1-1/4"</t>
  </si>
  <si>
    <t>350.0-Spring55</t>
  </si>
  <si>
    <t>.5" x 5.75" OD x 20'</t>
  </si>
  <si>
    <t>312.0-Pipe6</t>
  </si>
  <si>
    <t>6" Pipe, .188 wall, prime welded, SRL +/- 20'</t>
  </si>
  <si>
    <t>259.0-BarrelRing6</t>
  </si>
  <si>
    <t>6" Barrel Ring, Heavy</t>
  </si>
  <si>
    <t>267.0-TubeBearing625</t>
  </si>
  <si>
    <t>Tube Bearing, 6-1/2" x 1-1/4" Bore</t>
  </si>
  <si>
    <t>326.0-Washer0611</t>
  </si>
  <si>
    <t>6-1/8" OD x 1-1/4" Bore x 3/16" Thick, Washer</t>
  </si>
  <si>
    <t>287.0-SS1</t>
  </si>
  <si>
    <t>6" Shaft Support Casting, 1-1/4"</t>
  </si>
  <si>
    <t>Universal</t>
  </si>
  <si>
    <t>Spring1875</t>
  </si>
  <si>
    <t>.1875" x 2.75" OD x 20'</t>
  </si>
  <si>
    <t>277.0-4S2</t>
  </si>
  <si>
    <t>4" Spring Casting, 4S2, 1-1/4", Small</t>
  </si>
  <si>
    <t>347.0-Spring4373</t>
  </si>
  <si>
    <t>.437" x 3.75" OD x 20'</t>
  </si>
  <si>
    <t>334A-SMGRAY48102</t>
  </si>
  <si>
    <t>Gray Prime Sheets, 24 gauge, 48" x 102"</t>
  </si>
  <si>
    <t>Fill in yellow cells in W x H Costing Breakdown</t>
  </si>
  <si>
    <t>Notables:</t>
  </si>
  <si>
    <t>&gt; Curtain size affects: Bottom Bar unit sizes and Nuts and Bolts; Slat unit size and quantity; Rivets,Washers, and Endlock quantities</t>
  </si>
  <si>
    <t>&gt; Pipe Length affects: Pipe unit size; Barrel Rings; Nuts, Bolts, and Washers for Hardware bag</t>
  </si>
  <si>
    <t>&gt; Door Hand affects: Shaft Support quantity</t>
  </si>
  <si>
    <t>&gt; Door Height affects: Track unit size; Bolts and Nuts quantities for Tracks Hardware Bag</t>
  </si>
  <si>
    <t>&gt; Type of slat affects: Slat cost</t>
  </si>
  <si>
    <t>&gt; Door Width affects: Hood Sheet type and unitsize</t>
  </si>
  <si>
    <t>Labor Time for Pipes</t>
  </si>
  <si>
    <t>Standard (4" Pipe with 1 Spring)</t>
  </si>
  <si>
    <t>Compound</t>
  </si>
  <si>
    <t>Duplex</t>
  </si>
  <si>
    <t>6" Pipe</t>
  </si>
  <si>
    <t>3 Hours</t>
  </si>
  <si>
    <t>Additional (Add to Hours)</t>
  </si>
  <si>
    <t>.5-&gt;1 (Dependent on Spring Size)</t>
  </si>
  <si>
    <t>&gt; Door weight affects: Shell Pipe, Oil lite Washer, Shaft Support, Tube Bearing, and Plugend Shaft type; Type and unitsize for Assembly Shaft ; Type and quantities for Spring, Pipe Casting, Spring Casting, Small Spring Casting, Collar; Labor quantity</t>
  </si>
  <si>
    <t>Height (feet):</t>
  </si>
  <si>
    <t>Width (feet):</t>
  </si>
  <si>
    <t>343.0-Spring312</t>
  </si>
  <si>
    <t>.312" x 2.75" OD x 20'</t>
  </si>
  <si>
    <t>342.0-Spring250</t>
  </si>
  <si>
    <t>.250" x 2.75" OD x 20'</t>
  </si>
  <si>
    <t>229.0-Collar12</t>
  </si>
  <si>
    <t>1-1/2" Shaft Collar</t>
  </si>
  <si>
    <t>266.0-TubeBearing6</t>
  </si>
  <si>
    <t>Tube Bearing, 6-1/2" x 1-1/2" Bore</t>
  </si>
  <si>
    <t>316.0-SHAFT12-20</t>
  </si>
  <si>
    <t>1-1/2" x 20', Round Shaft</t>
  </si>
  <si>
    <t>261.0-OilLite12</t>
  </si>
  <si>
    <t>Oil Lite Washer Bearing, (2" OD x 1-1/2" ID, x 1/8")</t>
  </si>
  <si>
    <t>288.0-SS1</t>
  </si>
  <si>
    <t>6" Shaft Support Casting, 1-1/2"</t>
  </si>
  <si>
    <t>346.0-Spring4063</t>
  </si>
  <si>
    <t>.406" x 3.75" OD x 20'</t>
  </si>
  <si>
    <t>344.0-Spring3123</t>
  </si>
  <si>
    <t>.312" x 3.75" OD x 20'</t>
  </si>
  <si>
    <t>349.0-Spring4685</t>
  </si>
  <si>
    <t>.468" x 5.75" OD x 20'</t>
  </si>
  <si>
    <t>345.0-Spring3753</t>
  </si>
  <si>
    <t>.375" x 3.75" OD x 20"</t>
  </si>
  <si>
    <t>Version</t>
  </si>
  <si>
    <t>Green Cells correspond to Components that change based on Pipe Size</t>
  </si>
  <si>
    <t>102 Inch Unit Length</t>
  </si>
  <si>
    <t>36.75 Inch Unit Length</t>
  </si>
  <si>
    <t>60.125 Inch Unit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</si>
</sst>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/>
    <xf numFmtId="0" fontId="6" fillId="0" borderId="0" xfId="0" applyFont="1"/>
    <xf numFmtId="0" fontId="0" fillId="3" borderId="0" xfId="0" applyFill="1"/>
    <xf numFmtId="0" fontId="0" fillId="3" borderId="0" xfId="0" applyNumberFormat="1" applyFill="1"/>
    <xf numFmtId="0" fontId="0" fillId="2" borderId="0" xfId="0" applyNumberFormat="1" applyFill="1"/>
    <xf numFmtId="0" fontId="0" fillId="4" borderId="0" xfId="0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BEC055-D4D3-4650-AC47-C7E3E184C0C1}" name="Table3" displayName="Table3" ref="D8:E16" totalsRowCount="1" headerRowDxfId="19" dataDxfId="18">
  <autoFilter ref="D8:E15" xr:uid="{E974CC2E-02A0-4C11-BA7C-53FAFE1C6C89}"/>
  <sortState xmlns:xlrd2="http://schemas.microsoft.com/office/spreadsheetml/2017/richdata2" ref="D9:E15">
    <sortCondition ref="D8:D15"/>
  </sortState>
  <tableColumns count="2">
    <tableColumn id="1" xr3:uid="{592ED74B-1E88-48FA-8AA2-56C14E668C29}" name="Component" totalsRowLabel="Total" dataDxfId="17" totalsRowDxfId="16"/>
    <tableColumn id="2" xr3:uid="{44C5F2BE-681D-4166-B13A-BE7559A7DE64}" name="Cost" totalsRowFunction="sum" dataDxfId="15" totalsRowDxfId="14">
      <calculatedColumnFormula>SUMIF(CostsTable[Component],"="&amp;Table3[[#This Row],[Component]],CostsTable[Cost])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D522CC-3EEF-484F-A46D-2C4B77A11BD7}" name="Table4" displayName="Table4" ref="G8:H25" totalsRowCount="1" headerRowDxfId="13" dataDxfId="12">
  <autoFilter ref="G8:H24" xr:uid="{AB486F67-BA2E-4220-A72D-5367A0E8215C}"/>
  <sortState xmlns:xlrd2="http://schemas.microsoft.com/office/spreadsheetml/2017/richdata2" ref="G9:H24">
    <sortCondition ref="G8:G24"/>
  </sortState>
  <tableColumns count="2">
    <tableColumn id="1" xr3:uid="{01E68343-1C72-46B9-821D-C8AE8715A309}" name="Subcomponent" totalsRowLabel="Total" dataDxfId="11" totalsRowDxfId="10"/>
    <tableColumn id="2" xr3:uid="{9636A177-6CC3-4361-9077-FDA9D24F01F9}" name="Cost" totalsRowFunction="sum" dataDxfId="9" totalsRowDxfId="8">
      <calculatedColumnFormula>SUMIF(CostsTable[Subcomponent],"="&amp;Table4[[#This Row],[Subcomponent]],CostsTable[Cost])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AEBDF0-5606-4881-A25A-1ECFF70BDAD0}" name="CostsTable" displayName="CostsTable" ref="A2:L63" totalsRowShown="0">
  <autoFilter ref="A2:L63" xr:uid="{586A78A7-BC66-4553-8425-8BBD1A72239F}"/>
  <sortState xmlns:xlrd2="http://schemas.microsoft.com/office/spreadsheetml/2017/richdata2" ref="A3:L63">
    <sortCondition ref="A2:A63"/>
  </sortState>
  <tableColumns count="12">
    <tableColumn id="1" xr3:uid="{6E27218F-A5D1-4D9A-B4B3-F87B3C9F31B5}" name="Component"/>
    <tableColumn id="2" xr3:uid="{8F2B45F5-0346-4234-8D62-8EAD851D665E}" name="Subcomponent"/>
    <tableColumn id="3" xr3:uid="{5B3160D7-BF52-4B66-82E6-A006F13DDFAC}" name="Standard"/>
    <tableColumn id="10" xr3:uid="{0FFC0C0A-BF6E-4363-BC02-1430C5F8839C}" name="Universal"/>
    <tableColumn id="4" xr3:uid="{6F3F1425-5CEC-45C2-BCA4-9DB77F49A2FB}" name="Item ID"/>
    <tableColumn id="5" xr3:uid="{3E468B1B-4E66-42CD-8E64-33186C79FB67}" name="Item" dataDxfId="7">
      <calculatedColumnFormula>VLOOKUP(CostsTable[[#This Row],[Item ID]],ItemLookup,2,0)</calculatedColumnFormula>
    </tableColumn>
    <tableColumn id="12" xr3:uid="{023212AB-90E4-4050-911E-2CA7375C11CB}" name="Description" dataDxfId="6"/>
    <tableColumn id="6" xr3:uid="{88A60F6B-4C72-4B62-94D3-B25BB63206B4}" name="Unit" dataDxfId="5">
      <calculatedColumnFormula>VLOOKUP(CostsTable[[#This Row],[Item ID]],ItemLookup,3,0)</calculatedColumnFormula>
    </tableColumn>
    <tableColumn id="7" xr3:uid="{D1C6DE6E-2DF7-456C-8B10-8653DB353AB7}" name="Unit/Qty"/>
    <tableColumn id="8" xr3:uid="{33978974-4117-4A6D-A8F3-78BF6AB93B98}" name="Cost/Unit" dataDxfId="4">
      <calculatedColumnFormula>VLOOKUP(CostsTable[[#This Row],[Item ID]],ItemLookup,4,0)*CostsTable[[#This Row],[Unit/Qty]]</calculatedColumnFormula>
    </tableColumn>
    <tableColumn id="9" xr3:uid="{9F592DD3-62C3-4536-87DF-2F1FB57B6980}" name="Qty"/>
    <tableColumn id="11" xr3:uid="{EA50EAD0-1648-4D49-B0FA-C5F919F792E9}" name="Cost" dataDxfId="3">
      <calculatedColumnFormula>CostsTable[[#This Row],[Qty]]*CostsTable[[#This Row],[Cost/Unit]]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5FEF6-920A-4136-962B-337C20C052D3}" name="Table1" displayName="Table1" ref="A1:D74" totalsRowShown="0">
  <autoFilter ref="A1:D74" xr:uid="{F340E712-FA8C-4749-A82B-5DCCBB2F9FC7}"/>
  <sortState xmlns:xlrd2="http://schemas.microsoft.com/office/spreadsheetml/2017/richdata2" ref="A2:D74">
    <sortCondition ref="A1:A74"/>
  </sortState>
  <tableColumns count="4">
    <tableColumn id="1" xr3:uid="{D603BB37-4C33-4021-BD9A-4F63ED73BBAB}" name="Item ID"/>
    <tableColumn id="2" xr3:uid="{FF5385CF-A71B-43B5-B5CF-19B12B14711B}" name="Item"/>
    <tableColumn id="4" xr3:uid="{693BD142-C650-40DA-B52D-481B21BC6D40}" name="Unit"/>
    <tableColumn id="3" xr3:uid="{21349F8B-829B-40B6-BBF7-9E2E37C4FA4E}" name="Cos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C8BC-2AC8-4612-A65B-8B4D3DB5434A}">
  <dimension ref="A1:K25"/>
  <sheetViews>
    <sheetView tabSelected="1" workbookViewId="0">
      <selection activeCell="A2" sqref="A2"/>
    </sheetView>
  </sheetViews>
  <sheetFormatPr defaultRowHeight="15" x14ac:dyDescent="0.25"/>
  <cols>
    <col min="1" max="1" width="9.140625" customWidth="1"/>
    <col min="2" max="2" width="9.28515625" customWidth="1"/>
    <col min="4" max="4" width="20.28515625" customWidth="1"/>
    <col min="5" max="5" width="17.85546875" bestFit="1" customWidth="1"/>
    <col min="7" max="7" width="28.140625" bestFit="1" customWidth="1"/>
    <col min="8" max="8" width="14" bestFit="1" customWidth="1"/>
    <col min="11" max="11" width="22" bestFit="1" customWidth="1"/>
  </cols>
  <sheetData>
    <row r="1" spans="1:11" ht="33.75" x14ac:dyDescent="0.5">
      <c r="A1" s="17" t="str">
        <f>Width&amp;" x "&amp;Height&amp;" Rolling Steel Door Costs"</f>
        <v>8 x 8 Rolling Steel Door Costs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4" spans="1:11" ht="31.5" x14ac:dyDescent="0.5">
      <c r="A4" s="16" t="s">
        <v>127</v>
      </c>
      <c r="B4" s="16"/>
      <c r="C4" s="16"/>
      <c r="D4" s="16"/>
      <c r="E4" s="5">
        <f>SUM(CostsTable[Cost])</f>
        <v>1029.7364052927928</v>
      </c>
      <c r="G4" s="16" t="s">
        <v>128</v>
      </c>
      <c r="H4" s="16"/>
      <c r="I4" s="16"/>
      <c r="J4" s="16"/>
      <c r="K4" s="5">
        <f>SUMIF(CostsTable[Standard],"=TRUE",CostsTable[Cost])</f>
        <v>985.67160529279272</v>
      </c>
    </row>
    <row r="7" spans="1:11" ht="26.25" x14ac:dyDescent="0.4">
      <c r="D7" s="15" t="s">
        <v>123</v>
      </c>
      <c r="E7" s="15"/>
      <c r="G7" s="15" t="s">
        <v>126</v>
      </c>
      <c r="H7" s="15"/>
    </row>
    <row r="8" spans="1:11" ht="21" x14ac:dyDescent="0.35">
      <c r="D8" s="6" t="s">
        <v>38</v>
      </c>
      <c r="E8" s="6" t="s">
        <v>44</v>
      </c>
      <c r="G8" s="6" t="s">
        <v>39</v>
      </c>
      <c r="H8" s="6" t="s">
        <v>44</v>
      </c>
    </row>
    <row r="9" spans="1:11" ht="21" x14ac:dyDescent="0.35">
      <c r="D9" s="6" t="s">
        <v>45</v>
      </c>
      <c r="E9" s="4">
        <f>SUMIF(CostsTable[Component],"="&amp;Table3[[#This Row],[Component]],CostsTable[Cost])</f>
        <v>151.916</v>
      </c>
      <c r="G9" s="6" t="s">
        <v>76</v>
      </c>
      <c r="H9" s="4">
        <f>SUMIF(CostsTable[Subcomponent],"="&amp;Table4[[#This Row],[Subcomponent]],CostsTable[Cost])</f>
        <v>92.931854166666668</v>
      </c>
    </row>
    <row r="10" spans="1:11" ht="21" x14ac:dyDescent="0.35">
      <c r="D10" s="6" t="s">
        <v>100</v>
      </c>
      <c r="E10" s="4">
        <f>SUMIF(CostsTable[Component],"="&amp;Table3[[#This Row],[Component]],CostsTable[Cost])</f>
        <v>283.05696779279276</v>
      </c>
      <c r="G10" s="6" t="s">
        <v>61</v>
      </c>
      <c r="H10" s="4">
        <f>SUMIF(CostsTable[Subcomponent],"="&amp;Table4[[#This Row],[Subcomponent]],CostsTable[Cost])</f>
        <v>12.946</v>
      </c>
    </row>
    <row r="11" spans="1:11" ht="21" x14ac:dyDescent="0.35">
      <c r="D11" s="6" t="s">
        <v>114</v>
      </c>
      <c r="E11" s="4">
        <f>SUMIF(CostsTable[Component],"="&amp;Table3[[#This Row],[Component]],CostsTable[Cost])</f>
        <v>43.018900000000002</v>
      </c>
      <c r="G11" s="6" t="s">
        <v>118</v>
      </c>
      <c r="H11" s="4">
        <f>SUMIF(CostsTable[Subcomponent],"="&amp;Table4[[#This Row],[Subcomponent]],CostsTable[Cost])</f>
        <v>3.23</v>
      </c>
    </row>
    <row r="12" spans="1:11" ht="21" x14ac:dyDescent="0.35">
      <c r="D12" s="6" t="s">
        <v>91</v>
      </c>
      <c r="E12" s="4">
        <f>SUMIF(CostsTable[Component],"="&amp;Table3[[#This Row],[Component]],CostsTable[Cost])</f>
        <v>36.921849999999999</v>
      </c>
      <c r="G12" s="6" t="s">
        <v>102</v>
      </c>
      <c r="H12" s="4">
        <f>SUMIF(CostsTable[Subcomponent],"="&amp;Table4[[#This Row],[Subcomponent]],CostsTable[Cost])</f>
        <v>26.425140765765764</v>
      </c>
    </row>
    <row r="13" spans="1:11" ht="21" x14ac:dyDescent="0.35">
      <c r="D13" s="6" t="s">
        <v>130</v>
      </c>
      <c r="E13" s="4">
        <f>SUMIF(CostsTable[Component],"="&amp;Table3[[#This Row],[Component]],CostsTable[Cost])</f>
        <v>73.33</v>
      </c>
      <c r="G13" s="6" t="s">
        <v>45</v>
      </c>
      <c r="H13" s="4">
        <f>SUMIF(CostsTable[Subcomponent],"="&amp;Table4[[#This Row],[Subcomponent]],CostsTable[Cost])</f>
        <v>53.08</v>
      </c>
    </row>
    <row r="14" spans="1:11" ht="21" x14ac:dyDescent="0.35">
      <c r="D14" s="6" t="s">
        <v>75</v>
      </c>
      <c r="E14" s="4">
        <f>SUMIF(CostsTable[Component],"="&amp;Table3[[#This Row],[Component]],CostsTable[Cost])</f>
        <v>260.16185416666667</v>
      </c>
      <c r="G14" s="6" t="s">
        <v>101</v>
      </c>
      <c r="H14" s="4">
        <f>SUMIF(CostsTable[Subcomponent],"="&amp;Table4[[#This Row],[Subcomponent]],CostsTable[Cost])</f>
        <v>1.9448000000000001</v>
      </c>
    </row>
    <row r="15" spans="1:11" ht="21" x14ac:dyDescent="0.35">
      <c r="D15" s="6" t="s">
        <v>115</v>
      </c>
      <c r="E15" s="4">
        <f>SUMIF(CostsTable[Component],"="&amp;Table3[[#This Row],[Component]],CostsTable[Cost])</f>
        <v>181.33083333333332</v>
      </c>
      <c r="G15" s="6" t="s">
        <v>58</v>
      </c>
      <c r="H15" s="4">
        <f>SUMIF(CostsTable[Subcomponent],"="&amp;Table4[[#This Row],[Subcomponent]],CostsTable[Cost])</f>
        <v>15.18</v>
      </c>
    </row>
    <row r="16" spans="1:11" ht="21" x14ac:dyDescent="0.35">
      <c r="D16" s="6" t="s">
        <v>129</v>
      </c>
      <c r="E16" s="4">
        <f>SUBTOTAL(109,Table3[Cost])</f>
        <v>1029.7364052927928</v>
      </c>
      <c r="G16" s="6" t="s">
        <v>100</v>
      </c>
      <c r="H16" s="4">
        <f>SUMIF(CostsTable[Subcomponent],"="&amp;Table4[[#This Row],[Subcomponent]],CostsTable[Cost])</f>
        <v>184.68702702702703</v>
      </c>
    </row>
    <row r="17" spans="7:8" ht="21" x14ac:dyDescent="0.35">
      <c r="G17" s="6" t="s">
        <v>60</v>
      </c>
      <c r="H17" s="4">
        <f>SUMIF(CostsTable[Subcomponent],"="&amp;Table4[[#This Row],[Subcomponent]],CostsTable[Cost])</f>
        <v>42.12</v>
      </c>
    </row>
    <row r="18" spans="7:8" ht="21" x14ac:dyDescent="0.35">
      <c r="G18" s="6" t="s">
        <v>59</v>
      </c>
      <c r="H18" s="4">
        <f>SUMIF(CostsTable[Subcomponent],"="&amp;Table4[[#This Row],[Subcomponent]],CostsTable[Cost])</f>
        <v>39.088899999999995</v>
      </c>
    </row>
    <row r="19" spans="7:8" ht="21" x14ac:dyDescent="0.35">
      <c r="G19" s="6" t="s">
        <v>91</v>
      </c>
      <c r="H19" s="4">
        <f>SUMIF(CostsTable[Subcomponent],"="&amp;Table4[[#This Row],[Subcomponent]],CostsTable[Cost])</f>
        <v>27.56185</v>
      </c>
    </row>
    <row r="20" spans="7:8" ht="21" x14ac:dyDescent="0.35">
      <c r="G20" s="6" t="s">
        <v>124</v>
      </c>
      <c r="H20" s="4">
        <f>SUMIF(CostsTable[Subcomponent],"="&amp;Table4[[#This Row],[Subcomponent]],CostsTable[Cost])</f>
        <v>250</v>
      </c>
    </row>
    <row r="21" spans="7:8" ht="21" x14ac:dyDescent="0.35">
      <c r="G21" s="6" t="s">
        <v>130</v>
      </c>
      <c r="H21" s="4">
        <f>SUMIF(CostsTable[Subcomponent],"="&amp;Table4[[#This Row],[Subcomponent]],CostsTable[Cost])</f>
        <v>33.33</v>
      </c>
    </row>
    <row r="22" spans="7:8" ht="21" x14ac:dyDescent="0.35">
      <c r="G22" s="6" t="s">
        <v>82</v>
      </c>
      <c r="H22" s="4">
        <f>SUMIF(CostsTable[Subcomponent],"="&amp;Table4[[#This Row],[Subcomponent]],CostsTable[Cost])</f>
        <v>9.6750000000000007</v>
      </c>
    </row>
    <row r="23" spans="7:8" ht="21" x14ac:dyDescent="0.35">
      <c r="G23" s="6" t="s">
        <v>77</v>
      </c>
      <c r="H23" s="4">
        <f>SUMIF(CostsTable[Subcomponent],"="&amp;Table4[[#This Row],[Subcomponent]],CostsTable[Cost])</f>
        <v>98.634999999999991</v>
      </c>
    </row>
    <row r="24" spans="7:8" ht="21" x14ac:dyDescent="0.35">
      <c r="G24" s="6" t="s">
        <v>115</v>
      </c>
      <c r="H24" s="4">
        <f>SUMIF(CostsTable[Subcomponent],"="&amp;Table4[[#This Row],[Subcomponent]],CostsTable[Cost])</f>
        <v>138.90083333333331</v>
      </c>
    </row>
    <row r="25" spans="7:8" ht="21" x14ac:dyDescent="0.35">
      <c r="G25" s="6" t="s">
        <v>129</v>
      </c>
      <c r="H25" s="4">
        <f>SUBTOTAL(109,Table4[Cost])</f>
        <v>1029.7364052927926</v>
      </c>
    </row>
  </sheetData>
  <mergeCells count="5">
    <mergeCell ref="D7:E7"/>
    <mergeCell ref="A4:D4"/>
    <mergeCell ref="G4:J4"/>
    <mergeCell ref="A1:K1"/>
    <mergeCell ref="G7:H7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9625-0C73-4B4A-9E24-F7686C64E681}">
  <dimension ref="A2:L63"/>
  <sheetViews>
    <sheetView workbookViewId="0"/>
  </sheetViews>
  <sheetFormatPr defaultRowHeight="15" x14ac:dyDescent="0.25"/>
  <cols>
    <col min="1" max="1" width="13.5703125" customWidth="1"/>
    <col min="2" max="2" width="16.5703125" customWidth="1"/>
    <col min="3" max="3" width="11.140625" bestFit="1" customWidth="1"/>
    <col min="4" max="4" width="11.7109375" bestFit="1" customWidth="1"/>
    <col min="5" max="5" width="46.42578125" bestFit="1" customWidth="1"/>
    <col min="6" max="6" width="39.42578125" bestFit="1" customWidth="1"/>
    <col min="7" max="7" width="30.140625" bestFit="1" customWidth="1"/>
    <col min="8" max="8" width="11.7109375" customWidth="1"/>
    <col min="10" max="10" width="12.7109375" customWidth="1"/>
  </cols>
  <sheetData>
    <row r="2" spans="1:12" x14ac:dyDescent="0.25">
      <c r="A2" t="s">
        <v>38</v>
      </c>
      <c r="B2" t="s">
        <v>39</v>
      </c>
      <c r="C2" t="s">
        <v>46</v>
      </c>
      <c r="D2" t="s">
        <v>158</v>
      </c>
      <c r="E2" t="s">
        <v>40</v>
      </c>
      <c r="F2" t="s">
        <v>37</v>
      </c>
      <c r="G2" t="s">
        <v>79</v>
      </c>
      <c r="H2" t="s">
        <v>41</v>
      </c>
      <c r="I2" t="s">
        <v>122</v>
      </c>
      <c r="J2" t="s">
        <v>42</v>
      </c>
      <c r="K2" t="s">
        <v>43</v>
      </c>
      <c r="L2" t="s">
        <v>44</v>
      </c>
    </row>
    <row r="3" spans="1:12" x14ac:dyDescent="0.25">
      <c r="A3" t="s">
        <v>45</v>
      </c>
      <c r="B3" t="s">
        <v>61</v>
      </c>
      <c r="C3" t="b">
        <v>1</v>
      </c>
      <c r="D3" t="b">
        <v>1</v>
      </c>
      <c r="E3" t="s">
        <v>55</v>
      </c>
      <c r="F3" t="str">
        <f>VLOOKUP(CostsTable[[#This Row],[Item ID]],ItemLookup,2,0)</f>
        <v>3/8" - 16 x 1-1/4" Hex Head Tap Bolt, Grade 2</v>
      </c>
      <c r="H3" t="str">
        <f>VLOOKUP(CostsTable[[#This Row],[Item ID]],ItemLookup,3,0)</f>
        <v>Piece</v>
      </c>
      <c r="I3">
        <v>1</v>
      </c>
      <c r="J3" s="3">
        <f>VLOOKUP(CostsTable[[#This Row],[Item ID]],ItemLookup,4,0)*CostsTable[[#This Row],[Unit/Qty]]</f>
        <v>6.4000000000000001E-2</v>
      </c>
      <c r="K3">
        <v>4</v>
      </c>
      <c r="L3" s="3">
        <f>CostsTable[[#This Row],[Qty]]*CostsTable[[#This Row],[Cost/Unit]]</f>
        <v>0.25600000000000001</v>
      </c>
    </row>
    <row r="4" spans="1:12" x14ac:dyDescent="0.25">
      <c r="A4" t="s">
        <v>45</v>
      </c>
      <c r="B4" t="s">
        <v>61</v>
      </c>
      <c r="C4" t="b">
        <v>1</v>
      </c>
      <c r="D4" t="b">
        <v>1</v>
      </c>
      <c r="E4" t="s">
        <v>56</v>
      </c>
      <c r="F4" t="str">
        <f>VLOOKUP(CostsTable[[#This Row],[Item ID]],ItemLookup,2,0)</f>
        <v>3/8" X 16 Hex Nut, Flanges &amp; Serrated</v>
      </c>
      <c r="H4" t="str">
        <f>VLOOKUP(CostsTable[[#This Row],[Item ID]],ItemLookup,3,0)</f>
        <v>Piece</v>
      </c>
      <c r="I4">
        <v>1</v>
      </c>
      <c r="J4" s="3">
        <f>VLOOKUP(CostsTable[[#This Row],[Item ID]],ItemLookup,4,0)*CostsTable[[#This Row],[Unit/Qty]]</f>
        <v>0.02</v>
      </c>
      <c r="K4">
        <v>4</v>
      </c>
      <c r="L4" s="3">
        <f>CostsTable[[#This Row],[Qty]]*CostsTable[[#This Row],[Cost/Unit]]</f>
        <v>0.08</v>
      </c>
    </row>
    <row r="5" spans="1:12" x14ac:dyDescent="0.25">
      <c r="A5" t="s">
        <v>45</v>
      </c>
      <c r="B5" t="s">
        <v>61</v>
      </c>
      <c r="C5" t="b">
        <v>1</v>
      </c>
      <c r="D5" t="b">
        <v>1</v>
      </c>
      <c r="E5" t="s">
        <v>57</v>
      </c>
      <c r="F5" t="str">
        <f>VLOOKUP(CostsTable[[#This Row],[Item ID]],ItemLookup,2,0)</f>
        <v>Self-Aligning Cast Flange Bearing, 1-1/4" Bore</v>
      </c>
      <c r="H5" t="str">
        <f>VLOOKUP(CostsTable[[#This Row],[Item ID]],ItemLookup,3,0)</f>
        <v>Piece</v>
      </c>
      <c r="I5">
        <v>1</v>
      </c>
      <c r="J5" s="3">
        <f>VLOOKUP(CostsTable[[#This Row],[Item ID]],ItemLookup,4,0)*CostsTable[[#This Row],[Unit/Qty]]</f>
        <v>12.11</v>
      </c>
      <c r="K5">
        <v>1</v>
      </c>
      <c r="L5" s="3">
        <f>CostsTable[[#This Row],[Qty]]*CostsTable[[#This Row],[Cost/Unit]]</f>
        <v>12.11</v>
      </c>
    </row>
    <row r="6" spans="1:12" x14ac:dyDescent="0.25">
      <c r="A6" t="s">
        <v>45</v>
      </c>
      <c r="B6" t="s">
        <v>45</v>
      </c>
      <c r="C6" t="b">
        <v>1</v>
      </c>
      <c r="D6" t="b">
        <v>1</v>
      </c>
      <c r="E6" t="s">
        <v>49</v>
      </c>
      <c r="F6" t="str">
        <f>VLOOKUP(CostsTable[[#This Row],[Item ID]],ItemLookup,2,0)</f>
        <v>18"X 18" x 3/16" Steel Plate</v>
      </c>
      <c r="H6" t="str">
        <f>VLOOKUP(CostsTable[[#This Row],[Item ID]],ItemLookup,3,0)</f>
        <v>Piece</v>
      </c>
      <c r="I6">
        <v>1</v>
      </c>
      <c r="J6" s="3">
        <f>VLOOKUP(CostsTable[[#This Row],[Item ID]],ItemLookup,4,0)*CostsTable[[#This Row],[Unit/Qty]]</f>
        <v>24.5</v>
      </c>
      <c r="K6">
        <v>2</v>
      </c>
      <c r="L6" s="3">
        <f>CostsTable[[#This Row],[Qty]]*CostsTable[[#This Row],[Cost/Unit]]</f>
        <v>49</v>
      </c>
    </row>
    <row r="7" spans="1:12" x14ac:dyDescent="0.25">
      <c r="A7" t="s">
        <v>45</v>
      </c>
      <c r="B7" t="s">
        <v>45</v>
      </c>
      <c r="C7" t="b">
        <v>1</v>
      </c>
      <c r="D7" t="b">
        <v>1</v>
      </c>
      <c r="E7" t="s">
        <v>50</v>
      </c>
      <c r="F7" t="str">
        <f>VLOOKUP(CostsTable[[#This Row],[Item ID]],ItemLookup,2,0)</f>
        <v>1/8"X1"X20 Flat Stock</v>
      </c>
      <c r="G7" t="s">
        <v>81</v>
      </c>
      <c r="H7" t="str">
        <f>VLOOKUP(CostsTable[[#This Row],[Item ID]],ItemLookup,3,0)</f>
        <v>Foot</v>
      </c>
      <c r="I7">
        <f>40/12</f>
        <v>3.3333333333333335</v>
      </c>
      <c r="J7" s="3">
        <f>VLOOKUP(CostsTable[[#This Row],[Item ID]],ItemLookup,4,0)*CostsTable[[#This Row],[Unit/Qty]]</f>
        <v>1.2</v>
      </c>
      <c r="K7">
        <v>2</v>
      </c>
      <c r="L7" s="3">
        <f>CostsTable[[#This Row],[Qty]]*CostsTable[[#This Row],[Cost/Unit]]</f>
        <v>2.4</v>
      </c>
    </row>
    <row r="8" spans="1:12" x14ac:dyDescent="0.25">
      <c r="A8" t="s">
        <v>45</v>
      </c>
      <c r="B8" t="s">
        <v>58</v>
      </c>
      <c r="C8" t="b">
        <v>1</v>
      </c>
      <c r="D8" t="b">
        <v>1</v>
      </c>
      <c r="E8" t="s">
        <v>47</v>
      </c>
      <c r="F8" t="str">
        <f>VLOOKUP(CostsTable[[#This Row],[Item ID]],ItemLookup,2,0)</f>
        <v>6-3/4" Charging Wheel, 1 1/4" Bore</v>
      </c>
      <c r="H8" t="str">
        <f>VLOOKUP(CostsTable[[#This Row],[Item ID]],ItemLookup,3,0)</f>
        <v>Piece</v>
      </c>
      <c r="I8">
        <v>1</v>
      </c>
      <c r="J8" s="3">
        <f>VLOOKUP(CostsTable[[#This Row],[Item ID]],ItemLookup,4,0)*CostsTable[[#This Row],[Unit/Qty]]</f>
        <v>14.82</v>
      </c>
      <c r="K8">
        <v>1</v>
      </c>
      <c r="L8" s="3">
        <f>CostsTable[[#This Row],[Qty]]*CostsTable[[#This Row],[Cost/Unit]]</f>
        <v>14.82</v>
      </c>
    </row>
    <row r="9" spans="1:12" x14ac:dyDescent="0.25">
      <c r="A9" t="s">
        <v>45</v>
      </c>
      <c r="B9" t="s">
        <v>60</v>
      </c>
      <c r="C9" t="b">
        <v>0</v>
      </c>
      <c r="D9" t="b">
        <v>1</v>
      </c>
      <c r="E9" t="s">
        <v>53</v>
      </c>
      <c r="F9" t="str">
        <f>VLOOKUP(CostsTable[[#This Row],[Item ID]],ItemLookup,2,0)</f>
        <v>50 B 12 A42 X 1" X 1/4" &amp; 3/8", Compound Sprocket</v>
      </c>
      <c r="H9" t="str">
        <f>VLOOKUP(CostsTable[[#This Row],[Item ID]],ItemLookup,3,0)</f>
        <v>Piece</v>
      </c>
      <c r="I9">
        <v>1</v>
      </c>
      <c r="J9" s="3">
        <f>VLOOKUP(CostsTable[[#This Row],[Item ID]],ItemLookup,4,0)*CostsTable[[#This Row],[Unit/Qty]]</f>
        <v>32</v>
      </c>
      <c r="K9">
        <v>1</v>
      </c>
      <c r="L9" s="3">
        <f>CostsTable[[#This Row],[Qty]]*CostsTable[[#This Row],[Cost/Unit]]</f>
        <v>32</v>
      </c>
    </row>
    <row r="10" spans="1:12" x14ac:dyDescent="0.25">
      <c r="A10" t="s">
        <v>45</v>
      </c>
      <c r="B10" t="s">
        <v>60</v>
      </c>
      <c r="C10" t="b">
        <v>0</v>
      </c>
      <c r="D10" t="b">
        <v>1</v>
      </c>
      <c r="E10" t="s">
        <v>52</v>
      </c>
      <c r="F10" s="2" t="str">
        <f>VLOOKUP(CostsTable[[#This Row],[Item ID]],ItemLookup,2,0)</f>
        <v>#50 Roller Chain (5' length)</v>
      </c>
      <c r="G10" s="2"/>
      <c r="H10" t="str">
        <f>VLOOKUP(CostsTable[[#This Row],[Item ID]],ItemLookup,3,0)</f>
        <v>Piece</v>
      </c>
      <c r="I10">
        <v>1</v>
      </c>
      <c r="J10" s="3">
        <f>VLOOKUP(CostsTable[[#This Row],[Item ID]],ItemLookup,4,0)*CostsTable[[#This Row],[Unit/Qty]]</f>
        <v>10.119999999999999</v>
      </c>
      <c r="K10">
        <v>1</v>
      </c>
      <c r="L10" s="3">
        <f>CostsTable[[#This Row],[Qty]]*CostsTable[[#This Row],[Cost/Unit]]</f>
        <v>10.119999999999999</v>
      </c>
    </row>
    <row r="11" spans="1:12" x14ac:dyDescent="0.25">
      <c r="A11" t="s">
        <v>45</v>
      </c>
      <c r="B11" t="s">
        <v>59</v>
      </c>
      <c r="C11" t="b">
        <v>1</v>
      </c>
      <c r="D11" t="b">
        <v>1</v>
      </c>
      <c r="E11" t="s">
        <v>48</v>
      </c>
      <c r="F11" t="str">
        <f>VLOOKUP(CostsTable[[#This Row],[Item ID]],ItemLookup,2,0)</f>
        <v>6" x 7" x 3/16" Steel Plate</v>
      </c>
      <c r="H11" t="str">
        <f>VLOOKUP(CostsTable[[#This Row],[Item ID]],ItemLookup,3,0)</f>
        <v>Piece</v>
      </c>
      <c r="I11">
        <v>1</v>
      </c>
      <c r="J11" s="3">
        <f>VLOOKUP(CostsTable[[#This Row],[Item ID]],ItemLookup,4,0)*CostsTable[[#This Row],[Unit/Qty]]</f>
        <v>9.25</v>
      </c>
      <c r="K11">
        <v>1</v>
      </c>
      <c r="L11" s="3">
        <f>CostsTable[[#This Row],[Qty]]*CostsTable[[#This Row],[Cost/Unit]]</f>
        <v>9.25</v>
      </c>
    </row>
    <row r="12" spans="1:12" x14ac:dyDescent="0.25">
      <c r="A12" t="s">
        <v>45</v>
      </c>
      <c r="B12" t="s">
        <v>59</v>
      </c>
      <c r="C12" t="b">
        <v>1</v>
      </c>
      <c r="D12" t="b">
        <v>1</v>
      </c>
      <c r="E12" t="s">
        <v>136</v>
      </c>
      <c r="F12" t="str">
        <f>VLOOKUP(CostsTable[[#This Row],[Item ID]],ItemLookup,2,0)</f>
        <v>1" Solid Shaft</v>
      </c>
      <c r="G12" t="s">
        <v>80</v>
      </c>
      <c r="H12" t="str">
        <f>VLOOKUP(CostsTable[[#This Row],[Item ID]],ItemLookup,3,0)</f>
        <v>Foot</v>
      </c>
      <c r="I12">
        <f>8/12</f>
        <v>0.66666666666666663</v>
      </c>
      <c r="J12" s="3">
        <f>VLOOKUP(CostsTable[[#This Row],[Item ID]],ItemLookup,4,0)*CostsTable[[#This Row],[Unit/Qty]]</f>
        <v>1.88</v>
      </c>
      <c r="K12">
        <v>1</v>
      </c>
      <c r="L12" s="3">
        <f>CostsTable[[#This Row],[Qty]]*CostsTable[[#This Row],[Cost/Unit]]</f>
        <v>1.88</v>
      </c>
    </row>
    <row r="13" spans="1:12" x14ac:dyDescent="0.25">
      <c r="A13" t="s">
        <v>45</v>
      </c>
      <c r="B13" t="s">
        <v>124</v>
      </c>
      <c r="C13" t="b">
        <v>1</v>
      </c>
      <c r="D13" t="b">
        <v>1</v>
      </c>
      <c r="E13" t="s">
        <v>124</v>
      </c>
      <c r="F13" s="2" t="str">
        <f>VLOOKUP(CostsTable[[#This Row],[Item ID]],ItemLookup,2,0)</f>
        <v>Labor</v>
      </c>
      <c r="G13" s="2"/>
      <c r="H13" s="2" t="str">
        <f>VLOOKUP(CostsTable[[#This Row],[Item ID]],ItemLookup,3,0)</f>
        <v>Man/Hours</v>
      </c>
      <c r="I13">
        <v>1</v>
      </c>
      <c r="J13" s="3">
        <f>VLOOKUP(CostsTable[[#This Row],[Item ID]],ItemLookup,4,0)*CostsTable[[#This Row],[Unit/Qty]]</f>
        <v>20</v>
      </c>
      <c r="K13">
        <v>1</v>
      </c>
      <c r="L13" s="3">
        <f>CostsTable[[#This Row],[Qty]]*CostsTable[[#This Row],[Cost/Unit]]</f>
        <v>20</v>
      </c>
    </row>
    <row r="14" spans="1:12" x14ac:dyDescent="0.25">
      <c r="A14" t="s">
        <v>100</v>
      </c>
      <c r="B14" t="s">
        <v>102</v>
      </c>
      <c r="C14" t="b">
        <v>1</v>
      </c>
      <c r="D14" t="b">
        <v>0</v>
      </c>
      <c r="E14" t="s">
        <v>95</v>
      </c>
      <c r="F14" s="2" t="str">
        <f>VLOOKUP(CostsTable[[#This Row],[Item ID]],ItemLookup,2,0)</f>
        <v>2" x 2" Angle (2 x @124.25")</v>
      </c>
      <c r="G14" s="12" t="str">
        <f>$G$21</f>
        <v>100.25 Inch Unit Size</v>
      </c>
      <c r="H14" s="2" t="str">
        <f>VLOOKUP(CostsTable[[#This Row],[Item ID]],ItemLookup,3,0)</f>
        <v>Foot</v>
      </c>
      <c r="I14" s="11">
        <f>I21/12</f>
        <v>8.3541666666666661</v>
      </c>
      <c r="J14" s="3">
        <f>VLOOKUP(CostsTable[[#This Row],[Item ID]],ItemLookup,4,0)*CostsTable[[#This Row],[Unit/Qty]]</f>
        <v>9.1060416666666661</v>
      </c>
      <c r="K14">
        <v>2</v>
      </c>
      <c r="L14" s="3">
        <f>CostsTable[[#This Row],[Qty]]*CostsTable[[#This Row],[Cost/Unit]]</f>
        <v>18.212083333333332</v>
      </c>
    </row>
    <row r="15" spans="1:12" x14ac:dyDescent="0.25">
      <c r="A15" t="s">
        <v>100</v>
      </c>
      <c r="B15" t="s">
        <v>102</v>
      </c>
      <c r="C15" t="b">
        <v>1</v>
      </c>
      <c r="D15" t="b">
        <v>0</v>
      </c>
      <c r="E15" t="s">
        <v>96</v>
      </c>
      <c r="F15" s="2" t="str">
        <f>VLOOKUP(CostsTable[[#This Row],[Item ID]],ItemLookup,2,0)</f>
        <v>Bottom Bar Rubber (@124.25")</v>
      </c>
      <c r="G15" s="12" t="str">
        <f>$G$21</f>
        <v>100.25 Inch Unit Size</v>
      </c>
      <c r="H15" s="2" t="str">
        <f>VLOOKUP(CostsTable[[#This Row],[Item ID]],ItemLookup,3,0)</f>
        <v>Foot</v>
      </c>
      <c r="I15" s="11">
        <f>I21/12</f>
        <v>8.3541666666666661</v>
      </c>
      <c r="J15" s="3">
        <f>VLOOKUP(CostsTable[[#This Row],[Item ID]],ItemLookup,4,0)*CostsTable[[#This Row],[Unit/Qty]]</f>
        <v>4.2606250000000001</v>
      </c>
      <c r="K15">
        <v>1</v>
      </c>
      <c r="L15" s="3">
        <f>CostsTable[[#This Row],[Qty]]*CostsTable[[#This Row],[Cost/Unit]]</f>
        <v>4.2606250000000001</v>
      </c>
    </row>
    <row r="16" spans="1:12" x14ac:dyDescent="0.25">
      <c r="A16" t="s">
        <v>100</v>
      </c>
      <c r="B16" t="s">
        <v>102</v>
      </c>
      <c r="C16" t="b">
        <v>1</v>
      </c>
      <c r="D16" t="b">
        <v>0</v>
      </c>
      <c r="E16" s="7" t="s">
        <v>94</v>
      </c>
      <c r="F16" s="2" t="str">
        <f>VLOOKUP(CostsTable[[#This Row],[Item ID]],ItemLookup,2,0)</f>
        <v>BRD Slats (53 x @124.25";  $0.71/lb @ ~18.5"/lb: $0.03837~/inch)</v>
      </c>
      <c r="G16" s="12" t="str">
        <f>$G$21</f>
        <v>100.25 Inch Unit Size</v>
      </c>
      <c r="H16" s="2" t="str">
        <f>VLOOKUP(CostsTable[[#This Row],[Item ID]],ItemLookup,3,0)</f>
        <v>Inch</v>
      </c>
      <c r="I16" s="11">
        <f>I21</f>
        <v>100.25</v>
      </c>
      <c r="J16" s="3">
        <f>VLOOKUP(CostsTable[[#This Row],[Item ID]],ItemLookup,4,0)*CostsTable[[#This Row],[Unit/Qty]]</f>
        <v>3.847432432432432</v>
      </c>
      <c r="K16">
        <v>1</v>
      </c>
      <c r="L16" s="3">
        <f>CostsTable[[#This Row],[Qty]]*CostsTable[[#This Row],[Cost/Unit]]</f>
        <v>3.847432432432432</v>
      </c>
    </row>
    <row r="17" spans="1:12" x14ac:dyDescent="0.25">
      <c r="A17" t="s">
        <v>100</v>
      </c>
      <c r="B17" t="s">
        <v>102</v>
      </c>
      <c r="C17" t="b">
        <v>1</v>
      </c>
      <c r="D17" t="b">
        <v>0</v>
      </c>
      <c r="E17" t="s">
        <v>98</v>
      </c>
      <c r="F17" s="2" t="str">
        <f>VLOOKUP(CostsTable[[#This Row],[Item ID]],ItemLookup,2,0)</f>
        <v>1/4" - 20 x 3/8" Hex Socket Set Screw</v>
      </c>
      <c r="G17" s="2"/>
      <c r="H17" s="2" t="str">
        <f>VLOOKUP(CostsTable[[#This Row],[Item ID]],ItemLookup,3,0)</f>
        <v>Piece</v>
      </c>
      <c r="I17">
        <v>1</v>
      </c>
      <c r="J17" s="3">
        <f>VLOOKUP(CostsTable[[#This Row],[Item ID]],ItemLookup,4,0)*CostsTable[[#This Row],[Unit/Qty]]</f>
        <v>1.4999999999999999E-2</v>
      </c>
      <c r="K17" s="7">
        <v>5</v>
      </c>
      <c r="L17" s="3">
        <f>CostsTable[[#This Row],[Qty]]*CostsTable[[#This Row],[Cost/Unit]]</f>
        <v>7.4999999999999997E-2</v>
      </c>
    </row>
    <row r="18" spans="1:12" x14ac:dyDescent="0.25">
      <c r="A18" t="s">
        <v>100</v>
      </c>
      <c r="B18" t="s">
        <v>102</v>
      </c>
      <c r="C18" t="b">
        <v>1</v>
      </c>
      <c r="D18" t="b">
        <v>0</v>
      </c>
      <c r="E18" t="s">
        <v>99</v>
      </c>
      <c r="F18" s="2" t="str">
        <f>VLOOKUP(CostsTable[[#This Row],[Item ID]],ItemLookup,2,0)</f>
        <v>1/4" - 20  Hex Nut</v>
      </c>
      <c r="G18" s="2"/>
      <c r="H18" s="2" t="str">
        <f>VLOOKUP(CostsTable[[#This Row],[Item ID]],ItemLookup,3,0)</f>
        <v>Piece</v>
      </c>
      <c r="I18">
        <v>1</v>
      </c>
      <c r="J18" s="3">
        <f>VLOOKUP(CostsTable[[#This Row],[Item ID]],ItemLookup,4,0)*CostsTable[[#This Row],[Unit/Qty]]</f>
        <v>6.0000000000000001E-3</v>
      </c>
      <c r="K18" s="11">
        <f>$K$17</f>
        <v>5</v>
      </c>
      <c r="L18" s="3">
        <f>CostsTable[[#This Row],[Qty]]*CostsTable[[#This Row],[Cost/Unit]]</f>
        <v>0.03</v>
      </c>
    </row>
    <row r="19" spans="1:12" x14ac:dyDescent="0.25">
      <c r="A19" t="s">
        <v>100</v>
      </c>
      <c r="B19" t="s">
        <v>101</v>
      </c>
      <c r="C19" t="b">
        <v>0</v>
      </c>
      <c r="D19" t="b">
        <v>0</v>
      </c>
      <c r="E19" t="s">
        <v>97</v>
      </c>
      <c r="F19" s="2" t="str">
        <f>VLOOKUP(CostsTable[[#This Row],[Item ID]],ItemLookup,2,0)</f>
        <v>3/16"Washer</v>
      </c>
      <c r="G19" s="2"/>
      <c r="H19" s="2" t="str">
        <f>VLOOKUP(CostsTable[[#This Row],[Item ID]],ItemLookup,3,0)</f>
        <v>Piece</v>
      </c>
      <c r="I19">
        <v>2</v>
      </c>
      <c r="J19" s="3">
        <f>VLOOKUP(CostsTable[[#This Row],[Item ID]],ItemLookup,4,0)*CostsTable[[#This Row],[Unit/Qty]]</f>
        <v>4.4200000000000003E-2</v>
      </c>
      <c r="K19" s="11">
        <f>_xlfn.CEILING.MATH($K$21/2,1)*2</f>
        <v>44</v>
      </c>
      <c r="L19" s="3">
        <f>CostsTable[[#This Row],[Qty]]*CostsTable[[#This Row],[Cost/Unit]]</f>
        <v>1.9448000000000001</v>
      </c>
    </row>
    <row r="20" spans="1:12" x14ac:dyDescent="0.25">
      <c r="A20" t="s">
        <v>100</v>
      </c>
      <c r="B20" t="s">
        <v>100</v>
      </c>
      <c r="C20" t="b">
        <v>1</v>
      </c>
      <c r="D20" t="b">
        <v>0</v>
      </c>
      <c r="E20" t="s">
        <v>93</v>
      </c>
      <c r="F20" s="2" t="str">
        <f>VLOOKUP(CostsTable[[#This Row],[Item ID]],ItemLookup,2,0)</f>
        <v>Endlock, Flat Stamped</v>
      </c>
      <c r="G20" s="2"/>
      <c r="H20" s="2" t="str">
        <f>VLOOKUP(CostsTable[[#This Row],[Item ID]],ItemLookup,3,0)</f>
        <v>Piece</v>
      </c>
      <c r="I20">
        <v>1</v>
      </c>
      <c r="J20" s="3">
        <f>VLOOKUP(CostsTable[[#This Row],[Item ID]],ItemLookup,4,0)*CostsTable[[#This Row],[Unit/Qty]]</f>
        <v>0.25</v>
      </c>
      <c r="K20" s="11">
        <f>_xlfn.CEILING.MATH($K$21/2,1)*2</f>
        <v>44</v>
      </c>
      <c r="L20" s="3">
        <f>CostsTable[[#This Row],[Qty]]*CostsTable[[#This Row],[Cost/Unit]]</f>
        <v>11</v>
      </c>
    </row>
    <row r="21" spans="1:12" x14ac:dyDescent="0.25">
      <c r="A21" t="s">
        <v>100</v>
      </c>
      <c r="B21" t="s">
        <v>100</v>
      </c>
      <c r="C21" t="b">
        <v>1</v>
      </c>
      <c r="D21" t="b">
        <v>0</v>
      </c>
      <c r="E21" s="7" t="s">
        <v>94</v>
      </c>
      <c r="F21" s="2" t="str">
        <f>VLOOKUP(CostsTable[[#This Row],[Item ID]],ItemLookup,2,0)</f>
        <v>BRD Slats (53 x @124.25";  $0.71/lb @ ~18.5"/lb: $0.03837~/inch)</v>
      </c>
      <c r="G21" s="2" t="str">
        <f>CostsTable[[#This Row],[Unit/Qty]]&amp;" Inch Unit Size"</f>
        <v>100.25 Inch Unit Size</v>
      </c>
      <c r="H21" s="2" t="str">
        <f>VLOOKUP(CostsTable[[#This Row],[Item ID]],ItemLookup,3,0)</f>
        <v>Inch</v>
      </c>
      <c r="I21" s="7">
        <v>100.25</v>
      </c>
      <c r="J21" s="3">
        <f>VLOOKUP(CostsTable[[#This Row],[Item ID]],ItemLookup,4,0)*CostsTable[[#This Row],[Unit/Qty]]</f>
        <v>3.847432432432432</v>
      </c>
      <c r="K21" s="7">
        <v>44</v>
      </c>
      <c r="L21" s="3">
        <f>CostsTable[[#This Row],[Qty]]*CostsTable[[#This Row],[Cost/Unit]]</f>
        <v>169.28702702702702</v>
      </c>
    </row>
    <row r="22" spans="1:12" x14ac:dyDescent="0.25">
      <c r="A22" t="s">
        <v>100</v>
      </c>
      <c r="B22" t="s">
        <v>100</v>
      </c>
      <c r="C22" t="b">
        <v>1</v>
      </c>
      <c r="D22" t="b">
        <v>0</v>
      </c>
      <c r="E22" t="s">
        <v>88</v>
      </c>
      <c r="F22" s="2" t="str">
        <f>VLOOKUP(CostsTable[[#This Row],[Item ID]],ItemLookup,2,0)</f>
        <v>3/16"- 66 Rivet</v>
      </c>
      <c r="G22" s="2"/>
      <c r="H22" s="2" t="str">
        <f>VLOOKUP(CostsTable[[#This Row],[Item ID]],ItemLookup,3,0)</f>
        <v>Piece</v>
      </c>
      <c r="I22">
        <v>2</v>
      </c>
      <c r="J22" s="3">
        <f>VLOOKUP(CostsTable[[#This Row],[Item ID]],ItemLookup,4,0)*CostsTable[[#This Row],[Unit/Qty]]</f>
        <v>0.1</v>
      </c>
      <c r="K22" s="11">
        <f>_xlfn.CEILING.MATH($K$21/2,1)*2</f>
        <v>44</v>
      </c>
      <c r="L22" s="3">
        <f>CostsTable[[#This Row],[Qty]]*CostsTable[[#This Row],[Cost/Unit]]</f>
        <v>4.4000000000000004</v>
      </c>
    </row>
    <row r="23" spans="1:12" x14ac:dyDescent="0.25">
      <c r="A23" t="s">
        <v>100</v>
      </c>
      <c r="B23" t="s">
        <v>124</v>
      </c>
      <c r="C23" t="b">
        <v>1</v>
      </c>
      <c r="D23" t="b">
        <v>1</v>
      </c>
      <c r="E23" t="s">
        <v>124</v>
      </c>
      <c r="F23" s="2" t="str">
        <f>VLOOKUP(CostsTable[[#This Row],[Item ID]],ItemLookup,2,0)</f>
        <v>Labor</v>
      </c>
      <c r="G23" s="2"/>
      <c r="H23" s="2" t="str">
        <f>VLOOKUP(CostsTable[[#This Row],[Item ID]],ItemLookup,3,0)</f>
        <v>Man/Hours</v>
      </c>
      <c r="I23">
        <v>1</v>
      </c>
      <c r="J23" s="3">
        <f>VLOOKUP(CostsTable[[#This Row],[Item ID]],ItemLookup,4,0)*CostsTable[[#This Row],[Unit/Qty]]</f>
        <v>20</v>
      </c>
      <c r="K23">
        <v>3.5</v>
      </c>
      <c r="L23" s="3">
        <f>CostsTable[[#This Row],[Qty]]*CostsTable[[#This Row],[Cost/Unit]]</f>
        <v>70</v>
      </c>
    </row>
    <row r="24" spans="1:12" x14ac:dyDescent="0.25">
      <c r="A24" t="s">
        <v>114</v>
      </c>
      <c r="B24" t="s">
        <v>61</v>
      </c>
      <c r="C24" t="b">
        <v>1</v>
      </c>
      <c r="D24" t="b">
        <v>1</v>
      </c>
      <c r="E24" t="s">
        <v>104</v>
      </c>
      <c r="F24" s="2" t="str">
        <f>VLOOKUP(CostsTable[[#This Row],[Item ID]],ItemLookup,2,0)</f>
        <v>Keystock 1/4" x 1/4" x 3 3/4", Bent</v>
      </c>
      <c r="G24" s="2"/>
      <c r="H24" s="2" t="str">
        <f>VLOOKUP(CostsTable[[#This Row],[Item ID]],ItemLookup,3,0)</f>
        <v>Piece</v>
      </c>
      <c r="I24">
        <v>1</v>
      </c>
      <c r="J24" s="3">
        <f>VLOOKUP(CostsTable[[#This Row],[Item ID]],ItemLookup,4,0)*CostsTable[[#This Row],[Unit/Qty]]</f>
        <v>0.5</v>
      </c>
      <c r="K24">
        <v>1</v>
      </c>
      <c r="L24" s="3">
        <f>CostsTable[[#This Row],[Qty]]*CostsTable[[#This Row],[Cost/Unit]]</f>
        <v>0.5</v>
      </c>
    </row>
    <row r="25" spans="1:12" x14ac:dyDescent="0.25">
      <c r="A25" t="s">
        <v>114</v>
      </c>
      <c r="B25" t="s">
        <v>118</v>
      </c>
      <c r="C25" t="b">
        <v>1</v>
      </c>
      <c r="D25" t="b">
        <v>1</v>
      </c>
      <c r="E25" t="s">
        <v>106</v>
      </c>
      <c r="F25" s="2" t="str">
        <f>VLOOKUP(CostsTable[[#This Row],[Item ID]],ItemLookup,2,0)</f>
        <v>3/8" Flat Washers, USS</v>
      </c>
      <c r="G25" s="2"/>
      <c r="H25" s="2" t="str">
        <f>VLOOKUP(CostsTable[[#This Row],[Item ID]],ItemLookup,3,0)</f>
        <v>Piece</v>
      </c>
      <c r="I25">
        <v>1</v>
      </c>
      <c r="J25" s="3">
        <f>VLOOKUP(CostsTable[[#This Row],[Item ID]],ItemLookup,4,0)*CostsTable[[#This Row],[Unit/Qty]]</f>
        <v>0.02</v>
      </c>
      <c r="K25">
        <v>4</v>
      </c>
      <c r="L25" s="3">
        <f>CostsTable[[#This Row],[Qty]]*CostsTable[[#This Row],[Cost/Unit]]</f>
        <v>0.08</v>
      </c>
    </row>
    <row r="26" spans="1:12" x14ac:dyDescent="0.25">
      <c r="A26" t="s">
        <v>114</v>
      </c>
      <c r="B26" t="s">
        <v>45</v>
      </c>
      <c r="C26" t="b">
        <v>1</v>
      </c>
      <c r="D26" t="b">
        <v>1</v>
      </c>
      <c r="E26" t="s">
        <v>108</v>
      </c>
      <c r="F26" s="2" t="str">
        <f>VLOOKUP(CostsTable[[#This Row],[Item ID]],ItemLookup,2,0)</f>
        <v>1/2" - 13 x 1 Carriage Bolts, Grade 2</v>
      </c>
      <c r="G26" s="2"/>
      <c r="H26" s="2" t="str">
        <f>VLOOKUP(CostsTable[[#This Row],[Item ID]],ItemLookup,3,0)</f>
        <v>Piece</v>
      </c>
      <c r="I26">
        <v>1</v>
      </c>
      <c r="J26" s="3">
        <f>VLOOKUP(CostsTable[[#This Row],[Item ID]],ItemLookup,4,0)*CostsTable[[#This Row],[Unit/Qty]]</f>
        <v>0.12</v>
      </c>
      <c r="K26">
        <v>6</v>
      </c>
      <c r="L26" s="3">
        <f>CostsTable[[#This Row],[Qty]]*CostsTable[[#This Row],[Cost/Unit]]</f>
        <v>0.72</v>
      </c>
    </row>
    <row r="27" spans="1:12" x14ac:dyDescent="0.25">
      <c r="A27" t="s">
        <v>114</v>
      </c>
      <c r="B27" t="s">
        <v>45</v>
      </c>
      <c r="C27" t="b">
        <v>1</v>
      </c>
      <c r="D27" t="b">
        <v>1</v>
      </c>
      <c r="E27" t="s">
        <v>109</v>
      </c>
      <c r="F27" s="2" t="str">
        <f>VLOOKUP(CostsTable[[#This Row],[Item ID]],ItemLookup,2,0)</f>
        <v>1/2" - 13 Hex Nut, Flanges &amp; Serrated</v>
      </c>
      <c r="G27" s="2"/>
      <c r="H27" s="2" t="str">
        <f>VLOOKUP(CostsTable[[#This Row],[Item ID]],ItemLookup,3,0)</f>
        <v>Piece</v>
      </c>
      <c r="I27">
        <v>1</v>
      </c>
      <c r="J27" s="3">
        <f>VLOOKUP(CostsTable[[#This Row],[Item ID]],ItemLookup,4,0)*CostsTable[[#This Row],[Unit/Qty]]</f>
        <v>0.16</v>
      </c>
      <c r="K27">
        <v>6</v>
      </c>
      <c r="L27" s="3">
        <f>CostsTable[[#This Row],[Qty]]*CostsTable[[#This Row],[Cost/Unit]]</f>
        <v>0.96</v>
      </c>
    </row>
    <row r="28" spans="1:12" x14ac:dyDescent="0.25">
      <c r="A28" t="s">
        <v>114</v>
      </c>
      <c r="B28" t="s">
        <v>58</v>
      </c>
      <c r="C28" t="b">
        <v>1</v>
      </c>
      <c r="D28" t="b">
        <v>1</v>
      </c>
      <c r="E28" t="s">
        <v>103</v>
      </c>
      <c r="F28" s="2" t="str">
        <f>VLOOKUP(CostsTable[[#This Row],[Item ID]],ItemLookup,2,0)</f>
        <v>1/2" x 2-1/2" Round Head Steel Rivet</v>
      </c>
      <c r="G28" s="2"/>
      <c r="H28" s="2" t="str">
        <f>VLOOKUP(CostsTable[[#This Row],[Item ID]],ItemLookup,3,0)</f>
        <v>Piece</v>
      </c>
      <c r="I28">
        <v>1</v>
      </c>
      <c r="J28" s="3">
        <f>VLOOKUP(CostsTable[[#This Row],[Item ID]],ItemLookup,4,0)*CostsTable[[#This Row],[Unit/Qty]]</f>
        <v>0.36</v>
      </c>
      <c r="K28">
        <v>1</v>
      </c>
      <c r="L28" s="3">
        <f>CostsTable[[#This Row],[Qty]]*CostsTable[[#This Row],[Cost/Unit]]</f>
        <v>0.36</v>
      </c>
    </row>
    <row r="29" spans="1:12" x14ac:dyDescent="0.25">
      <c r="A29" t="s">
        <v>114</v>
      </c>
      <c r="B29" t="s">
        <v>59</v>
      </c>
      <c r="C29" t="b">
        <v>1</v>
      </c>
      <c r="D29" t="b">
        <v>1</v>
      </c>
      <c r="E29" t="s">
        <v>51</v>
      </c>
      <c r="F29" t="str">
        <f>VLOOKUP(CostsTable[[#This Row],[Item ID]],ItemLookup,2,0)</f>
        <v>50 B 40 X 1-1/4" X 1/4" Sprocket</v>
      </c>
      <c r="H29" t="str">
        <f>VLOOKUP(CostsTable[[#This Row],[Item ID]],ItemLookup,3,0)</f>
        <v>Piece</v>
      </c>
      <c r="I29">
        <v>1</v>
      </c>
      <c r="J29" s="3">
        <f>VLOOKUP(CostsTable[[#This Row],[Item ID]],ItemLookup,4,0)*CostsTable[[#This Row],[Unit/Qty]]</f>
        <v>17.838899999999999</v>
      </c>
      <c r="K29">
        <v>1</v>
      </c>
      <c r="L29" s="3">
        <f>CostsTable[[#This Row],[Qty]]*CostsTable[[#This Row],[Cost/Unit]]</f>
        <v>17.838899999999999</v>
      </c>
    </row>
    <row r="30" spans="1:12" x14ac:dyDescent="0.25">
      <c r="A30" t="s">
        <v>114</v>
      </c>
      <c r="B30" t="s">
        <v>59</v>
      </c>
      <c r="C30" t="b">
        <v>1</v>
      </c>
      <c r="D30" t="b">
        <v>1</v>
      </c>
      <c r="E30" t="s">
        <v>52</v>
      </c>
      <c r="F30" t="str">
        <f>VLOOKUP(CostsTable[[#This Row],[Item ID]],ItemLookup,2,0)</f>
        <v>#50 Roller Chain (5' length)</v>
      </c>
      <c r="H30" t="str">
        <f>VLOOKUP(CostsTable[[#This Row],[Item ID]],ItemLookup,3,0)</f>
        <v>Piece</v>
      </c>
      <c r="I30">
        <v>1</v>
      </c>
      <c r="J30" s="3">
        <f>VLOOKUP(CostsTable[[#This Row],[Item ID]],ItemLookup,4,0)*CostsTable[[#This Row],[Unit/Qty]]</f>
        <v>10.119999999999999</v>
      </c>
      <c r="K30">
        <v>1</v>
      </c>
      <c r="L30" s="3">
        <f>CostsTable[[#This Row],[Qty]]*CostsTable[[#This Row],[Cost/Unit]]</f>
        <v>10.119999999999999</v>
      </c>
    </row>
    <row r="31" spans="1:12" x14ac:dyDescent="0.25">
      <c r="A31" t="s">
        <v>114</v>
      </c>
      <c r="B31" t="s">
        <v>91</v>
      </c>
      <c r="C31" t="b">
        <v>1</v>
      </c>
      <c r="D31" t="b">
        <v>1</v>
      </c>
      <c r="E31" t="s">
        <v>113</v>
      </c>
      <c r="F31" s="2" t="str">
        <f>VLOOKUP(CostsTable[[#This Row],[Item ID]],ItemLookup,2,0)</f>
        <v>5/16" x 1" Self-Drilling Bolts</v>
      </c>
      <c r="G31" s="2"/>
      <c r="H31" s="2" t="str">
        <f>VLOOKUP(CostsTable[[#This Row],[Item ID]],ItemLookup,3,0)</f>
        <v>Piece</v>
      </c>
      <c r="I31">
        <v>1</v>
      </c>
      <c r="J31" s="3">
        <f>VLOOKUP(CostsTable[[#This Row],[Item ID]],ItemLookup,4,0)*CostsTable[[#This Row],[Unit/Qty]]</f>
        <v>0.08</v>
      </c>
      <c r="K31">
        <v>8</v>
      </c>
      <c r="L31" s="3">
        <f>CostsTable[[#This Row],[Qty]]*CostsTable[[#This Row],[Cost/Unit]]</f>
        <v>0.64</v>
      </c>
    </row>
    <row r="32" spans="1:12" x14ac:dyDescent="0.25">
      <c r="A32" t="s">
        <v>114</v>
      </c>
      <c r="B32" t="s">
        <v>124</v>
      </c>
      <c r="C32" t="b">
        <v>1</v>
      </c>
      <c r="D32" t="b">
        <v>1</v>
      </c>
      <c r="E32" t="s">
        <v>124</v>
      </c>
      <c r="F32" s="2" t="str">
        <f>VLOOKUP(CostsTable[[#This Row],[Item ID]],ItemLookup,2,0)</f>
        <v>Labor</v>
      </c>
      <c r="G32" s="2"/>
      <c r="H32" s="2" t="str">
        <f>VLOOKUP(CostsTable[[#This Row],[Item ID]],ItemLookup,3,0)</f>
        <v>Man/Hours</v>
      </c>
      <c r="I32">
        <v>1</v>
      </c>
      <c r="J32" s="3">
        <f>VLOOKUP(CostsTable[[#This Row],[Item ID]],ItemLookup,4,0)*CostsTable[[#This Row],[Unit/Qty]]</f>
        <v>20</v>
      </c>
      <c r="K32">
        <v>0.5</v>
      </c>
      <c r="L32" s="3">
        <f>CostsTable[[#This Row],[Qty]]*CostsTable[[#This Row],[Cost/Unit]]</f>
        <v>10</v>
      </c>
    </row>
    <row r="33" spans="1:12" x14ac:dyDescent="0.25">
      <c r="A33" t="s">
        <v>114</v>
      </c>
      <c r="B33" t="s">
        <v>77</v>
      </c>
      <c r="C33" t="b">
        <v>1</v>
      </c>
      <c r="D33" t="b">
        <v>0</v>
      </c>
      <c r="E33" t="s">
        <v>110</v>
      </c>
      <c r="F33" s="2" t="str">
        <f>VLOOKUP(CostsTable[[#This Row],[Item ID]],ItemLookup,2,0)</f>
        <v>3/8 - 16 x 1" Bolt</v>
      </c>
      <c r="G33" s="2"/>
      <c r="H33" s="2" t="str">
        <f>VLOOKUP(CostsTable[[#This Row],[Item ID]],ItemLookup,3,0)</f>
        <v>Piece</v>
      </c>
      <c r="I33">
        <v>1</v>
      </c>
      <c r="J33" s="3">
        <f>VLOOKUP(CostsTable[[#This Row],[Item ID]],ItemLookup,4,0)*CostsTable[[#This Row],[Unit/Qty]]</f>
        <v>0.32</v>
      </c>
      <c r="K33" s="11">
        <f>$K$56</f>
        <v>3</v>
      </c>
      <c r="L33" s="3">
        <f>CostsTable[[#This Row],[Qty]]*CostsTable[[#This Row],[Cost/Unit]]</f>
        <v>0.96</v>
      </c>
    </row>
    <row r="34" spans="1:12" x14ac:dyDescent="0.25">
      <c r="A34" t="s">
        <v>114</v>
      </c>
      <c r="B34" t="s">
        <v>77</v>
      </c>
      <c r="C34" t="b">
        <v>1</v>
      </c>
      <c r="D34" t="b">
        <v>0</v>
      </c>
      <c r="E34" t="s">
        <v>111</v>
      </c>
      <c r="F34" s="2" t="str">
        <f>VLOOKUP(CostsTable[[#This Row],[Item ID]],ItemLookup,2,0)</f>
        <v>3/8 x 16 Hex Nut</v>
      </c>
      <c r="G34" s="2"/>
      <c r="H34" s="2" t="str">
        <f>VLOOKUP(CostsTable[[#This Row],[Item ID]],ItemLookup,3,0)</f>
        <v>Piece</v>
      </c>
      <c r="I34">
        <v>1</v>
      </c>
      <c r="J34" s="3">
        <f>VLOOKUP(CostsTable[[#This Row],[Item ID]],ItemLookup,4,0)*CostsTable[[#This Row],[Unit/Qty]]</f>
        <v>0.02</v>
      </c>
      <c r="K34" s="11">
        <f>$K$56</f>
        <v>3</v>
      </c>
      <c r="L34" s="3">
        <f>CostsTable[[#This Row],[Qty]]*CostsTable[[#This Row],[Cost/Unit]]</f>
        <v>0.06</v>
      </c>
    </row>
    <row r="35" spans="1:12" x14ac:dyDescent="0.25">
      <c r="A35" t="s">
        <v>114</v>
      </c>
      <c r="B35" t="s">
        <v>77</v>
      </c>
      <c r="C35" t="b">
        <v>1</v>
      </c>
      <c r="D35" t="b">
        <v>0</v>
      </c>
      <c r="E35" t="s">
        <v>106</v>
      </c>
      <c r="F35" s="2" t="str">
        <f>VLOOKUP(CostsTable[[#This Row],[Item ID]],ItemLookup,2,0)</f>
        <v>3/8" Flat Washers, USS</v>
      </c>
      <c r="G35" s="2"/>
      <c r="H35" s="2" t="str">
        <f>VLOOKUP(CostsTable[[#This Row],[Item ID]],ItemLookup,3,0)</f>
        <v>Piece</v>
      </c>
      <c r="I35">
        <v>1</v>
      </c>
      <c r="J35" s="3">
        <f>VLOOKUP(CostsTable[[#This Row],[Item ID]],ItemLookup,4,0)*CostsTable[[#This Row],[Unit/Qty]]</f>
        <v>0.02</v>
      </c>
      <c r="K35" s="11">
        <f>$K$56</f>
        <v>3</v>
      </c>
      <c r="L35" s="3">
        <f>CostsTable[[#This Row],[Qty]]*CostsTable[[#This Row],[Cost/Unit]]</f>
        <v>0.06</v>
      </c>
    </row>
    <row r="36" spans="1:12" x14ac:dyDescent="0.25">
      <c r="A36" t="s">
        <v>114</v>
      </c>
      <c r="B36" t="s">
        <v>115</v>
      </c>
      <c r="C36" t="b">
        <v>1</v>
      </c>
      <c r="D36" t="b">
        <v>0</v>
      </c>
      <c r="E36" t="s">
        <v>105</v>
      </c>
      <c r="F36" s="2" t="str">
        <f>VLOOKUP(CostsTable[[#This Row],[Item ID]],ItemLookup,2,0)</f>
        <v>3/8" - 16 x 1-1/4" Carriage Bolts, Grade 2</v>
      </c>
      <c r="G36" s="2"/>
      <c r="H36" s="2" t="str">
        <f>VLOOKUP(CostsTable[[#This Row],[Item ID]],ItemLookup,3,0)</f>
        <v>Piece</v>
      </c>
      <c r="I36">
        <v>1</v>
      </c>
      <c r="J36" s="3">
        <f>VLOOKUP(CostsTable[[#This Row],[Item ID]],ItemLookup,4,0)*CostsTable[[#This Row],[Unit/Qty]]</f>
        <v>7.0000000000000007E-2</v>
      </c>
      <c r="K36" s="11">
        <f>Height</f>
        <v>8</v>
      </c>
      <c r="L36" s="3">
        <f>CostsTable[[#This Row],[Qty]]*CostsTable[[#This Row],[Cost/Unit]]</f>
        <v>0.56000000000000005</v>
      </c>
    </row>
    <row r="37" spans="1:12" x14ac:dyDescent="0.25">
      <c r="A37" t="s">
        <v>114</v>
      </c>
      <c r="B37" t="s">
        <v>115</v>
      </c>
      <c r="C37" t="b">
        <v>1</v>
      </c>
      <c r="D37" t="b">
        <v>0</v>
      </c>
      <c r="E37" t="s">
        <v>56</v>
      </c>
      <c r="F37" s="2" t="str">
        <f>VLOOKUP(CostsTable[[#This Row],[Item ID]],ItemLookup,2,0)</f>
        <v>3/8" X 16 Hex Nut, Flanges &amp; Serrated</v>
      </c>
      <c r="G37" s="2"/>
      <c r="H37" s="2" t="str">
        <f>VLOOKUP(CostsTable[[#This Row],[Item ID]],ItemLookup,3,0)</f>
        <v>Piece</v>
      </c>
      <c r="I37">
        <v>1</v>
      </c>
      <c r="J37" s="3">
        <f>VLOOKUP(CostsTable[[#This Row],[Item ID]],ItemLookup,4,0)*CostsTable[[#This Row],[Unit/Qty]]</f>
        <v>0.02</v>
      </c>
      <c r="K37" s="11">
        <f>Height</f>
        <v>8</v>
      </c>
      <c r="L37" s="3">
        <f>CostsTable[[#This Row],[Qty]]*CostsTable[[#This Row],[Cost/Unit]]</f>
        <v>0.16</v>
      </c>
    </row>
    <row r="38" spans="1:12" x14ac:dyDescent="0.25">
      <c r="A38" t="s">
        <v>91</v>
      </c>
      <c r="B38" t="s">
        <v>91</v>
      </c>
      <c r="C38" t="b">
        <v>1</v>
      </c>
      <c r="D38" t="b">
        <v>0</v>
      </c>
      <c r="E38" t="s">
        <v>88</v>
      </c>
      <c r="F38" s="2" t="str">
        <f>VLOOKUP(CostsTable[[#This Row],[Item ID]],ItemLookup,2,0)</f>
        <v>3/16"- 66 Rivet</v>
      </c>
      <c r="G38" s="2"/>
      <c r="H38" s="2" t="str">
        <f>VLOOKUP(CostsTable[[#This Row],[Item ID]],ItemLookup,3,0)</f>
        <v>Piece</v>
      </c>
      <c r="I38" s="1">
        <v>25</v>
      </c>
      <c r="J38" s="3">
        <f>VLOOKUP(CostsTable[[#This Row],[Item ID]],ItemLookup,4,0)*CostsTable[[#This Row],[Unit/Qty]]</f>
        <v>1.25</v>
      </c>
      <c r="K38" s="11">
        <f>_xlfn.CEILING.MATH(I39)-1</f>
        <v>0</v>
      </c>
      <c r="L38" s="3">
        <f>CostsTable[[#This Row],[Qty]]*CostsTable[[#This Row],[Cost/Unit]]</f>
        <v>0</v>
      </c>
    </row>
    <row r="39" spans="1:12" x14ac:dyDescent="0.25">
      <c r="A39" t="s">
        <v>91</v>
      </c>
      <c r="B39" t="s">
        <v>91</v>
      </c>
      <c r="C39" t="b">
        <v>1</v>
      </c>
      <c r="D39" t="b">
        <v>0</v>
      </c>
      <c r="E39" s="7" t="s">
        <v>165</v>
      </c>
      <c r="F39" s="2" t="str">
        <f>VLOOKUP(CostsTable[[#This Row],[Item ID]],ItemLookup,2,0)</f>
        <v>Gray Prime Sheets, 24 gauge, 48" x 102"</v>
      </c>
      <c r="G39" s="13" t="s">
        <v>210</v>
      </c>
      <c r="H39" s="2" t="str">
        <f>VLOOKUP(CostsTable[[#This Row],[Item ID]],ItemLookup,3,0)</f>
        <v>Sheet</v>
      </c>
      <c r="I39" s="8">
        <f>102/102</f>
        <v>1</v>
      </c>
      <c r="J39" s="3">
        <f>VLOOKUP(CostsTable[[#This Row],[Item ID]],ItemLookup,4,0)*CostsTable[[#This Row],[Unit/Qty]]</f>
        <v>26.921849999999999</v>
      </c>
      <c r="K39">
        <v>1</v>
      </c>
      <c r="L39" s="3">
        <f>CostsTable[[#This Row],[Qty]]*CostsTable[[#This Row],[Cost/Unit]]</f>
        <v>26.921849999999999</v>
      </c>
    </row>
    <row r="40" spans="1:12" x14ac:dyDescent="0.25">
      <c r="A40" t="s">
        <v>91</v>
      </c>
      <c r="B40" t="s">
        <v>124</v>
      </c>
      <c r="C40" t="b">
        <v>1</v>
      </c>
      <c r="D40" t="b">
        <v>0</v>
      </c>
      <c r="E40" t="s">
        <v>124</v>
      </c>
      <c r="F40" s="2" t="str">
        <f>VLOOKUP(CostsTable[[#This Row],[Item ID]],ItemLookup,2,0)</f>
        <v>Labor</v>
      </c>
      <c r="G40" s="2"/>
      <c r="H40" s="2" t="str">
        <f>VLOOKUP(CostsTable[[#This Row],[Item ID]],ItemLookup,3,0)</f>
        <v>Man/Hours</v>
      </c>
      <c r="I40">
        <v>1</v>
      </c>
      <c r="J40" s="3">
        <f>VLOOKUP(CostsTable[[#This Row],[Item ID]],ItemLookup,4,0)*CostsTable[[#This Row],[Unit/Qty]]</f>
        <v>20</v>
      </c>
      <c r="K40" s="7">
        <v>0.5</v>
      </c>
      <c r="L40" s="3">
        <f>CostsTable[[#This Row],[Qty]]*CostsTable[[#This Row],[Cost/Unit]]</f>
        <v>10</v>
      </c>
    </row>
    <row r="41" spans="1:12" x14ac:dyDescent="0.25">
      <c r="A41" t="s">
        <v>130</v>
      </c>
      <c r="B41" t="s">
        <v>124</v>
      </c>
      <c r="C41" t="b">
        <v>1</v>
      </c>
      <c r="D41" t="b">
        <v>1</v>
      </c>
      <c r="E41" t="s">
        <v>124</v>
      </c>
      <c r="F41" s="2" t="str">
        <f>VLOOKUP(CostsTable[[#This Row],[Item ID]],ItemLookup,2,0)</f>
        <v>Labor</v>
      </c>
      <c r="G41" s="2"/>
      <c r="H41" s="2" t="str">
        <f>VLOOKUP(CostsTable[[#This Row],[Item ID]],ItemLookup,3,0)</f>
        <v>Man/Hours</v>
      </c>
      <c r="I41">
        <v>1</v>
      </c>
      <c r="J41" s="3">
        <f>VLOOKUP(CostsTable[[#This Row],[Item ID]],ItemLookup,4,0)*CostsTable[[#This Row],[Unit/Qty]]</f>
        <v>20</v>
      </c>
      <c r="K41">
        <v>2</v>
      </c>
      <c r="L41" s="3">
        <f>CostsTable[[#This Row],[Qty]]*CostsTable[[#This Row],[Cost/Unit]]</f>
        <v>40</v>
      </c>
    </row>
    <row r="42" spans="1:12" x14ac:dyDescent="0.25">
      <c r="A42" t="s">
        <v>130</v>
      </c>
      <c r="B42" t="s">
        <v>130</v>
      </c>
      <c r="C42" t="b">
        <v>1</v>
      </c>
      <c r="D42" t="b">
        <v>1</v>
      </c>
      <c r="E42" t="s">
        <v>131</v>
      </c>
      <c r="F42" s="2" t="str">
        <f>VLOOKUP(CostsTable[[#This Row],[Item ID]],ItemLookup,2,0)</f>
        <v>Gray Paint</v>
      </c>
      <c r="G42" s="2"/>
      <c r="H42" s="2" t="str">
        <f>VLOOKUP(CostsTable[[#This Row],[Item ID]],ItemLookup,3,0)</f>
        <v>Gallon</v>
      </c>
      <c r="I42">
        <v>1</v>
      </c>
      <c r="J42" s="3">
        <f>VLOOKUP(CostsTable[[#This Row],[Item ID]],ItemLookup,4,0)*CostsTable[[#This Row],[Unit/Qty]]</f>
        <v>33.33</v>
      </c>
      <c r="K42">
        <v>1</v>
      </c>
      <c r="L42" s="3">
        <f>CostsTable[[#This Row],[Qty]]*CostsTable[[#This Row],[Cost/Unit]]</f>
        <v>33.33</v>
      </c>
    </row>
    <row r="43" spans="1:12" x14ac:dyDescent="0.25">
      <c r="A43" t="s">
        <v>75</v>
      </c>
      <c r="B43" t="s">
        <v>76</v>
      </c>
      <c r="C43" t="b">
        <v>1</v>
      </c>
      <c r="D43" t="b">
        <v>0</v>
      </c>
      <c r="E43" s="14" t="s">
        <v>65</v>
      </c>
      <c r="F43" s="2" t="str">
        <f>VLOOKUP(CostsTable[[#This Row],[Item ID]],ItemLookup,2,0)</f>
        <v>4" Pipe Casting, 1-1/4"</v>
      </c>
      <c r="G43" s="2"/>
      <c r="H43" t="str">
        <f>VLOOKUP(CostsTable[[#This Row],[Item ID]],ItemLookup,3,0)</f>
        <v>Piece</v>
      </c>
      <c r="I43">
        <v>1</v>
      </c>
      <c r="J43" s="3">
        <f>VLOOKUP(CostsTable[[#This Row],[Item ID]],ItemLookup,4,0)*CostsTable[[#This Row],[Unit/Qty]]</f>
        <v>8.5</v>
      </c>
      <c r="K43" s="7">
        <v>1</v>
      </c>
      <c r="L43" s="3">
        <f>CostsTable[[#This Row],[Qty]]*CostsTable[[#This Row],[Cost/Unit]]</f>
        <v>8.5</v>
      </c>
    </row>
    <row r="44" spans="1:12" x14ac:dyDescent="0.25">
      <c r="A44" t="s">
        <v>75</v>
      </c>
      <c r="B44" t="s">
        <v>76</v>
      </c>
      <c r="C44" t="b">
        <v>1</v>
      </c>
      <c r="D44" t="b">
        <v>0</v>
      </c>
      <c r="E44" s="14" t="s">
        <v>66</v>
      </c>
      <c r="F44" s="2" t="str">
        <f>VLOOKUP(CostsTable[[#This Row],[Item ID]],ItemLookup,2,0)</f>
        <v>4" Spring Casting, 1-1/4"</v>
      </c>
      <c r="G44" s="2"/>
      <c r="H44" t="str">
        <f>VLOOKUP(CostsTable[[#This Row],[Item ID]],ItemLookup,3,0)</f>
        <v>Piece</v>
      </c>
      <c r="I44">
        <v>1</v>
      </c>
      <c r="J44" s="3">
        <f>VLOOKUP(CostsTable[[#This Row],[Item ID]],ItemLookup,4,0)*CostsTable[[#This Row],[Unit/Qty]]</f>
        <v>8.5</v>
      </c>
      <c r="K44" s="7">
        <v>1</v>
      </c>
      <c r="L44" s="3">
        <f>CostsTable[[#This Row],[Qty]]*CostsTable[[#This Row],[Cost/Unit]]</f>
        <v>8.5</v>
      </c>
    </row>
    <row r="45" spans="1:12" x14ac:dyDescent="0.25">
      <c r="A45" t="s">
        <v>75</v>
      </c>
      <c r="B45" t="s">
        <v>76</v>
      </c>
      <c r="C45" t="b">
        <v>1</v>
      </c>
      <c r="D45" t="b">
        <v>0</v>
      </c>
      <c r="E45" s="14" t="s">
        <v>161</v>
      </c>
      <c r="F45" s="2" t="str">
        <f>VLOOKUP(CostsTable[[#This Row],[Item ID]],ItemLookup,2,0)</f>
        <v>4" Spring Casting, 4S2, 1-1/4", Small</v>
      </c>
      <c r="G45" s="2"/>
      <c r="H45" s="2" t="str">
        <f>VLOOKUP(CostsTable[[#This Row],[Item ID]],ItemLookup,3,0)</f>
        <v>Piece</v>
      </c>
      <c r="I45">
        <v>1</v>
      </c>
      <c r="J45" s="3">
        <f>VLOOKUP(CostsTable[[#This Row],[Item ID]],ItemLookup,4,0)*CostsTable[[#This Row],[Unit/Qty]]</f>
        <v>5</v>
      </c>
      <c r="K45" s="7"/>
      <c r="L45" s="3">
        <f>CostsTable[[#This Row],[Qty]]*CostsTable[[#This Row],[Cost/Unit]]</f>
        <v>0</v>
      </c>
    </row>
    <row r="46" spans="1:12" x14ac:dyDescent="0.25">
      <c r="A46" t="s">
        <v>75</v>
      </c>
      <c r="B46" t="s">
        <v>76</v>
      </c>
      <c r="C46" t="b">
        <v>1</v>
      </c>
      <c r="D46" t="b">
        <v>0</v>
      </c>
      <c r="E46" s="7" t="s">
        <v>163</v>
      </c>
      <c r="F46" s="2" t="str">
        <f>VLOOKUP(CostsTable[[#This Row],[Item ID]],ItemLookup,2,0)</f>
        <v>.437" x 3.75" OD x 20'</v>
      </c>
      <c r="G46" s="13" t="s">
        <v>211</v>
      </c>
      <c r="H46" t="str">
        <f>VLOOKUP(CostsTable[[#This Row],[Item ID]],ItemLookup,3,0)</f>
        <v>Foot</v>
      </c>
      <c r="I46" s="7">
        <f>36.75/12</f>
        <v>3.0625</v>
      </c>
      <c r="J46" s="3">
        <f>VLOOKUP(CostsTable[[#This Row],[Item ID]],ItemLookup,4,0)*CostsTable[[#This Row],[Unit/Qty]]</f>
        <v>39.665500000000002</v>
      </c>
      <c r="K46">
        <v>1</v>
      </c>
      <c r="L46" s="3">
        <f>CostsTable[[#This Row],[Qty]]*CostsTable[[#This Row],[Cost/Unit]]</f>
        <v>39.665500000000002</v>
      </c>
    </row>
    <row r="47" spans="1:12" x14ac:dyDescent="0.25">
      <c r="A47" t="s">
        <v>75</v>
      </c>
      <c r="B47" t="s">
        <v>76</v>
      </c>
      <c r="C47" t="b">
        <v>1</v>
      </c>
      <c r="D47" t="b">
        <v>0</v>
      </c>
      <c r="E47" s="14" t="s">
        <v>71</v>
      </c>
      <c r="F47" s="2" t="str">
        <f>VLOOKUP(CostsTable[[#This Row],[Item ID]],ItemLookup,2,0)</f>
        <v>1-1/4" Shaft Collar</v>
      </c>
      <c r="G47" s="2"/>
      <c r="H47" t="str">
        <f>VLOOKUP(CostsTable[[#This Row],[Item ID]],ItemLookup,3,0)</f>
        <v>Piece</v>
      </c>
      <c r="I47">
        <v>1</v>
      </c>
      <c r="J47" s="3">
        <f>VLOOKUP(CostsTable[[#This Row],[Item ID]],ItemLookup,4,0)*CostsTable[[#This Row],[Unit/Qty]]</f>
        <v>2.2000000000000002</v>
      </c>
      <c r="K47" s="7">
        <v>4</v>
      </c>
      <c r="L47" s="3">
        <f>CostsTable[[#This Row],[Qty]]*CostsTable[[#This Row],[Cost/Unit]]</f>
        <v>8.8000000000000007</v>
      </c>
    </row>
    <row r="48" spans="1:12" x14ac:dyDescent="0.25">
      <c r="A48" t="s">
        <v>75</v>
      </c>
      <c r="B48" t="s">
        <v>76</v>
      </c>
      <c r="C48" t="b">
        <v>1</v>
      </c>
      <c r="D48" t="b">
        <v>1</v>
      </c>
      <c r="E48" t="s">
        <v>72</v>
      </c>
      <c r="F48" s="2" t="str">
        <f>VLOOKUP(CostsTable[[#This Row],[Item ID]],ItemLookup,2,0)</f>
        <v>5/16" x 2-1/2" Spring Pin</v>
      </c>
      <c r="G48" s="2"/>
      <c r="H48" t="str">
        <f>VLOOKUP(CostsTable[[#This Row],[Item ID]],ItemLookup,3,0)</f>
        <v>Piece</v>
      </c>
      <c r="I48">
        <v>1</v>
      </c>
      <c r="J48" s="3">
        <f>VLOOKUP(CostsTable[[#This Row],[Item ID]],ItemLookup,4,0)*CostsTable[[#This Row],[Unit/Qty]]</f>
        <v>0.24</v>
      </c>
      <c r="K48">
        <v>1</v>
      </c>
      <c r="L48" s="3">
        <f>CostsTable[[#This Row],[Qty]]*CostsTable[[#This Row],[Cost/Unit]]</f>
        <v>0.24</v>
      </c>
    </row>
    <row r="49" spans="1:12" x14ac:dyDescent="0.25">
      <c r="A49" t="s">
        <v>75</v>
      </c>
      <c r="B49" t="s">
        <v>76</v>
      </c>
      <c r="C49" t="b">
        <v>1</v>
      </c>
      <c r="D49" t="b">
        <v>0</v>
      </c>
      <c r="E49" s="14" t="s">
        <v>74</v>
      </c>
      <c r="F49" s="2" t="str">
        <f>VLOOKUP(CostsTable[[#This Row],[Item ID]],ItemLookup,2,0)</f>
        <v>Oil Lite Washer Bearing (1-3/4" OD, 1-1/4" ID, x 1/8")</v>
      </c>
      <c r="G49" s="2"/>
      <c r="H49" t="str">
        <f>VLOOKUP(CostsTable[[#This Row],[Item ID]],ItemLookup,3,0)</f>
        <v>Piece</v>
      </c>
      <c r="I49">
        <v>1</v>
      </c>
      <c r="J49" s="3">
        <f>VLOOKUP(CostsTable[[#This Row],[Item ID]],ItemLookup,4,0)*CostsTable[[#This Row],[Unit/Qty]]</f>
        <v>2.7</v>
      </c>
      <c r="K49">
        <v>1</v>
      </c>
      <c r="L49" s="3">
        <f>CostsTable[[#This Row],[Qty]]*CostsTable[[#This Row],[Cost/Unit]]</f>
        <v>2.7</v>
      </c>
    </row>
    <row r="50" spans="1:12" x14ac:dyDescent="0.25">
      <c r="A50" t="s">
        <v>75</v>
      </c>
      <c r="B50" t="s">
        <v>76</v>
      </c>
      <c r="C50" t="b">
        <v>1</v>
      </c>
      <c r="D50" t="b">
        <v>0</v>
      </c>
      <c r="E50" s="14" t="s">
        <v>54</v>
      </c>
      <c r="F50" s="2" t="str">
        <f>VLOOKUP(CostsTable[[#This Row],[Item ID]],ItemLookup,2,0)</f>
        <v>1-1/4" Solid Shaft, 12'</v>
      </c>
      <c r="G50" s="13" t="s">
        <v>212</v>
      </c>
      <c r="H50" t="str">
        <f>VLOOKUP(CostsTable[[#This Row],[Item ID]],ItemLookup,3,0)</f>
        <v>Foot</v>
      </c>
      <c r="I50" s="7">
        <f>60.125/12</f>
        <v>5.010416666666667</v>
      </c>
      <c r="J50" s="3">
        <f>VLOOKUP(CostsTable[[#This Row],[Item ID]],ItemLookup,4,0)*CostsTable[[#This Row],[Unit/Qty]]</f>
        <v>22.296354166666667</v>
      </c>
      <c r="K50">
        <v>1</v>
      </c>
      <c r="L50" s="3">
        <f>CostsTable[[#This Row],[Qty]]*CostsTable[[#This Row],[Cost/Unit]]</f>
        <v>22.296354166666667</v>
      </c>
    </row>
    <row r="51" spans="1:12" x14ac:dyDescent="0.25">
      <c r="A51" t="s">
        <v>75</v>
      </c>
      <c r="B51" t="s">
        <v>76</v>
      </c>
      <c r="C51" t="b">
        <v>1</v>
      </c>
      <c r="D51" t="b">
        <v>0</v>
      </c>
      <c r="E51" s="14" t="s">
        <v>117</v>
      </c>
      <c r="F51" s="2" t="str">
        <f>VLOOKUP(CostsTable[[#This Row],[Item ID]],ItemLookup,2,0)</f>
        <v>4" Shaft Support Casting, SS1, 1-1/4"</v>
      </c>
      <c r="G51" s="2"/>
      <c r="H51" s="2" t="str">
        <f>VLOOKUP(CostsTable[[#This Row],[Item ID]],ItemLookup,3,0)</f>
        <v>Piece</v>
      </c>
      <c r="I51">
        <v>1</v>
      </c>
      <c r="J51" s="3">
        <f>VLOOKUP(CostsTable[[#This Row],[Item ID]],ItemLookup,4,0)*CostsTable[[#This Row],[Unit/Qty]]</f>
        <v>2.23</v>
      </c>
      <c r="K51" s="7">
        <v>1</v>
      </c>
      <c r="L51" s="3">
        <f>CostsTable[[#This Row],[Qty]]*CostsTable[[#This Row],[Cost/Unit]]</f>
        <v>2.23</v>
      </c>
    </row>
    <row r="52" spans="1:12" x14ac:dyDescent="0.25">
      <c r="A52" t="s">
        <v>75</v>
      </c>
      <c r="B52" t="s">
        <v>124</v>
      </c>
      <c r="C52" t="b">
        <v>1</v>
      </c>
      <c r="D52" t="b">
        <v>0</v>
      </c>
      <c r="E52" t="s">
        <v>124</v>
      </c>
      <c r="F52" s="2" t="str">
        <f>VLOOKUP(CostsTable[[#This Row],[Item ID]],ItemLookup,2,0)</f>
        <v>Labor</v>
      </c>
      <c r="G52" s="2"/>
      <c r="H52" s="2" t="str">
        <f>VLOOKUP(CostsTable[[#This Row],[Item ID]],ItemLookup,3,0)</f>
        <v>Man/Hours</v>
      </c>
      <c r="I52">
        <v>1</v>
      </c>
      <c r="J52" s="3">
        <f>VLOOKUP(CostsTable[[#This Row],[Item ID]],ItemLookup,4,0)*CostsTable[[#This Row],[Unit/Qty]]</f>
        <v>20</v>
      </c>
      <c r="K52" s="7">
        <v>3</v>
      </c>
      <c r="L52" s="3">
        <f>CostsTable[[#This Row],[Qty]]*CostsTable[[#This Row],[Cost/Unit]]</f>
        <v>60</v>
      </c>
    </row>
    <row r="53" spans="1:12" x14ac:dyDescent="0.25">
      <c r="A53" t="s">
        <v>75</v>
      </c>
      <c r="B53" t="s">
        <v>82</v>
      </c>
      <c r="C53" t="b">
        <v>1</v>
      </c>
      <c r="D53" t="b">
        <v>1</v>
      </c>
      <c r="E53" s="14" t="s">
        <v>70</v>
      </c>
      <c r="F53" s="2" t="str">
        <f>VLOOKUP(CostsTable[[#This Row],[Item ID]],ItemLookup,2,0)</f>
        <v>4-1/8" OD x 1-1/4" Bore x 3/16" Thick, Washer</v>
      </c>
      <c r="G53" s="2"/>
      <c r="H53" t="str">
        <f>VLOOKUP(CostsTable[[#This Row],[Item ID]],ItemLookup,3,0)</f>
        <v>Piece</v>
      </c>
      <c r="I53">
        <v>1</v>
      </c>
      <c r="J53" s="3">
        <f>VLOOKUP(CostsTable[[#This Row],[Item ID]],ItemLookup,4,0)*CostsTable[[#This Row],[Unit/Qty]]</f>
        <v>1.5</v>
      </c>
      <c r="K53">
        <v>2</v>
      </c>
      <c r="L53" s="3">
        <f>CostsTable[[#This Row],[Qty]]*CostsTable[[#This Row],[Cost/Unit]]</f>
        <v>3</v>
      </c>
    </row>
    <row r="54" spans="1:12" x14ac:dyDescent="0.25">
      <c r="A54" t="s">
        <v>75</v>
      </c>
      <c r="B54" t="s">
        <v>82</v>
      </c>
      <c r="C54" t="b">
        <v>1</v>
      </c>
      <c r="D54" t="b">
        <v>1</v>
      </c>
      <c r="E54" s="14" t="s">
        <v>54</v>
      </c>
      <c r="F54" s="2" t="str">
        <f>VLOOKUP(CostsTable[[#This Row],[Item ID]],ItemLookup,2,0)</f>
        <v>1-1/4" Solid Shaft, 12'</v>
      </c>
      <c r="G54" s="2" t="s">
        <v>85</v>
      </c>
      <c r="H54" t="str">
        <f>VLOOKUP(CostsTable[[#This Row],[Item ID]],ItemLookup,3,0)</f>
        <v>Foot</v>
      </c>
      <c r="I54">
        <f>18/12</f>
        <v>1.5</v>
      </c>
      <c r="J54" s="3">
        <f>VLOOKUP(CostsTable[[#This Row],[Item ID]],ItemLookup,4,0)*CostsTable[[#This Row],[Unit/Qty]]</f>
        <v>6.6750000000000007</v>
      </c>
      <c r="K54">
        <v>1</v>
      </c>
      <c r="L54" s="3">
        <f>CostsTable[[#This Row],[Qty]]*CostsTable[[#This Row],[Cost/Unit]]</f>
        <v>6.6750000000000007</v>
      </c>
    </row>
    <row r="55" spans="1:12" x14ac:dyDescent="0.25">
      <c r="A55" t="s">
        <v>75</v>
      </c>
      <c r="B55" t="s">
        <v>77</v>
      </c>
      <c r="C55" t="b">
        <v>1</v>
      </c>
      <c r="D55" t="b">
        <v>0</v>
      </c>
      <c r="E55" s="14" t="s">
        <v>68</v>
      </c>
      <c r="F55" s="2" t="str">
        <f>VLOOKUP(CostsTable[[#This Row],[Item ID]],ItemLookup,2,0)</f>
        <v>4-1/2" Pipe, .188 wall</v>
      </c>
      <c r="G55" s="12" t="str">
        <f>Width*12+2&amp;" Inch Unit Size"</f>
        <v>98 Inch Unit Size</v>
      </c>
      <c r="H55" t="str">
        <f>VLOOKUP(CostsTable[[#This Row],[Item ID]],ItemLookup,3,0)</f>
        <v>Foot</v>
      </c>
      <c r="I55" s="11">
        <f>Width+2/12</f>
        <v>8.1666666666666661</v>
      </c>
      <c r="J55" s="3">
        <f>VLOOKUP(CostsTable[[#This Row],[Item ID]],ItemLookup,4,0)*CostsTable[[#This Row],[Unit/Qty]]</f>
        <v>80.60499999999999</v>
      </c>
      <c r="K55">
        <v>1</v>
      </c>
      <c r="L55" s="3">
        <f>CostsTable[[#This Row],[Qty]]*CostsTable[[#This Row],[Cost/Unit]]</f>
        <v>80.60499999999999</v>
      </c>
    </row>
    <row r="56" spans="1:12" x14ac:dyDescent="0.25">
      <c r="A56" t="s">
        <v>75</v>
      </c>
      <c r="B56" t="s">
        <v>77</v>
      </c>
      <c r="C56" t="b">
        <v>1</v>
      </c>
      <c r="D56" t="b">
        <v>0</v>
      </c>
      <c r="E56" s="14" t="s">
        <v>69</v>
      </c>
      <c r="F56" s="2" t="str">
        <f>VLOOKUP(CostsTable[[#This Row],[Item ID]],ItemLookup,2,0)</f>
        <v>4" Pipe Ring, Heavy</v>
      </c>
      <c r="G56" s="2"/>
      <c r="H56" t="str">
        <f>VLOOKUP(CostsTable[[#This Row],[Item ID]],ItemLookup,3,0)</f>
        <v>Piece</v>
      </c>
      <c r="I56">
        <v>1</v>
      </c>
      <c r="J56" s="3">
        <f>VLOOKUP(CostsTable[[#This Row],[Item ID]],ItemLookup,4,0)*CostsTable[[#This Row],[Unit/Qty]]</f>
        <v>2.6</v>
      </c>
      <c r="K56" s="7">
        <v>3</v>
      </c>
      <c r="L56" s="3">
        <f>CostsTable[[#This Row],[Qty]]*CostsTable[[#This Row],[Cost/Unit]]</f>
        <v>7.8000000000000007</v>
      </c>
    </row>
    <row r="57" spans="1:12" x14ac:dyDescent="0.25">
      <c r="A57" t="s">
        <v>75</v>
      </c>
      <c r="B57" t="s">
        <v>77</v>
      </c>
      <c r="C57" t="b">
        <v>1</v>
      </c>
      <c r="D57" t="b">
        <v>1</v>
      </c>
      <c r="E57">
        <v>381634</v>
      </c>
      <c r="F57" s="2" t="str">
        <f>VLOOKUP(CostsTable[[#This Row],[Item ID]],ItemLookup,2,0)</f>
        <v>3/8" - 16 x 3/4" Hex Head Tap Bolt, Grade 2</v>
      </c>
      <c r="G57" s="2"/>
      <c r="H57" t="str">
        <f>VLOOKUP(CostsTable[[#This Row],[Item ID]],ItemLookup,3,0)</f>
        <v>Piece</v>
      </c>
      <c r="I57">
        <v>1</v>
      </c>
      <c r="J57" s="3">
        <f>VLOOKUP(CostsTable[[#This Row],[Item ID]],ItemLookup,4,0)*CostsTable[[#This Row],[Unit/Qty]]</f>
        <v>0.05</v>
      </c>
      <c r="K57">
        <v>3</v>
      </c>
      <c r="L57" s="3">
        <f>CostsTable[[#This Row],[Qty]]*CostsTable[[#This Row],[Cost/Unit]]</f>
        <v>0.15000000000000002</v>
      </c>
    </row>
    <row r="58" spans="1:12" x14ac:dyDescent="0.25">
      <c r="A58" t="s">
        <v>75</v>
      </c>
      <c r="B58" t="s">
        <v>77</v>
      </c>
      <c r="C58" t="b">
        <v>1</v>
      </c>
      <c r="D58" t="b">
        <v>0</v>
      </c>
      <c r="E58" s="14" t="s">
        <v>73</v>
      </c>
      <c r="F58" s="2" t="str">
        <f>VLOOKUP(CostsTable[[#This Row],[Item ID]],ItemLookup,2,0)</f>
        <v>4" Tube Bearing, 1-1/4" Bore</v>
      </c>
      <c r="G58" s="2"/>
      <c r="H58" t="str">
        <f>VLOOKUP(CostsTable[[#This Row],[Item ID]],ItemLookup,3,0)</f>
        <v>Piece</v>
      </c>
      <c r="I58">
        <v>1</v>
      </c>
      <c r="J58" s="3">
        <f>VLOOKUP(CostsTable[[#This Row],[Item ID]],ItemLookup,4,0)*CostsTable[[#This Row],[Unit/Qty]]</f>
        <v>9</v>
      </c>
      <c r="K58">
        <v>1</v>
      </c>
      <c r="L58" s="3">
        <f>CostsTable[[#This Row],[Qty]]*CostsTable[[#This Row],[Cost/Unit]]</f>
        <v>9</v>
      </c>
    </row>
    <row r="59" spans="1:12" x14ac:dyDescent="0.25">
      <c r="A59" t="s">
        <v>115</v>
      </c>
      <c r="B59" t="s">
        <v>118</v>
      </c>
      <c r="C59" t="b">
        <v>1</v>
      </c>
      <c r="D59" t="b">
        <v>1</v>
      </c>
      <c r="E59" t="s">
        <v>119</v>
      </c>
      <c r="F59" s="2" t="str">
        <f>VLOOKUP(CostsTable[[#This Row],[Item ID]],ItemLookup,2,0)</f>
        <v>Bellmouth Stops with Tabs (pair)</v>
      </c>
      <c r="G59" s="2"/>
      <c r="H59" s="2" t="str">
        <f>VLOOKUP(CostsTable[[#This Row],[Item ID]],ItemLookup,3,0)</f>
        <v>Pair</v>
      </c>
      <c r="I59">
        <v>1</v>
      </c>
      <c r="J59" s="3">
        <f>VLOOKUP(CostsTable[[#This Row],[Item ID]],ItemLookup,4,0)*CostsTable[[#This Row],[Unit/Qty]]</f>
        <v>3.15</v>
      </c>
      <c r="K59">
        <v>1</v>
      </c>
      <c r="L59" s="3">
        <f>CostsTable[[#This Row],[Qty]]*CostsTable[[#This Row],[Cost/Unit]]</f>
        <v>3.15</v>
      </c>
    </row>
    <row r="60" spans="1:12" x14ac:dyDescent="0.25">
      <c r="A60" t="s">
        <v>115</v>
      </c>
      <c r="B60" t="s">
        <v>124</v>
      </c>
      <c r="C60" t="b">
        <v>1</v>
      </c>
      <c r="D60" t="b">
        <v>1</v>
      </c>
      <c r="E60" t="s">
        <v>124</v>
      </c>
      <c r="F60" s="2" t="str">
        <f>VLOOKUP(CostsTable[[#This Row],[Item ID]],ItemLookup,2,0)</f>
        <v>Labor</v>
      </c>
      <c r="G60" s="2"/>
      <c r="H60" s="2" t="str">
        <f>VLOOKUP(CostsTable[[#This Row],[Item ID]],ItemLookup,3,0)</f>
        <v>Man/Hours</v>
      </c>
      <c r="I60">
        <v>1</v>
      </c>
      <c r="J60" s="3">
        <f>VLOOKUP(CostsTable[[#This Row],[Item ID]],ItemLookup,4,0)*CostsTable[[#This Row],[Unit/Qty]]</f>
        <v>20</v>
      </c>
      <c r="K60">
        <v>2</v>
      </c>
      <c r="L60" s="3">
        <f>CostsTable[[#This Row],[Qty]]*CostsTable[[#This Row],[Cost/Unit]]</f>
        <v>40</v>
      </c>
    </row>
    <row r="61" spans="1:12" x14ac:dyDescent="0.25">
      <c r="A61" t="s">
        <v>115</v>
      </c>
      <c r="B61" t="s">
        <v>115</v>
      </c>
      <c r="C61" t="b">
        <v>1</v>
      </c>
      <c r="D61" t="b">
        <v>0</v>
      </c>
      <c r="E61" t="s">
        <v>87</v>
      </c>
      <c r="F61" s="2" t="str">
        <f>VLOOKUP(CostsTable[[#This Row],[Item ID]],ItemLookup,2,0)</f>
        <v>3" x 2" x 3/16" Angles</v>
      </c>
      <c r="G61" s="12" t="str">
        <f>"Inner Guides; "&amp;Height*12+2&amp;" Inch Unit Size"</f>
        <v>Inner Guides; 98 Inch Unit Size</v>
      </c>
      <c r="H61" s="2" t="str">
        <f>VLOOKUP(CostsTable[[#This Row],[Item ID]],ItemLookup,3,0)</f>
        <v>Foot</v>
      </c>
      <c r="I61" s="11">
        <f>Height+2/12</f>
        <v>8.1666666666666661</v>
      </c>
      <c r="J61" s="3">
        <f>VLOOKUP(CostsTable[[#This Row],[Item ID]],ItemLookup,4,0)*CostsTable[[#This Row],[Unit/Qty]]</f>
        <v>17.313333333333333</v>
      </c>
      <c r="K61">
        <v>2</v>
      </c>
      <c r="L61" s="3">
        <f>CostsTable[[#This Row],[Qty]]*CostsTable[[#This Row],[Cost/Unit]]</f>
        <v>34.626666666666665</v>
      </c>
    </row>
    <row r="62" spans="1:12" x14ac:dyDescent="0.25">
      <c r="A62" t="s">
        <v>115</v>
      </c>
      <c r="B62" t="s">
        <v>115</v>
      </c>
      <c r="C62" t="b">
        <v>1</v>
      </c>
      <c r="D62" t="b">
        <v>0</v>
      </c>
      <c r="E62" t="s">
        <v>86</v>
      </c>
      <c r="F62" s="2" t="str">
        <f>VLOOKUP(CostsTable[[#This Row],[Item ID]],ItemLookup,2,0)</f>
        <v>3" x 3" x 3/16"Angles</v>
      </c>
      <c r="G62" s="12" t="str">
        <f>"Outer Guides; "&amp;Height*12+2&amp;" Inch Unit Size"</f>
        <v>Outer Guides; 98 Inch Unit Size</v>
      </c>
      <c r="H62" s="2" t="str">
        <f>VLOOKUP(CostsTable[[#This Row],[Item ID]],ItemLookup,3,0)</f>
        <v>Foot</v>
      </c>
      <c r="I62" s="11">
        <f>Height+2/12</f>
        <v>8.1666666666666661</v>
      </c>
      <c r="J62" s="3">
        <f>VLOOKUP(CostsTable[[#This Row],[Item ID]],ItemLookup,4,0)*CostsTable[[#This Row],[Unit/Qty]]</f>
        <v>23.68333333333333</v>
      </c>
      <c r="K62">
        <v>2</v>
      </c>
      <c r="L62" s="3">
        <f>CostsTable[[#This Row],[Qty]]*CostsTable[[#This Row],[Cost/Unit]]</f>
        <v>47.36666666666666</v>
      </c>
    </row>
    <row r="63" spans="1:12" x14ac:dyDescent="0.25">
      <c r="A63" t="s">
        <v>115</v>
      </c>
      <c r="B63" t="s">
        <v>115</v>
      </c>
      <c r="C63" t="b">
        <v>1</v>
      </c>
      <c r="D63" t="b">
        <v>0</v>
      </c>
      <c r="E63" t="s">
        <v>86</v>
      </c>
      <c r="F63" s="2" t="str">
        <f>VLOOKUP(CostsTable[[#This Row],[Item ID]],ItemLookup,2,0)</f>
        <v>3" x 3" x 3/16"Angles</v>
      </c>
      <c r="G63" s="12" t="str">
        <f>"Wall Angle; "&amp;Height*12+20.25&amp;" Inch Unit Size"</f>
        <v>Wall Angle; 116.25 Inch Unit Size</v>
      </c>
      <c r="H63" s="2" t="str">
        <f>VLOOKUP(CostsTable[[#This Row],[Item ID]],ItemLookup,3,0)</f>
        <v>Foot</v>
      </c>
      <c r="I63" s="11">
        <f>Height+20.25/12</f>
        <v>9.6875</v>
      </c>
      <c r="J63" s="3">
        <f>VLOOKUP(CostsTable[[#This Row],[Item ID]],ItemLookup,4,0)*CostsTable[[#This Row],[Unit/Qty]]</f>
        <v>28.09375</v>
      </c>
      <c r="K63">
        <v>2</v>
      </c>
      <c r="L63" s="3">
        <f>CostsTable[[#This Row],[Qty]]*CostsTable[[#This Row],[Cost/Unit]]</f>
        <v>56.1875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E7C2-76B1-4FDC-B744-37CE15D37099}">
  <dimension ref="A1:D74"/>
  <sheetViews>
    <sheetView workbookViewId="0"/>
  </sheetViews>
  <sheetFormatPr defaultRowHeight="15" x14ac:dyDescent="0.25"/>
  <cols>
    <col min="1" max="1" width="19.140625" bestFit="1" customWidth="1"/>
    <col min="2" max="2" width="48.140625" bestFit="1" customWidth="1"/>
    <col min="3" max="3" width="12.28515625" bestFit="1" customWidth="1"/>
  </cols>
  <sheetData>
    <row r="1" spans="1:4" x14ac:dyDescent="0.25">
      <c r="A1" t="s">
        <v>40</v>
      </c>
      <c r="B1" t="s">
        <v>37</v>
      </c>
      <c r="C1" t="s">
        <v>41</v>
      </c>
      <c r="D1" t="s">
        <v>44</v>
      </c>
    </row>
    <row r="2" spans="1:4" x14ac:dyDescent="0.25">
      <c r="A2">
        <v>381634</v>
      </c>
      <c r="B2" t="s">
        <v>19</v>
      </c>
      <c r="C2" t="s">
        <v>62</v>
      </c>
      <c r="D2" s="3">
        <v>0.05</v>
      </c>
    </row>
    <row r="3" spans="1:4" x14ac:dyDescent="0.25">
      <c r="A3" t="s">
        <v>98</v>
      </c>
      <c r="B3" t="s">
        <v>17</v>
      </c>
      <c r="C3" t="s">
        <v>62</v>
      </c>
      <c r="D3" s="3">
        <v>1.4999999999999999E-2</v>
      </c>
    </row>
    <row r="4" spans="1:4" x14ac:dyDescent="0.25">
      <c r="A4" t="s">
        <v>99</v>
      </c>
      <c r="B4" t="s">
        <v>16</v>
      </c>
      <c r="C4" t="s">
        <v>62</v>
      </c>
      <c r="D4" s="3">
        <v>6.0000000000000001E-3</v>
      </c>
    </row>
    <row r="5" spans="1:4" x14ac:dyDescent="0.25">
      <c r="A5" t="s">
        <v>108</v>
      </c>
      <c r="B5" t="s">
        <v>4</v>
      </c>
      <c r="C5" t="s">
        <v>62</v>
      </c>
      <c r="D5" s="3">
        <v>0.12</v>
      </c>
    </row>
    <row r="6" spans="1:4" x14ac:dyDescent="0.25">
      <c r="A6" t="s">
        <v>110</v>
      </c>
      <c r="B6" t="s">
        <v>35</v>
      </c>
      <c r="C6" t="s">
        <v>62</v>
      </c>
      <c r="D6" s="3">
        <v>0.32</v>
      </c>
    </row>
    <row r="7" spans="1:4" x14ac:dyDescent="0.25">
      <c r="A7" t="s">
        <v>55</v>
      </c>
      <c r="B7" t="s">
        <v>9</v>
      </c>
      <c r="C7" t="s">
        <v>62</v>
      </c>
      <c r="D7" s="3">
        <v>6.4000000000000001E-2</v>
      </c>
    </row>
    <row r="8" spans="1:4" x14ac:dyDescent="0.25">
      <c r="A8" t="s">
        <v>109</v>
      </c>
      <c r="B8" t="s">
        <v>14</v>
      </c>
      <c r="C8" t="s">
        <v>62</v>
      </c>
      <c r="D8" s="3">
        <v>0.16</v>
      </c>
    </row>
    <row r="9" spans="1:4" x14ac:dyDescent="0.25">
      <c r="A9" t="s">
        <v>56</v>
      </c>
      <c r="B9" t="s">
        <v>23</v>
      </c>
      <c r="C9" t="s">
        <v>62</v>
      </c>
      <c r="D9" s="3">
        <v>0.02</v>
      </c>
    </row>
    <row r="10" spans="1:4" x14ac:dyDescent="0.25">
      <c r="A10" t="s">
        <v>111</v>
      </c>
      <c r="B10" t="s">
        <v>36</v>
      </c>
      <c r="C10" t="s">
        <v>62</v>
      </c>
      <c r="D10" s="3">
        <v>0.02</v>
      </c>
    </row>
    <row r="11" spans="1:4" x14ac:dyDescent="0.25">
      <c r="A11" t="s">
        <v>106</v>
      </c>
      <c r="B11" t="s">
        <v>15</v>
      </c>
      <c r="C11" t="s">
        <v>62</v>
      </c>
      <c r="D11" s="3">
        <v>0.02</v>
      </c>
    </row>
    <row r="12" spans="1:4" x14ac:dyDescent="0.25">
      <c r="A12" t="s">
        <v>88</v>
      </c>
      <c r="B12" t="s">
        <v>11</v>
      </c>
      <c r="C12" t="s">
        <v>62</v>
      </c>
      <c r="D12" s="3">
        <v>0.05</v>
      </c>
    </row>
    <row r="13" spans="1:4" x14ac:dyDescent="0.25">
      <c r="A13" t="s">
        <v>71</v>
      </c>
      <c r="B13" t="s">
        <v>21</v>
      </c>
      <c r="C13" t="s">
        <v>62</v>
      </c>
      <c r="D13" s="3">
        <v>2.2000000000000002</v>
      </c>
    </row>
    <row r="14" spans="1:4" x14ac:dyDescent="0.25">
      <c r="A14" t="s">
        <v>190</v>
      </c>
      <c r="B14" t="s">
        <v>191</v>
      </c>
      <c r="C14" t="s">
        <v>62</v>
      </c>
      <c r="D14" s="3">
        <v>2.3199999999999998</v>
      </c>
    </row>
    <row r="15" spans="1:4" x14ac:dyDescent="0.25">
      <c r="A15" t="s">
        <v>104</v>
      </c>
      <c r="B15" t="s">
        <v>13</v>
      </c>
      <c r="C15" t="s">
        <v>62</v>
      </c>
      <c r="D15" s="3">
        <v>0.5</v>
      </c>
    </row>
    <row r="16" spans="1:4" x14ac:dyDescent="0.25">
      <c r="A16" t="s">
        <v>103</v>
      </c>
      <c r="B16" t="s">
        <v>10</v>
      </c>
      <c r="C16" t="s">
        <v>62</v>
      </c>
      <c r="D16" s="3">
        <v>0.36</v>
      </c>
    </row>
    <row r="17" spans="1:4" x14ac:dyDescent="0.25">
      <c r="A17" t="s">
        <v>72</v>
      </c>
      <c r="B17" t="s">
        <v>27</v>
      </c>
      <c r="C17" t="s">
        <v>62</v>
      </c>
      <c r="D17" s="3">
        <v>0.24</v>
      </c>
    </row>
    <row r="18" spans="1:4" x14ac:dyDescent="0.25">
      <c r="A18" t="s">
        <v>69</v>
      </c>
      <c r="B18" t="s">
        <v>1</v>
      </c>
      <c r="C18" t="s">
        <v>62</v>
      </c>
      <c r="D18" s="3">
        <v>2.6</v>
      </c>
    </row>
    <row r="19" spans="1:4" x14ac:dyDescent="0.25">
      <c r="A19" t="s">
        <v>150</v>
      </c>
      <c r="B19" t="s">
        <v>151</v>
      </c>
      <c r="C19" t="s">
        <v>62</v>
      </c>
      <c r="D19" s="3">
        <v>2.7</v>
      </c>
    </row>
    <row r="20" spans="1:4" x14ac:dyDescent="0.25">
      <c r="A20" t="s">
        <v>74</v>
      </c>
      <c r="B20" t="s">
        <v>2</v>
      </c>
      <c r="C20" t="s">
        <v>62</v>
      </c>
      <c r="D20" s="3">
        <v>2.7</v>
      </c>
    </row>
    <row r="21" spans="1:4" x14ac:dyDescent="0.25">
      <c r="A21" t="s">
        <v>196</v>
      </c>
      <c r="B21" t="s">
        <v>197</v>
      </c>
      <c r="C21" t="s">
        <v>62</v>
      </c>
      <c r="D21" s="3">
        <v>2.44</v>
      </c>
    </row>
    <row r="22" spans="1:4" x14ac:dyDescent="0.25">
      <c r="A22" t="s">
        <v>73</v>
      </c>
      <c r="B22" t="s">
        <v>137</v>
      </c>
      <c r="C22" t="s">
        <v>62</v>
      </c>
      <c r="D22" s="3">
        <v>9</v>
      </c>
    </row>
    <row r="23" spans="1:4" x14ac:dyDescent="0.25">
      <c r="A23" t="s">
        <v>192</v>
      </c>
      <c r="B23" t="s">
        <v>193</v>
      </c>
      <c r="C23" t="s">
        <v>62</v>
      </c>
      <c r="D23" s="3">
        <v>20</v>
      </c>
    </row>
    <row r="24" spans="1:4" x14ac:dyDescent="0.25">
      <c r="A24" t="s">
        <v>152</v>
      </c>
      <c r="B24" t="s">
        <v>153</v>
      </c>
      <c r="C24" t="s">
        <v>62</v>
      </c>
      <c r="D24" s="3">
        <v>20</v>
      </c>
    </row>
    <row r="25" spans="1:4" x14ac:dyDescent="0.25">
      <c r="A25" t="s">
        <v>57</v>
      </c>
      <c r="B25" t="s">
        <v>134</v>
      </c>
      <c r="C25" t="s">
        <v>62</v>
      </c>
      <c r="D25" s="3">
        <v>12.11</v>
      </c>
    </row>
    <row r="26" spans="1:4" x14ac:dyDescent="0.25">
      <c r="A26" t="s">
        <v>119</v>
      </c>
      <c r="B26" t="s">
        <v>120</v>
      </c>
      <c r="C26" t="s">
        <v>121</v>
      </c>
      <c r="D26" s="3">
        <v>3.15</v>
      </c>
    </row>
    <row r="27" spans="1:4" x14ac:dyDescent="0.25">
      <c r="A27" t="s">
        <v>96</v>
      </c>
      <c r="B27" t="s">
        <v>33</v>
      </c>
      <c r="C27" t="s">
        <v>64</v>
      </c>
      <c r="D27" s="3">
        <v>0.51</v>
      </c>
    </row>
    <row r="28" spans="1:4" x14ac:dyDescent="0.25">
      <c r="A28" t="s">
        <v>65</v>
      </c>
      <c r="B28" t="s">
        <v>18</v>
      </c>
      <c r="C28" t="s">
        <v>62</v>
      </c>
      <c r="D28" s="3">
        <v>8.5</v>
      </c>
    </row>
    <row r="29" spans="1:4" x14ac:dyDescent="0.25">
      <c r="A29" t="s">
        <v>66</v>
      </c>
      <c r="B29" t="s">
        <v>22</v>
      </c>
      <c r="C29" t="s">
        <v>62</v>
      </c>
      <c r="D29" s="3">
        <v>8.5</v>
      </c>
    </row>
    <row r="30" spans="1:4" x14ac:dyDescent="0.25">
      <c r="A30" t="s">
        <v>161</v>
      </c>
      <c r="B30" t="s">
        <v>162</v>
      </c>
      <c r="C30" t="s">
        <v>62</v>
      </c>
      <c r="D30" s="3">
        <v>5</v>
      </c>
    </row>
    <row r="31" spans="1:4" x14ac:dyDescent="0.25">
      <c r="A31" t="s">
        <v>138</v>
      </c>
      <c r="B31" t="s">
        <v>139</v>
      </c>
      <c r="C31" t="s">
        <v>62</v>
      </c>
      <c r="D31" s="3">
        <v>20.79</v>
      </c>
    </row>
    <row r="32" spans="1:4" x14ac:dyDescent="0.25">
      <c r="A32" t="s">
        <v>140</v>
      </c>
      <c r="B32" t="s">
        <v>141</v>
      </c>
      <c r="C32" t="s">
        <v>62</v>
      </c>
      <c r="D32" s="3">
        <v>20.79</v>
      </c>
    </row>
    <row r="33" spans="1:4" x14ac:dyDescent="0.25">
      <c r="A33" t="s">
        <v>142</v>
      </c>
      <c r="B33" t="s">
        <v>143</v>
      </c>
      <c r="C33" t="s">
        <v>62</v>
      </c>
      <c r="D33" s="3">
        <v>20.79</v>
      </c>
    </row>
    <row r="34" spans="1:4" x14ac:dyDescent="0.25">
      <c r="A34" t="s">
        <v>144</v>
      </c>
      <c r="B34" t="s">
        <v>145</v>
      </c>
      <c r="C34" t="s">
        <v>62</v>
      </c>
      <c r="D34" s="3">
        <v>20.79</v>
      </c>
    </row>
    <row r="35" spans="1:4" x14ac:dyDescent="0.25">
      <c r="A35" t="s">
        <v>47</v>
      </c>
      <c r="B35" t="s">
        <v>6</v>
      </c>
      <c r="C35" t="s">
        <v>62</v>
      </c>
      <c r="D35" s="3">
        <v>14.82</v>
      </c>
    </row>
    <row r="36" spans="1:4" x14ac:dyDescent="0.25">
      <c r="A36" t="s">
        <v>117</v>
      </c>
      <c r="B36" t="s">
        <v>116</v>
      </c>
      <c r="C36" t="s">
        <v>62</v>
      </c>
      <c r="D36" s="3">
        <v>2.23</v>
      </c>
    </row>
    <row r="37" spans="1:4" x14ac:dyDescent="0.25">
      <c r="A37" t="s">
        <v>156</v>
      </c>
      <c r="B37" t="s">
        <v>157</v>
      </c>
      <c r="C37" t="s">
        <v>62</v>
      </c>
      <c r="D37" s="3">
        <v>2.25</v>
      </c>
    </row>
    <row r="38" spans="1:4" x14ac:dyDescent="0.25">
      <c r="A38" t="s">
        <v>198</v>
      </c>
      <c r="B38" t="s">
        <v>199</v>
      </c>
      <c r="C38" t="s">
        <v>62</v>
      </c>
      <c r="D38" s="3">
        <v>8.5</v>
      </c>
    </row>
    <row r="39" spans="1:4" x14ac:dyDescent="0.25">
      <c r="A39" t="s">
        <v>93</v>
      </c>
      <c r="B39" t="s">
        <v>30</v>
      </c>
      <c r="C39" t="s">
        <v>62</v>
      </c>
      <c r="D39" s="3">
        <v>0.25</v>
      </c>
    </row>
    <row r="40" spans="1:4" x14ac:dyDescent="0.25">
      <c r="A40" t="s">
        <v>95</v>
      </c>
      <c r="B40" t="s">
        <v>32</v>
      </c>
      <c r="C40" t="s">
        <v>64</v>
      </c>
      <c r="D40" s="3">
        <v>1.0900000000000001</v>
      </c>
    </row>
    <row r="41" spans="1:4" x14ac:dyDescent="0.25">
      <c r="A41" t="s">
        <v>87</v>
      </c>
      <c r="B41" t="s">
        <v>28</v>
      </c>
      <c r="C41" t="s">
        <v>64</v>
      </c>
      <c r="D41" s="3">
        <v>2.12</v>
      </c>
    </row>
    <row r="42" spans="1:4" x14ac:dyDescent="0.25">
      <c r="A42" t="s">
        <v>86</v>
      </c>
      <c r="B42" t="s">
        <v>29</v>
      </c>
      <c r="C42" t="s">
        <v>64</v>
      </c>
      <c r="D42" s="3">
        <v>2.9</v>
      </c>
    </row>
    <row r="43" spans="1:4" x14ac:dyDescent="0.25">
      <c r="A43" t="s">
        <v>50</v>
      </c>
      <c r="B43" t="s">
        <v>5</v>
      </c>
      <c r="C43" t="s">
        <v>64</v>
      </c>
      <c r="D43" s="3">
        <v>0.36</v>
      </c>
    </row>
    <row r="44" spans="1:4" x14ac:dyDescent="0.25">
      <c r="A44" t="s">
        <v>68</v>
      </c>
      <c r="B44" t="s">
        <v>84</v>
      </c>
      <c r="C44" t="s">
        <v>64</v>
      </c>
      <c r="D44" s="3">
        <v>9.8699999999999992</v>
      </c>
    </row>
    <row r="45" spans="1:4" x14ac:dyDescent="0.25">
      <c r="A45" t="s">
        <v>148</v>
      </c>
      <c r="B45" t="s">
        <v>149</v>
      </c>
      <c r="C45" t="s">
        <v>64</v>
      </c>
      <c r="D45" s="3">
        <v>12.98</v>
      </c>
    </row>
    <row r="46" spans="1:4" x14ac:dyDescent="0.25">
      <c r="A46" t="s">
        <v>54</v>
      </c>
      <c r="B46" t="s">
        <v>78</v>
      </c>
      <c r="C46" t="s">
        <v>64</v>
      </c>
      <c r="D46" s="3">
        <v>4.45</v>
      </c>
    </row>
    <row r="47" spans="1:4" x14ac:dyDescent="0.25">
      <c r="A47" t="s">
        <v>194</v>
      </c>
      <c r="B47" t="s">
        <v>195</v>
      </c>
      <c r="C47" t="s">
        <v>64</v>
      </c>
      <c r="D47" s="3">
        <v>5.37</v>
      </c>
    </row>
    <row r="48" spans="1:4" x14ac:dyDescent="0.25">
      <c r="A48" t="s">
        <v>97</v>
      </c>
      <c r="B48" t="s">
        <v>31</v>
      </c>
      <c r="C48" t="s">
        <v>62</v>
      </c>
      <c r="D48" s="3">
        <v>2.2100000000000002E-2</v>
      </c>
    </row>
    <row r="49" spans="1:4" x14ac:dyDescent="0.25">
      <c r="A49" t="s">
        <v>94</v>
      </c>
      <c r="B49" t="s">
        <v>34</v>
      </c>
      <c r="C49" t="s">
        <v>92</v>
      </c>
      <c r="D49" s="3">
        <v>3.8378378378378375E-2</v>
      </c>
    </row>
    <row r="50" spans="1:4" x14ac:dyDescent="0.25">
      <c r="A50" t="s">
        <v>49</v>
      </c>
      <c r="B50" t="s">
        <v>24</v>
      </c>
      <c r="C50" t="s">
        <v>62</v>
      </c>
      <c r="D50" s="3">
        <v>24.5</v>
      </c>
    </row>
    <row r="51" spans="1:4" x14ac:dyDescent="0.25">
      <c r="A51" t="s">
        <v>48</v>
      </c>
      <c r="B51" t="s">
        <v>0</v>
      </c>
      <c r="C51" t="s">
        <v>62</v>
      </c>
      <c r="D51" s="3">
        <v>9.25</v>
      </c>
    </row>
    <row r="52" spans="1:4" x14ac:dyDescent="0.25">
      <c r="A52" t="s">
        <v>70</v>
      </c>
      <c r="B52" t="s">
        <v>20</v>
      </c>
      <c r="C52" t="s">
        <v>62</v>
      </c>
      <c r="D52" s="3">
        <v>1.5</v>
      </c>
    </row>
    <row r="53" spans="1:4" x14ac:dyDescent="0.25">
      <c r="A53" t="s">
        <v>154</v>
      </c>
      <c r="B53" t="s">
        <v>155</v>
      </c>
      <c r="C53" t="s">
        <v>62</v>
      </c>
      <c r="D53" s="3">
        <v>4.25</v>
      </c>
    </row>
    <row r="54" spans="1:4" x14ac:dyDescent="0.25">
      <c r="A54" t="s">
        <v>52</v>
      </c>
      <c r="B54" t="s">
        <v>25</v>
      </c>
      <c r="C54" t="s">
        <v>62</v>
      </c>
      <c r="D54" s="3">
        <v>10.119999999999999</v>
      </c>
    </row>
    <row r="55" spans="1:4" x14ac:dyDescent="0.25">
      <c r="A55" t="s">
        <v>107</v>
      </c>
      <c r="B55" t="s">
        <v>7</v>
      </c>
      <c r="C55" t="s">
        <v>63</v>
      </c>
      <c r="D55" s="3">
        <v>43.037269999999999</v>
      </c>
    </row>
    <row r="56" spans="1:4" x14ac:dyDescent="0.25">
      <c r="A56" t="s">
        <v>165</v>
      </c>
      <c r="B56" t="s">
        <v>166</v>
      </c>
      <c r="C56" t="s">
        <v>89</v>
      </c>
      <c r="D56" s="3">
        <v>26.921849999999999</v>
      </c>
    </row>
    <row r="57" spans="1:4" x14ac:dyDescent="0.25">
      <c r="A57" t="s">
        <v>90</v>
      </c>
      <c r="B57" t="s">
        <v>12</v>
      </c>
      <c r="C57" t="s">
        <v>89</v>
      </c>
      <c r="D57" s="3">
        <v>30.09</v>
      </c>
    </row>
    <row r="58" spans="1:4" x14ac:dyDescent="0.25">
      <c r="A58" t="s">
        <v>188</v>
      </c>
      <c r="B58" t="s">
        <v>189</v>
      </c>
      <c r="C58" t="s">
        <v>64</v>
      </c>
      <c r="D58" s="3">
        <v>5.5914999999999999</v>
      </c>
    </row>
    <row r="59" spans="1:4" x14ac:dyDescent="0.25">
      <c r="A59" t="s">
        <v>186</v>
      </c>
      <c r="B59" t="s">
        <v>187</v>
      </c>
      <c r="C59" t="s">
        <v>64</v>
      </c>
      <c r="D59" s="3">
        <v>6.8049999999999997</v>
      </c>
    </row>
    <row r="60" spans="1:4" x14ac:dyDescent="0.25">
      <c r="A60" t="s">
        <v>202</v>
      </c>
      <c r="B60" t="s">
        <v>203</v>
      </c>
      <c r="C60" t="s">
        <v>64</v>
      </c>
      <c r="D60" s="3">
        <v>6.8049999999999997</v>
      </c>
    </row>
    <row r="61" spans="1:4" x14ac:dyDescent="0.25">
      <c r="A61" t="s">
        <v>206</v>
      </c>
      <c r="B61" t="s">
        <v>207</v>
      </c>
      <c r="C61" t="s">
        <v>64</v>
      </c>
      <c r="D61" s="3">
        <v>11.3225</v>
      </c>
    </row>
    <row r="62" spans="1:4" x14ac:dyDescent="0.25">
      <c r="A62" t="s">
        <v>200</v>
      </c>
      <c r="B62" t="s">
        <v>201</v>
      </c>
      <c r="C62" t="s">
        <v>64</v>
      </c>
      <c r="D62" s="3">
        <v>12.1455</v>
      </c>
    </row>
    <row r="63" spans="1:4" x14ac:dyDescent="0.25">
      <c r="A63" t="s">
        <v>163</v>
      </c>
      <c r="B63" t="s">
        <v>164</v>
      </c>
      <c r="C63" t="s">
        <v>64</v>
      </c>
      <c r="D63" s="3">
        <v>12.952</v>
      </c>
    </row>
    <row r="64" spans="1:4" x14ac:dyDescent="0.25">
      <c r="A64" t="s">
        <v>67</v>
      </c>
      <c r="B64" t="s">
        <v>83</v>
      </c>
      <c r="C64" t="s">
        <v>64</v>
      </c>
      <c r="D64" s="3">
        <v>13.92</v>
      </c>
    </row>
    <row r="65" spans="1:4" x14ac:dyDescent="0.25">
      <c r="A65" t="s">
        <v>204</v>
      </c>
      <c r="B65" t="s">
        <v>205</v>
      </c>
      <c r="C65" t="s">
        <v>64</v>
      </c>
      <c r="D65" s="3">
        <v>22.114000000000001</v>
      </c>
    </row>
    <row r="66" spans="1:4" x14ac:dyDescent="0.25">
      <c r="A66" t="s">
        <v>146</v>
      </c>
      <c r="B66" t="s">
        <v>147</v>
      </c>
      <c r="C66" t="s">
        <v>64</v>
      </c>
      <c r="D66" s="3">
        <v>23.483499999999999</v>
      </c>
    </row>
    <row r="67" spans="1:4" x14ac:dyDescent="0.25">
      <c r="A67" t="s">
        <v>105</v>
      </c>
      <c r="B67" t="s">
        <v>3</v>
      </c>
      <c r="C67" t="s">
        <v>62</v>
      </c>
      <c r="D67" s="3">
        <v>7.0000000000000007E-2</v>
      </c>
    </row>
    <row r="68" spans="1:4" x14ac:dyDescent="0.25">
      <c r="A68" t="s">
        <v>113</v>
      </c>
      <c r="B68" t="s">
        <v>112</v>
      </c>
      <c r="C68" t="s">
        <v>62</v>
      </c>
      <c r="D68" s="3">
        <v>0.08</v>
      </c>
    </row>
    <row r="69" spans="1:4" x14ac:dyDescent="0.25">
      <c r="A69" t="s">
        <v>53</v>
      </c>
      <c r="B69" t="s">
        <v>8</v>
      </c>
      <c r="C69" t="s">
        <v>62</v>
      </c>
      <c r="D69" s="3">
        <v>32</v>
      </c>
    </row>
    <row r="70" spans="1:4" x14ac:dyDescent="0.25">
      <c r="A70" t="s">
        <v>51</v>
      </c>
      <c r="B70" t="s">
        <v>26</v>
      </c>
      <c r="C70" t="s">
        <v>62</v>
      </c>
      <c r="D70" s="3">
        <v>17.838899999999999</v>
      </c>
    </row>
    <row r="71" spans="1:4" x14ac:dyDescent="0.25">
      <c r="A71" t="s">
        <v>124</v>
      </c>
      <c r="B71" t="s">
        <v>124</v>
      </c>
      <c r="C71" t="s">
        <v>125</v>
      </c>
      <c r="D71" s="3">
        <v>20</v>
      </c>
    </row>
    <row r="72" spans="1:4" x14ac:dyDescent="0.25">
      <c r="A72" t="s">
        <v>131</v>
      </c>
      <c r="B72" t="s">
        <v>132</v>
      </c>
      <c r="C72" t="s">
        <v>133</v>
      </c>
      <c r="D72" s="3">
        <v>33.33</v>
      </c>
    </row>
    <row r="73" spans="1:4" x14ac:dyDescent="0.25">
      <c r="A73" t="s">
        <v>136</v>
      </c>
      <c r="B73" t="s">
        <v>135</v>
      </c>
      <c r="C73" t="s">
        <v>64</v>
      </c>
      <c r="D73" s="3">
        <v>2.82</v>
      </c>
    </row>
    <row r="74" spans="1:4" x14ac:dyDescent="0.25">
      <c r="A74" t="s">
        <v>159</v>
      </c>
      <c r="B74" t="s">
        <v>160</v>
      </c>
      <c r="C74" t="s">
        <v>64</v>
      </c>
      <c r="D74" s="3">
        <v>3.9255000000000004</v>
      </c>
    </row>
  </sheetData>
  <conditionalFormatting sqref="B2:B74">
    <cfRule type="duplicateValues" dxfId="1" priority="11"/>
  </conditionalFormatting>
  <conditionalFormatting sqref="A2:A74">
    <cfRule type="duplicateValues" dxfId="0" priority="1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EE0F-AFCE-4F64-A5E6-10D7AD2B79B0}">
  <dimension ref="A1:B22"/>
  <sheetViews>
    <sheetView workbookViewId="0">
      <selection activeCell="B21" sqref="B21"/>
    </sheetView>
  </sheetViews>
  <sheetFormatPr defaultRowHeight="15" x14ac:dyDescent="0.25"/>
  <cols>
    <col min="1" max="1" width="62.85546875" customWidth="1"/>
  </cols>
  <sheetData>
    <row r="1" spans="1:2" x14ac:dyDescent="0.25">
      <c r="A1" s="10" t="s">
        <v>208</v>
      </c>
      <c r="B1" s="10">
        <v>1</v>
      </c>
    </row>
    <row r="3" spans="1:2" x14ac:dyDescent="0.25">
      <c r="A3" s="7" t="s">
        <v>167</v>
      </c>
    </row>
    <row r="4" spans="1:2" x14ac:dyDescent="0.25">
      <c r="A4" s="14" t="s">
        <v>209</v>
      </c>
    </row>
    <row r="5" spans="1:2" x14ac:dyDescent="0.25">
      <c r="A5" t="s">
        <v>168</v>
      </c>
    </row>
    <row r="6" spans="1:2" x14ac:dyDescent="0.25">
      <c r="A6" t="s">
        <v>169</v>
      </c>
    </row>
    <row r="7" spans="1:2" x14ac:dyDescent="0.25">
      <c r="A7" t="s">
        <v>173</v>
      </c>
    </row>
    <row r="8" spans="1:2" x14ac:dyDescent="0.25">
      <c r="A8" t="s">
        <v>170</v>
      </c>
    </row>
    <row r="9" spans="1:2" x14ac:dyDescent="0.25">
      <c r="A9" t="s">
        <v>183</v>
      </c>
    </row>
    <row r="10" spans="1:2" x14ac:dyDescent="0.25">
      <c r="A10" t="s">
        <v>171</v>
      </c>
    </row>
    <row r="11" spans="1:2" x14ac:dyDescent="0.25">
      <c r="A11" t="s">
        <v>172</v>
      </c>
    </row>
    <row r="12" spans="1:2" x14ac:dyDescent="0.25">
      <c r="A12" t="s">
        <v>174</v>
      </c>
    </row>
    <row r="14" spans="1:2" x14ac:dyDescent="0.25">
      <c r="A14" s="10" t="s">
        <v>175</v>
      </c>
    </row>
    <row r="15" spans="1:2" x14ac:dyDescent="0.25">
      <c r="A15" t="s">
        <v>176</v>
      </c>
      <c r="B15" t="s">
        <v>180</v>
      </c>
    </row>
    <row r="16" spans="1:2" x14ac:dyDescent="0.25">
      <c r="A16" s="10" t="s">
        <v>181</v>
      </c>
    </row>
    <row r="17" spans="1:2" x14ac:dyDescent="0.25">
      <c r="A17" t="s">
        <v>177</v>
      </c>
      <c r="B17" s="9" t="s">
        <v>182</v>
      </c>
    </row>
    <row r="18" spans="1:2" x14ac:dyDescent="0.25">
      <c r="A18" t="s">
        <v>178</v>
      </c>
      <c r="B18">
        <v>2</v>
      </c>
    </row>
    <row r="19" spans="1:2" x14ac:dyDescent="0.25">
      <c r="A19" t="s">
        <v>179</v>
      </c>
      <c r="B19">
        <v>1</v>
      </c>
    </row>
    <row r="21" spans="1:2" x14ac:dyDescent="0.25">
      <c r="A21" s="10" t="s">
        <v>185</v>
      </c>
      <c r="B21" s="7">
        <v>8</v>
      </c>
    </row>
    <row r="22" spans="1:2" x14ac:dyDescent="0.25">
      <c r="A22" s="10" t="s">
        <v>184</v>
      </c>
      <c r="B22" s="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8 x 8 Costing Report</vt:lpstr>
      <vt:lpstr>8 x 8 Costing Breakdown</vt:lpstr>
      <vt:lpstr>Item Cost Index</vt:lpstr>
      <vt:lpstr>Readme</vt:lpstr>
      <vt:lpstr>Height</vt:lpstr>
      <vt:lpstr>ItemLookup</vt:lpstr>
      <vt:lpstr>TEMPLATE_VERSION</vt:lpstr>
      <vt:lpstr>TotalBaseCost</vt:lpstr>
      <vt:lpstr>TotalExtraCost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ReidBallard</dc:creator>
  <cp:lastModifiedBy>BRD-AP</cp:lastModifiedBy>
  <cp:lastPrinted>2019-09-23T17:56:18Z</cp:lastPrinted>
  <dcterms:created xsi:type="dcterms:W3CDTF">2019-09-17T18:45:35Z</dcterms:created>
  <dcterms:modified xsi:type="dcterms:W3CDTF">2019-10-15T13:42:00Z</dcterms:modified>
</cp:coreProperties>
</file>