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andbox" sheetId="1" r:id="rId1"/>
    <sheet name="Test Results" sheetId="7" r:id="rId2"/>
    <sheet name="Costs Calculations" sheetId="4" r:id="rId3"/>
    <sheet name="Sheet3" sheetId="6" r:id="rId4"/>
    <sheet name="lookups" sheetId="2" r:id="rId5"/>
  </sheets>
  <definedNames>
    <definedName name="_xlnm._FilterDatabase" localSheetId="2" hidden="1">'Costs Calculations'!$A$30:$H$56</definedName>
    <definedName name="avgtens">Sandbox!$E$12</definedName>
    <definedName name="cyc">Sandbox!$H$8</definedName>
    <definedName name="cycrat">Sandbox!$G$12</definedName>
    <definedName name="ippt">Sandbox!$D$8</definedName>
    <definedName name="lift">Sandbox!$D$12</definedName>
    <definedName name="mp">Sandbox!$F$12</definedName>
    <definedName name="mp_base">Sandbox!$F$12</definedName>
    <definedName name="tt">Sandbox!$E$8</definedName>
    <definedName name="wd">Sandbox!$F$8</definedName>
  </definedNames>
  <calcPr calcId="125725" refMode="R1C1"/>
</workbook>
</file>

<file path=xl/calcChain.xml><?xml version="1.0" encoding="utf-8"?>
<calcChain xmlns="http://schemas.openxmlformats.org/spreadsheetml/2006/main">
  <c r="AA19" i="1"/>
  <c r="AA18"/>
  <c r="AA17"/>
  <c r="AA16"/>
  <c r="AA15"/>
  <c r="AA14"/>
  <c r="AA13"/>
  <c r="AA12"/>
  <c r="R12"/>
  <c r="T13" a="1"/>
  <c r="T13" s="1"/>
  <c r="Z14"/>
  <c r="Z15"/>
  <c r="Z16"/>
  <c r="Z17"/>
  <c r="Z18"/>
  <c r="Z19"/>
  <c r="V14"/>
  <c r="Y14" s="1"/>
  <c r="V15"/>
  <c r="Y15" s="1"/>
  <c r="V16"/>
  <c r="Y16" s="1"/>
  <c r="V17"/>
  <c r="Y17" s="1"/>
  <c r="V18"/>
  <c r="Y18" s="1"/>
  <c r="V19"/>
  <c r="Y19" s="1"/>
  <c r="X16"/>
  <c r="X17"/>
  <c r="X18"/>
  <c r="X19"/>
  <c r="W14"/>
  <c r="X14" s="1"/>
  <c r="W15"/>
  <c r="X15" s="1"/>
  <c r="W16"/>
  <c r="W17"/>
  <c r="W18"/>
  <c r="W19"/>
  <c r="T12" a="1"/>
  <c r="T12" s="1"/>
  <c r="O4" i="4"/>
  <c r="V7" i="7"/>
  <c r="V8"/>
  <c r="V9"/>
  <c r="V10"/>
  <c r="U6"/>
  <c r="V6" s="1"/>
  <c r="U7"/>
  <c r="U8"/>
  <c r="U9"/>
  <c r="U10"/>
  <c r="U5"/>
  <c r="V5" s="1"/>
  <c r="F47"/>
  <c r="F41"/>
  <c r="O35"/>
  <c r="F35"/>
  <c r="F29"/>
  <c r="F23"/>
  <c r="AA21" i="4"/>
  <c r="AB21"/>
  <c r="AB15"/>
  <c r="AB13"/>
  <c r="AC13" s="1"/>
  <c r="AB14"/>
  <c r="AC14" s="1"/>
  <c r="AB11"/>
  <c r="AC11" s="1"/>
  <c r="AB20"/>
  <c r="AC20" s="1"/>
  <c r="AB19"/>
  <c r="AC19" s="1"/>
  <c r="AB17"/>
  <c r="AC17" s="1"/>
  <c r="B67" i="6"/>
  <c r="C67"/>
  <c r="D67"/>
  <c r="E67"/>
  <c r="F67"/>
  <c r="G67"/>
  <c r="H67"/>
  <c r="I67"/>
  <c r="J67"/>
  <c r="K67"/>
  <c r="L67"/>
  <c r="M67"/>
  <c r="B68"/>
  <c r="C68"/>
  <c r="D68"/>
  <c r="E68"/>
  <c r="F68"/>
  <c r="G68"/>
  <c r="H68"/>
  <c r="I68"/>
  <c r="J68"/>
  <c r="K68"/>
  <c r="L68"/>
  <c r="M68"/>
  <c r="B69"/>
  <c r="C69"/>
  <c r="D69"/>
  <c r="E69"/>
  <c r="F69"/>
  <c r="G69"/>
  <c r="H69"/>
  <c r="I69"/>
  <c r="J69"/>
  <c r="K69"/>
  <c r="L69"/>
  <c r="M69"/>
  <c r="B70"/>
  <c r="C70"/>
  <c r="D70"/>
  <c r="E70"/>
  <c r="F70"/>
  <c r="G70"/>
  <c r="H70"/>
  <c r="I70"/>
  <c r="J70"/>
  <c r="K70"/>
  <c r="L70"/>
  <c r="M70"/>
  <c r="B71"/>
  <c r="C71"/>
  <c r="D71"/>
  <c r="E71"/>
  <c r="F71"/>
  <c r="G71"/>
  <c r="H71"/>
  <c r="I71"/>
  <c r="J71"/>
  <c r="K71"/>
  <c r="L71"/>
  <c r="M71"/>
  <c r="B72"/>
  <c r="C72"/>
  <c r="D72"/>
  <c r="E72"/>
  <c r="F72"/>
  <c r="G72"/>
  <c r="H72"/>
  <c r="I72"/>
  <c r="J72"/>
  <c r="K72"/>
  <c r="L72"/>
  <c r="M72"/>
  <c r="B73"/>
  <c r="C73"/>
  <c r="D73"/>
  <c r="E73"/>
  <c r="F73"/>
  <c r="G73"/>
  <c r="H73"/>
  <c r="I73"/>
  <c r="J73"/>
  <c r="K73"/>
  <c r="L73"/>
  <c r="M73"/>
  <c r="B74"/>
  <c r="C74"/>
  <c r="D74"/>
  <c r="E74"/>
  <c r="F74"/>
  <c r="G74"/>
  <c r="H74"/>
  <c r="I74"/>
  <c r="J74"/>
  <c r="K74"/>
  <c r="L74"/>
  <c r="M74"/>
  <c r="B75"/>
  <c r="C75"/>
  <c r="D75"/>
  <c r="E75"/>
  <c r="F75"/>
  <c r="G75"/>
  <c r="H75"/>
  <c r="I75"/>
  <c r="J75"/>
  <c r="K75"/>
  <c r="L75"/>
  <c r="M75"/>
  <c r="C66"/>
  <c r="D66"/>
  <c r="E66"/>
  <c r="F66"/>
  <c r="G66"/>
  <c r="H66"/>
  <c r="I66"/>
  <c r="J66"/>
  <c r="K66"/>
  <c r="L66"/>
  <c r="M66"/>
  <c r="B66"/>
  <c r="V22" i="4"/>
  <c r="W22"/>
  <c r="U22"/>
  <c r="S23"/>
  <c r="S24"/>
  <c r="S25"/>
  <c r="S26"/>
  <c r="S27"/>
  <c r="S28"/>
  <c r="S29"/>
  <c r="S30"/>
  <c r="S31"/>
  <c r="S32"/>
  <c r="O23"/>
  <c r="O24"/>
  <c r="O25"/>
  <c r="O26"/>
  <c r="O27"/>
  <c r="O28"/>
  <c r="O29"/>
  <c r="O30"/>
  <c r="O31"/>
  <c r="O32"/>
  <c r="W12"/>
  <c r="V12"/>
  <c r="W11"/>
  <c r="V11"/>
  <c r="V13" s="1"/>
  <c r="P12"/>
  <c r="Q12"/>
  <c r="P13"/>
  <c r="Q13"/>
  <c r="P14"/>
  <c r="Q14"/>
  <c r="P15"/>
  <c r="Q15"/>
  <c r="P16"/>
  <c r="Q16"/>
  <c r="P17"/>
  <c r="Q17"/>
  <c r="P18"/>
  <c r="Q18"/>
  <c r="P19"/>
  <c r="Q19"/>
  <c r="P20"/>
  <c r="Q20"/>
  <c r="P11"/>
  <c r="Q11"/>
  <c r="W13"/>
  <c r="U13"/>
  <c r="L12"/>
  <c r="L13"/>
  <c r="L14"/>
  <c r="L15"/>
  <c r="L16"/>
  <c r="L17"/>
  <c r="L18"/>
  <c r="L19"/>
  <c r="L11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3"/>
  <c r="D32"/>
  <c r="A32" s="1"/>
  <c r="G32"/>
  <c r="D34"/>
  <c r="A34" s="1"/>
  <c r="G34"/>
  <c r="D35"/>
  <c r="A35" s="1"/>
  <c r="G35"/>
  <c r="D37"/>
  <c r="G37"/>
  <c r="D44"/>
  <c r="G44"/>
  <c r="G33"/>
  <c r="G36"/>
  <c r="G38"/>
  <c r="G39"/>
  <c r="G40"/>
  <c r="G41"/>
  <c r="G42"/>
  <c r="G43"/>
  <c r="G45"/>
  <c r="G46"/>
  <c r="G47"/>
  <c r="G48"/>
  <c r="G49"/>
  <c r="G50"/>
  <c r="G51"/>
  <c r="G52"/>
  <c r="G53"/>
  <c r="G54"/>
  <c r="G55"/>
  <c r="G56"/>
  <c r="G31"/>
  <c r="D42"/>
  <c r="D43"/>
  <c r="D45"/>
  <c r="D46"/>
  <c r="D47"/>
  <c r="D51"/>
  <c r="D54"/>
  <c r="D49"/>
  <c r="D33"/>
  <c r="A33" s="1"/>
  <c r="D36"/>
  <c r="D38"/>
  <c r="A38" s="1"/>
  <c r="D39"/>
  <c r="D40"/>
  <c r="A40" s="1"/>
  <c r="D41"/>
  <c r="D48"/>
  <c r="D50"/>
  <c r="D52"/>
  <c r="D53"/>
  <c r="D55"/>
  <c r="D56"/>
  <c r="D31"/>
  <c r="A31" s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3"/>
  <c r="N4"/>
  <c r="E25"/>
  <c r="F25" s="1"/>
  <c r="E21"/>
  <c r="F21" s="1"/>
  <c r="E22"/>
  <c r="F22" s="1"/>
  <c r="E12"/>
  <c r="F12" s="1"/>
  <c r="E24"/>
  <c r="E26"/>
  <c r="E28"/>
  <c r="E11"/>
  <c r="F11" s="1"/>
  <c r="F28"/>
  <c r="F26"/>
  <c r="F24"/>
  <c r="E14"/>
  <c r="F14" s="1"/>
  <c r="S4"/>
  <c r="E15"/>
  <c r="E3"/>
  <c r="F3" s="1"/>
  <c r="H3" s="1"/>
  <c r="F15"/>
  <c r="E8"/>
  <c r="F8" s="1"/>
  <c r="E17"/>
  <c r="F17" s="1"/>
  <c r="E20"/>
  <c r="F20" s="1"/>
  <c r="E10"/>
  <c r="F10" s="1"/>
  <c r="E27"/>
  <c r="F27" s="1"/>
  <c r="E5"/>
  <c r="F5" s="1"/>
  <c r="E6"/>
  <c r="F6" s="1"/>
  <c r="E7"/>
  <c r="F7" s="1"/>
  <c r="E9"/>
  <c r="F9" s="1"/>
  <c r="E13"/>
  <c r="F13" s="1"/>
  <c r="E16"/>
  <c r="F16" s="1"/>
  <c r="E18"/>
  <c r="F18" s="1"/>
  <c r="E19"/>
  <c r="F19" s="1"/>
  <c r="E23"/>
  <c r="F23" s="1"/>
  <c r="E4"/>
  <c r="F4" s="1"/>
  <c r="G22" i="1"/>
  <c r="H22" s="1"/>
  <c r="I22" s="1"/>
  <c r="D16"/>
  <c r="G16" s="1"/>
  <c r="D2" i="2"/>
  <c r="D3"/>
  <c r="D4"/>
  <c r="D5"/>
  <c r="D6"/>
  <c r="D7"/>
  <c r="D8"/>
  <c r="D9"/>
  <c r="D10"/>
  <c r="D11"/>
  <c r="G17" i="1"/>
  <c r="G18"/>
  <c r="H18" s="1"/>
  <c r="I18" s="1"/>
  <c r="G19"/>
  <c r="H19" s="1"/>
  <c r="I19" s="1"/>
  <c r="G20"/>
  <c r="G21"/>
  <c r="H21" s="1"/>
  <c r="I21" s="1"/>
  <c r="G26"/>
  <c r="I26" s="1"/>
  <c r="H26" s="1"/>
  <c r="G27"/>
  <c r="I27" s="1"/>
  <c r="G28"/>
  <c r="I28" s="1"/>
  <c r="H28" s="1"/>
  <c r="G29"/>
  <c r="I29" s="1"/>
  <c r="H29" s="1"/>
  <c r="H12"/>
  <c r="G12"/>
  <c r="G8" s="1" a="1"/>
  <c r="G8" s="1"/>
  <c r="E12"/>
  <c r="D12"/>
  <c r="C16" s="1"/>
  <c r="F12"/>
  <c r="C12"/>
  <c r="Z13" l="1"/>
  <c r="W13"/>
  <c r="R63" i="6"/>
  <c r="T63"/>
  <c r="W12" i="1"/>
  <c r="X12"/>
  <c r="S12" s="1"/>
  <c r="Z12"/>
  <c r="U11" i="7"/>
  <c r="V11" s="1"/>
  <c r="AC15" i="4"/>
  <c r="AC21"/>
  <c r="A55"/>
  <c r="A52"/>
  <c r="A48"/>
  <c r="A54"/>
  <c r="A47"/>
  <c r="A45"/>
  <c r="A42"/>
  <c r="A56"/>
  <c r="A53"/>
  <c r="A50"/>
  <c r="A41"/>
  <c r="A39"/>
  <c r="A36"/>
  <c r="A49"/>
  <c r="A51"/>
  <c r="A46"/>
  <c r="A43"/>
  <c r="A44"/>
  <c r="A37"/>
  <c r="R20"/>
  <c r="S20" s="1"/>
  <c r="R18"/>
  <c r="S18" s="1"/>
  <c r="R16"/>
  <c r="S16" s="1"/>
  <c r="R14"/>
  <c r="S14" s="1"/>
  <c r="R12"/>
  <c r="S12" s="1"/>
  <c r="R11"/>
  <c r="S11" s="1"/>
  <c r="R19"/>
  <c r="S19" s="1"/>
  <c r="R17"/>
  <c r="S17" s="1"/>
  <c r="R15"/>
  <c r="S15" s="1"/>
  <c r="R13"/>
  <c r="S13" s="1"/>
  <c r="H5"/>
  <c r="H23"/>
  <c r="H15"/>
  <c r="H21"/>
  <c r="H4"/>
  <c r="H22"/>
  <c r="H6"/>
  <c r="H24"/>
  <c r="H14"/>
  <c r="H11"/>
  <c r="H26"/>
  <c r="H28"/>
  <c r="H7"/>
  <c r="H19"/>
  <c r="H13"/>
  <c r="H9"/>
  <c r="H25"/>
  <c r="H20"/>
  <c r="H17"/>
  <c r="H27"/>
  <c r="H18"/>
  <c r="H16"/>
  <c r="H12"/>
  <c r="H10"/>
  <c r="H8"/>
  <c r="F27" i="1"/>
  <c r="J27" s="1"/>
  <c r="F28"/>
  <c r="J28" s="1"/>
  <c r="F29"/>
  <c r="J29" s="1"/>
  <c r="H27"/>
  <c r="F26"/>
  <c r="J26" s="1"/>
  <c r="H20"/>
  <c r="I20" s="1"/>
  <c r="H17"/>
  <c r="I17" s="1"/>
  <c r="F17"/>
  <c r="J17" s="1"/>
  <c r="I12"/>
  <c r="F22"/>
  <c r="J22" s="1"/>
  <c r="F20"/>
  <c r="J20" s="1"/>
  <c r="F18"/>
  <c r="J18" s="1"/>
  <c r="F21"/>
  <c r="J21" s="1"/>
  <c r="F19"/>
  <c r="J19" s="1"/>
  <c r="F16"/>
  <c r="J16" s="1"/>
  <c r="H16"/>
  <c r="I16" s="1"/>
  <c r="S67" i="6" l="1"/>
  <c r="V12" i="1"/>
  <c r="R13" s="1"/>
  <c r="Y66" i="6"/>
  <c r="U66"/>
  <c r="Q66"/>
  <c r="X75"/>
  <c r="T75"/>
  <c r="P75"/>
  <c r="X74"/>
  <c r="T74"/>
  <c r="P74"/>
  <c r="X73"/>
  <c r="T73"/>
  <c r="P73"/>
  <c r="X72"/>
  <c r="T72"/>
  <c r="P72"/>
  <c r="X71"/>
  <c r="T71"/>
  <c r="P71"/>
  <c r="X70"/>
  <c r="T70"/>
  <c r="P70"/>
  <c r="X69"/>
  <c r="T69"/>
  <c r="P69"/>
  <c r="X68"/>
  <c r="T68"/>
  <c r="P68"/>
  <c r="X67"/>
  <c r="T67"/>
  <c r="P67"/>
  <c r="Z66"/>
  <c r="V66"/>
  <c r="R66"/>
  <c r="Y75"/>
  <c r="U75"/>
  <c r="Q75"/>
  <c r="Y74"/>
  <c r="U74"/>
  <c r="Q74"/>
  <c r="Y73"/>
  <c r="U73"/>
  <c r="Q73"/>
  <c r="Y72"/>
  <c r="U72"/>
  <c r="Q72"/>
  <c r="Y71"/>
  <c r="U71"/>
  <c r="Q71"/>
  <c r="Y70"/>
  <c r="U70"/>
  <c r="Q70"/>
  <c r="Y69"/>
  <c r="U69"/>
  <c r="Q69"/>
  <c r="Y68"/>
  <c r="U68"/>
  <c r="Q68"/>
  <c r="Y67"/>
  <c r="U67"/>
  <c r="Q67"/>
  <c r="AA66"/>
  <c r="W66"/>
  <c r="S66"/>
  <c r="Z75"/>
  <c r="V75"/>
  <c r="R75"/>
  <c r="Z74"/>
  <c r="V74"/>
  <c r="R74"/>
  <c r="Z73"/>
  <c r="V73"/>
  <c r="R73"/>
  <c r="Z72"/>
  <c r="V72"/>
  <c r="R72"/>
  <c r="Z71"/>
  <c r="V71"/>
  <c r="R71"/>
  <c r="Z70"/>
  <c r="V70"/>
  <c r="R70"/>
  <c r="Z69"/>
  <c r="V69"/>
  <c r="R69"/>
  <c r="Z68"/>
  <c r="V68"/>
  <c r="R68"/>
  <c r="Z67"/>
  <c r="V67"/>
  <c r="R67"/>
  <c r="P66"/>
  <c r="X66"/>
  <c r="T66"/>
  <c r="AA75"/>
  <c r="W75"/>
  <c r="S75"/>
  <c r="AA74"/>
  <c r="W74"/>
  <c r="S74"/>
  <c r="AA73"/>
  <c r="W73"/>
  <c r="S73"/>
  <c r="AA72"/>
  <c r="W72"/>
  <c r="S72"/>
  <c r="AA71"/>
  <c r="W71"/>
  <c r="S71"/>
  <c r="AA70"/>
  <c r="W70"/>
  <c r="S70"/>
  <c r="AA69"/>
  <c r="W69"/>
  <c r="S69"/>
  <c r="AA68"/>
  <c r="W68"/>
  <c r="S68"/>
  <c r="AA67"/>
  <c r="W67"/>
  <c r="Y12" i="1" l="1"/>
  <c r="V13" l="1"/>
  <c r="Y13" s="1"/>
  <c r="X13"/>
  <c r="S13" s="1"/>
</calcChain>
</file>

<file path=xl/sharedStrings.xml><?xml version="1.0" encoding="utf-8"?>
<sst xmlns="http://schemas.openxmlformats.org/spreadsheetml/2006/main" count="247" uniqueCount="112">
  <si>
    <t>diameter</t>
  </si>
  <si>
    <t>lift</t>
  </si>
  <si>
    <t>MP_base</t>
  </si>
  <si>
    <t>Torque Required</t>
  </si>
  <si>
    <t>Total Turns</t>
  </si>
  <si>
    <t>Recommended</t>
  </si>
  <si>
    <t>Length Uncoiled</t>
  </si>
  <si>
    <t>Max Turns</t>
  </si>
  <si>
    <t>Baseline Stats</t>
  </si>
  <si>
    <t>Wire Index</t>
  </si>
  <si>
    <t>MP Base</t>
  </si>
  <si>
    <t>Torque</t>
  </si>
  <si>
    <t>Cycles</t>
  </si>
  <si>
    <t>cycles</t>
  </si>
  <si>
    <t>ratio</t>
  </si>
  <si>
    <t>Cycle Ratio</t>
  </si>
  <si>
    <t>Baseline Settings</t>
  </si>
  <si>
    <t>Sandbox Stats</t>
  </si>
  <si>
    <t>OD</t>
  </si>
  <si>
    <t>Stretch</t>
  </si>
  <si>
    <t>Coil Length</t>
  </si>
  <si>
    <t>od</t>
  </si>
  <si>
    <t>Coils</t>
  </si>
  <si>
    <t>avg tensile</t>
  </si>
  <si>
    <t>average tensile</t>
  </si>
  <si>
    <t>SP</t>
  </si>
  <si>
    <t>Uncoiled</t>
  </si>
  <si>
    <t>Dia</t>
  </si>
  <si>
    <t>Length Mod</t>
  </si>
  <si>
    <t>8x8</t>
  </si>
  <si>
    <t>9x9</t>
  </si>
  <si>
    <t>Sp</t>
  </si>
  <si>
    <t>10x10</t>
  </si>
  <si>
    <t>11x11</t>
  </si>
  <si>
    <t>Length</t>
  </si>
  <si>
    <t>12x12</t>
  </si>
  <si>
    <t>Sp- Spring 1</t>
  </si>
  <si>
    <t>Sp- Spring 2</t>
  </si>
  <si>
    <t>Coiled Length</t>
  </si>
  <si>
    <t>Sandbox Settings by Coiled Length</t>
  </si>
  <si>
    <t>13 x 13</t>
  </si>
  <si>
    <t>14x14</t>
  </si>
  <si>
    <t>N/A</t>
  </si>
  <si>
    <t>14x15</t>
  </si>
  <si>
    <t>min_od</t>
  </si>
  <si>
    <t>16x15</t>
  </si>
  <si>
    <t>Sandbox Settings by Uncoiled Length</t>
  </si>
  <si>
    <t>15x15</t>
  </si>
  <si>
    <t>Single</t>
  </si>
  <si>
    <t>Double</t>
  </si>
  <si>
    <t>WD</t>
  </si>
  <si>
    <t>Cost</t>
  </si>
  <si>
    <t>Cost/Foot</t>
  </si>
  <si>
    <t>Linear Foot</t>
  </si>
  <si>
    <t>Cost/Linear Foot</t>
  </si>
  <si>
    <t>Spring</t>
  </si>
  <si>
    <t>Cost/Foot-Coiled Calculator</t>
  </si>
  <si>
    <t>Tails</t>
  </si>
  <si>
    <t>Total Cost</t>
  </si>
  <si>
    <t>ID</t>
  </si>
  <si>
    <t>OD Calculator</t>
  </si>
  <si>
    <t>Volume</t>
  </si>
  <si>
    <t>Volume/Foot</t>
  </si>
  <si>
    <t>Cost/Cubic Foot</t>
  </si>
  <si>
    <t>$/Linear Foot</t>
  </si>
  <si>
    <t>$/Cubic Foot</t>
  </si>
  <si>
    <t>Norm V/F</t>
  </si>
  <si>
    <t>Not Updated</t>
  </si>
  <si>
    <t>Wire</t>
  </si>
  <si>
    <t>Lift/$</t>
  </si>
  <si>
    <t>Inventory Cost</t>
  </si>
  <si>
    <t>Diameter</t>
  </si>
  <si>
    <t>Lift @ 1 inch</t>
  </si>
  <si>
    <t>Volume/Inch</t>
  </si>
  <si>
    <t>^ This difference is because ^
Radius Squared (.3^2 = .09)?</t>
  </si>
  <si>
    <t>^                      ^ This might mean
that lift is related to volume (.09^2 = .0081)?</t>
  </si>
  <si>
    <t>Lift @ 1inch</t>
  </si>
  <si>
    <t>Volume @ 1 inch</t>
  </si>
  <si>
    <t>Lift/Volume</t>
  </si>
  <si>
    <r>
      <t>9E+06x</t>
    </r>
    <r>
      <rPr>
        <b/>
        <vertAlign val="superscript"/>
        <sz val="11"/>
        <color theme="1"/>
        <rFont val="Calibri"/>
        <family val="2"/>
        <scheme val="minor"/>
      </rPr>
      <t>3.9999</t>
    </r>
  </si>
  <si>
    <r>
      <t>1E+07x</t>
    </r>
    <r>
      <rPr>
        <b/>
        <vertAlign val="superscript"/>
        <sz val="11"/>
        <color theme="1"/>
        <rFont val="Calibri"/>
        <family val="2"/>
        <scheme val="minor"/>
      </rPr>
      <t>1.9999</t>
    </r>
  </si>
  <si>
    <t>This pair follows the same rules noted above</t>
  </si>
  <si>
    <t>Uncoiled Length</t>
  </si>
  <si>
    <t>Full Max Turns</t>
  </si>
  <si>
    <t>max</t>
  </si>
  <si>
    <t>min</t>
  </si>
  <si>
    <t>-----</t>
  </si>
  <si>
    <t>4 Pipe</t>
  </si>
  <si>
    <t>$/Ft</t>
  </si>
  <si>
    <t>6 Pipe</t>
  </si>
  <si>
    <t>1-1/4 Round</t>
  </si>
  <si>
    <t>1-1/2 Round</t>
  </si>
  <si>
    <t>Suggestion</t>
  </si>
  <si>
    <t>Single Spring Calculator</t>
  </si>
  <si>
    <t>SS Recommend</t>
  </si>
  <si>
    <t>Wire Diameter</t>
  </si>
  <si>
    <t>Spring Settings</t>
  </si>
  <si>
    <t>Spring Costs Calculator</t>
  </si>
  <si>
    <t>Spring1</t>
  </si>
  <si>
    <t>Spring2</t>
  </si>
  <si>
    <t>Spring3</t>
  </si>
  <si>
    <t>Spring4</t>
  </si>
  <si>
    <t>Spring5</t>
  </si>
  <si>
    <t>Spring6</t>
  </si>
  <si>
    <t>Uncoil Len.</t>
  </si>
  <si>
    <t>Approx. Cost</t>
  </si>
  <si>
    <t>Total</t>
  </si>
  <si>
    <t>Pipe Size</t>
  </si>
  <si>
    <t>pipesize</t>
  </si>
  <si>
    <t>Spring Stats</t>
  </si>
  <si>
    <t>AutoLinked</t>
  </si>
  <si>
    <t>Less Torque</t>
  </si>
</sst>
</file>

<file path=xl/styles.xml><?xml version="1.0" encoding="utf-8"?>
<styleSheet xmlns="http://schemas.openxmlformats.org/spreadsheetml/2006/main">
  <numFmts count="2">
    <numFmt numFmtId="164" formatCode="0.000000000000"/>
    <numFmt numFmtId="165" formatCode="&quot;$&quot;#,##0.00"/>
  </numFmts>
  <fonts count="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7F7F7F"/>
      </left>
      <right style="thin">
        <color rgb="FF7F7F7F"/>
      </right>
      <top style="medium">
        <color rgb="FF7F7F7F"/>
      </top>
      <bottom/>
      <diagonal/>
    </border>
    <border>
      <left style="thin">
        <color rgb="FF7F7F7F"/>
      </left>
      <right style="thin">
        <color rgb="FF7F7F7F"/>
      </right>
      <top style="medium">
        <color rgb="FF7F7F7F"/>
      </top>
      <bottom/>
      <diagonal/>
    </border>
    <border>
      <left style="thin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thin">
        <color rgb="FF7F7F7F"/>
      </right>
      <top/>
      <bottom style="medium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rgb="FF7F7F7F"/>
      </bottom>
      <diagonal/>
    </border>
    <border>
      <left style="thin">
        <color rgb="FF7F7F7F"/>
      </left>
      <right style="medium">
        <color rgb="FF7F7F7F"/>
      </right>
      <top/>
      <bottom style="medium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3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1" fillId="2" borderId="2" xfId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0" xfId="0" applyFill="1"/>
    <xf numFmtId="164" fontId="0" fillId="5" borderId="3" xfId="0" applyNumberFormat="1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 applyBorder="1"/>
    <xf numFmtId="0" fontId="0" fillId="0" borderId="0" xfId="0" quotePrefix="1"/>
    <xf numFmtId="2" fontId="0" fillId="0" borderId="0" xfId="0" applyNumberFormat="1"/>
    <xf numFmtId="10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0" fillId="0" borderId="0" xfId="0" applyFill="1" applyBorder="1"/>
    <xf numFmtId="0" fontId="5" fillId="0" borderId="0" xfId="0" applyFont="1" applyBorder="1"/>
    <xf numFmtId="0" fontId="3" fillId="0" borderId="0" xfId="0" applyFont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0" borderId="0" xfId="0" applyFont="1" applyBorder="1" applyAlignment="1">
      <alignment horizontal="center"/>
    </xf>
    <xf numFmtId="0" fontId="1" fillId="2" borderId="1" xfId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20" xfId="0" applyFill="1" applyBorder="1"/>
    <xf numFmtId="0" fontId="1" fillId="2" borderId="18" xfId="1" applyBorder="1"/>
    <xf numFmtId="0" fontId="1" fillId="2" borderId="19" xfId="1" applyBorder="1"/>
    <xf numFmtId="0" fontId="1" fillId="2" borderId="20" xfId="1" applyBorder="1"/>
    <xf numFmtId="165" fontId="0" fillId="0" borderId="0" xfId="0" applyNumberFormat="1"/>
    <xf numFmtId="0" fontId="8" fillId="0" borderId="0" xfId="0" applyFont="1"/>
    <xf numFmtId="0" fontId="0" fillId="4" borderId="21" xfId="0" applyFill="1" applyBorder="1"/>
    <xf numFmtId="0" fontId="5" fillId="0" borderId="0" xfId="0" applyFont="1" applyFill="1" applyBorder="1" applyAlignment="1">
      <alignment horizontal="center"/>
    </xf>
    <xf numFmtId="0" fontId="0" fillId="3" borderId="23" xfId="0" applyFill="1" applyBorder="1"/>
    <xf numFmtId="0" fontId="0" fillId="3" borderId="24" xfId="0" applyFill="1" applyBorder="1"/>
    <xf numFmtId="0" fontId="0" fillId="3" borderId="22" xfId="0" applyFont="1" applyFill="1" applyBorder="1" applyAlignment="1"/>
    <xf numFmtId="0" fontId="2" fillId="0" borderId="0" xfId="0" applyFont="1" applyBorder="1" applyAlignment="1"/>
    <xf numFmtId="0" fontId="7" fillId="0" borderId="0" xfId="0" applyFont="1" applyBorder="1" applyAlignment="1"/>
    <xf numFmtId="0" fontId="7" fillId="0" borderId="11" xfId="0" applyFont="1" applyBorder="1" applyAlignment="1"/>
    <xf numFmtId="0" fontId="0" fillId="3" borderId="25" xfId="0" applyFill="1" applyBorder="1"/>
    <xf numFmtId="0" fontId="0" fillId="3" borderId="26" xfId="0" applyFill="1" applyBorder="1"/>
    <xf numFmtId="0" fontId="0" fillId="4" borderId="27" xfId="0" applyFill="1" applyBorder="1"/>
    <xf numFmtId="0" fontId="1" fillId="2" borderId="28" xfId="1" applyBorder="1"/>
    <xf numFmtId="0" fontId="0" fillId="4" borderId="29" xfId="0" applyFill="1" applyBorder="1"/>
    <xf numFmtId="0" fontId="0" fillId="4" borderId="30" xfId="0" applyFill="1" applyBorder="1"/>
    <xf numFmtId="0" fontId="1" fillId="2" borderId="31" xfId="1" applyBorder="1"/>
    <xf numFmtId="0" fontId="0" fillId="4" borderId="32" xfId="0" applyFill="1" applyBorder="1"/>
  </cellXfs>
  <cellStyles count="2">
    <cellStyle name="Input" xfId="1" builtinId="20"/>
    <cellStyle name="Normal" xfId="0" builtinId="0"/>
  </cellStyles>
  <dxfs count="5">
    <dxf>
      <fill>
        <patternFill>
          <bgColor rgb="FFFF8D8D"/>
        </patternFill>
      </fill>
    </dxf>
    <dxf>
      <font>
        <color auto="1"/>
      </font>
      <fill>
        <patternFill>
          <bgColor rgb="FFFF8D8D"/>
        </patternFill>
      </fill>
    </dxf>
    <dxf>
      <fill>
        <patternFill>
          <bgColor rgb="FFFF6565"/>
        </patternFill>
      </fill>
    </dxf>
    <dxf>
      <fill>
        <patternFill>
          <bgColor rgb="FFFF6565"/>
        </patternFill>
      </fill>
    </dxf>
    <dxf>
      <numFmt numFmtId="0" formatCode="General"/>
    </dxf>
  </dxfs>
  <tableStyles count="0" defaultTableStyle="TableStyleMedium9" defaultPivotStyle="PivotStyleLight16"/>
  <colors>
    <mruColors>
      <color rgb="FFAAAAAA"/>
      <color rgb="FFFFFF99"/>
      <color rgb="FFFF8D8D"/>
      <color rgb="FFFF7C5D"/>
      <color rgb="FFFF4747"/>
      <color rgb="FFFF6565"/>
      <color rgb="FF7F7F7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'Costs Calculations'!$E$30</c:f>
              <c:strCache>
                <c:ptCount val="1"/>
                <c:pt idx="0">
                  <c:v>$/Linear Foot</c:v>
                </c:pt>
              </c:strCache>
            </c:strRef>
          </c:tx>
          <c:xVal>
            <c:strRef>
              <c:f>'Costs Calculations'!$D$31:$D$56</c:f>
              <c:strCache>
                <c:ptCount val="18"/>
                <c:pt idx="0">
                  <c:v>0.2187 WD X 2.5 OD</c:v>
                </c:pt>
                <c:pt idx="1">
                  <c:v>0.283 WD X 2.75 OD</c:v>
                </c:pt>
                <c:pt idx="2">
                  <c:v>0.3125 WD X 3.5 OD</c:v>
                </c:pt>
                <c:pt idx="3">
                  <c:v>0.375 WD X 4.5 OD</c:v>
                </c:pt>
                <c:pt idx="4">
                  <c:v>0.3938 WD X 3.625 OD</c:v>
                </c:pt>
                <c:pt idx="5">
                  <c:v>0.3938 WD X 4.25 OD</c:v>
                </c:pt>
                <c:pt idx="6">
                  <c:v>0.406 WD X 3.75 OD</c:v>
                </c:pt>
                <c:pt idx="7">
                  <c:v>0.4218 WD X 3.7186 OD</c:v>
                </c:pt>
                <c:pt idx="8">
                  <c:v>0.43 WD X 3.75 OD</c:v>
                </c:pt>
                <c:pt idx="9">
                  <c:v>0.453 WD X 5.75 OD</c:v>
                </c:pt>
                <c:pt idx="10">
                  <c:v>0.468 WD X 5.875 OD</c:v>
                </c:pt>
                <c:pt idx="11">
                  <c:v>0.46875 WD X 3.75 OD</c:v>
                </c:pt>
                <c:pt idx="12">
                  <c:v>0.49 WD X 3.825 OD</c:v>
                </c:pt>
                <c:pt idx="13">
                  <c:v>0.531 WD X 5.625 OD</c:v>
                </c:pt>
                <c:pt idx="14">
                  <c:v>0.56 WD X 7.390625 OD</c:v>
                </c:pt>
                <c:pt idx="15">
                  <c:v>0.562 WD X 7.375 OD</c:v>
                </c:pt>
                <c:pt idx="16">
                  <c:v>0.625 WD X 7.375 OD</c:v>
                </c:pt>
                <c:pt idx="17">
                  <c:v>0.625 WD X 7.5 OD</c:v>
                </c:pt>
              </c:strCache>
            </c:strRef>
          </c:xVal>
          <c:yVal>
            <c:numRef>
              <c:f>'Costs Calculations'!$E$31:$E$56</c:f>
              <c:numCache>
                <c:formatCode>General</c:formatCode>
                <c:ptCount val="18"/>
                <c:pt idx="0">
                  <c:v>1.7579102995817171E-2</c:v>
                </c:pt>
                <c:pt idx="1">
                  <c:v>3.6621871836328319E-2</c:v>
                </c:pt>
                <c:pt idx="2">
                  <c:v>3.2670992593418123E-2</c:v>
                </c:pt>
                <c:pt idx="3">
                  <c:v>4.5104990580870842E-2</c:v>
                </c:pt>
                <c:pt idx="4">
                  <c:v>5.6010816179049502E-2</c:v>
                </c:pt>
                <c:pt idx="5">
                  <c:v>5.760697592104394E-2</c:v>
                </c:pt>
                <c:pt idx="6">
                  <c:v>5.7805746044620646E-2</c:v>
                </c:pt>
                <c:pt idx="7">
                  <c:v>4.9560897638357061E-2</c:v>
                </c:pt>
                <c:pt idx="8">
                  <c:v>7.6824461485097389E-2</c:v>
                </c:pt>
                <c:pt idx="9">
                  <c:v>8.3704302833539967E-2</c:v>
                </c:pt>
                <c:pt idx="10">
                  <c:v>9.0460043263755313E-2</c:v>
                </c:pt>
                <c:pt idx="11">
                  <c:v>8.9910195352673486E-2</c:v>
                </c:pt>
                <c:pt idx="12">
                  <c:v>9.988588542600553E-2</c:v>
                </c:pt>
                <c:pt idx="13">
                  <c:v>0.1005952281761525</c:v>
                </c:pt>
                <c:pt idx="14">
                  <c:v>0.13724345834648555</c:v>
                </c:pt>
                <c:pt idx="15">
                  <c:v>8.3781575820460683E-2</c:v>
                </c:pt>
                <c:pt idx="16">
                  <c:v>0.1377055372733193</c:v>
                </c:pt>
                <c:pt idx="17">
                  <c:v>0.11975060160115426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'Costs Calculations'!$F$30</c:f>
              <c:strCache>
                <c:ptCount val="1"/>
                <c:pt idx="0">
                  <c:v>$/Cubic Foot</c:v>
                </c:pt>
              </c:strCache>
            </c:strRef>
          </c:tx>
          <c:trendline>
            <c:spPr>
              <a:ln w="28575">
                <a:solidFill>
                  <a:srgbClr val="FF7C5D"/>
                </a:solidFill>
              </a:ln>
            </c:spPr>
            <c:trendlineType val="linear"/>
          </c:trendline>
          <c:xVal>
            <c:strRef>
              <c:f>'Costs Calculations'!$D$31:$D$56</c:f>
              <c:strCache>
                <c:ptCount val="18"/>
                <c:pt idx="0">
                  <c:v>0.2187 WD X 2.5 OD</c:v>
                </c:pt>
                <c:pt idx="1">
                  <c:v>0.283 WD X 2.75 OD</c:v>
                </c:pt>
                <c:pt idx="2">
                  <c:v>0.3125 WD X 3.5 OD</c:v>
                </c:pt>
                <c:pt idx="3">
                  <c:v>0.375 WD X 4.5 OD</c:v>
                </c:pt>
                <c:pt idx="4">
                  <c:v>0.3938 WD X 3.625 OD</c:v>
                </c:pt>
                <c:pt idx="5">
                  <c:v>0.3938 WD X 4.25 OD</c:v>
                </c:pt>
                <c:pt idx="6">
                  <c:v>0.406 WD X 3.75 OD</c:v>
                </c:pt>
                <c:pt idx="7">
                  <c:v>0.4218 WD X 3.7186 OD</c:v>
                </c:pt>
                <c:pt idx="8">
                  <c:v>0.43 WD X 3.75 OD</c:v>
                </c:pt>
                <c:pt idx="9">
                  <c:v>0.453 WD X 5.75 OD</c:v>
                </c:pt>
                <c:pt idx="10">
                  <c:v>0.468 WD X 5.875 OD</c:v>
                </c:pt>
                <c:pt idx="11">
                  <c:v>0.46875 WD X 3.75 OD</c:v>
                </c:pt>
                <c:pt idx="12">
                  <c:v>0.49 WD X 3.825 OD</c:v>
                </c:pt>
                <c:pt idx="13">
                  <c:v>0.531 WD X 5.625 OD</c:v>
                </c:pt>
                <c:pt idx="14">
                  <c:v>0.56 WD X 7.390625 OD</c:v>
                </c:pt>
                <c:pt idx="15">
                  <c:v>0.562 WD X 7.375 OD</c:v>
                </c:pt>
                <c:pt idx="16">
                  <c:v>0.625 WD X 7.375 OD</c:v>
                </c:pt>
                <c:pt idx="17">
                  <c:v>0.625 WD X 7.5 OD</c:v>
                </c:pt>
              </c:strCache>
            </c:strRef>
          </c:xVal>
          <c:yVal>
            <c:numRef>
              <c:f>'Costs Calculations'!$F$31:$F$56</c:f>
              <c:numCache>
                <c:formatCode>General</c:formatCode>
                <c:ptCount val="18"/>
                <c:pt idx="0">
                  <c:v>3.8996714340762663E-2</c:v>
                </c:pt>
                <c:pt idx="1">
                  <c:v>4.851729058114114E-2</c:v>
                </c:pt>
                <c:pt idx="2">
                  <c:v>3.5496959774455099E-2</c:v>
                </c:pt>
                <c:pt idx="3">
                  <c:v>3.4032271213316617E-2</c:v>
                </c:pt>
                <c:pt idx="4">
                  <c:v>3.8322104441714501E-2</c:v>
                </c:pt>
                <c:pt idx="5">
                  <c:v>3.9414182802844519E-2</c:v>
                </c:pt>
                <c:pt idx="6">
                  <c:v>3.7208984372815619E-2</c:v>
                </c:pt>
                <c:pt idx="7">
                  <c:v>2.9556627988383561E-2</c:v>
                </c:pt>
                <c:pt idx="8">
                  <c:v>4.4085065064814064E-2</c:v>
                </c:pt>
                <c:pt idx="9">
                  <c:v>4.3279302415322352E-2</c:v>
                </c:pt>
                <c:pt idx="10">
                  <c:v>4.3822177897500925E-2</c:v>
                </c:pt>
                <c:pt idx="11">
                  <c:v>4.3416544217272895E-2</c:v>
                </c:pt>
                <c:pt idx="12">
                  <c:v>4.4140864669330808E-2</c:v>
                </c:pt>
                <c:pt idx="13">
                  <c:v>3.7854473528116252E-2</c:v>
                </c:pt>
                <c:pt idx="14">
                  <c:v>4.6434895414264057E-2</c:v>
                </c:pt>
                <c:pt idx="15">
                  <c:v>2.8145227669049134E-2</c:v>
                </c:pt>
                <c:pt idx="16">
                  <c:v>3.740418892488364E-2</c:v>
                </c:pt>
                <c:pt idx="17">
                  <c:v>3.2527189645741972E-2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'Costs Calculations'!$G$30</c:f>
              <c:strCache>
                <c:ptCount val="1"/>
                <c:pt idx="0">
                  <c:v>Norm V/F</c:v>
                </c:pt>
              </c:strCache>
            </c:strRef>
          </c:tx>
          <c:xVal>
            <c:strRef>
              <c:f>'Costs Calculations'!$D$31:$D$56</c:f>
              <c:strCache>
                <c:ptCount val="18"/>
                <c:pt idx="0">
                  <c:v>0.2187 WD X 2.5 OD</c:v>
                </c:pt>
                <c:pt idx="1">
                  <c:v>0.283 WD X 2.75 OD</c:v>
                </c:pt>
                <c:pt idx="2">
                  <c:v>0.3125 WD X 3.5 OD</c:v>
                </c:pt>
                <c:pt idx="3">
                  <c:v>0.375 WD X 4.5 OD</c:v>
                </c:pt>
                <c:pt idx="4">
                  <c:v>0.3938 WD X 3.625 OD</c:v>
                </c:pt>
                <c:pt idx="5">
                  <c:v>0.3938 WD X 4.25 OD</c:v>
                </c:pt>
                <c:pt idx="6">
                  <c:v>0.406 WD X 3.75 OD</c:v>
                </c:pt>
                <c:pt idx="7">
                  <c:v>0.4218 WD X 3.7186 OD</c:v>
                </c:pt>
                <c:pt idx="8">
                  <c:v>0.43 WD X 3.75 OD</c:v>
                </c:pt>
                <c:pt idx="9">
                  <c:v>0.453 WD X 5.75 OD</c:v>
                </c:pt>
                <c:pt idx="10">
                  <c:v>0.468 WD X 5.875 OD</c:v>
                </c:pt>
                <c:pt idx="11">
                  <c:v>0.46875 WD X 3.75 OD</c:v>
                </c:pt>
                <c:pt idx="12">
                  <c:v>0.49 WD X 3.825 OD</c:v>
                </c:pt>
                <c:pt idx="13">
                  <c:v>0.531 WD X 5.625 OD</c:v>
                </c:pt>
                <c:pt idx="14">
                  <c:v>0.56 WD X 7.390625 OD</c:v>
                </c:pt>
                <c:pt idx="15">
                  <c:v>0.562 WD X 7.375 OD</c:v>
                </c:pt>
                <c:pt idx="16">
                  <c:v>0.625 WD X 7.375 OD</c:v>
                </c:pt>
                <c:pt idx="17">
                  <c:v>0.625 WD X 7.5 OD</c:v>
                </c:pt>
              </c:strCache>
            </c:strRef>
          </c:xVal>
          <c:yVal>
            <c:numRef>
              <c:f>'Costs Calculations'!$G$31:$G$56</c:f>
              <c:numCache>
                <c:formatCode>General</c:formatCode>
                <c:ptCount val="18"/>
                <c:pt idx="0">
                  <c:v>1.3578569228123538E-2</c:v>
                </c:pt>
                <c:pt idx="1">
                  <c:v>2.5259739374617264E-2</c:v>
                </c:pt>
                <c:pt idx="2">
                  <c:v>3.1620880894878925E-2</c:v>
                </c:pt>
                <c:pt idx="3">
                  <c:v>4.7179963830383517E-2</c:v>
                </c:pt>
                <c:pt idx="4">
                  <c:v>5.2413587607275783E-2</c:v>
                </c:pt>
                <c:pt idx="5">
                  <c:v>5.2413587607275783E-2</c:v>
                </c:pt>
                <c:pt idx="6">
                  <c:v>5.5946822464891195E-2</c:v>
                </c:pt>
                <c:pt idx="7">
                  <c:v>6.0682845269682338E-2</c:v>
                </c:pt>
                <c:pt idx="8">
                  <c:v>6.3212042887127437E-2</c:v>
                </c:pt>
                <c:pt idx="9">
                  <c:v>7.0565978371337795E-2</c:v>
                </c:pt>
                <c:pt idx="10">
                  <c:v>7.556842155979443E-2</c:v>
                </c:pt>
                <c:pt idx="11">
                  <c:v>7.5822821052562439E-2</c:v>
                </c:pt>
                <c:pt idx="12">
                  <c:v>8.3200089503327662E-2</c:v>
                </c:pt>
                <c:pt idx="13">
                  <c:v>9.8358053622906616E-2</c:v>
                </c:pt>
                <c:pt idx="14">
                  <c:v>0.10981460809555081</c:v>
                </c:pt>
                <c:pt idx="15">
                  <c:v>0.11062716564277461</c:v>
                </c:pt>
                <c:pt idx="16">
                  <c:v>0.1377055372733193</c:v>
                </c:pt>
                <c:pt idx="17">
                  <c:v>0.1377055372733193</c:v>
                </c:pt>
              </c:numCache>
            </c:numRef>
          </c:yVal>
          <c:smooth val="1"/>
        </c:ser>
        <c:axId val="159232384"/>
        <c:axId val="159233920"/>
      </c:scatterChart>
      <c:valAx>
        <c:axId val="159232384"/>
        <c:scaling>
          <c:orientation val="minMax"/>
        </c:scaling>
        <c:axPos val="b"/>
        <c:tickLblPos val="nextTo"/>
        <c:crossAx val="159233920"/>
        <c:crosses val="autoZero"/>
        <c:crossBetween val="midCat"/>
      </c:valAx>
      <c:valAx>
        <c:axId val="159233920"/>
        <c:scaling>
          <c:orientation val="minMax"/>
        </c:scaling>
        <c:axPos val="l"/>
        <c:majorGridlines/>
        <c:numFmt formatCode="General" sourceLinked="1"/>
        <c:tickLblPos val="nextTo"/>
        <c:crossAx val="15923238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rendline>
            <c:trendlineType val="power"/>
            <c:dispEq val="1"/>
            <c:trendlineLbl>
              <c:layout>
                <c:manualLayout>
                  <c:x val="-4.3772469028881798E-4"/>
                  <c:y val="3.2879119276757081E-2"/>
                </c:manualLayout>
              </c:layout>
              <c:numFmt formatCode="General" sourceLinked="0"/>
            </c:trendlineLbl>
          </c:trendline>
          <c:xVal>
            <c:numRef>
              <c:f>Sheet3!$A$4:$A$13</c:f>
              <c:numCache>
                <c:formatCode>General</c:formatCode>
                <c:ptCount val="10"/>
                <c:pt idx="0">
                  <c:v>0.1875</c:v>
                </c:pt>
                <c:pt idx="1">
                  <c:v>0.25</c:v>
                </c:pt>
                <c:pt idx="2">
                  <c:v>0.3125</c:v>
                </c:pt>
                <c:pt idx="3">
                  <c:v>0.375</c:v>
                </c:pt>
                <c:pt idx="4">
                  <c:v>0.40625</c:v>
                </c:pt>
                <c:pt idx="5">
                  <c:v>0.4375</c:v>
                </c:pt>
                <c:pt idx="6">
                  <c:v>0.46875</c:v>
                </c:pt>
                <c:pt idx="7">
                  <c:v>0.5</c:v>
                </c:pt>
                <c:pt idx="8">
                  <c:v>0.5625</c:v>
                </c:pt>
                <c:pt idx="9">
                  <c:v>0.625</c:v>
                </c:pt>
              </c:numCache>
            </c:numRef>
          </c:xVal>
          <c:yVal>
            <c:numRef>
              <c:f>Sheet3!$B$4:$B$13</c:f>
              <c:numCache>
                <c:formatCode>General</c:formatCode>
                <c:ptCount val="10"/>
                <c:pt idx="0">
                  <c:v>11420</c:v>
                </c:pt>
                <c:pt idx="1">
                  <c:v>36093</c:v>
                </c:pt>
                <c:pt idx="2">
                  <c:v>88119</c:v>
                </c:pt>
                <c:pt idx="3">
                  <c:v>182724</c:v>
                </c:pt>
                <c:pt idx="4">
                  <c:v>251546</c:v>
                </c:pt>
                <c:pt idx="5">
                  <c:v>338448</c:v>
                </c:pt>
                <c:pt idx="6">
                  <c:v>445807</c:v>
                </c:pt>
                <c:pt idx="7">
                  <c:v>577500</c:v>
                </c:pt>
                <c:pt idx="8">
                  <c:v>925044</c:v>
                </c:pt>
                <c:pt idx="9">
                  <c:v>1409913</c:v>
                </c:pt>
              </c:numCache>
            </c:numRef>
          </c:yVal>
          <c:smooth val="1"/>
        </c:ser>
        <c:axId val="159291648"/>
        <c:axId val="159293440"/>
      </c:scatterChart>
      <c:valAx>
        <c:axId val="159291648"/>
        <c:scaling>
          <c:orientation val="minMax"/>
        </c:scaling>
        <c:axPos val="b"/>
        <c:numFmt formatCode="General" sourceLinked="1"/>
        <c:tickLblPos val="nextTo"/>
        <c:crossAx val="159293440"/>
        <c:crosses val="autoZero"/>
        <c:crossBetween val="midCat"/>
      </c:valAx>
      <c:valAx>
        <c:axId val="159293440"/>
        <c:scaling>
          <c:orientation val="minMax"/>
        </c:scaling>
        <c:axPos val="l"/>
        <c:majorGridlines/>
        <c:numFmt formatCode="General" sourceLinked="1"/>
        <c:tickLblPos val="nextTo"/>
        <c:crossAx val="15929164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rendline>
            <c:trendlineType val="power"/>
            <c:dispEq val="1"/>
            <c:trendlineLbl>
              <c:numFmt formatCode="General" sourceLinked="0"/>
            </c:trendlineLbl>
          </c:trendline>
          <c:xVal>
            <c:numRef>
              <c:f>Sheet3!$A$20:$A$29</c:f>
              <c:numCache>
                <c:formatCode>General</c:formatCode>
                <c:ptCount val="10"/>
                <c:pt idx="0">
                  <c:v>11420</c:v>
                </c:pt>
                <c:pt idx="1">
                  <c:v>36093</c:v>
                </c:pt>
                <c:pt idx="2">
                  <c:v>88119</c:v>
                </c:pt>
                <c:pt idx="3">
                  <c:v>182724</c:v>
                </c:pt>
                <c:pt idx="4">
                  <c:v>251546</c:v>
                </c:pt>
                <c:pt idx="5">
                  <c:v>338448</c:v>
                </c:pt>
                <c:pt idx="6">
                  <c:v>445807</c:v>
                </c:pt>
                <c:pt idx="7">
                  <c:v>577500</c:v>
                </c:pt>
                <c:pt idx="8">
                  <c:v>925044</c:v>
                </c:pt>
                <c:pt idx="9">
                  <c:v>1409913</c:v>
                </c:pt>
              </c:numCache>
            </c:numRef>
          </c:xVal>
          <c:yVal>
            <c:numRef>
              <c:f>Sheet3!$B$20:$B$29</c:f>
              <c:numCache>
                <c:formatCode>General</c:formatCode>
                <c:ptCount val="10"/>
                <c:pt idx="0">
                  <c:v>0.1875</c:v>
                </c:pt>
                <c:pt idx="1">
                  <c:v>0.25</c:v>
                </c:pt>
                <c:pt idx="2">
                  <c:v>0.3125</c:v>
                </c:pt>
                <c:pt idx="3">
                  <c:v>0.375</c:v>
                </c:pt>
                <c:pt idx="4">
                  <c:v>0.40625</c:v>
                </c:pt>
                <c:pt idx="5">
                  <c:v>0.4375</c:v>
                </c:pt>
                <c:pt idx="6">
                  <c:v>0.46875</c:v>
                </c:pt>
                <c:pt idx="7">
                  <c:v>0.5</c:v>
                </c:pt>
                <c:pt idx="8">
                  <c:v>0.5625</c:v>
                </c:pt>
                <c:pt idx="9">
                  <c:v>0.625</c:v>
                </c:pt>
              </c:numCache>
            </c:numRef>
          </c:yVal>
          <c:smooth val="1"/>
        </c:ser>
        <c:axId val="159453184"/>
        <c:axId val="159454720"/>
      </c:scatterChart>
      <c:valAx>
        <c:axId val="159453184"/>
        <c:scaling>
          <c:orientation val="minMax"/>
        </c:scaling>
        <c:axPos val="b"/>
        <c:numFmt formatCode="General" sourceLinked="1"/>
        <c:tickLblPos val="nextTo"/>
        <c:crossAx val="159454720"/>
        <c:crosses val="autoZero"/>
        <c:crossBetween val="midCat"/>
      </c:valAx>
      <c:valAx>
        <c:axId val="159454720"/>
        <c:scaling>
          <c:orientation val="minMax"/>
        </c:scaling>
        <c:axPos val="l"/>
        <c:majorGridlines/>
        <c:numFmt formatCode="General" sourceLinked="1"/>
        <c:tickLblPos val="nextTo"/>
        <c:crossAx val="15945318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rendline>
            <c:trendlineType val="power"/>
            <c:dispEq val="1"/>
            <c:trendlineLbl>
              <c:layout>
                <c:manualLayout>
                  <c:x val="1.9300087489063874E-3"/>
                  <c:y val="-4.1194954797316996E-2"/>
                </c:manualLayout>
              </c:layout>
              <c:numFmt formatCode="General" sourceLinked="0"/>
            </c:trendlineLbl>
          </c:trendline>
          <c:xVal>
            <c:numRef>
              <c:f>Sheet3!$A$36:$A$45</c:f>
              <c:numCache>
                <c:formatCode>General</c:formatCode>
                <c:ptCount val="10"/>
                <c:pt idx="0">
                  <c:v>2.7611654181941541E-2</c:v>
                </c:pt>
                <c:pt idx="1">
                  <c:v>4.9087385212340517E-2</c:v>
                </c:pt>
                <c:pt idx="2">
                  <c:v>7.6699039394282062E-2</c:v>
                </c:pt>
                <c:pt idx="3">
                  <c:v>0.11044661672776616</c:v>
                </c:pt>
                <c:pt idx="4">
                  <c:v>0.12962137657633668</c:v>
                </c:pt>
                <c:pt idx="5">
                  <c:v>0.15033011721279282</c:v>
                </c:pt>
                <c:pt idx="6">
                  <c:v>0.17257283863713463</c:v>
                </c:pt>
                <c:pt idx="7">
                  <c:v>0.19634954084936207</c:v>
                </c:pt>
                <c:pt idx="8">
                  <c:v>0.24850488763747386</c:v>
                </c:pt>
                <c:pt idx="9">
                  <c:v>0.30679615757712825</c:v>
                </c:pt>
              </c:numCache>
            </c:numRef>
          </c:xVal>
          <c:yVal>
            <c:numRef>
              <c:f>Sheet3!$B$36:$B$45</c:f>
              <c:numCache>
                <c:formatCode>General</c:formatCode>
                <c:ptCount val="10"/>
                <c:pt idx="0">
                  <c:v>11420</c:v>
                </c:pt>
                <c:pt idx="1">
                  <c:v>36093</c:v>
                </c:pt>
                <c:pt idx="2">
                  <c:v>88119</c:v>
                </c:pt>
                <c:pt idx="3">
                  <c:v>182724</c:v>
                </c:pt>
                <c:pt idx="4">
                  <c:v>251546</c:v>
                </c:pt>
                <c:pt idx="5">
                  <c:v>338448</c:v>
                </c:pt>
                <c:pt idx="6">
                  <c:v>445807</c:v>
                </c:pt>
                <c:pt idx="7">
                  <c:v>577500</c:v>
                </c:pt>
                <c:pt idx="8">
                  <c:v>925044</c:v>
                </c:pt>
                <c:pt idx="9">
                  <c:v>1409913</c:v>
                </c:pt>
              </c:numCache>
            </c:numRef>
          </c:yVal>
          <c:smooth val="1"/>
        </c:ser>
        <c:axId val="159483392"/>
        <c:axId val="159484928"/>
      </c:scatterChart>
      <c:valAx>
        <c:axId val="159483392"/>
        <c:scaling>
          <c:orientation val="minMax"/>
        </c:scaling>
        <c:axPos val="b"/>
        <c:numFmt formatCode="General" sourceLinked="1"/>
        <c:tickLblPos val="nextTo"/>
        <c:crossAx val="159484928"/>
        <c:crosses val="autoZero"/>
        <c:crossBetween val="midCat"/>
      </c:valAx>
      <c:valAx>
        <c:axId val="159484928"/>
        <c:scaling>
          <c:orientation val="minMax"/>
        </c:scaling>
        <c:axPos val="l"/>
        <c:majorGridlines/>
        <c:numFmt formatCode="General" sourceLinked="1"/>
        <c:tickLblPos val="nextTo"/>
        <c:crossAx val="1594833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Sheet3!$A$66</c:f>
              <c:strCache>
                <c:ptCount val="1"/>
                <c:pt idx="0">
                  <c:v>0.1875</c:v>
                </c:pt>
              </c:strCache>
            </c:strRef>
          </c:tx>
          <c:xVal>
            <c:numRef>
              <c:f>Sheet3!$B$65:$M$65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Sheet3!$B$66:$M$66</c:f>
              <c:numCache>
                <c:formatCode>General</c:formatCode>
                <c:ptCount val="12"/>
                <c:pt idx="0">
                  <c:v>2284</c:v>
                </c:pt>
                <c:pt idx="1">
                  <c:v>1142</c:v>
                </c:pt>
                <c:pt idx="2">
                  <c:v>761.33333333333337</c:v>
                </c:pt>
                <c:pt idx="3">
                  <c:v>571</c:v>
                </c:pt>
                <c:pt idx="4">
                  <c:v>456.8</c:v>
                </c:pt>
                <c:pt idx="5">
                  <c:v>380.66666666666669</c:v>
                </c:pt>
                <c:pt idx="6">
                  <c:v>326.28571428571428</c:v>
                </c:pt>
                <c:pt idx="7">
                  <c:v>285.5</c:v>
                </c:pt>
                <c:pt idx="8">
                  <c:v>253.77777777777777</c:v>
                </c:pt>
                <c:pt idx="9">
                  <c:v>228.4</c:v>
                </c:pt>
                <c:pt idx="10">
                  <c:v>207.63636363636363</c:v>
                </c:pt>
                <c:pt idx="11">
                  <c:v>190.33333333333334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Sheet3!$A$67</c:f>
              <c:strCache>
                <c:ptCount val="1"/>
                <c:pt idx="0">
                  <c:v>0.25</c:v>
                </c:pt>
              </c:strCache>
            </c:strRef>
          </c:tx>
          <c:xVal>
            <c:numRef>
              <c:f>Sheet3!$B$65:$M$65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Sheet3!$B$67:$M$67</c:f>
              <c:numCache>
                <c:formatCode>General</c:formatCode>
                <c:ptCount val="12"/>
                <c:pt idx="0">
                  <c:v>7218.6</c:v>
                </c:pt>
                <c:pt idx="1">
                  <c:v>3609.3</c:v>
                </c:pt>
                <c:pt idx="2">
                  <c:v>2406.1999999999998</c:v>
                </c:pt>
                <c:pt idx="3">
                  <c:v>1804.65</c:v>
                </c:pt>
                <c:pt idx="4">
                  <c:v>1443.72</c:v>
                </c:pt>
                <c:pt idx="5">
                  <c:v>1203.0999999999999</c:v>
                </c:pt>
                <c:pt idx="6">
                  <c:v>1031.2285714285715</c:v>
                </c:pt>
                <c:pt idx="7">
                  <c:v>902.32500000000005</c:v>
                </c:pt>
                <c:pt idx="8">
                  <c:v>802.06666666666672</c:v>
                </c:pt>
                <c:pt idx="9">
                  <c:v>721.86</c:v>
                </c:pt>
                <c:pt idx="10">
                  <c:v>656.23636363636365</c:v>
                </c:pt>
                <c:pt idx="11">
                  <c:v>601.54999999999995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Sheet3!$A$68</c:f>
              <c:strCache>
                <c:ptCount val="1"/>
                <c:pt idx="0">
                  <c:v>0.3125</c:v>
                </c:pt>
              </c:strCache>
            </c:strRef>
          </c:tx>
          <c:xVal>
            <c:numRef>
              <c:f>Sheet3!$B$65:$M$65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Sheet3!$B$68:$M$68</c:f>
              <c:numCache>
                <c:formatCode>General</c:formatCode>
                <c:ptCount val="12"/>
                <c:pt idx="0">
                  <c:v>17623.8</c:v>
                </c:pt>
                <c:pt idx="1">
                  <c:v>8811.9</c:v>
                </c:pt>
                <c:pt idx="2">
                  <c:v>5874.6</c:v>
                </c:pt>
                <c:pt idx="3">
                  <c:v>4405.95</c:v>
                </c:pt>
                <c:pt idx="4">
                  <c:v>3524.76</c:v>
                </c:pt>
                <c:pt idx="5">
                  <c:v>2937.3</c:v>
                </c:pt>
                <c:pt idx="6">
                  <c:v>2517.6857142857143</c:v>
                </c:pt>
                <c:pt idx="7">
                  <c:v>2202.9749999999999</c:v>
                </c:pt>
                <c:pt idx="8">
                  <c:v>1958.2</c:v>
                </c:pt>
                <c:pt idx="9">
                  <c:v>1762.38</c:v>
                </c:pt>
                <c:pt idx="10">
                  <c:v>1602.1636363636364</c:v>
                </c:pt>
                <c:pt idx="11">
                  <c:v>1468.65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Sheet3!$A$69</c:f>
              <c:strCache>
                <c:ptCount val="1"/>
                <c:pt idx="0">
                  <c:v>0.375</c:v>
                </c:pt>
              </c:strCache>
            </c:strRef>
          </c:tx>
          <c:xVal>
            <c:numRef>
              <c:f>Sheet3!$B$65:$M$65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Sheet3!$B$69:$M$69</c:f>
              <c:numCache>
                <c:formatCode>General</c:formatCode>
                <c:ptCount val="12"/>
                <c:pt idx="0">
                  <c:v>36544.800000000003</c:v>
                </c:pt>
                <c:pt idx="1">
                  <c:v>18272.400000000001</c:v>
                </c:pt>
                <c:pt idx="2">
                  <c:v>12181.6</c:v>
                </c:pt>
                <c:pt idx="3">
                  <c:v>9136.2000000000007</c:v>
                </c:pt>
                <c:pt idx="4">
                  <c:v>7308.96</c:v>
                </c:pt>
                <c:pt idx="5">
                  <c:v>6090.8</c:v>
                </c:pt>
                <c:pt idx="6">
                  <c:v>5220.6857142857143</c:v>
                </c:pt>
                <c:pt idx="7">
                  <c:v>4568.1000000000004</c:v>
                </c:pt>
                <c:pt idx="8">
                  <c:v>4060.5333333333333</c:v>
                </c:pt>
                <c:pt idx="9">
                  <c:v>3654.48</c:v>
                </c:pt>
                <c:pt idx="10">
                  <c:v>3322.2545454545457</c:v>
                </c:pt>
                <c:pt idx="11">
                  <c:v>3045.4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Sheet3!$A$70</c:f>
              <c:strCache>
                <c:ptCount val="1"/>
                <c:pt idx="0">
                  <c:v>0.40625</c:v>
                </c:pt>
              </c:strCache>
            </c:strRef>
          </c:tx>
          <c:xVal>
            <c:numRef>
              <c:f>Sheet3!$B$65:$M$65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Sheet3!$B$70:$M$70</c:f>
              <c:numCache>
                <c:formatCode>General</c:formatCode>
                <c:ptCount val="12"/>
                <c:pt idx="0">
                  <c:v>50309.2</c:v>
                </c:pt>
                <c:pt idx="1">
                  <c:v>25154.6</c:v>
                </c:pt>
                <c:pt idx="2">
                  <c:v>16769.733333333334</c:v>
                </c:pt>
                <c:pt idx="3">
                  <c:v>12577.3</c:v>
                </c:pt>
                <c:pt idx="4">
                  <c:v>10061.84</c:v>
                </c:pt>
                <c:pt idx="5">
                  <c:v>8384.8666666666668</c:v>
                </c:pt>
                <c:pt idx="6">
                  <c:v>7187.028571428571</c:v>
                </c:pt>
                <c:pt idx="7">
                  <c:v>6288.65</c:v>
                </c:pt>
                <c:pt idx="8">
                  <c:v>5589.9111111111115</c:v>
                </c:pt>
                <c:pt idx="9">
                  <c:v>5030.92</c:v>
                </c:pt>
                <c:pt idx="10">
                  <c:v>4573.5636363636368</c:v>
                </c:pt>
                <c:pt idx="11">
                  <c:v>4192.4333333333334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Sheet3!$A$71</c:f>
              <c:strCache>
                <c:ptCount val="1"/>
                <c:pt idx="0">
                  <c:v>0.4375</c:v>
                </c:pt>
              </c:strCache>
            </c:strRef>
          </c:tx>
          <c:xVal>
            <c:numRef>
              <c:f>Sheet3!$B$65:$M$65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Sheet3!$B$71:$M$71</c:f>
              <c:numCache>
                <c:formatCode>General</c:formatCode>
                <c:ptCount val="12"/>
                <c:pt idx="0">
                  <c:v>67689.600000000006</c:v>
                </c:pt>
                <c:pt idx="1">
                  <c:v>33844.800000000003</c:v>
                </c:pt>
                <c:pt idx="2">
                  <c:v>22563.200000000001</c:v>
                </c:pt>
                <c:pt idx="3">
                  <c:v>16922.400000000001</c:v>
                </c:pt>
                <c:pt idx="4">
                  <c:v>13537.92</c:v>
                </c:pt>
                <c:pt idx="5">
                  <c:v>11281.6</c:v>
                </c:pt>
                <c:pt idx="6">
                  <c:v>9669.942857142858</c:v>
                </c:pt>
                <c:pt idx="7">
                  <c:v>8461.2000000000007</c:v>
                </c:pt>
                <c:pt idx="8">
                  <c:v>7521.0666666666666</c:v>
                </c:pt>
                <c:pt idx="9">
                  <c:v>6768.96</c:v>
                </c:pt>
                <c:pt idx="10">
                  <c:v>6153.6</c:v>
                </c:pt>
                <c:pt idx="11">
                  <c:v>5640.8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Sheet3!$A$72</c:f>
              <c:strCache>
                <c:ptCount val="1"/>
                <c:pt idx="0">
                  <c:v>0.46875</c:v>
                </c:pt>
              </c:strCache>
            </c:strRef>
          </c:tx>
          <c:xVal>
            <c:numRef>
              <c:f>Sheet3!$B$65:$M$65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Sheet3!$B$72:$M$72</c:f>
              <c:numCache>
                <c:formatCode>General</c:formatCode>
                <c:ptCount val="12"/>
                <c:pt idx="0">
                  <c:v>89161.4</c:v>
                </c:pt>
                <c:pt idx="1">
                  <c:v>44580.7</c:v>
                </c:pt>
                <c:pt idx="2">
                  <c:v>29720.466666666667</c:v>
                </c:pt>
                <c:pt idx="3">
                  <c:v>22290.35</c:v>
                </c:pt>
                <c:pt idx="4">
                  <c:v>17832.28</c:v>
                </c:pt>
                <c:pt idx="5">
                  <c:v>14860.233333333334</c:v>
                </c:pt>
                <c:pt idx="6">
                  <c:v>12737.342857142858</c:v>
                </c:pt>
                <c:pt idx="7">
                  <c:v>11145.174999999999</c:v>
                </c:pt>
                <c:pt idx="8">
                  <c:v>9906.822222222223</c:v>
                </c:pt>
                <c:pt idx="9">
                  <c:v>8916.14</c:v>
                </c:pt>
                <c:pt idx="10">
                  <c:v>8105.5818181818186</c:v>
                </c:pt>
                <c:pt idx="11">
                  <c:v>7430.1166666666668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Sheet3!$A$73</c:f>
              <c:strCache>
                <c:ptCount val="1"/>
                <c:pt idx="0">
                  <c:v>0.5</c:v>
                </c:pt>
              </c:strCache>
            </c:strRef>
          </c:tx>
          <c:xVal>
            <c:numRef>
              <c:f>Sheet3!$B$65:$M$65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Sheet3!$B$73:$M$73</c:f>
              <c:numCache>
                <c:formatCode>General</c:formatCode>
                <c:ptCount val="12"/>
                <c:pt idx="0">
                  <c:v>115500</c:v>
                </c:pt>
                <c:pt idx="1">
                  <c:v>57750</c:v>
                </c:pt>
                <c:pt idx="2">
                  <c:v>38500</c:v>
                </c:pt>
                <c:pt idx="3">
                  <c:v>28875</c:v>
                </c:pt>
                <c:pt idx="4">
                  <c:v>23100</c:v>
                </c:pt>
                <c:pt idx="5">
                  <c:v>19250</c:v>
                </c:pt>
                <c:pt idx="6">
                  <c:v>16500</c:v>
                </c:pt>
                <c:pt idx="7">
                  <c:v>14437.5</c:v>
                </c:pt>
                <c:pt idx="8">
                  <c:v>12833.333333333334</c:v>
                </c:pt>
                <c:pt idx="9">
                  <c:v>11550</c:v>
                </c:pt>
                <c:pt idx="10">
                  <c:v>10500</c:v>
                </c:pt>
                <c:pt idx="11">
                  <c:v>9625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Sheet3!$A$74</c:f>
              <c:strCache>
                <c:ptCount val="1"/>
                <c:pt idx="0">
                  <c:v>0.5625</c:v>
                </c:pt>
              </c:strCache>
            </c:strRef>
          </c:tx>
          <c:xVal>
            <c:numRef>
              <c:f>Sheet3!$B$65:$M$65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Sheet3!$B$74:$M$74</c:f>
              <c:numCache>
                <c:formatCode>General</c:formatCode>
                <c:ptCount val="12"/>
                <c:pt idx="0">
                  <c:v>185008.8</c:v>
                </c:pt>
                <c:pt idx="1">
                  <c:v>92504.4</c:v>
                </c:pt>
                <c:pt idx="2">
                  <c:v>61669.599999999999</c:v>
                </c:pt>
                <c:pt idx="3">
                  <c:v>46252.2</c:v>
                </c:pt>
                <c:pt idx="4">
                  <c:v>37001.760000000002</c:v>
                </c:pt>
                <c:pt idx="5">
                  <c:v>30834.799999999999</c:v>
                </c:pt>
                <c:pt idx="6">
                  <c:v>26429.82857142857</c:v>
                </c:pt>
                <c:pt idx="7">
                  <c:v>23126.1</c:v>
                </c:pt>
                <c:pt idx="8">
                  <c:v>20556.533333333333</c:v>
                </c:pt>
                <c:pt idx="9">
                  <c:v>18500.88</c:v>
                </c:pt>
                <c:pt idx="10">
                  <c:v>16818.981818181819</c:v>
                </c:pt>
                <c:pt idx="11">
                  <c:v>15417.4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Sheet3!$A$75</c:f>
              <c:strCache>
                <c:ptCount val="1"/>
                <c:pt idx="0">
                  <c:v>0.625</c:v>
                </c:pt>
              </c:strCache>
            </c:strRef>
          </c:tx>
          <c:xVal>
            <c:numRef>
              <c:f>Sheet3!$B$65:$M$65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Sheet3!$B$75:$M$75</c:f>
              <c:numCache>
                <c:formatCode>General</c:formatCode>
                <c:ptCount val="12"/>
                <c:pt idx="0">
                  <c:v>281982.59999999998</c:v>
                </c:pt>
                <c:pt idx="1">
                  <c:v>140991.29999999999</c:v>
                </c:pt>
                <c:pt idx="2">
                  <c:v>93994.2</c:v>
                </c:pt>
                <c:pt idx="3">
                  <c:v>70495.649999999994</c:v>
                </c:pt>
                <c:pt idx="4">
                  <c:v>56396.52</c:v>
                </c:pt>
                <c:pt idx="5">
                  <c:v>46997.1</c:v>
                </c:pt>
                <c:pt idx="6">
                  <c:v>40283.228571428568</c:v>
                </c:pt>
                <c:pt idx="7">
                  <c:v>35247.824999999997</c:v>
                </c:pt>
                <c:pt idx="8">
                  <c:v>31331.4</c:v>
                </c:pt>
                <c:pt idx="9">
                  <c:v>28198.26</c:v>
                </c:pt>
                <c:pt idx="10">
                  <c:v>25634.781818181818</c:v>
                </c:pt>
                <c:pt idx="11">
                  <c:v>23498.55</c:v>
                </c:pt>
              </c:numCache>
            </c:numRef>
          </c:yVal>
          <c:smooth val="1"/>
        </c:ser>
        <c:axId val="159614464"/>
        <c:axId val="159616000"/>
      </c:scatterChart>
      <c:valAx>
        <c:axId val="159614464"/>
        <c:scaling>
          <c:orientation val="minMax"/>
        </c:scaling>
        <c:axPos val="b"/>
        <c:numFmt formatCode="General" sourceLinked="1"/>
        <c:tickLblPos val="nextTo"/>
        <c:crossAx val="159616000"/>
        <c:crosses val="autoZero"/>
        <c:crossBetween val="midCat"/>
      </c:valAx>
      <c:valAx>
        <c:axId val="159616000"/>
        <c:scaling>
          <c:orientation val="minMax"/>
        </c:scaling>
        <c:axPos val="l"/>
        <c:majorGridlines/>
        <c:numFmt formatCode="General" sourceLinked="1"/>
        <c:tickLblPos val="nextTo"/>
        <c:crossAx val="1596144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Sheet3!$O$66</c:f>
              <c:strCache>
                <c:ptCount val="1"/>
                <c:pt idx="0">
                  <c:v>0.1875</c:v>
                </c:pt>
              </c:strCache>
            </c:strRef>
          </c:tx>
          <c:xVal>
            <c:numRef>
              <c:f>Sheet3!$P$65:$AA$65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Sheet3!$P$66:$AA$66</c:f>
              <c:numCache>
                <c:formatCode>General</c:formatCode>
                <c:ptCount val="12"/>
                <c:pt idx="0">
                  <c:v>281982.59999999998</c:v>
                </c:pt>
                <c:pt idx="1">
                  <c:v>140991.29999999999</c:v>
                </c:pt>
                <c:pt idx="2">
                  <c:v>93994.200000000012</c:v>
                </c:pt>
                <c:pt idx="3">
                  <c:v>70495.649999999994</c:v>
                </c:pt>
                <c:pt idx="4">
                  <c:v>56396.520000000004</c:v>
                </c:pt>
                <c:pt idx="5">
                  <c:v>46997.100000000006</c:v>
                </c:pt>
                <c:pt idx="6">
                  <c:v>40283.228571428568</c:v>
                </c:pt>
                <c:pt idx="7">
                  <c:v>35247.824999999997</c:v>
                </c:pt>
                <c:pt idx="8">
                  <c:v>31331.399999999998</c:v>
                </c:pt>
                <c:pt idx="9">
                  <c:v>28198.26</c:v>
                </c:pt>
                <c:pt idx="10">
                  <c:v>25634.781818181815</c:v>
                </c:pt>
                <c:pt idx="11">
                  <c:v>23498.55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Sheet3!$O$67</c:f>
              <c:strCache>
                <c:ptCount val="1"/>
                <c:pt idx="0">
                  <c:v>0.25</c:v>
                </c:pt>
              </c:strCache>
            </c:strRef>
          </c:tx>
          <c:xVal>
            <c:numRef>
              <c:f>Sheet3!$P$65:$AA$65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Sheet3!$P$67:$AA$67</c:f>
              <c:numCache>
                <c:formatCode>General</c:formatCode>
                <c:ptCount val="12"/>
                <c:pt idx="0">
                  <c:v>281982.59999999998</c:v>
                </c:pt>
                <c:pt idx="1">
                  <c:v>140991.29999999999</c:v>
                </c:pt>
                <c:pt idx="2">
                  <c:v>93994.2</c:v>
                </c:pt>
                <c:pt idx="3">
                  <c:v>70495.649999999994</c:v>
                </c:pt>
                <c:pt idx="4">
                  <c:v>56396.520000000004</c:v>
                </c:pt>
                <c:pt idx="5">
                  <c:v>46997.099999999991</c:v>
                </c:pt>
                <c:pt idx="6">
                  <c:v>40283.228571428575</c:v>
                </c:pt>
                <c:pt idx="7">
                  <c:v>35247.825000000004</c:v>
                </c:pt>
                <c:pt idx="8">
                  <c:v>31331.4</c:v>
                </c:pt>
                <c:pt idx="9">
                  <c:v>28198.260000000002</c:v>
                </c:pt>
                <c:pt idx="10">
                  <c:v>25634.781818181818</c:v>
                </c:pt>
                <c:pt idx="11">
                  <c:v>23498.55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Sheet3!$O$68</c:f>
              <c:strCache>
                <c:ptCount val="1"/>
                <c:pt idx="0">
                  <c:v>0.3125</c:v>
                </c:pt>
              </c:strCache>
            </c:strRef>
          </c:tx>
          <c:xVal>
            <c:numRef>
              <c:f>Sheet3!$P$65:$AA$65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Sheet3!$P$68:$AA$68</c:f>
              <c:numCache>
                <c:formatCode>General</c:formatCode>
                <c:ptCount val="12"/>
                <c:pt idx="0">
                  <c:v>281982.59999999998</c:v>
                </c:pt>
                <c:pt idx="1">
                  <c:v>140991.29999999999</c:v>
                </c:pt>
                <c:pt idx="2">
                  <c:v>93994.200000000012</c:v>
                </c:pt>
                <c:pt idx="3">
                  <c:v>70495.649999999994</c:v>
                </c:pt>
                <c:pt idx="4">
                  <c:v>56396.520000000004</c:v>
                </c:pt>
                <c:pt idx="5">
                  <c:v>46997.1</c:v>
                </c:pt>
                <c:pt idx="6">
                  <c:v>40283.228571428568</c:v>
                </c:pt>
                <c:pt idx="7">
                  <c:v>35247.824999999997</c:v>
                </c:pt>
                <c:pt idx="8">
                  <c:v>31331.399999999998</c:v>
                </c:pt>
                <c:pt idx="9">
                  <c:v>28198.26</c:v>
                </c:pt>
                <c:pt idx="10">
                  <c:v>25634.781818181818</c:v>
                </c:pt>
                <c:pt idx="11">
                  <c:v>23498.55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Sheet3!$O$69</c:f>
              <c:strCache>
                <c:ptCount val="1"/>
                <c:pt idx="0">
                  <c:v>0.375</c:v>
                </c:pt>
              </c:strCache>
            </c:strRef>
          </c:tx>
          <c:xVal>
            <c:numRef>
              <c:f>Sheet3!$P$65:$AA$65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Sheet3!$P$69:$AA$69</c:f>
              <c:numCache>
                <c:formatCode>General</c:formatCode>
                <c:ptCount val="12"/>
                <c:pt idx="0">
                  <c:v>281982.59999999998</c:v>
                </c:pt>
                <c:pt idx="1">
                  <c:v>140991.29999999999</c:v>
                </c:pt>
                <c:pt idx="2">
                  <c:v>93994.200000000012</c:v>
                </c:pt>
                <c:pt idx="3">
                  <c:v>70495.650000000009</c:v>
                </c:pt>
                <c:pt idx="4">
                  <c:v>56396.51999999999</c:v>
                </c:pt>
                <c:pt idx="5">
                  <c:v>46997.1</c:v>
                </c:pt>
                <c:pt idx="6">
                  <c:v>40283.228571428568</c:v>
                </c:pt>
                <c:pt idx="7">
                  <c:v>35247.824999999997</c:v>
                </c:pt>
                <c:pt idx="8">
                  <c:v>31331.399999999998</c:v>
                </c:pt>
                <c:pt idx="9">
                  <c:v>28198.26</c:v>
                </c:pt>
                <c:pt idx="10">
                  <c:v>25634.781818181818</c:v>
                </c:pt>
                <c:pt idx="11">
                  <c:v>23498.55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Sheet3!$O$70</c:f>
              <c:strCache>
                <c:ptCount val="1"/>
                <c:pt idx="0">
                  <c:v>0.40625</c:v>
                </c:pt>
              </c:strCache>
            </c:strRef>
          </c:tx>
          <c:xVal>
            <c:numRef>
              <c:f>Sheet3!$P$65:$AA$65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Sheet3!$P$70:$AA$70</c:f>
              <c:numCache>
                <c:formatCode>General</c:formatCode>
                <c:ptCount val="12"/>
                <c:pt idx="0">
                  <c:v>281982.59999999998</c:v>
                </c:pt>
                <c:pt idx="1">
                  <c:v>140991.29999999999</c:v>
                </c:pt>
                <c:pt idx="2">
                  <c:v>93994.2</c:v>
                </c:pt>
                <c:pt idx="3">
                  <c:v>70495.649999999994</c:v>
                </c:pt>
                <c:pt idx="4">
                  <c:v>56396.520000000004</c:v>
                </c:pt>
                <c:pt idx="5">
                  <c:v>46997.1</c:v>
                </c:pt>
                <c:pt idx="6">
                  <c:v>40283.228571428568</c:v>
                </c:pt>
                <c:pt idx="7">
                  <c:v>35247.824999999997</c:v>
                </c:pt>
                <c:pt idx="8">
                  <c:v>31331.4</c:v>
                </c:pt>
                <c:pt idx="9">
                  <c:v>28198.26</c:v>
                </c:pt>
                <c:pt idx="10">
                  <c:v>25634.781818181818</c:v>
                </c:pt>
                <c:pt idx="11">
                  <c:v>23498.55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Sheet3!$O$71</c:f>
              <c:strCache>
                <c:ptCount val="1"/>
                <c:pt idx="0">
                  <c:v>0.4375</c:v>
                </c:pt>
              </c:strCache>
            </c:strRef>
          </c:tx>
          <c:xVal>
            <c:numRef>
              <c:f>Sheet3!$P$65:$AA$65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Sheet3!$P$71:$AA$71</c:f>
              <c:numCache>
                <c:formatCode>General</c:formatCode>
                <c:ptCount val="12"/>
                <c:pt idx="0">
                  <c:v>281982.59999999998</c:v>
                </c:pt>
                <c:pt idx="1">
                  <c:v>140991.29999999999</c:v>
                </c:pt>
                <c:pt idx="2">
                  <c:v>93994.200000000012</c:v>
                </c:pt>
                <c:pt idx="3">
                  <c:v>70495.650000000009</c:v>
                </c:pt>
                <c:pt idx="4">
                  <c:v>56396.51999999999</c:v>
                </c:pt>
                <c:pt idx="5">
                  <c:v>46997.1</c:v>
                </c:pt>
                <c:pt idx="6">
                  <c:v>40283.228571428568</c:v>
                </c:pt>
                <c:pt idx="7">
                  <c:v>35247.824999999997</c:v>
                </c:pt>
                <c:pt idx="8">
                  <c:v>31331.399999999998</c:v>
                </c:pt>
                <c:pt idx="9">
                  <c:v>28198.26</c:v>
                </c:pt>
                <c:pt idx="10">
                  <c:v>25634.781818181818</c:v>
                </c:pt>
                <c:pt idx="11">
                  <c:v>23498.55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Sheet3!$O$72</c:f>
              <c:strCache>
                <c:ptCount val="1"/>
                <c:pt idx="0">
                  <c:v>0.46875</c:v>
                </c:pt>
              </c:strCache>
            </c:strRef>
          </c:tx>
          <c:xVal>
            <c:numRef>
              <c:f>Sheet3!$P$65:$AA$65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Sheet3!$P$72:$AA$72</c:f>
              <c:numCache>
                <c:formatCode>General</c:formatCode>
                <c:ptCount val="12"/>
                <c:pt idx="0">
                  <c:v>281982.59999999998</c:v>
                </c:pt>
                <c:pt idx="1">
                  <c:v>140991.29999999999</c:v>
                </c:pt>
                <c:pt idx="2">
                  <c:v>93994.200000000012</c:v>
                </c:pt>
                <c:pt idx="3">
                  <c:v>70495.649999999994</c:v>
                </c:pt>
                <c:pt idx="4">
                  <c:v>56396.51999999999</c:v>
                </c:pt>
                <c:pt idx="5">
                  <c:v>46997.100000000006</c:v>
                </c:pt>
                <c:pt idx="6">
                  <c:v>40283.228571428568</c:v>
                </c:pt>
                <c:pt idx="7">
                  <c:v>35247.824999999997</c:v>
                </c:pt>
                <c:pt idx="8">
                  <c:v>31331.4</c:v>
                </c:pt>
                <c:pt idx="9">
                  <c:v>28198.26</c:v>
                </c:pt>
                <c:pt idx="10">
                  <c:v>25634.781818181818</c:v>
                </c:pt>
                <c:pt idx="11">
                  <c:v>23498.55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Sheet3!$O$73</c:f>
              <c:strCache>
                <c:ptCount val="1"/>
                <c:pt idx="0">
                  <c:v>0.5</c:v>
                </c:pt>
              </c:strCache>
            </c:strRef>
          </c:tx>
          <c:xVal>
            <c:numRef>
              <c:f>Sheet3!$P$65:$AA$65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Sheet3!$P$73:$AA$73</c:f>
              <c:numCache>
                <c:formatCode>General</c:formatCode>
                <c:ptCount val="12"/>
                <c:pt idx="0">
                  <c:v>281982.59999999998</c:v>
                </c:pt>
                <c:pt idx="1">
                  <c:v>140991.29999999999</c:v>
                </c:pt>
                <c:pt idx="2">
                  <c:v>93994.2</c:v>
                </c:pt>
                <c:pt idx="3">
                  <c:v>70495.649999999994</c:v>
                </c:pt>
                <c:pt idx="4">
                  <c:v>56396.51999999999</c:v>
                </c:pt>
                <c:pt idx="5">
                  <c:v>46997.1</c:v>
                </c:pt>
                <c:pt idx="6">
                  <c:v>40283.228571428568</c:v>
                </c:pt>
                <c:pt idx="7">
                  <c:v>35247.824999999997</c:v>
                </c:pt>
                <c:pt idx="8">
                  <c:v>31331.4</c:v>
                </c:pt>
                <c:pt idx="9">
                  <c:v>28198.26</c:v>
                </c:pt>
                <c:pt idx="10">
                  <c:v>25634.781818181818</c:v>
                </c:pt>
                <c:pt idx="11">
                  <c:v>23498.55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Sheet3!$O$74</c:f>
              <c:strCache>
                <c:ptCount val="1"/>
                <c:pt idx="0">
                  <c:v>0.5625</c:v>
                </c:pt>
              </c:strCache>
            </c:strRef>
          </c:tx>
          <c:xVal>
            <c:numRef>
              <c:f>Sheet3!$P$65:$AA$65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Sheet3!$P$74:$AA$74</c:f>
              <c:numCache>
                <c:formatCode>General</c:formatCode>
                <c:ptCount val="12"/>
                <c:pt idx="0">
                  <c:v>281982.59999999998</c:v>
                </c:pt>
                <c:pt idx="1">
                  <c:v>140991.29999999999</c:v>
                </c:pt>
                <c:pt idx="2">
                  <c:v>93994.2</c:v>
                </c:pt>
                <c:pt idx="3">
                  <c:v>70495.649999999994</c:v>
                </c:pt>
                <c:pt idx="4">
                  <c:v>56396.520000000004</c:v>
                </c:pt>
                <c:pt idx="5">
                  <c:v>46997.1</c:v>
                </c:pt>
                <c:pt idx="6">
                  <c:v>40283.228571428568</c:v>
                </c:pt>
                <c:pt idx="7">
                  <c:v>35247.824999999997</c:v>
                </c:pt>
                <c:pt idx="8">
                  <c:v>31331.399999999998</c:v>
                </c:pt>
                <c:pt idx="9">
                  <c:v>28198.260000000002</c:v>
                </c:pt>
                <c:pt idx="10">
                  <c:v>25634.781818181818</c:v>
                </c:pt>
                <c:pt idx="11">
                  <c:v>23498.55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Sheet3!$O$75</c:f>
              <c:strCache>
                <c:ptCount val="1"/>
                <c:pt idx="0">
                  <c:v>0.625</c:v>
                </c:pt>
              </c:strCache>
            </c:strRef>
          </c:tx>
          <c:xVal>
            <c:numRef>
              <c:f>Sheet3!$P$65:$AA$65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Sheet3!$P$75:$AA$75</c:f>
              <c:numCache>
                <c:formatCode>General</c:formatCode>
                <c:ptCount val="12"/>
                <c:pt idx="0">
                  <c:v>281982.59999999998</c:v>
                </c:pt>
                <c:pt idx="1">
                  <c:v>140991.29999999999</c:v>
                </c:pt>
                <c:pt idx="2">
                  <c:v>93994.2</c:v>
                </c:pt>
                <c:pt idx="3">
                  <c:v>70495.649999999994</c:v>
                </c:pt>
                <c:pt idx="4">
                  <c:v>56396.520000000004</c:v>
                </c:pt>
                <c:pt idx="5">
                  <c:v>46997.1</c:v>
                </c:pt>
                <c:pt idx="6">
                  <c:v>40283.228571428568</c:v>
                </c:pt>
                <c:pt idx="7">
                  <c:v>35247.824999999997</c:v>
                </c:pt>
                <c:pt idx="8">
                  <c:v>31331.4</c:v>
                </c:pt>
                <c:pt idx="9">
                  <c:v>28198.26</c:v>
                </c:pt>
                <c:pt idx="10">
                  <c:v>25634.781818181818</c:v>
                </c:pt>
                <c:pt idx="11">
                  <c:v>23498.55</c:v>
                </c:pt>
              </c:numCache>
            </c:numRef>
          </c:yVal>
          <c:smooth val="1"/>
        </c:ser>
        <c:axId val="159561216"/>
        <c:axId val="159562752"/>
      </c:scatterChart>
      <c:valAx>
        <c:axId val="159561216"/>
        <c:scaling>
          <c:orientation val="minMax"/>
        </c:scaling>
        <c:axPos val="b"/>
        <c:numFmt formatCode="General" sourceLinked="1"/>
        <c:tickLblPos val="nextTo"/>
        <c:crossAx val="159562752"/>
        <c:crosses val="autoZero"/>
        <c:crossBetween val="midCat"/>
      </c:valAx>
      <c:valAx>
        <c:axId val="159562752"/>
        <c:scaling>
          <c:orientation val="minMax"/>
        </c:scaling>
        <c:axPos val="l"/>
        <c:majorGridlines/>
        <c:numFmt formatCode="General" sourceLinked="1"/>
        <c:tickLblPos val="nextTo"/>
        <c:crossAx val="1595612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790574</xdr:colOff>
      <xdr:row>52</xdr:row>
      <xdr:rowOff>76199</xdr:rowOff>
    </xdr:from>
    <xdr:to>
      <xdr:col>32</xdr:col>
      <xdr:colOff>485774</xdr:colOff>
      <xdr:row>72</xdr:row>
      <xdr:rowOff>28574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190498</xdr:colOff>
      <xdr:row>1</xdr:row>
      <xdr:rowOff>133350</xdr:rowOff>
    </xdr:from>
    <xdr:to>
      <xdr:col>16</xdr:col>
      <xdr:colOff>57150</xdr:colOff>
      <xdr:row>16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247650</xdr:colOff>
      <xdr:row>17</xdr:row>
      <xdr:rowOff>142875</xdr:rowOff>
    </xdr:from>
    <xdr:to>
      <xdr:col>13</xdr:col>
      <xdr:colOff>552450</xdr:colOff>
      <xdr:row>32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238125</xdr:colOff>
      <xdr:row>34</xdr:row>
      <xdr:rowOff>38100</xdr:rowOff>
    </xdr:from>
    <xdr:to>
      <xdr:col>11</xdr:col>
      <xdr:colOff>542925</xdr:colOff>
      <xdr:row>48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19050</xdr:colOff>
      <xdr:row>74</xdr:row>
      <xdr:rowOff>28574</xdr:rowOff>
    </xdr:from>
    <xdr:to>
      <xdr:col>11</xdr:col>
      <xdr:colOff>152400</xdr:colOff>
      <xdr:row>91</xdr:row>
      <xdr:rowOff>171449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74</xdr:row>
      <xdr:rowOff>19050</xdr:rowOff>
    </xdr:from>
    <xdr:to>
      <xdr:col>26</xdr:col>
      <xdr:colOff>342900</xdr:colOff>
      <xdr:row>95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wirelookup" displayName="wirelookup" ref="A1:E11" totalsRowShown="0">
  <autoFilter ref="A1:E11">
    <filterColumn colId="4"/>
  </autoFilter>
  <tableColumns count="5">
    <tableColumn id="1" name="diameter"/>
    <tableColumn id="2" name="lift"/>
    <tableColumn id="3" name="average tensile"/>
    <tableColumn id="4" name="MP_base" dataDxfId="4">
      <calculatedColumnFormula>wirelookup[[#This Row],[average tensile]]*wirelookup[[#This Row],[diameter]]^3/10.2</calculatedColumnFormula>
    </tableColumn>
    <tableColumn id="5" name="min_o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ycles" displayName="cycles" ref="G1:H6" totalsRowShown="0">
  <autoFilter ref="G1:H6"/>
  <tableColumns count="2">
    <tableColumn id="1" name="cycles"/>
    <tableColumn id="2" name="rati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dlookup" displayName="odlookup" ref="J1:J7" totalsRowShown="0">
  <autoFilter ref="J1:J7"/>
  <tableColumns count="1">
    <tableColumn id="1" name="o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ipes" displayName="pipes" ref="L1:L3" totalsRowShown="0">
  <autoFilter ref="L1:L3"/>
  <tableColumns count="1">
    <tableColumn id="1" name="pipesiz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A30"/>
  <sheetViews>
    <sheetView tabSelected="1" topLeftCell="F1" workbookViewId="0">
      <selection activeCell="AB13" sqref="AB13"/>
    </sheetView>
  </sheetViews>
  <sheetFormatPr defaultRowHeight="15"/>
  <cols>
    <col min="1" max="1" width="10.28515625" customWidth="1"/>
    <col min="2" max="2" width="11.28515625" customWidth="1"/>
    <col min="3" max="3" width="16" customWidth="1"/>
    <col min="4" max="4" width="16.42578125" customWidth="1"/>
    <col min="5" max="5" width="10.7109375" bestFit="1" customWidth="1"/>
    <col min="6" max="6" width="15.42578125" bestFit="1" customWidth="1"/>
    <col min="7" max="7" width="14.7109375" bestFit="1" customWidth="1"/>
    <col min="8" max="8" width="7.5703125" bestFit="1" customWidth="1"/>
    <col min="9" max="9" width="13.28515625" customWidth="1"/>
    <col min="10" max="10" width="12" bestFit="1" customWidth="1"/>
    <col min="16" max="16" width="11.140625" customWidth="1"/>
    <col min="17" max="17" width="16.42578125" customWidth="1"/>
    <col min="18" max="18" width="16.140625" customWidth="1"/>
    <col min="19" max="19" width="13" customWidth="1"/>
    <col min="23" max="23" width="11.42578125" customWidth="1"/>
    <col min="25" max="25" width="10.5703125" customWidth="1"/>
  </cols>
  <sheetData>
    <row r="2" spans="1:27" ht="15.75" thickBot="1"/>
    <row r="3" spans="1:27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7"/>
      <c r="M3" s="30"/>
      <c r="N3" s="30"/>
      <c r="O3" s="30"/>
    </row>
    <row r="4" spans="1:27" ht="18.75">
      <c r="A4" s="28"/>
      <c r="B4" s="43" t="s">
        <v>93</v>
      </c>
      <c r="C4" s="43"/>
      <c r="D4" s="43"/>
      <c r="E4" s="43"/>
      <c r="F4" s="43"/>
      <c r="G4" s="43"/>
      <c r="H4" s="43"/>
      <c r="I4" s="43"/>
      <c r="J4" s="43"/>
      <c r="K4" s="43"/>
      <c r="L4" s="64"/>
      <c r="M4" s="63"/>
      <c r="N4" s="30"/>
      <c r="O4" s="30"/>
    </row>
    <row r="5" spans="1:27">
      <c r="A5" s="28"/>
      <c r="B5" s="30"/>
      <c r="C5" s="30"/>
      <c r="D5" s="30"/>
      <c r="E5" s="30"/>
      <c r="F5" s="30"/>
      <c r="G5" s="30"/>
      <c r="H5" s="30"/>
      <c r="I5" s="30"/>
      <c r="J5" s="30"/>
      <c r="K5" s="30"/>
      <c r="L5" s="29"/>
      <c r="M5" s="30"/>
      <c r="N5" s="30"/>
      <c r="O5" s="30"/>
    </row>
    <row r="6" spans="1:27">
      <c r="A6" s="28"/>
      <c r="B6" s="30"/>
      <c r="C6" s="30"/>
      <c r="D6" s="31" t="s">
        <v>16</v>
      </c>
      <c r="E6" s="31"/>
      <c r="F6" s="31"/>
      <c r="G6" s="31"/>
      <c r="H6" s="31"/>
      <c r="I6" s="30"/>
      <c r="J6" s="30"/>
      <c r="K6" s="30"/>
      <c r="L6" s="29"/>
      <c r="M6" s="30"/>
      <c r="N6" s="30"/>
      <c r="O6" s="30"/>
      <c r="Q6" s="20" t="s">
        <v>16</v>
      </c>
      <c r="R6" s="20"/>
      <c r="S6" s="20"/>
      <c r="T6" s="23"/>
      <c r="U6" s="23"/>
      <c r="V6" s="23"/>
      <c r="W6" s="23"/>
      <c r="X6" s="23"/>
      <c r="Y6" s="23"/>
    </row>
    <row r="7" spans="1:27">
      <c r="A7" s="28"/>
      <c r="B7" s="30"/>
      <c r="C7" s="30"/>
      <c r="D7" s="32" t="s">
        <v>3</v>
      </c>
      <c r="E7" s="32" t="s">
        <v>4</v>
      </c>
      <c r="F7" s="32" t="s">
        <v>95</v>
      </c>
      <c r="G7" s="33" t="s">
        <v>5</v>
      </c>
      <c r="H7" s="32" t="s">
        <v>12</v>
      </c>
      <c r="I7" s="30"/>
      <c r="J7" s="30"/>
      <c r="K7" s="30"/>
      <c r="L7" s="29"/>
      <c r="M7" s="30"/>
      <c r="N7" s="30"/>
      <c r="O7" s="30"/>
      <c r="Q7" s="18" t="s">
        <v>3</v>
      </c>
      <c r="R7" s="18" t="s">
        <v>4</v>
      </c>
      <c r="S7" s="18" t="s">
        <v>12</v>
      </c>
      <c r="T7" s="58" t="s">
        <v>107</v>
      </c>
    </row>
    <row r="8" spans="1:27">
      <c r="A8" s="28"/>
      <c r="B8" s="30"/>
      <c r="C8" s="30"/>
      <c r="D8" s="34">
        <v>229.819879919947</v>
      </c>
      <c r="E8" s="5">
        <v>4.49</v>
      </c>
      <c r="F8" s="6">
        <v>0.375</v>
      </c>
      <c r="G8" s="35">
        <f t="array" ref="G8">INDEX(wirelookup[],MATCH(MIN(IF(wirelookup[MP_base]*cycrat&gt;ippt*tt/1.015,wirelookup[MP_base])),wirelookup[MP_base],0),1)</f>
        <v>0.375</v>
      </c>
      <c r="H8" s="7">
        <v>12500</v>
      </c>
      <c r="I8" s="30"/>
      <c r="J8" s="30"/>
      <c r="K8" s="30"/>
      <c r="L8" s="29"/>
      <c r="M8" s="30"/>
      <c r="N8" s="30"/>
      <c r="O8" s="30"/>
      <c r="Q8" s="44">
        <v>362.05250596658709</v>
      </c>
      <c r="R8" s="44">
        <v>5.69</v>
      </c>
      <c r="S8" s="46">
        <v>12500</v>
      </c>
      <c r="T8" s="45">
        <v>4.25</v>
      </c>
    </row>
    <row r="9" spans="1:27">
      <c r="A9" s="28"/>
      <c r="B9" s="30"/>
      <c r="C9" s="30"/>
      <c r="D9" s="30"/>
      <c r="E9" s="30"/>
      <c r="F9" s="30"/>
      <c r="G9" s="30"/>
      <c r="H9" s="30"/>
      <c r="I9" s="30"/>
      <c r="J9" s="30"/>
      <c r="K9" s="30"/>
      <c r="L9" s="29"/>
      <c r="M9" s="30"/>
      <c r="N9" s="30"/>
      <c r="O9" s="30"/>
    </row>
    <row r="10" spans="1:27">
      <c r="A10" s="28"/>
      <c r="B10" s="30"/>
      <c r="C10" s="31" t="s">
        <v>8</v>
      </c>
      <c r="D10" s="31"/>
      <c r="E10" s="31"/>
      <c r="F10" s="31"/>
      <c r="G10" s="31"/>
      <c r="H10" s="31"/>
      <c r="I10" s="31"/>
      <c r="J10" s="30"/>
      <c r="K10" s="30"/>
      <c r="L10" s="29"/>
      <c r="M10" s="30"/>
      <c r="N10" s="30"/>
      <c r="O10" s="30"/>
      <c r="Q10" s="20" t="s">
        <v>96</v>
      </c>
      <c r="R10" s="20"/>
      <c r="S10" s="20"/>
      <c r="T10" s="20"/>
      <c r="V10" s="20" t="s">
        <v>109</v>
      </c>
      <c r="W10" s="20"/>
      <c r="X10" s="20"/>
      <c r="Y10" s="20"/>
      <c r="Z10" s="20"/>
    </row>
    <row r="11" spans="1:27">
      <c r="A11" s="28"/>
      <c r="B11" s="30"/>
      <c r="C11" s="32" t="s">
        <v>9</v>
      </c>
      <c r="D11" s="32" t="s">
        <v>1</v>
      </c>
      <c r="E11" s="32" t="s">
        <v>23</v>
      </c>
      <c r="F11" s="32" t="s">
        <v>10</v>
      </c>
      <c r="G11" s="32" t="s">
        <v>15</v>
      </c>
      <c r="H11" s="32" t="s">
        <v>19</v>
      </c>
      <c r="I11" s="32" t="s">
        <v>83</v>
      </c>
      <c r="J11" s="30"/>
      <c r="K11" s="30"/>
      <c r="L11" s="29"/>
      <c r="M11" s="30"/>
      <c r="N11" s="30"/>
      <c r="O11" s="30"/>
      <c r="Q11" s="17" t="s">
        <v>95</v>
      </c>
      <c r="R11" s="17" t="s">
        <v>6</v>
      </c>
      <c r="S11" s="17" t="s">
        <v>38</v>
      </c>
      <c r="T11" s="17" t="s">
        <v>18</v>
      </c>
      <c r="V11" s="17" t="s">
        <v>11</v>
      </c>
      <c r="W11" s="17" t="s">
        <v>20</v>
      </c>
      <c r="X11" s="17" t="s">
        <v>22</v>
      </c>
      <c r="Y11" s="17" t="s">
        <v>7</v>
      </c>
      <c r="Z11" s="17" t="s">
        <v>19</v>
      </c>
      <c r="AA11" s="17" t="s">
        <v>111</v>
      </c>
    </row>
    <row r="12" spans="1:27">
      <c r="A12" s="28"/>
      <c r="B12" s="30"/>
      <c r="C12" s="36">
        <f>MATCH(wd,wirelookup[diameter],0)</f>
        <v>4</v>
      </c>
      <c r="D12" s="36">
        <f>VLOOKUP(wd,wirelookup[],2,0)</f>
        <v>182724</v>
      </c>
      <c r="E12" s="36">
        <f>VLOOKUP(wd,wirelookup[],3,0)</f>
        <v>197500</v>
      </c>
      <c r="F12" s="36">
        <f>VLOOKUP(wd,wirelookup[],4,0)</f>
        <v>1021.0822610294118</v>
      </c>
      <c r="G12" s="36">
        <f>VLOOKUP(cyc,cycles[],2,0)</f>
        <v>1.0549999999999999</v>
      </c>
      <c r="H12" s="36">
        <f>wd*2*tt</f>
        <v>3.3675000000000002</v>
      </c>
      <c r="I12" s="36">
        <f>IFERROR((mp*cycrat)/ippt,"")</f>
        <v>4.6873307294445734</v>
      </c>
      <c r="J12" s="30"/>
      <c r="K12" s="30"/>
      <c r="L12" s="29"/>
      <c r="M12" s="30"/>
      <c r="N12" s="30"/>
      <c r="O12" s="30"/>
      <c r="P12" s="3" t="s">
        <v>92</v>
      </c>
      <c r="Q12" s="61"/>
      <c r="R12" s="59">
        <f>IFERROR(R8*1.015*VLOOKUP(Q12,wirelookup[],2,0)/(VLOOKUP(Q12,wirelookup[],4,0)*VLOOKUP(S8,cycles[],2,0)),0)</f>
        <v>0</v>
      </c>
      <c r="S12" s="59">
        <f>X12*Q12</f>
        <v>0</v>
      </c>
      <c r="T12" s="60">
        <f t="array" ref="T12">MAX(IF(odlookup[od]&lt;T8,odlookup[od]))</f>
        <v>3.75</v>
      </c>
      <c r="V12" s="13">
        <f>IFERROR(VLOOKUP(Q12,wirelookup[],2,0)/R12,0)</f>
        <v>0</v>
      </c>
      <c r="W12" s="13">
        <f>(T12-Q12)*PI()</f>
        <v>11.780972450961723</v>
      </c>
      <c r="X12" s="13">
        <f>IFERROR(R12/W12,0)</f>
        <v>0</v>
      </c>
      <c r="Y12" s="13">
        <f>IFERROR((VLOOKUP(Q12,wirelookup[],4,0)*VLOOKUP($S$8,cycles[],2,0))/V12,0)</f>
        <v>0</v>
      </c>
      <c r="Z12" s="13">
        <f>Q12*2*$R$8</f>
        <v>0</v>
      </c>
      <c r="AA12" s="8">
        <f>$Q$8-V12</f>
        <v>362.05250596658709</v>
      </c>
    </row>
    <row r="13" spans="1:27" ht="15.75" thickBot="1">
      <c r="A13" s="28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9"/>
      <c r="M13" s="30"/>
      <c r="N13" s="30"/>
      <c r="O13" s="30"/>
      <c r="P13" s="3" t="s">
        <v>92</v>
      </c>
      <c r="Q13" s="65"/>
      <c r="R13" s="13">
        <f>IFERROR(VLOOKUP(Q13,wirelookup[],2,0)/(Q8-V12),0)</f>
        <v>0</v>
      </c>
      <c r="S13" s="13">
        <f>X13*Q13</f>
        <v>0</v>
      </c>
      <c r="T13" s="66">
        <f t="array" ref="T13">MAX(IF(odlookup[od]&lt;T12,odlookup[od]))</f>
        <v>2.75</v>
      </c>
      <c r="V13" s="13">
        <f>IFERROR(VLOOKUP(Q13,wirelookup[],2,0)/R13,0)</f>
        <v>0</v>
      </c>
      <c r="W13" s="13">
        <f t="shared" ref="W13:W19" si="0">(T13-Q13)*PI()</f>
        <v>8.6393797973719302</v>
      </c>
      <c r="X13" s="13">
        <f t="shared" ref="X13:X19" si="1">IFERROR(R13/W13,0)</f>
        <v>0</v>
      </c>
      <c r="Y13" s="13">
        <f>IFERROR((VLOOKUP(Q13,wirelookup[],4,0)*VLOOKUP($S$8,cycles[],2,0))/V13,0)</f>
        <v>0</v>
      </c>
      <c r="Z13" s="13">
        <f t="shared" ref="Z13:Z19" si="2">Q13*2*$R$8</f>
        <v>0</v>
      </c>
      <c r="AA13" s="8">
        <f>AA12-V13</f>
        <v>362.05250596658709</v>
      </c>
    </row>
    <row r="14" spans="1:27">
      <c r="A14" s="28"/>
      <c r="B14" s="30"/>
      <c r="C14" s="31" t="s">
        <v>46</v>
      </c>
      <c r="D14" s="31"/>
      <c r="E14" s="62"/>
      <c r="F14" s="31" t="s">
        <v>17</v>
      </c>
      <c r="G14" s="31"/>
      <c r="H14" s="31"/>
      <c r="I14" s="31"/>
      <c r="J14" s="31"/>
      <c r="K14" s="31"/>
      <c r="L14" s="29"/>
      <c r="M14" s="30"/>
      <c r="N14" s="30"/>
      <c r="O14" s="30"/>
      <c r="P14" s="3" t="s">
        <v>110</v>
      </c>
      <c r="Q14" s="67"/>
      <c r="R14" s="68"/>
      <c r="S14" s="68"/>
      <c r="T14" s="69">
        <v>3.75</v>
      </c>
      <c r="V14" s="13">
        <f>IFERROR(VLOOKUP(Q14,wirelookup[],2,0)/R14,0)</f>
        <v>0</v>
      </c>
      <c r="W14" s="13">
        <f t="shared" si="0"/>
        <v>11.780972450961723</v>
      </c>
      <c r="X14" s="13">
        <f t="shared" si="1"/>
        <v>0</v>
      </c>
      <c r="Y14" s="13">
        <f>IFERROR((VLOOKUP(Q14,wirelookup[],4,0)*VLOOKUP($S$8,cycles[],2,0))/V14,0)</f>
        <v>0</v>
      </c>
      <c r="Z14" s="13">
        <f t="shared" si="2"/>
        <v>0</v>
      </c>
      <c r="AA14" s="8">
        <f>Q8-V14</f>
        <v>362.05250596658709</v>
      </c>
    </row>
    <row r="15" spans="1:27" ht="15.75" thickBot="1">
      <c r="A15" s="28"/>
      <c r="B15" s="30"/>
      <c r="C15" s="32" t="s">
        <v>6</v>
      </c>
      <c r="D15" s="38" t="s">
        <v>18</v>
      </c>
      <c r="E15" s="30"/>
      <c r="F15" s="32" t="s">
        <v>11</v>
      </c>
      <c r="G15" s="38" t="s">
        <v>20</v>
      </c>
      <c r="H15" s="32" t="s">
        <v>22</v>
      </c>
      <c r="I15" s="38" t="s">
        <v>34</v>
      </c>
      <c r="J15" s="32" t="s">
        <v>7</v>
      </c>
      <c r="K15" s="30"/>
      <c r="L15" s="29"/>
      <c r="M15" s="30"/>
      <c r="N15" s="30"/>
      <c r="O15" s="30"/>
      <c r="P15" s="24" t="s">
        <v>110</v>
      </c>
      <c r="Q15" s="70"/>
      <c r="R15" s="71"/>
      <c r="S15" s="71"/>
      <c r="T15" s="72">
        <v>2.75</v>
      </c>
      <c r="V15" s="13">
        <f>IFERROR(VLOOKUP(Q15,wirelookup[],2,0)/R15,0)</f>
        <v>0</v>
      </c>
      <c r="W15" s="13">
        <f t="shared" si="0"/>
        <v>8.6393797973719302</v>
      </c>
      <c r="X15" s="13">
        <f t="shared" si="1"/>
        <v>0</v>
      </c>
      <c r="Y15" s="13">
        <f>IFERROR((VLOOKUP(Q15,wirelookup[],4,0)*VLOOKUP($S$8,cycles[],2,0))/V15,0)</f>
        <v>0</v>
      </c>
      <c r="Z15" s="13">
        <f t="shared" si="2"/>
        <v>0</v>
      </c>
      <c r="AA15" s="8">
        <f>AA14-V15</f>
        <v>362.05250596658709</v>
      </c>
    </row>
    <row r="16" spans="1:27">
      <c r="A16" s="28"/>
      <c r="B16" s="39" t="s">
        <v>92</v>
      </c>
      <c r="C16" s="36">
        <f>lift/ippt</f>
        <v>795.07482148040515</v>
      </c>
      <c r="D16" s="13">
        <f>IF(VLOOKUP(wd,wirelookup[],5,0)&lt;5.625,3.75,5.625)</f>
        <v>3.75</v>
      </c>
      <c r="E16" s="30"/>
      <c r="F16" s="36">
        <f>IFERROR(lift/C16,"")</f>
        <v>229.819879919947</v>
      </c>
      <c r="G16" s="36">
        <f>(D16-wd)*PI()</f>
        <v>10.602875205865551</v>
      </c>
      <c r="H16" s="36">
        <f>C16/G16</f>
        <v>74.986718794970514</v>
      </c>
      <c r="I16" s="36">
        <f t="shared" ref="I16:I22" si="3">H16*wd</f>
        <v>28.120019548113945</v>
      </c>
      <c r="J16" s="36">
        <f t="shared" ref="J16:J22" si="4">(mp*cycrat)/F16</f>
        <v>4.6873307294445734</v>
      </c>
      <c r="K16" s="36"/>
      <c r="L16" s="29"/>
      <c r="M16" s="30"/>
      <c r="N16" s="30"/>
      <c r="O16" s="30"/>
      <c r="Q16" s="50"/>
      <c r="R16" s="53"/>
      <c r="S16" s="53"/>
      <c r="T16" s="50"/>
      <c r="V16" s="13">
        <f>IFERROR(VLOOKUP(Q16,wirelookup[],2,0)/R16,0)</f>
        <v>0</v>
      </c>
      <c r="W16" s="13">
        <f t="shared" si="0"/>
        <v>0</v>
      </c>
      <c r="X16" s="13">
        <f t="shared" si="1"/>
        <v>0</v>
      </c>
      <c r="Y16" s="13">
        <f>IFERROR((VLOOKUP(Q16,wirelookup[],4,0)*VLOOKUP($S$8,cycles[],2,0))/V16,0)</f>
        <v>0</v>
      </c>
      <c r="Z16" s="13">
        <f t="shared" si="2"/>
        <v>0</v>
      </c>
      <c r="AA16" s="8" t="e">
        <f>NA()</f>
        <v>#N/A</v>
      </c>
    </row>
    <row r="17" spans="1:27">
      <c r="A17" s="28"/>
      <c r="B17" s="30"/>
      <c r="C17" s="37"/>
      <c r="D17" s="10">
        <v>2.75</v>
      </c>
      <c r="E17" s="30"/>
      <c r="F17" s="36" t="str">
        <f>IFERROR(lift/C17,"")</f>
        <v/>
      </c>
      <c r="G17" s="36">
        <f>(D17-wd)*PI()</f>
        <v>7.4612825522757582</v>
      </c>
      <c r="H17" s="36">
        <f>C17/G17</f>
        <v>0</v>
      </c>
      <c r="I17" s="36">
        <f t="shared" si="3"/>
        <v>0</v>
      </c>
      <c r="J17" s="36" t="e">
        <f t="shared" si="4"/>
        <v>#VALUE!</v>
      </c>
      <c r="K17" s="36"/>
      <c r="L17" s="29"/>
      <c r="M17" s="30"/>
      <c r="N17" s="30"/>
      <c r="O17" s="30"/>
      <c r="Q17" s="50"/>
      <c r="R17" s="53"/>
      <c r="S17" s="53"/>
      <c r="T17" s="50"/>
      <c r="V17" s="13">
        <f>IFERROR(VLOOKUP(Q17,wirelookup[],2,0)/R17,0)</f>
        <v>0</v>
      </c>
      <c r="W17" s="13">
        <f t="shared" si="0"/>
        <v>0</v>
      </c>
      <c r="X17" s="13">
        <f t="shared" si="1"/>
        <v>0</v>
      </c>
      <c r="Y17" s="13">
        <f>IFERROR((VLOOKUP(Q17,wirelookup[],4,0)*VLOOKUP($S$8,cycles[],2,0))/V17,0)</f>
        <v>0</v>
      </c>
      <c r="Z17" s="13">
        <f t="shared" si="2"/>
        <v>0</v>
      </c>
      <c r="AA17" s="8" t="e">
        <f>NA()</f>
        <v>#N/A</v>
      </c>
    </row>
    <row r="18" spans="1:27">
      <c r="A18" s="28"/>
      <c r="B18" s="30"/>
      <c r="C18" s="37"/>
      <c r="D18" s="11">
        <v>3.75</v>
      </c>
      <c r="E18" s="30"/>
      <c r="F18" s="36" t="str">
        <f>IFERROR(lift/C18,"")</f>
        <v/>
      </c>
      <c r="G18" s="36">
        <f>(D18-wd)*PI()</f>
        <v>10.602875205865551</v>
      </c>
      <c r="H18" s="36">
        <f>C18/G18</f>
        <v>0</v>
      </c>
      <c r="I18" s="36">
        <f t="shared" si="3"/>
        <v>0</v>
      </c>
      <c r="J18" s="36" t="e">
        <f t="shared" si="4"/>
        <v>#VALUE!</v>
      </c>
      <c r="K18" s="36"/>
      <c r="L18" s="29"/>
      <c r="M18" s="30"/>
      <c r="N18" s="30"/>
      <c r="O18" s="30"/>
      <c r="Q18" s="50"/>
      <c r="R18" s="53"/>
      <c r="S18" s="53"/>
      <c r="T18" s="50"/>
      <c r="V18" s="13">
        <f>IFERROR(VLOOKUP(Q18,wirelookup[],2,0)/R18,0)</f>
        <v>0</v>
      </c>
      <c r="W18" s="13">
        <f t="shared" si="0"/>
        <v>0</v>
      </c>
      <c r="X18" s="13">
        <f t="shared" si="1"/>
        <v>0</v>
      </c>
      <c r="Y18" s="13">
        <f>IFERROR((VLOOKUP(Q18,wirelookup[],4,0)*VLOOKUP($S$8,cycles[],2,0))/V18,0)</f>
        <v>0</v>
      </c>
      <c r="Z18" s="13">
        <f t="shared" si="2"/>
        <v>0</v>
      </c>
      <c r="AA18" s="8" t="e">
        <f>NA()</f>
        <v>#N/A</v>
      </c>
    </row>
    <row r="19" spans="1:27">
      <c r="A19" s="28"/>
      <c r="B19" s="30"/>
      <c r="C19" s="37"/>
      <c r="D19" s="11">
        <v>2.75</v>
      </c>
      <c r="E19" s="30"/>
      <c r="F19" s="36" t="str">
        <f>IFERROR(lift/C19,"")</f>
        <v/>
      </c>
      <c r="G19" s="36">
        <f>(D19-wd)*PI()</f>
        <v>7.4612825522757582</v>
      </c>
      <c r="H19" s="36">
        <f>C19/G19</f>
        <v>0</v>
      </c>
      <c r="I19" s="36">
        <f t="shared" si="3"/>
        <v>0</v>
      </c>
      <c r="J19" s="36" t="e">
        <f t="shared" si="4"/>
        <v>#VALUE!</v>
      </c>
      <c r="K19" s="36"/>
      <c r="L19" s="29"/>
      <c r="M19" s="30"/>
      <c r="N19" s="30"/>
      <c r="O19" s="30"/>
      <c r="Q19" s="51"/>
      <c r="R19" s="54"/>
      <c r="S19" s="54"/>
      <c r="T19" s="51"/>
      <c r="V19" s="13">
        <f>IFERROR(VLOOKUP(Q19,wirelookup[],2,0)/R19,0)</f>
        <v>0</v>
      </c>
      <c r="W19" s="13">
        <f t="shared" si="0"/>
        <v>0</v>
      </c>
      <c r="X19" s="13">
        <f t="shared" si="1"/>
        <v>0</v>
      </c>
      <c r="Y19" s="13">
        <f>IFERROR((VLOOKUP(Q19,wirelookup[],4,0)*VLOOKUP($S$8,cycles[],2,0))/V19,0)</f>
        <v>0</v>
      </c>
      <c r="Z19" s="13">
        <f t="shared" si="2"/>
        <v>0</v>
      </c>
      <c r="AA19" s="8" t="e">
        <f>NA()</f>
        <v>#N/A</v>
      </c>
    </row>
    <row r="20" spans="1:27">
      <c r="A20" s="28"/>
      <c r="B20" s="30"/>
      <c r="C20" s="37"/>
      <c r="D20" s="11">
        <v>2.75</v>
      </c>
      <c r="E20" s="30"/>
      <c r="F20" s="36" t="str">
        <f>IFERROR(lift/C20,"")</f>
        <v/>
      </c>
      <c r="G20" s="36">
        <f>(D20-wd)*PI()</f>
        <v>7.4612825522757582</v>
      </c>
      <c r="H20" s="36">
        <f>C20/G20</f>
        <v>0</v>
      </c>
      <c r="I20" s="36">
        <f t="shared" si="3"/>
        <v>0</v>
      </c>
      <c r="J20" s="36" t="e">
        <f t="shared" si="4"/>
        <v>#VALUE!</v>
      </c>
      <c r="K20" s="36"/>
      <c r="L20" s="29"/>
      <c r="M20" s="30"/>
      <c r="N20" s="30"/>
      <c r="O20" s="30"/>
    </row>
    <row r="21" spans="1:27">
      <c r="A21" s="28"/>
      <c r="B21" s="30"/>
      <c r="C21" s="37"/>
      <c r="D21" s="11">
        <v>2.75</v>
      </c>
      <c r="E21" s="30"/>
      <c r="F21" s="36" t="str">
        <f>IFERROR(lift/C21,"")</f>
        <v/>
      </c>
      <c r="G21" s="36">
        <f>(D21-wd)*PI()</f>
        <v>7.4612825522757582</v>
      </c>
      <c r="H21" s="36">
        <f>C21/G21</f>
        <v>0</v>
      </c>
      <c r="I21" s="36">
        <f t="shared" si="3"/>
        <v>0</v>
      </c>
      <c r="J21" s="36" t="e">
        <f t="shared" si="4"/>
        <v>#VALUE!</v>
      </c>
      <c r="K21" s="36"/>
      <c r="L21" s="29"/>
      <c r="M21" s="30"/>
      <c r="N21" s="30"/>
      <c r="O21" s="30"/>
    </row>
    <row r="22" spans="1:27">
      <c r="A22" s="28"/>
      <c r="B22" s="30"/>
      <c r="C22" s="37"/>
      <c r="D22" s="12">
        <v>2.75</v>
      </c>
      <c r="E22" s="30"/>
      <c r="F22" s="36" t="str">
        <f>IFERROR(lift/C22,"")</f>
        <v/>
      </c>
      <c r="G22" s="36">
        <f>(D22-wd)*PI()</f>
        <v>7.4612825522757582</v>
      </c>
      <c r="H22" s="36">
        <f>C22/G22</f>
        <v>0</v>
      </c>
      <c r="I22" s="36">
        <f t="shared" si="3"/>
        <v>0</v>
      </c>
      <c r="J22" s="36" t="e">
        <f t="shared" si="4"/>
        <v>#VALUE!</v>
      </c>
      <c r="K22" s="36"/>
      <c r="L22" s="29"/>
      <c r="M22" s="30"/>
      <c r="N22" s="30"/>
      <c r="O22" s="30"/>
    </row>
    <row r="23" spans="1:27">
      <c r="A23" s="28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29"/>
      <c r="M23" s="30"/>
      <c r="N23" s="30"/>
      <c r="O23" s="30"/>
    </row>
    <row r="24" spans="1:27">
      <c r="A24" s="28"/>
      <c r="B24" s="30"/>
      <c r="C24" s="31" t="s">
        <v>39</v>
      </c>
      <c r="D24" s="31"/>
      <c r="E24" s="62"/>
      <c r="F24" s="30"/>
      <c r="G24" s="30"/>
      <c r="H24" s="30"/>
      <c r="I24" s="30"/>
      <c r="J24" s="30"/>
      <c r="K24" s="30"/>
      <c r="L24" s="29"/>
      <c r="M24" s="30"/>
      <c r="N24" s="30"/>
      <c r="O24" s="30"/>
    </row>
    <row r="25" spans="1:27">
      <c r="A25" s="28"/>
      <c r="B25" s="30"/>
      <c r="C25" s="38" t="s">
        <v>38</v>
      </c>
      <c r="D25" s="38" t="s">
        <v>18</v>
      </c>
      <c r="E25" s="30"/>
      <c r="F25" s="32" t="s">
        <v>11</v>
      </c>
      <c r="G25" s="38" t="s">
        <v>20</v>
      </c>
      <c r="H25" s="32" t="s">
        <v>22</v>
      </c>
      <c r="I25" s="38" t="s">
        <v>6</v>
      </c>
      <c r="J25" s="32" t="s">
        <v>7</v>
      </c>
      <c r="K25" s="30"/>
      <c r="L25" s="29"/>
      <c r="M25" s="30"/>
      <c r="N25" s="30"/>
      <c r="O25" s="30"/>
    </row>
    <row r="26" spans="1:27">
      <c r="A26" s="28"/>
      <c r="B26" s="30"/>
      <c r="C26" s="37"/>
      <c r="D26" s="10">
        <v>2.75</v>
      </c>
      <c r="E26" s="37"/>
      <c r="F26" s="36" t="str">
        <f>IFERROR(lift/I26,"")</f>
        <v/>
      </c>
      <c r="G26" s="36">
        <f>(D26-wd)*PI()</f>
        <v>7.4612825522757582</v>
      </c>
      <c r="H26" s="36">
        <f>I26/G26</f>
        <v>0</v>
      </c>
      <c r="I26" s="36">
        <f>C26/wd*G26</f>
        <v>0</v>
      </c>
      <c r="J26" s="36" t="e">
        <f>(mp*cycrat)/F26</f>
        <v>#VALUE!</v>
      </c>
      <c r="K26" s="13"/>
      <c r="L26" s="29"/>
      <c r="M26" s="30"/>
      <c r="N26" s="30"/>
      <c r="O26" s="30"/>
    </row>
    <row r="27" spans="1:27">
      <c r="A27" s="28"/>
      <c r="B27" s="30"/>
      <c r="C27" s="37"/>
      <c r="D27" s="11">
        <v>3.75</v>
      </c>
      <c r="E27" s="37"/>
      <c r="F27" s="36" t="str">
        <f>IFERROR(lift/I27,"")</f>
        <v/>
      </c>
      <c r="G27" s="36">
        <f>(D27-wd)*PI()</f>
        <v>10.602875205865551</v>
      </c>
      <c r="H27" s="36">
        <f t="shared" ref="H27:H29" si="5">I27/G27</f>
        <v>0</v>
      </c>
      <c r="I27" s="36">
        <f>C27/wd*G27</f>
        <v>0</v>
      </c>
      <c r="J27" s="36" t="e">
        <f>(mp*cycrat)/F27</f>
        <v>#VALUE!</v>
      </c>
      <c r="K27" s="13"/>
      <c r="L27" s="29"/>
      <c r="M27" s="30"/>
      <c r="N27" s="30"/>
      <c r="O27" s="30"/>
    </row>
    <row r="28" spans="1:27">
      <c r="A28" s="28"/>
      <c r="B28" s="30"/>
      <c r="C28" s="37"/>
      <c r="D28" s="11">
        <v>2.75</v>
      </c>
      <c r="E28" s="37"/>
      <c r="F28" s="36" t="str">
        <f>IFERROR(lift/I28,"")</f>
        <v/>
      </c>
      <c r="G28" s="36">
        <f>(D28-wd)*PI()</f>
        <v>7.4612825522757582</v>
      </c>
      <c r="H28" s="36">
        <f t="shared" si="5"/>
        <v>0</v>
      </c>
      <c r="I28" s="36">
        <f>C28/wd*G28</f>
        <v>0</v>
      </c>
      <c r="J28" s="36" t="e">
        <f>(mp*cycrat)/F28</f>
        <v>#VALUE!</v>
      </c>
      <c r="K28" s="13"/>
      <c r="L28" s="29"/>
      <c r="M28" s="30"/>
      <c r="N28" s="30"/>
      <c r="O28" s="30"/>
    </row>
    <row r="29" spans="1:27">
      <c r="A29" s="28"/>
      <c r="B29" s="30"/>
      <c r="C29" s="37"/>
      <c r="D29" s="12">
        <v>2.75</v>
      </c>
      <c r="E29" s="37"/>
      <c r="F29" s="36" t="str">
        <f>IFERROR(lift/I29,"")</f>
        <v/>
      </c>
      <c r="G29" s="36">
        <f>(D29-wd)*PI()</f>
        <v>7.4612825522757582</v>
      </c>
      <c r="H29" s="36">
        <f t="shared" si="5"/>
        <v>0</v>
      </c>
      <c r="I29" s="36">
        <f>C29/wd*G29</f>
        <v>0</v>
      </c>
      <c r="J29" s="36" t="e">
        <f>(mp*cycrat)/F29</f>
        <v>#VALUE!</v>
      </c>
      <c r="K29" s="13"/>
      <c r="L29" s="29"/>
      <c r="M29" s="30"/>
      <c r="N29" s="30"/>
      <c r="O29" s="30"/>
    </row>
    <row r="30" spans="1:27" ht="15.75" thickBot="1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2"/>
      <c r="M30" s="30"/>
      <c r="N30" s="30"/>
      <c r="O30" s="30"/>
    </row>
  </sheetData>
  <mergeCells count="9">
    <mergeCell ref="Q6:S6"/>
    <mergeCell ref="Q10:T10"/>
    <mergeCell ref="B4:K4"/>
    <mergeCell ref="C10:I10"/>
    <mergeCell ref="D6:H6"/>
    <mergeCell ref="F14:K14"/>
    <mergeCell ref="V10:Z10"/>
    <mergeCell ref="C14:D14"/>
    <mergeCell ref="C24:D24"/>
  </mergeCells>
  <conditionalFormatting sqref="F16:F22 F26:F29">
    <cfRule type="cellIs" dxfId="3" priority="4" operator="lessThan">
      <formula>INDIRECT("ippt")</formula>
    </cfRule>
  </conditionalFormatting>
  <conditionalFormatting sqref="I12">
    <cfRule type="cellIs" dxfId="2" priority="3" operator="lessThan">
      <formula>INDIRECT("tt")</formula>
    </cfRule>
  </conditionalFormatting>
  <conditionalFormatting sqref="D17:D22 D26:D29">
    <cfRule type="cellIs" dxfId="1" priority="2" operator="lessThan">
      <formula>INDIRECT("VLOOKUP(wd,wirelookup,5,0)")</formula>
    </cfRule>
  </conditionalFormatting>
  <conditionalFormatting sqref="J16:J22 J26:J29">
    <cfRule type="cellIs" dxfId="0" priority="1" operator="lessThan">
      <formula>INDIRECT("tt")</formula>
    </cfRule>
  </conditionalFormatting>
  <dataValidations count="4">
    <dataValidation type="list" allowBlank="1" showInputMessage="1" showErrorMessage="1" sqref="Q14:Q19 F8">
      <formula1>INDIRECT("wirelookup[diameter]")</formula1>
    </dataValidation>
    <dataValidation type="list" allowBlank="1" showInputMessage="1" showErrorMessage="1" sqref="T14:T19 D26:D29 D17:D22">
      <formula1>INDIRECT("odlookup")</formula1>
    </dataValidation>
    <dataValidation type="list" allowBlank="1" showInputMessage="1" showErrorMessage="1" sqref="H8 S8">
      <formula1>INDIRECT("cycles[cycles]")</formula1>
    </dataValidation>
    <dataValidation type="list" allowBlank="1" showInputMessage="1" showErrorMessage="1" sqref="T8">
      <formula1>INDIRECT("pipes[pipesize]")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Z51"/>
  <sheetViews>
    <sheetView workbookViewId="0">
      <selection activeCell="Z8" sqref="Z8"/>
    </sheetView>
  </sheetViews>
  <sheetFormatPr defaultRowHeight="15"/>
  <cols>
    <col min="20" max="20" width="11.5703125" customWidth="1"/>
    <col min="21" max="21" width="10.5703125" customWidth="1"/>
  </cols>
  <sheetData>
    <row r="2" spans="2:26">
      <c r="E2" s="2" t="s">
        <v>29</v>
      </c>
      <c r="F2">
        <v>229.8198799199466</v>
      </c>
      <c r="G2">
        <v>4.49</v>
      </c>
    </row>
    <row r="3" spans="2:26">
      <c r="C3" s="17" t="s">
        <v>27</v>
      </c>
      <c r="D3" s="17" t="s">
        <v>18</v>
      </c>
      <c r="E3" s="17" t="s">
        <v>26</v>
      </c>
      <c r="F3" s="17" t="s">
        <v>11</v>
      </c>
      <c r="G3" s="17" t="s">
        <v>20</v>
      </c>
      <c r="H3" s="17" t="s">
        <v>22</v>
      </c>
      <c r="I3" s="17" t="s">
        <v>34</v>
      </c>
      <c r="R3" s="20" t="s">
        <v>97</v>
      </c>
      <c r="S3" s="20"/>
      <c r="T3" s="20"/>
      <c r="U3" s="20"/>
      <c r="V3" s="20"/>
    </row>
    <row r="4" spans="2:26">
      <c r="B4" s="3" t="s">
        <v>94</v>
      </c>
      <c r="C4">
        <v>0.375</v>
      </c>
      <c r="D4">
        <v>3.75</v>
      </c>
      <c r="E4">
        <v>795.07482148040651</v>
      </c>
      <c r="F4">
        <v>229.8198799199466</v>
      </c>
      <c r="G4">
        <v>10.602875205865551</v>
      </c>
      <c r="H4">
        <v>74.986718794970642</v>
      </c>
      <c r="I4">
        <v>28.120019548113991</v>
      </c>
      <c r="S4" s="17" t="s">
        <v>50</v>
      </c>
      <c r="T4" s="17" t="s">
        <v>104</v>
      </c>
      <c r="U4" s="17" t="s">
        <v>61</v>
      </c>
      <c r="V4" s="17" t="s">
        <v>105</v>
      </c>
    </row>
    <row r="5" spans="2:26">
      <c r="B5" s="3" t="s">
        <v>25</v>
      </c>
      <c r="C5">
        <v>0.375</v>
      </c>
      <c r="D5">
        <v>3.75</v>
      </c>
      <c r="E5">
        <v>805.81851564578187</v>
      </c>
      <c r="F5">
        <v>226.75577248751256</v>
      </c>
      <c r="G5">
        <v>10.602875205865551</v>
      </c>
      <c r="H5">
        <v>76</v>
      </c>
      <c r="I5">
        <v>28.5</v>
      </c>
      <c r="R5" s="3" t="s">
        <v>98</v>
      </c>
      <c r="S5" s="47">
        <v>0.625</v>
      </c>
      <c r="T5" s="52">
        <v>2780.2279687500004</v>
      </c>
      <c r="U5">
        <f>(S5/2)^2*PI()*T5</f>
        <v>852.96325800096429</v>
      </c>
      <c r="V5" s="55">
        <f>U5*0.04</f>
        <v>34.118530320038573</v>
      </c>
      <c r="X5">
        <v>0.5</v>
      </c>
      <c r="Y5">
        <v>1779.1231896360696</v>
      </c>
      <c r="Z5">
        <v>19.297582558372159</v>
      </c>
    </row>
    <row r="6" spans="2:26">
      <c r="B6" s="3"/>
      <c r="R6" s="3" t="s">
        <v>99</v>
      </c>
      <c r="S6" s="48"/>
      <c r="T6" s="53"/>
      <c r="U6">
        <f t="shared" ref="U6:U10" si="0">(S6/2)^2*PI()*T6</f>
        <v>0</v>
      </c>
      <c r="V6" s="55">
        <f t="shared" ref="V6:V11" si="1">U6*0.04</f>
        <v>0</v>
      </c>
      <c r="X6">
        <v>0.375</v>
      </c>
      <c r="Y6">
        <v>1205.1934817333845</v>
      </c>
    </row>
    <row r="7" spans="2:26">
      <c r="B7" s="3"/>
      <c r="E7" s="2" t="s">
        <v>30</v>
      </c>
      <c r="F7">
        <v>256.6505441354293</v>
      </c>
      <c r="G7">
        <v>4.8</v>
      </c>
      <c r="R7" s="3" t="s">
        <v>100</v>
      </c>
      <c r="S7" s="48"/>
      <c r="T7" s="53"/>
      <c r="U7">
        <f t="shared" si="0"/>
        <v>0</v>
      </c>
      <c r="V7" s="55">
        <f t="shared" si="1"/>
        <v>0</v>
      </c>
    </row>
    <row r="8" spans="2:26">
      <c r="B8" s="3"/>
      <c r="C8" s="17" t="s">
        <v>27</v>
      </c>
      <c r="D8" s="17" t="s">
        <v>18</v>
      </c>
      <c r="E8" s="17" t="s">
        <v>26</v>
      </c>
      <c r="F8" s="17" t="s">
        <v>11</v>
      </c>
      <c r="G8" s="17" t="s">
        <v>20</v>
      </c>
      <c r="H8" s="17" t="s">
        <v>22</v>
      </c>
      <c r="I8" s="17" t="s">
        <v>34</v>
      </c>
      <c r="R8" s="3" t="s">
        <v>101</v>
      </c>
      <c r="S8" s="48"/>
      <c r="T8" s="53"/>
      <c r="U8">
        <f t="shared" si="0"/>
        <v>0</v>
      </c>
      <c r="V8" s="55">
        <f t="shared" si="1"/>
        <v>0</v>
      </c>
      <c r="X8">
        <v>0.625</v>
      </c>
      <c r="Y8">
        <v>2780.2279687500004</v>
      </c>
      <c r="Z8">
        <v>34.118530320038573</v>
      </c>
    </row>
    <row r="9" spans="2:26">
      <c r="B9" s="3" t="s">
        <v>28</v>
      </c>
      <c r="C9">
        <v>0.40625</v>
      </c>
      <c r="D9">
        <v>3.75</v>
      </c>
      <c r="E9">
        <v>989.9120255359245</v>
      </c>
      <c r="F9">
        <v>254.1094496390389</v>
      </c>
      <c r="G9">
        <v>10.504700435440871</v>
      </c>
      <c r="H9">
        <v>94.235150409063422</v>
      </c>
      <c r="I9">
        <v>38.283029853682017</v>
      </c>
      <c r="R9" s="3" t="s">
        <v>102</v>
      </c>
      <c r="S9" s="48"/>
      <c r="T9" s="53"/>
      <c r="U9">
        <f t="shared" si="0"/>
        <v>0</v>
      </c>
      <c r="V9" s="55">
        <f t="shared" si="1"/>
        <v>0</v>
      </c>
    </row>
    <row r="10" spans="2:26">
      <c r="B10" s="3" t="s">
        <v>31</v>
      </c>
      <c r="C10">
        <v>0.40625</v>
      </c>
      <c r="D10">
        <v>3.75</v>
      </c>
      <c r="E10">
        <v>966.43244006056011</v>
      </c>
      <c r="F10">
        <v>260.28306746846914</v>
      </c>
      <c r="G10">
        <v>10.504700435440871</v>
      </c>
      <c r="H10">
        <v>92</v>
      </c>
      <c r="I10">
        <v>37.375</v>
      </c>
      <c r="R10" s="3" t="s">
        <v>103</v>
      </c>
      <c r="S10" s="49"/>
      <c r="T10" s="54"/>
      <c r="U10">
        <f t="shared" si="0"/>
        <v>0</v>
      </c>
      <c r="V10" s="55">
        <f t="shared" si="1"/>
        <v>0</v>
      </c>
    </row>
    <row r="11" spans="2:26">
      <c r="B11" s="3" t="s">
        <v>94</v>
      </c>
      <c r="C11">
        <v>0.40625</v>
      </c>
      <c r="D11">
        <v>3.75</v>
      </c>
      <c r="E11">
        <v>980.1109163722025</v>
      </c>
      <c r="F11">
        <v>256.6505441354293</v>
      </c>
      <c r="G11">
        <v>10.504700435440871</v>
      </c>
      <c r="H11">
        <v>93.302129117884576</v>
      </c>
      <c r="I11">
        <v>37.903989954140606</v>
      </c>
      <c r="R11" s="56" t="s">
        <v>106</v>
      </c>
      <c r="U11">
        <f>SUM(U5:U10)</f>
        <v>852.96325800096429</v>
      </c>
      <c r="V11" s="55">
        <f t="shared" si="1"/>
        <v>34.118530320038573</v>
      </c>
    </row>
    <row r="12" spans="2:26">
      <c r="B12" s="3"/>
    </row>
    <row r="13" spans="2:26">
      <c r="B13" s="3"/>
      <c r="E13" s="2" t="s">
        <v>32</v>
      </c>
      <c r="F13">
        <v>291.13573407202216</v>
      </c>
      <c r="G13">
        <v>5.0999999999999996</v>
      </c>
    </row>
    <row r="14" spans="2:26">
      <c r="B14" s="3"/>
      <c r="C14" s="17" t="s">
        <v>27</v>
      </c>
      <c r="D14" s="17" t="s">
        <v>18</v>
      </c>
      <c r="E14" s="17" t="s">
        <v>26</v>
      </c>
      <c r="F14" s="17" t="s">
        <v>11</v>
      </c>
      <c r="G14" s="17" t="s">
        <v>20</v>
      </c>
      <c r="H14" s="17" t="s">
        <v>22</v>
      </c>
      <c r="I14" s="17" t="s">
        <v>34</v>
      </c>
    </row>
    <row r="15" spans="2:26">
      <c r="B15" s="3" t="s">
        <v>94</v>
      </c>
      <c r="C15">
        <v>0.4375</v>
      </c>
      <c r="D15">
        <v>3.75</v>
      </c>
      <c r="E15">
        <v>1162.5093054234062</v>
      </c>
      <c r="F15">
        <v>291.13573407202216</v>
      </c>
      <c r="G15">
        <v>10.40652566501619</v>
      </c>
      <c r="H15">
        <v>111.70964670095758</v>
      </c>
      <c r="I15">
        <v>48.872970431668939</v>
      </c>
    </row>
    <row r="16" spans="2:26">
      <c r="B16" s="3" t="s">
        <v>31</v>
      </c>
      <c r="C16">
        <v>0.4375</v>
      </c>
      <c r="D16">
        <v>3.75</v>
      </c>
      <c r="E16">
        <v>1147.6911161989285</v>
      </c>
      <c r="F16">
        <v>294.89467612236621</v>
      </c>
      <c r="G16">
        <v>10.40652566501619</v>
      </c>
      <c r="H16">
        <v>110.28571428571431</v>
      </c>
      <c r="I16">
        <v>48.250000000000007</v>
      </c>
    </row>
    <row r="17" spans="2:9">
      <c r="B17" s="3"/>
    </row>
    <row r="18" spans="2:9">
      <c r="B18" s="3"/>
      <c r="E18" s="2" t="s">
        <v>33</v>
      </c>
      <c r="F18">
        <v>326.07581967213116</v>
      </c>
      <c r="G18">
        <v>5.4</v>
      </c>
    </row>
    <row r="19" spans="2:9">
      <c r="B19" s="3"/>
      <c r="C19" s="17" t="s">
        <v>27</v>
      </c>
      <c r="D19" s="17" t="s">
        <v>18</v>
      </c>
      <c r="E19" s="17" t="s">
        <v>26</v>
      </c>
      <c r="F19" s="17" t="s">
        <v>11</v>
      </c>
      <c r="G19" s="17" t="s">
        <v>20</v>
      </c>
      <c r="H19" s="17" t="s">
        <v>22</v>
      </c>
      <c r="I19" s="17" t="s">
        <v>34</v>
      </c>
    </row>
    <row r="20" spans="2:9">
      <c r="B20" s="3" t="s">
        <v>94</v>
      </c>
      <c r="C20">
        <v>0.46875</v>
      </c>
      <c r="D20">
        <v>3.75</v>
      </c>
      <c r="E20">
        <v>1367.1881602513747</v>
      </c>
      <c r="F20">
        <v>326.07581967213116</v>
      </c>
      <c r="G20">
        <v>10.308350894591509</v>
      </c>
      <c r="H20">
        <v>132.62918329339161</v>
      </c>
      <c r="I20">
        <v>62.169929668777314</v>
      </c>
    </row>
    <row r="21" spans="2:9">
      <c r="B21" s="3" t="s">
        <v>31</v>
      </c>
      <c r="C21">
        <v>0.46875</v>
      </c>
      <c r="D21">
        <v>3.75</v>
      </c>
      <c r="E21">
        <v>1352.4556373704058</v>
      </c>
      <c r="F21">
        <v>329.62781749114328</v>
      </c>
      <c r="G21">
        <v>10.308350894591509</v>
      </c>
      <c r="H21">
        <v>131.19999999999999</v>
      </c>
      <c r="I21">
        <v>61.499999999999993</v>
      </c>
    </row>
    <row r="22" spans="2:9">
      <c r="B22" s="3"/>
    </row>
    <row r="23" spans="2:9">
      <c r="B23" s="3"/>
      <c r="E23" s="2" t="s">
        <v>35</v>
      </c>
      <c r="F23">
        <f>(2083-566)/4.19</f>
        <v>362.05250596658709</v>
      </c>
      <c r="G23">
        <v>5.69</v>
      </c>
    </row>
    <row r="24" spans="2:9">
      <c r="B24" s="3"/>
      <c r="C24" s="17" t="s">
        <v>27</v>
      </c>
      <c r="D24" s="17" t="s">
        <v>18</v>
      </c>
      <c r="E24" s="17" t="s">
        <v>26</v>
      </c>
      <c r="F24" s="17" t="s">
        <v>11</v>
      </c>
      <c r="G24" s="17" t="s">
        <v>20</v>
      </c>
      <c r="H24" s="17" t="s">
        <v>22</v>
      </c>
      <c r="I24" s="17" t="s">
        <v>34</v>
      </c>
    </row>
    <row r="25" spans="2:9">
      <c r="B25" s="3" t="s">
        <v>94</v>
      </c>
      <c r="C25">
        <v>0.5</v>
      </c>
      <c r="D25">
        <v>5.625</v>
      </c>
      <c r="E25">
        <v>1595.0725115359262</v>
      </c>
      <c r="F25">
        <v>362.05250596658709</v>
      </c>
      <c r="G25">
        <v>16.100662349647688</v>
      </c>
      <c r="H25">
        <v>99.068751141832948</v>
      </c>
      <c r="I25">
        <v>49.534375570916474</v>
      </c>
    </row>
    <row r="26" spans="2:9">
      <c r="B26" s="3" t="s">
        <v>36</v>
      </c>
      <c r="C26">
        <v>0.46875</v>
      </c>
      <c r="D26">
        <v>3.75</v>
      </c>
      <c r="E26">
        <v>1286.4821916450203</v>
      </c>
      <c r="F26">
        <v>346.53180813171468</v>
      </c>
      <c r="G26">
        <v>10.308350894591509</v>
      </c>
      <c r="H26">
        <v>124.8</v>
      </c>
      <c r="I26">
        <v>58.5</v>
      </c>
    </row>
    <row r="27" spans="2:9">
      <c r="B27" s="3" t="s">
        <v>37</v>
      </c>
      <c r="C27">
        <v>0.1875</v>
      </c>
      <c r="D27">
        <v>2.75</v>
      </c>
      <c r="E27">
        <v>579.62384458731674</v>
      </c>
      <c r="F27">
        <v>19.70243306351702</v>
      </c>
      <c r="G27">
        <v>8.0503311748238442</v>
      </c>
      <c r="H27">
        <v>72</v>
      </c>
      <c r="I27">
        <v>13.5</v>
      </c>
    </row>
    <row r="28" spans="2:9">
      <c r="B28" s="3"/>
    </row>
    <row r="29" spans="2:9">
      <c r="B29" s="3"/>
      <c r="E29" s="2" t="s">
        <v>40</v>
      </c>
      <c r="F29">
        <f>(2413-612)/4.469</f>
        <v>402.99843365406127</v>
      </c>
      <c r="G29">
        <v>5.96</v>
      </c>
    </row>
    <row r="30" spans="2:9">
      <c r="B30" s="3"/>
      <c r="C30" s="17" t="s">
        <v>27</v>
      </c>
      <c r="D30" s="17" t="s">
        <v>18</v>
      </c>
      <c r="E30" s="17" t="s">
        <v>26</v>
      </c>
      <c r="F30" s="17" t="s">
        <v>11</v>
      </c>
      <c r="G30" s="17" t="s">
        <v>20</v>
      </c>
      <c r="H30" s="17" t="s">
        <v>22</v>
      </c>
      <c r="I30" s="17" t="s">
        <v>34</v>
      </c>
    </row>
    <row r="31" spans="2:9">
      <c r="B31" s="3" t="s">
        <v>94</v>
      </c>
      <c r="C31">
        <v>0.5625</v>
      </c>
      <c r="D31">
        <v>5.625</v>
      </c>
      <c r="E31">
        <v>2295.4034625208219</v>
      </c>
      <c r="F31">
        <v>402.99843365406127</v>
      </c>
      <c r="G31">
        <v>15.904312808798327</v>
      </c>
      <c r="H31">
        <v>144.32584985696431</v>
      </c>
      <c r="I31">
        <v>81.18329054454243</v>
      </c>
    </row>
    <row r="32" spans="2:9">
      <c r="B32" s="3" t="s">
        <v>36</v>
      </c>
      <c r="C32">
        <v>0.46875</v>
      </c>
      <c r="D32">
        <v>3.75</v>
      </c>
      <c r="E32">
        <v>1346.9578502266238</v>
      </c>
      <c r="F32">
        <v>330.97323715437244</v>
      </c>
      <c r="G32">
        <v>10.308350894591509</v>
      </c>
      <c r="H32">
        <v>130.66666666666666</v>
      </c>
      <c r="I32">
        <v>61.25</v>
      </c>
    </row>
    <row r="33" spans="2:18">
      <c r="B33" s="3" t="s">
        <v>37</v>
      </c>
      <c r="C33">
        <v>0.3125</v>
      </c>
      <c r="D33">
        <v>2.75</v>
      </c>
      <c r="E33">
        <v>1188.4645008530185</v>
      </c>
      <c r="F33">
        <v>74.145252076736597</v>
      </c>
      <c r="G33">
        <v>7.6576320931251205</v>
      </c>
      <c r="H33">
        <v>155.19999999999999</v>
      </c>
      <c r="I33">
        <v>48.5</v>
      </c>
    </row>
    <row r="34" spans="2:18">
      <c r="B34" s="3"/>
    </row>
    <row r="35" spans="2:18">
      <c r="B35" s="3"/>
      <c r="E35" s="2" t="s">
        <v>41</v>
      </c>
      <c r="F35">
        <f>(2775-697)/4.741</f>
        <v>438.30415524151027</v>
      </c>
      <c r="G35">
        <v>6.4</v>
      </c>
      <c r="N35" s="2" t="s">
        <v>43</v>
      </c>
      <c r="O35">
        <f>(2946-716)/5.007</f>
        <v>445.376472937887</v>
      </c>
      <c r="P35">
        <v>6.67</v>
      </c>
    </row>
    <row r="36" spans="2:18">
      <c r="B36" s="3"/>
      <c r="C36" s="17" t="s">
        <v>27</v>
      </c>
      <c r="D36" s="17" t="s">
        <v>18</v>
      </c>
      <c r="E36" s="17" t="s">
        <v>26</v>
      </c>
      <c r="F36" s="17" t="s">
        <v>11</v>
      </c>
      <c r="G36" s="17" t="s">
        <v>20</v>
      </c>
      <c r="H36" s="17" t="s">
        <v>22</v>
      </c>
      <c r="I36" s="17" t="s">
        <v>34</v>
      </c>
      <c r="L36" s="17" t="s">
        <v>27</v>
      </c>
      <c r="M36" s="17" t="s">
        <v>18</v>
      </c>
      <c r="N36" s="17" t="s">
        <v>26</v>
      </c>
      <c r="O36" s="17" t="s">
        <v>11</v>
      </c>
      <c r="P36" s="17" t="s">
        <v>20</v>
      </c>
      <c r="Q36" s="17" t="s">
        <v>22</v>
      </c>
      <c r="R36" s="17" t="s">
        <v>34</v>
      </c>
    </row>
    <row r="37" spans="2:18">
      <c r="B37" s="3" t="s">
        <v>94</v>
      </c>
      <c r="C37">
        <v>0.5625</v>
      </c>
      <c r="D37">
        <v>5.625</v>
      </c>
      <c r="E37">
        <v>2110.507027911453</v>
      </c>
      <c r="F37">
        <v>438.30415524151033</v>
      </c>
      <c r="G37">
        <v>15.904312808798327</v>
      </c>
      <c r="H37">
        <v>132.70029666065875</v>
      </c>
      <c r="I37">
        <v>74.643916871620547</v>
      </c>
      <c r="K37" s="3" t="s">
        <v>94</v>
      </c>
      <c r="L37">
        <v>0.5625</v>
      </c>
      <c r="M37">
        <v>5.625</v>
      </c>
      <c r="N37">
        <v>2076.9934116591926</v>
      </c>
      <c r="O37">
        <v>445.376472937887</v>
      </c>
      <c r="P37">
        <v>15.904312808798327</v>
      </c>
      <c r="Q37">
        <v>130.59309362364854</v>
      </c>
      <c r="R37">
        <v>73.458615163302312</v>
      </c>
    </row>
    <row r="38" spans="2:18">
      <c r="B38" s="3" t="s">
        <v>36</v>
      </c>
      <c r="C38" s="19" t="s">
        <v>42</v>
      </c>
      <c r="D38" s="19"/>
      <c r="E38" s="19"/>
      <c r="F38" s="19"/>
      <c r="G38" s="19"/>
      <c r="H38" s="19"/>
      <c r="I38" s="19"/>
      <c r="K38" s="3" t="s">
        <v>36</v>
      </c>
      <c r="L38">
        <v>0.4375</v>
      </c>
      <c r="M38">
        <v>3.75</v>
      </c>
      <c r="N38">
        <v>1394.4744391121694</v>
      </c>
      <c r="O38">
        <v>242.7064925015637</v>
      </c>
      <c r="P38">
        <v>10.40652566501619</v>
      </c>
      <c r="Q38">
        <v>134</v>
      </c>
      <c r="R38">
        <v>58.625</v>
      </c>
    </row>
    <row r="39" spans="2:18">
      <c r="B39" s="3" t="s">
        <v>37</v>
      </c>
      <c r="C39" s="19"/>
      <c r="D39" s="19"/>
      <c r="E39" s="19"/>
      <c r="F39" s="19"/>
      <c r="G39" s="19"/>
      <c r="H39" s="19"/>
      <c r="I39" s="19"/>
      <c r="K39" s="3" t="s">
        <v>37</v>
      </c>
      <c r="L39">
        <v>0.40625</v>
      </c>
      <c r="M39">
        <v>3.75</v>
      </c>
      <c r="N39">
        <v>1267.0284832900988</v>
      </c>
      <c r="O39">
        <v>198.53223768640885</v>
      </c>
      <c r="P39">
        <v>10.504700435440871</v>
      </c>
      <c r="Q39">
        <v>120.61538461538461</v>
      </c>
      <c r="R39">
        <v>49</v>
      </c>
    </row>
    <row r="40" spans="2:18">
      <c r="B40" s="3"/>
    </row>
    <row r="41" spans="2:18">
      <c r="B41" s="3"/>
      <c r="E41" s="2" t="s">
        <v>47</v>
      </c>
      <c r="F41">
        <f>(3133-760)/4.985</f>
        <v>476.02808425275822</v>
      </c>
      <c r="G41">
        <v>6.65</v>
      </c>
    </row>
    <row r="42" spans="2:18">
      <c r="B42" s="3"/>
      <c r="C42" s="17" t="s">
        <v>27</v>
      </c>
      <c r="D42" s="17" t="s">
        <v>18</v>
      </c>
      <c r="E42" s="17" t="s">
        <v>26</v>
      </c>
      <c r="F42" s="17" t="s">
        <v>11</v>
      </c>
      <c r="G42" s="17" t="s">
        <v>20</v>
      </c>
      <c r="H42" s="17" t="s">
        <v>22</v>
      </c>
      <c r="I42" s="17" t="s">
        <v>34</v>
      </c>
    </row>
    <row r="43" spans="2:18">
      <c r="B43" s="3" t="s">
        <v>94</v>
      </c>
      <c r="C43">
        <v>0.625</v>
      </c>
      <c r="D43">
        <v>5.625</v>
      </c>
      <c r="E43">
        <v>2961.8273514538564</v>
      </c>
      <c r="F43">
        <v>476.02808425275816</v>
      </c>
      <c r="G43">
        <v>15.707963267948966</v>
      </c>
      <c r="H43">
        <v>188.55578542746304</v>
      </c>
      <c r="I43">
        <v>117.84736589216439</v>
      </c>
    </row>
    <row r="44" spans="2:18">
      <c r="B44" s="3" t="s">
        <v>36</v>
      </c>
      <c r="C44">
        <v>0.4375</v>
      </c>
      <c r="D44">
        <v>3.75</v>
      </c>
      <c r="E44">
        <v>1436.1005417722342</v>
      </c>
      <c r="F44">
        <v>235.67152170441693</v>
      </c>
      <c r="G44">
        <v>10.40652566501619</v>
      </c>
      <c r="H44">
        <v>138</v>
      </c>
      <c r="I44">
        <v>60.375</v>
      </c>
    </row>
    <row r="45" spans="2:18">
      <c r="B45" s="3" t="s">
        <v>37</v>
      </c>
      <c r="C45">
        <v>0.4375</v>
      </c>
      <c r="D45">
        <v>3.75</v>
      </c>
      <c r="E45">
        <v>1436.1005417722342</v>
      </c>
      <c r="F45">
        <v>235.67152170441693</v>
      </c>
      <c r="G45">
        <v>10.40652566501619</v>
      </c>
      <c r="H45">
        <v>138</v>
      </c>
      <c r="I45">
        <v>60.375</v>
      </c>
    </row>
    <row r="46" spans="2:18">
      <c r="B46" s="3"/>
    </row>
    <row r="47" spans="2:18">
      <c r="B47" s="3"/>
      <c r="E47" s="2" t="s">
        <v>45</v>
      </c>
      <c r="F47">
        <f>(3334-806)/4.985</f>
        <v>507.12136409227679</v>
      </c>
      <c r="G47">
        <v>6.65</v>
      </c>
    </row>
    <row r="48" spans="2:18">
      <c r="B48" s="3"/>
      <c r="C48" s="17" t="s">
        <v>27</v>
      </c>
      <c r="D48" s="17" t="s">
        <v>18</v>
      </c>
      <c r="E48" s="17" t="s">
        <v>26</v>
      </c>
      <c r="F48" s="17" t="s">
        <v>11</v>
      </c>
      <c r="G48" s="17" t="s">
        <v>20</v>
      </c>
      <c r="H48" s="17" t="s">
        <v>22</v>
      </c>
      <c r="I48" s="17" t="s">
        <v>34</v>
      </c>
    </row>
    <row r="49" spans="2:9">
      <c r="B49" s="3" t="s">
        <v>94</v>
      </c>
      <c r="C49">
        <v>0.625</v>
      </c>
      <c r="D49">
        <v>5.625</v>
      </c>
      <c r="E49">
        <v>2780.2279687500004</v>
      </c>
      <c r="F49">
        <v>507.12136409227674</v>
      </c>
      <c r="G49">
        <v>15.707963267948966</v>
      </c>
      <c r="H49">
        <v>176.99480965956084</v>
      </c>
      <c r="I49">
        <v>110.62175603722552</v>
      </c>
    </row>
    <row r="50" spans="2:9">
      <c r="B50" s="3" t="s">
        <v>36</v>
      </c>
      <c r="C50">
        <v>0.5</v>
      </c>
      <c r="D50">
        <v>5.625</v>
      </c>
      <c r="E50">
        <v>1779.1231896360696</v>
      </c>
      <c r="F50">
        <v>324.59809605321999</v>
      </c>
      <c r="G50">
        <v>16.100662349647688</v>
      </c>
      <c r="H50">
        <v>110.5</v>
      </c>
      <c r="I50">
        <v>55.25</v>
      </c>
    </row>
    <row r="51" spans="2:9">
      <c r="B51" s="3" t="s">
        <v>37</v>
      </c>
      <c r="C51">
        <v>0.375</v>
      </c>
      <c r="D51">
        <v>3.75</v>
      </c>
      <c r="E51">
        <v>1205.1934817333845</v>
      </c>
      <c r="F51">
        <v>151.61383028490573</v>
      </c>
      <c r="G51">
        <v>10.602875205865551</v>
      </c>
      <c r="H51">
        <v>113.66666666666669</v>
      </c>
      <c r="I51">
        <v>42.625</v>
      </c>
    </row>
  </sheetData>
  <mergeCells count="2">
    <mergeCell ref="C38:I39"/>
    <mergeCell ref="R3:V3"/>
  </mergeCells>
  <dataValidations count="1">
    <dataValidation type="list" allowBlank="1" showInputMessage="1" showErrorMessage="1" sqref="S5:S10">
      <formula1>INDIRECT("wirelookup[diameter]")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2:AC56"/>
  <sheetViews>
    <sheetView workbookViewId="0">
      <selection activeCell="N4" sqref="N4"/>
    </sheetView>
  </sheetViews>
  <sheetFormatPr defaultRowHeight="15"/>
  <cols>
    <col min="1" max="1" width="22.28515625" customWidth="1"/>
    <col min="4" max="4" width="9.7109375" customWidth="1"/>
    <col min="5" max="5" width="11.7109375" customWidth="1"/>
    <col min="6" max="8" width="15.85546875" customWidth="1"/>
    <col min="12" max="12" width="16.42578125" customWidth="1"/>
    <col min="14" max="14" width="18.7109375" customWidth="1"/>
    <col min="15" max="15" width="10.28515625" customWidth="1"/>
    <col min="16" max="16" width="11.140625" customWidth="1"/>
    <col min="18" max="18" width="12.5703125" customWidth="1"/>
    <col min="21" max="21" width="11.5703125" customWidth="1"/>
    <col min="22" max="22" width="11.7109375" customWidth="1"/>
    <col min="27" max="27" width="11.7109375" customWidth="1"/>
  </cols>
  <sheetData>
    <row r="2" spans="1:29">
      <c r="A2" t="s">
        <v>68</v>
      </c>
      <c r="B2" t="s">
        <v>50</v>
      </c>
      <c r="C2" t="s">
        <v>18</v>
      </c>
      <c r="D2" s="2" t="s">
        <v>52</v>
      </c>
      <c r="E2" s="2" t="s">
        <v>53</v>
      </c>
      <c r="F2" s="2" t="s">
        <v>54</v>
      </c>
      <c r="G2" s="2" t="s">
        <v>62</v>
      </c>
      <c r="H2" s="2" t="s">
        <v>63</v>
      </c>
      <c r="L2" s="20" t="s">
        <v>56</v>
      </c>
      <c r="M2" s="20"/>
      <c r="N2" s="20"/>
      <c r="O2" s="20"/>
      <c r="Q2" s="20" t="s">
        <v>60</v>
      </c>
      <c r="R2" s="20"/>
      <c r="S2" s="20"/>
    </row>
    <row r="3" spans="1:29">
      <c r="A3" t="str">
        <f>B3&amp;" WD X "&amp;C3&amp;" OD"</f>
        <v>0.2187 WD X 2.5 OD</v>
      </c>
      <c r="B3">
        <v>0.21870000000000001</v>
      </c>
      <c r="C3">
        <v>2.5</v>
      </c>
      <c r="D3">
        <v>6.9129186602870822</v>
      </c>
      <c r="E3">
        <f t="shared" ref="E3:E28" si="0">(12/B3)*((C3-B3)*PI())</f>
        <v>393.24638247651001</v>
      </c>
      <c r="F3">
        <f t="shared" ref="F3:F28" si="1">D3/E3</f>
        <v>1.7579102995817171E-2</v>
      </c>
      <c r="G3">
        <f>PI()*(B3/2)^2*12</f>
        <v>0.45078420818243159</v>
      </c>
      <c r="H3">
        <f>F3/G3</f>
        <v>3.8996714340762663E-2</v>
      </c>
      <c r="J3" t="s">
        <v>50</v>
      </c>
      <c r="K3" s="2" t="s">
        <v>18</v>
      </c>
      <c r="L3" s="2" t="s">
        <v>34</v>
      </c>
      <c r="M3" s="2" t="s">
        <v>57</v>
      </c>
      <c r="N3" s="2" t="s">
        <v>58</v>
      </c>
      <c r="O3" s="2" t="s">
        <v>52</v>
      </c>
      <c r="Q3" s="2" t="s">
        <v>59</v>
      </c>
      <c r="R3" s="2" t="s">
        <v>50</v>
      </c>
      <c r="S3" s="2" t="s">
        <v>18</v>
      </c>
      <c r="AA3" t="s">
        <v>88</v>
      </c>
    </row>
    <row r="4" spans="1:29">
      <c r="A4" t="str">
        <f t="shared" ref="A4:A28" si="2">B4&amp;" WD X "&amp;C4&amp;" OD"</f>
        <v>0.25 WD X 2.75 OD</v>
      </c>
      <c r="B4">
        <v>0.25</v>
      </c>
      <c r="C4">
        <v>2.75</v>
      </c>
      <c r="D4">
        <v>5.1189999999999998</v>
      </c>
      <c r="E4">
        <f t="shared" si="0"/>
        <v>376.99111843077515</v>
      </c>
      <c r="F4">
        <f t="shared" si="1"/>
        <v>1.3578569228123538E-2</v>
      </c>
      <c r="G4">
        <f t="shared" ref="G4:G28" si="3">PI()*(B4/2)^2*12</f>
        <v>0.58904862254808621</v>
      </c>
      <c r="H4">
        <f t="shared" ref="H4:H28" si="4">F4/G4</f>
        <v>2.3051695069561205E-2</v>
      </c>
      <c r="J4" s="57">
        <v>0.1875</v>
      </c>
      <c r="K4" s="57">
        <v>2.75</v>
      </c>
      <c r="L4">
        <v>61.5</v>
      </c>
      <c r="M4">
        <v>6</v>
      </c>
      <c r="N4">
        <f>142.69+4.95</f>
        <v>147.63999999999999</v>
      </c>
      <c r="O4" s="4">
        <f>N4/(L4+(M4*2/((K4-J4)*PI())))*12</f>
        <v>28.126091573488019</v>
      </c>
      <c r="Q4">
        <v>2.875</v>
      </c>
      <c r="R4">
        <v>0.42180000000000001</v>
      </c>
      <c r="S4" s="4">
        <f>Q4+R4*2</f>
        <v>3.7185999999999999</v>
      </c>
      <c r="Z4" t="s">
        <v>87</v>
      </c>
      <c r="AA4">
        <v>6.1</v>
      </c>
    </row>
    <row r="5" spans="1:29">
      <c r="A5" t="str">
        <f t="shared" si="2"/>
        <v>0.283 WD X 2.75 OD</v>
      </c>
      <c r="B5">
        <v>0.28299999999999997</v>
      </c>
      <c r="C5">
        <v>2.75</v>
      </c>
      <c r="D5">
        <v>12.035229357798165</v>
      </c>
      <c r="E5">
        <f t="shared" si="0"/>
        <v>328.63501384053797</v>
      </c>
      <c r="F5">
        <f t="shared" si="1"/>
        <v>3.6621871836328319E-2</v>
      </c>
      <c r="G5">
        <f t="shared" si="3"/>
        <v>0.75482104210005874</v>
      </c>
      <c r="H5">
        <f t="shared" si="4"/>
        <v>4.851729058114114E-2</v>
      </c>
      <c r="Z5" t="s">
        <v>89</v>
      </c>
      <c r="AA5">
        <v>8.75</v>
      </c>
    </row>
    <row r="6" spans="1:29">
      <c r="A6" t="str">
        <f t="shared" si="2"/>
        <v>0.312 WD X 2.75 OD</v>
      </c>
      <c r="B6">
        <v>0.312</v>
      </c>
      <c r="C6">
        <v>2.75</v>
      </c>
      <c r="D6">
        <v>6.23</v>
      </c>
      <c r="E6">
        <f t="shared" si="0"/>
        <v>294.5847265173814</v>
      </c>
      <c r="F6">
        <f t="shared" si="1"/>
        <v>2.1148414833490736E-2</v>
      </c>
      <c r="G6">
        <f t="shared" si="3"/>
        <v>0.91744558581313451</v>
      </c>
      <c r="H6">
        <f t="shared" si="4"/>
        <v>2.3051410525613721E-2</v>
      </c>
      <c r="Z6" t="s">
        <v>90</v>
      </c>
      <c r="AA6">
        <v>3.65</v>
      </c>
    </row>
    <row r="7" spans="1:29">
      <c r="A7" t="str">
        <f t="shared" si="2"/>
        <v>0.312 WD X 3.75 OD</v>
      </c>
      <c r="B7">
        <v>0.312</v>
      </c>
      <c r="C7">
        <v>3.75</v>
      </c>
      <c r="D7">
        <v>8.7850000000000001</v>
      </c>
      <c r="E7">
        <f t="shared" si="0"/>
        <v>415.41521319391182</v>
      </c>
      <c r="F7">
        <f t="shared" si="1"/>
        <v>2.1147516318568829E-2</v>
      </c>
      <c r="G7">
        <f t="shared" si="3"/>
        <v>0.91744558581313451</v>
      </c>
      <c r="H7">
        <f t="shared" si="4"/>
        <v>2.3050431159713662E-2</v>
      </c>
      <c r="Z7" t="s">
        <v>91</v>
      </c>
      <c r="AA7">
        <v>5.35</v>
      </c>
    </row>
    <row r="8" spans="1:29">
      <c r="A8" t="str">
        <f t="shared" si="2"/>
        <v>0.3125 WD X 3.5 OD</v>
      </c>
      <c r="B8">
        <v>0.3125</v>
      </c>
      <c r="C8">
        <v>3.5</v>
      </c>
      <c r="D8">
        <v>12.563007518796994</v>
      </c>
      <c r="E8">
        <f t="shared" si="0"/>
        <v>384.53094079939063</v>
      </c>
      <c r="F8">
        <f t="shared" si="1"/>
        <v>3.2670992593418123E-2</v>
      </c>
      <c r="G8">
        <f t="shared" si="3"/>
        <v>0.92038847273138469</v>
      </c>
      <c r="H8">
        <f t="shared" si="4"/>
        <v>3.5496959774455099E-2</v>
      </c>
    </row>
    <row r="9" spans="1:29">
      <c r="A9" t="str">
        <f t="shared" si="2"/>
        <v>0.375 WD X 3.75 OD</v>
      </c>
      <c r="B9">
        <v>0.375</v>
      </c>
      <c r="C9">
        <v>3.75</v>
      </c>
      <c r="D9">
        <v>10.365</v>
      </c>
      <c r="E9">
        <f t="shared" si="0"/>
        <v>339.29200658769764</v>
      </c>
      <c r="F9">
        <f t="shared" si="1"/>
        <v>3.0548907132361025E-2</v>
      </c>
      <c r="G9">
        <f t="shared" si="3"/>
        <v>1.3253594007331939</v>
      </c>
      <c r="H9">
        <f t="shared" si="4"/>
        <v>2.3049526879623181E-2</v>
      </c>
    </row>
    <row r="10" spans="1:29">
      <c r="A10" t="str">
        <f t="shared" si="2"/>
        <v>0.375 WD X 4.5 OD</v>
      </c>
      <c r="B10">
        <v>0.375</v>
      </c>
      <c r="C10">
        <v>4.5</v>
      </c>
      <c r="D10">
        <v>18.704598930481286</v>
      </c>
      <c r="E10">
        <f t="shared" si="0"/>
        <v>414.69023027385271</v>
      </c>
      <c r="F10">
        <f t="shared" si="1"/>
        <v>4.5104990580870842E-2</v>
      </c>
      <c r="G10">
        <f t="shared" si="3"/>
        <v>1.3253594007331939</v>
      </c>
      <c r="H10">
        <f t="shared" si="4"/>
        <v>3.4032271213316617E-2</v>
      </c>
      <c r="J10" s="2" t="s">
        <v>50</v>
      </c>
      <c r="K10" s="2" t="s">
        <v>18</v>
      </c>
      <c r="L10" s="2" t="s">
        <v>68</v>
      </c>
      <c r="M10" s="2" t="s">
        <v>70</v>
      </c>
      <c r="O10" s="2" t="s">
        <v>68</v>
      </c>
      <c r="P10" s="2" t="s">
        <v>76</v>
      </c>
      <c r="Q10" s="2" t="s">
        <v>77</v>
      </c>
      <c r="R10" s="2" t="s">
        <v>78</v>
      </c>
      <c r="S10" s="2" t="s">
        <v>69</v>
      </c>
      <c r="U10" s="2" t="s">
        <v>71</v>
      </c>
      <c r="V10" s="2" t="s">
        <v>72</v>
      </c>
      <c r="W10" s="2" t="s">
        <v>73</v>
      </c>
      <c r="Z10" s="2" t="s">
        <v>71</v>
      </c>
      <c r="AA10" s="2" t="s">
        <v>82</v>
      </c>
      <c r="AB10" s="2" t="s">
        <v>61</v>
      </c>
      <c r="AC10" s="2" t="s">
        <v>51</v>
      </c>
    </row>
    <row r="11" spans="1:29">
      <c r="A11" t="str">
        <f t="shared" si="2"/>
        <v>0.3938 WD X 3.625 OD</v>
      </c>
      <c r="B11">
        <v>0.39379999999999998</v>
      </c>
      <c r="C11">
        <v>3.625</v>
      </c>
      <c r="D11">
        <v>17.325714285714287</v>
      </c>
      <c r="E11">
        <f t="shared" si="0"/>
        <v>309.32800961745068</v>
      </c>
      <c r="F11">
        <f t="shared" si="1"/>
        <v>5.6010816179049502E-2</v>
      </c>
      <c r="G11">
        <f t="shared" si="3"/>
        <v>1.4615798635024966</v>
      </c>
      <c r="H11">
        <f t="shared" si="4"/>
        <v>3.8322104441714501E-2</v>
      </c>
      <c r="J11">
        <v>0.25</v>
      </c>
      <c r="K11">
        <v>2.75</v>
      </c>
      <c r="L11" t="str">
        <f>J11&amp;" WD X "&amp;K11&amp;" OD"</f>
        <v>0.25 WD X 2.75 OD</v>
      </c>
      <c r="M11">
        <v>5.1189999999999998</v>
      </c>
      <c r="O11">
        <v>0.1875</v>
      </c>
      <c r="P11" s="15">
        <f>VLOOKUP(O11,wirelookup[],2,0)</f>
        <v>11420</v>
      </c>
      <c r="Q11">
        <f>PI()*(O11/2)^2</f>
        <v>2.7611654181941541E-2</v>
      </c>
      <c r="R11" s="15">
        <f>P11/Q11</f>
        <v>413593.47486934921</v>
      </c>
      <c r="S11">
        <f>R11/(Q11*0.039)</f>
        <v>384075536.51826078</v>
      </c>
      <c r="U11">
        <v>0.1875</v>
      </c>
      <c r="V11" s="15">
        <f>VLOOKUP(U11,wirelookup[],2,0)</f>
        <v>11420</v>
      </c>
      <c r="W11">
        <f>PI()*(U11/2)^2</f>
        <v>2.7611654181941541E-2</v>
      </c>
      <c r="Y11" t="s">
        <v>48</v>
      </c>
      <c r="Z11">
        <v>0.5</v>
      </c>
      <c r="AA11">
        <v>1595.0725115359262</v>
      </c>
      <c r="AB11">
        <f>(Z11/2)^2*PI()*AA11</f>
        <v>313.19175526151787</v>
      </c>
      <c r="AC11">
        <f>AB11*0.04</f>
        <v>12.527670210460714</v>
      </c>
    </row>
    <row r="12" spans="1:29">
      <c r="A12" t="str">
        <f t="shared" si="2"/>
        <v>0.3938 WD X 4.25 OD</v>
      </c>
      <c r="B12">
        <v>0.39379999999999998</v>
      </c>
      <c r="C12">
        <v>4.25</v>
      </c>
      <c r="D12">
        <v>21.266206896551726</v>
      </c>
      <c r="E12">
        <f t="shared" si="0"/>
        <v>369.16027193823135</v>
      </c>
      <c r="F12">
        <f t="shared" si="1"/>
        <v>5.760697592104394E-2</v>
      </c>
      <c r="G12">
        <f t="shared" si="3"/>
        <v>1.4615798635024966</v>
      </c>
      <c r="H12">
        <f t="shared" si="4"/>
        <v>3.9414182802844519E-2</v>
      </c>
      <c r="J12">
        <v>0.312</v>
      </c>
      <c r="K12">
        <v>2.75</v>
      </c>
      <c r="L12" t="str">
        <f t="shared" ref="L12:L19" si="5">J12&amp;" WD X "&amp;K12&amp;" OD"</f>
        <v>0.312 WD X 2.75 OD</v>
      </c>
      <c r="M12">
        <v>6.23</v>
      </c>
      <c r="O12">
        <v>0.25</v>
      </c>
      <c r="P12" s="15">
        <f>VLOOKUP(O12,wirelookup[],2,0)</f>
        <v>36093</v>
      </c>
      <c r="Q12">
        <f t="shared" ref="Q12:Q20" si="6">PI()*(O12/2)^2</f>
        <v>4.9087385212340517E-2</v>
      </c>
      <c r="R12" s="15">
        <f t="shared" ref="R12:R20" si="7">P12/Q12</f>
        <v>735280.5582100196</v>
      </c>
      <c r="S12">
        <f t="shared" ref="S12:S20" si="8">R12/(Q12*0.039)</f>
        <v>384077244.38479662</v>
      </c>
      <c r="U12">
        <v>0.625</v>
      </c>
      <c r="V12" s="15">
        <f>VLOOKUP(U12,wirelookup[],2,0)</f>
        <v>1409913</v>
      </c>
      <c r="W12">
        <f t="shared" ref="W12" si="9">PI()*(U12/2)^2</f>
        <v>0.30679615757712825</v>
      </c>
    </row>
    <row r="13" spans="1:29">
      <c r="A13" t="str">
        <f t="shared" si="2"/>
        <v>0.406 WD X 3.75 OD</v>
      </c>
      <c r="B13">
        <v>0.40600000000000003</v>
      </c>
      <c r="C13">
        <v>3.75</v>
      </c>
      <c r="D13">
        <v>17.94908707899571</v>
      </c>
      <c r="E13">
        <f t="shared" si="0"/>
        <v>310.50697045135769</v>
      </c>
      <c r="F13">
        <f t="shared" si="1"/>
        <v>5.7805746044620646E-2</v>
      </c>
      <c r="G13">
        <f t="shared" si="3"/>
        <v>1.5535426999413815</v>
      </c>
      <c r="H13">
        <f t="shared" si="4"/>
        <v>3.7208984372815619E-2</v>
      </c>
      <c r="J13">
        <v>0.312</v>
      </c>
      <c r="K13">
        <v>3.75</v>
      </c>
      <c r="L13" t="str">
        <f t="shared" si="5"/>
        <v>0.312 WD X 3.75 OD</v>
      </c>
      <c r="M13">
        <v>8.7850000000000001</v>
      </c>
      <c r="O13">
        <v>0.3125</v>
      </c>
      <c r="P13" s="15">
        <f>VLOOKUP(O13,wirelookup[],2,0)</f>
        <v>88119</v>
      </c>
      <c r="Q13">
        <f t="shared" si="6"/>
        <v>7.6699039394282062E-2</v>
      </c>
      <c r="R13" s="15">
        <f t="shared" si="7"/>
        <v>1148893.1373313824</v>
      </c>
      <c r="S13">
        <f t="shared" si="8"/>
        <v>384083016.23799127</v>
      </c>
      <c r="U13" s="16">
        <f>U11/U12</f>
        <v>0.3</v>
      </c>
      <c r="V13" s="16">
        <f>V11/V12</f>
        <v>8.0997905544526513E-3</v>
      </c>
      <c r="W13" s="16">
        <f>W11/W12</f>
        <v>0.09</v>
      </c>
      <c r="Y13" t="s">
        <v>49</v>
      </c>
      <c r="Z13">
        <v>0.46875</v>
      </c>
      <c r="AA13">
        <v>1286.4821916450203</v>
      </c>
      <c r="AB13">
        <f t="shared" ref="AB13:AB14" si="10">(Z13/2)^2*PI()*AA13</f>
        <v>222.0118836683034</v>
      </c>
      <c r="AC13">
        <f t="shared" ref="AC13:AC14" si="11">AB13*0.04</f>
        <v>8.8804753467321369</v>
      </c>
    </row>
    <row r="14" spans="1:29" ht="15.75" customHeight="1">
      <c r="A14" t="str">
        <f t="shared" si="2"/>
        <v>0.4218 WD X 3.7186 OD</v>
      </c>
      <c r="B14">
        <v>0.42180000000000001</v>
      </c>
      <c r="C14">
        <v>3.7185999999999999</v>
      </c>
      <c r="D14">
        <v>14.603478260869563</v>
      </c>
      <c r="E14">
        <f t="shared" si="0"/>
        <v>294.65725918505916</v>
      </c>
      <c r="F14">
        <f t="shared" si="1"/>
        <v>4.9560897638357061E-2</v>
      </c>
      <c r="G14">
        <f t="shared" si="3"/>
        <v>1.6768116328369949</v>
      </c>
      <c r="H14">
        <f t="shared" si="4"/>
        <v>2.9556627988383561E-2</v>
      </c>
      <c r="J14">
        <v>0.375</v>
      </c>
      <c r="K14">
        <v>3.75</v>
      </c>
      <c r="L14" t="str">
        <f t="shared" si="5"/>
        <v>0.375 WD X 3.75 OD</v>
      </c>
      <c r="M14">
        <v>10.365</v>
      </c>
      <c r="O14">
        <v>0.375</v>
      </c>
      <c r="P14" s="15">
        <f>VLOOKUP(O14,wirelookup[],2,0)</f>
        <v>182724</v>
      </c>
      <c r="Q14">
        <f t="shared" si="6"/>
        <v>0.11044661672776616</v>
      </c>
      <c r="R14" s="15">
        <f t="shared" si="7"/>
        <v>1654410.1160688915</v>
      </c>
      <c r="S14">
        <f t="shared" si="8"/>
        <v>384083944.47659087</v>
      </c>
      <c r="U14" s="22" t="s">
        <v>74</v>
      </c>
      <c r="V14" s="22"/>
      <c r="W14" s="22"/>
      <c r="Y14" s="14" t="s">
        <v>86</v>
      </c>
      <c r="Z14">
        <v>0.1875</v>
      </c>
      <c r="AA14">
        <v>579.62384458731674</v>
      </c>
      <c r="AB14">
        <f t="shared" si="10"/>
        <v>16.004373152352418</v>
      </c>
      <c r="AC14">
        <f t="shared" si="11"/>
        <v>0.64017492609409676</v>
      </c>
    </row>
    <row r="15" spans="1:29">
      <c r="A15" t="str">
        <f t="shared" si="2"/>
        <v>0.43 WD X 3.75 OD</v>
      </c>
      <c r="B15">
        <v>0.43</v>
      </c>
      <c r="C15">
        <v>3.75</v>
      </c>
      <c r="D15">
        <v>22.361465968586387</v>
      </c>
      <c r="E15">
        <f t="shared" si="0"/>
        <v>291.0722123698078</v>
      </c>
      <c r="F15">
        <f t="shared" si="1"/>
        <v>7.6824461485097389E-2</v>
      </c>
      <c r="G15">
        <f t="shared" si="3"/>
        <v>1.7426414449462582</v>
      </c>
      <c r="H15">
        <f t="shared" si="4"/>
        <v>4.4085065064814064E-2</v>
      </c>
      <c r="J15">
        <v>0.40600000000000003</v>
      </c>
      <c r="K15">
        <v>3.75</v>
      </c>
      <c r="L15" t="str">
        <f t="shared" si="5"/>
        <v>0.406 WD X 3.75 OD</v>
      </c>
      <c r="M15">
        <v>11.1195</v>
      </c>
      <c r="O15">
        <v>0.40625</v>
      </c>
      <c r="P15" s="15">
        <f>VLOOKUP(O15,wirelookup[],2,0)</f>
        <v>251546</v>
      </c>
      <c r="Q15">
        <f t="shared" si="6"/>
        <v>0.12962137657633668</v>
      </c>
      <c r="R15" s="15">
        <f t="shared" si="7"/>
        <v>1940621.2666771009</v>
      </c>
      <c r="S15">
        <f t="shared" si="8"/>
        <v>383883592.14101392</v>
      </c>
      <c r="U15" s="22"/>
      <c r="V15" s="22"/>
      <c r="W15" s="22"/>
      <c r="AB15">
        <f>SUM(AB13:AB14)</f>
        <v>238.01625682065583</v>
      </c>
      <c r="AC15">
        <f>SUM(AC13:AC14)</f>
        <v>9.5206502728262343</v>
      </c>
    </row>
    <row r="16" spans="1:29" ht="15" customHeight="1">
      <c r="A16" t="str">
        <f t="shared" si="2"/>
        <v>0.437 WD X 3.75 OD</v>
      </c>
      <c r="B16">
        <v>0.437</v>
      </c>
      <c r="C16">
        <v>3.75</v>
      </c>
      <c r="D16">
        <v>11.8575</v>
      </c>
      <c r="E16">
        <f t="shared" si="0"/>
        <v>285.80585248539091</v>
      </c>
      <c r="F16">
        <f t="shared" si="1"/>
        <v>4.1487953787111835E-2</v>
      </c>
      <c r="G16">
        <f t="shared" si="3"/>
        <v>1.7998404223901678</v>
      </c>
      <c r="H16">
        <f t="shared" si="4"/>
        <v>2.3050906775399733E-2</v>
      </c>
      <c r="J16">
        <v>0.437</v>
      </c>
      <c r="K16">
        <v>3.75</v>
      </c>
      <c r="L16" t="str">
        <f t="shared" si="5"/>
        <v>0.437 WD X 3.75 OD</v>
      </c>
      <c r="M16">
        <v>11.8575</v>
      </c>
      <c r="O16">
        <v>0.4375</v>
      </c>
      <c r="P16" s="15">
        <f>VLOOKUP(O16,wirelookup[],2,0)</f>
        <v>338448</v>
      </c>
      <c r="Q16">
        <f t="shared" si="6"/>
        <v>0.15033011721279282</v>
      </c>
      <c r="R16" s="15">
        <f t="shared" si="7"/>
        <v>2251365.237219403</v>
      </c>
      <c r="S16">
        <f t="shared" si="8"/>
        <v>384003650.4005599</v>
      </c>
      <c r="V16" s="21" t="s">
        <v>75</v>
      </c>
      <c r="W16" s="21"/>
      <c r="X16" s="21"/>
    </row>
    <row r="17" spans="1:29">
      <c r="A17" t="str">
        <f t="shared" si="2"/>
        <v>0.453 WD X 5.75 OD</v>
      </c>
      <c r="B17">
        <v>0.45300000000000001</v>
      </c>
      <c r="C17">
        <v>5.75</v>
      </c>
      <c r="D17">
        <v>36.898666666666664</v>
      </c>
      <c r="E17">
        <f t="shared" si="0"/>
        <v>440.82162347192411</v>
      </c>
      <c r="F17">
        <f t="shared" si="1"/>
        <v>8.3704302833539967E-2</v>
      </c>
      <c r="G17">
        <f t="shared" si="3"/>
        <v>1.9340492605515238</v>
      </c>
      <c r="H17">
        <f t="shared" si="4"/>
        <v>4.3279302415322352E-2</v>
      </c>
      <c r="J17">
        <v>0.46800000000000003</v>
      </c>
      <c r="K17">
        <v>3.75</v>
      </c>
      <c r="L17" t="str">
        <f t="shared" si="5"/>
        <v>0.468 WD X 3.75 OD</v>
      </c>
      <c r="M17">
        <v>12.579499999999999</v>
      </c>
      <c r="O17">
        <v>0.46875</v>
      </c>
      <c r="P17" s="15">
        <f>VLOOKUP(O17,wirelookup[],2,0)</f>
        <v>445807</v>
      </c>
      <c r="Q17">
        <f t="shared" si="6"/>
        <v>0.17257283863713463</v>
      </c>
      <c r="R17" s="15">
        <f t="shared" si="7"/>
        <v>2583297.6007156563</v>
      </c>
      <c r="S17">
        <f t="shared" si="8"/>
        <v>383828651.95622289</v>
      </c>
      <c r="V17" s="21"/>
      <c r="W17" s="21"/>
      <c r="X17" s="21"/>
      <c r="Y17" t="s">
        <v>48</v>
      </c>
      <c r="Z17">
        <v>0.5625</v>
      </c>
      <c r="AA17">
        <v>2295.4034625208219</v>
      </c>
      <c r="AB17">
        <f>(Z17/2)^2*PI()*AA17</f>
        <v>570.41897953640523</v>
      </c>
      <c r="AC17">
        <f>AB17*0.04</f>
        <v>22.816759181456209</v>
      </c>
    </row>
    <row r="18" spans="1:29">
      <c r="A18" t="str">
        <f t="shared" si="2"/>
        <v>0.468 WD X 3.75 OD</v>
      </c>
      <c r="B18">
        <v>0.46800000000000003</v>
      </c>
      <c r="C18">
        <v>3.75</v>
      </c>
      <c r="D18">
        <v>12.579499999999999</v>
      </c>
      <c r="E18">
        <f t="shared" si="0"/>
        <v>264.37710484824873</v>
      </c>
      <c r="F18">
        <f t="shared" si="1"/>
        <v>4.75816542707833E-2</v>
      </c>
      <c r="G18">
        <f t="shared" si="3"/>
        <v>2.0642525680795529</v>
      </c>
      <c r="H18">
        <f t="shared" si="4"/>
        <v>2.3050306443387493E-2</v>
      </c>
      <c r="J18">
        <v>0.46800000000000003</v>
      </c>
      <c r="K18">
        <v>5.75</v>
      </c>
      <c r="L18" t="str">
        <f t="shared" si="5"/>
        <v>0.468 WD X 5.75 OD</v>
      </c>
      <c r="M18">
        <v>20.209499999999998</v>
      </c>
      <c r="O18">
        <v>0.5</v>
      </c>
      <c r="P18" s="15">
        <f>VLOOKUP(O18,wirelookup[],2,0)</f>
        <v>577500</v>
      </c>
      <c r="Q18">
        <f t="shared" si="6"/>
        <v>0.19634954084936207</v>
      </c>
      <c r="R18" s="15">
        <f t="shared" si="7"/>
        <v>2941183.3483382259</v>
      </c>
      <c r="S18">
        <f t="shared" si="8"/>
        <v>384085225.37649274</v>
      </c>
      <c r="V18" s="21"/>
      <c r="W18" s="21"/>
      <c r="X18" s="21"/>
    </row>
    <row r="19" spans="1:29">
      <c r="A19" t="str">
        <f t="shared" si="2"/>
        <v>0.468 WD X 5.75 OD</v>
      </c>
      <c r="B19">
        <v>0.46800000000000003</v>
      </c>
      <c r="C19">
        <v>5.75</v>
      </c>
      <c r="D19">
        <v>20.209499999999998</v>
      </c>
      <c r="E19">
        <f t="shared" si="0"/>
        <v>425.48442041695608</v>
      </c>
      <c r="F19">
        <f t="shared" si="1"/>
        <v>4.7497626306024492E-2</v>
      </c>
      <c r="G19">
        <f t="shared" si="3"/>
        <v>2.0642525680795529</v>
      </c>
      <c r="H19">
        <f t="shared" si="4"/>
        <v>2.3009600201303472E-2</v>
      </c>
      <c r="J19">
        <v>0.5</v>
      </c>
      <c r="K19">
        <v>5.75</v>
      </c>
      <c r="L19" t="str">
        <f t="shared" si="5"/>
        <v>0.5 WD X 5.75 OD</v>
      </c>
      <c r="M19">
        <v>21.498999999999999</v>
      </c>
      <c r="O19">
        <v>0.5625</v>
      </c>
      <c r="P19" s="15">
        <f>VLOOKUP(O19,wirelookup[],2,0)</f>
        <v>925044</v>
      </c>
      <c r="Q19">
        <f t="shared" si="6"/>
        <v>0.24850488763747386</v>
      </c>
      <c r="R19" s="15">
        <f t="shared" si="7"/>
        <v>3722437.8514014622</v>
      </c>
      <c r="S19">
        <f t="shared" si="8"/>
        <v>384085501.50591135</v>
      </c>
      <c r="Y19" t="s">
        <v>49</v>
      </c>
      <c r="Z19">
        <v>0.46875</v>
      </c>
      <c r="AA19">
        <v>1346.9578502266238</v>
      </c>
      <c r="AB19">
        <f>(Z19/2)^2*PI()*AA19</f>
        <v>232.44833973818089</v>
      </c>
      <c r="AC19">
        <f>AB19*0.04</f>
        <v>9.2979335895272364</v>
      </c>
    </row>
    <row r="20" spans="1:29">
      <c r="A20" t="str">
        <f t="shared" si="2"/>
        <v>0.468 WD X 5.875 OD</v>
      </c>
      <c r="B20">
        <v>0.46800000000000003</v>
      </c>
      <c r="C20">
        <v>5.875</v>
      </c>
      <c r="D20">
        <v>39.400199999999998</v>
      </c>
      <c r="E20">
        <f t="shared" si="0"/>
        <v>435.55362764000029</v>
      </c>
      <c r="F20">
        <f t="shared" si="1"/>
        <v>9.0460043263755313E-2</v>
      </c>
      <c r="G20">
        <f t="shared" si="3"/>
        <v>2.0642525680795529</v>
      </c>
      <c r="H20">
        <f t="shared" si="4"/>
        <v>4.3822177897500925E-2</v>
      </c>
      <c r="O20">
        <v>0.625</v>
      </c>
      <c r="P20" s="15">
        <f>VLOOKUP(O20,wirelookup[],2,0)</f>
        <v>1409913</v>
      </c>
      <c r="Q20">
        <f t="shared" si="6"/>
        <v>0.30679615757712825</v>
      </c>
      <c r="R20" s="15">
        <f t="shared" si="7"/>
        <v>4595601.8847646397</v>
      </c>
      <c r="S20">
        <f t="shared" si="8"/>
        <v>384085467.9986403</v>
      </c>
      <c r="U20">
        <v>0.375</v>
      </c>
      <c r="V20">
        <v>182724</v>
      </c>
      <c r="W20">
        <v>0.11044661672776616</v>
      </c>
      <c r="Y20" s="14" t="s">
        <v>86</v>
      </c>
      <c r="Z20">
        <v>0.3125</v>
      </c>
      <c r="AA20">
        <v>1188.4645008530185</v>
      </c>
      <c r="AB20">
        <f>(Z20/2)^2*PI()*AA20</f>
        <v>91.154085569631434</v>
      </c>
      <c r="AC20">
        <f>AB20*0.04</f>
        <v>3.6461634227852575</v>
      </c>
    </row>
    <row r="21" spans="1:29">
      <c r="A21" t="str">
        <f t="shared" si="2"/>
        <v>0.46875 WD X 3.75 OD</v>
      </c>
      <c r="B21">
        <v>0.46875</v>
      </c>
      <c r="C21">
        <v>3.75</v>
      </c>
      <c r="D21">
        <v>23.726741573033706</v>
      </c>
      <c r="E21">
        <f t="shared" si="0"/>
        <v>263.89378290154264</v>
      </c>
      <c r="F21">
        <f t="shared" si="1"/>
        <v>8.9910195352673486E-2</v>
      </c>
      <c r="G21">
        <f t="shared" si="3"/>
        <v>2.0708740636456158</v>
      </c>
      <c r="H21">
        <f t="shared" si="4"/>
        <v>4.3416544217272895E-2</v>
      </c>
      <c r="U21">
        <v>0.5625</v>
      </c>
      <c r="V21">
        <v>925044</v>
      </c>
      <c r="W21">
        <v>0.24850488763747386</v>
      </c>
      <c r="AA21">
        <f>MAX(AA19:AA20)</f>
        <v>1346.9578502266238</v>
      </c>
      <c r="AB21">
        <f>SUM(AB19:AB20)</f>
        <v>323.60242530781233</v>
      </c>
      <c r="AC21">
        <f>SUM(AC19:AC20)</f>
        <v>12.944097012312493</v>
      </c>
    </row>
    <row r="22" spans="1:29" ht="17.25">
      <c r="A22" t="str">
        <f t="shared" si="2"/>
        <v>0.49 WD X 3.825 OD</v>
      </c>
      <c r="B22">
        <v>0.49</v>
      </c>
      <c r="C22">
        <v>3.8250000000000002</v>
      </c>
      <c r="D22">
        <v>25.629197080291966</v>
      </c>
      <c r="E22">
        <f t="shared" si="0"/>
        <v>256.5847714217623</v>
      </c>
      <c r="F22">
        <f t="shared" si="1"/>
        <v>9.988588542600553E-2</v>
      </c>
      <c r="G22">
        <f t="shared" si="3"/>
        <v>2.2628891883807278</v>
      </c>
      <c r="H22">
        <f t="shared" si="4"/>
        <v>4.4140864669330808E-2</v>
      </c>
      <c r="N22" s="2" t="s">
        <v>71</v>
      </c>
      <c r="O22" s="2" t="s">
        <v>79</v>
      </c>
      <c r="P22" s="15"/>
      <c r="Q22" s="2" t="s">
        <v>71</v>
      </c>
      <c r="R22" s="2" t="s">
        <v>61</v>
      </c>
      <c r="S22" s="2" t="s">
        <v>80</v>
      </c>
      <c r="U22">
        <f>U20/U21</f>
        <v>0.66666666666666663</v>
      </c>
      <c r="V22">
        <f t="shared" ref="V22:W22" si="12">V20/V21</f>
        <v>0.19753006343482041</v>
      </c>
      <c r="W22">
        <f t="shared" si="12"/>
        <v>0.44444444444444448</v>
      </c>
    </row>
    <row r="23" spans="1:29">
      <c r="A23" t="str">
        <f t="shared" si="2"/>
        <v>0.5 WD X 5.75 OD</v>
      </c>
      <c r="B23">
        <v>0.5</v>
      </c>
      <c r="C23">
        <v>5.75</v>
      </c>
      <c r="D23">
        <v>21.498999999999999</v>
      </c>
      <c r="E23">
        <f t="shared" si="0"/>
        <v>395.84067435231395</v>
      </c>
      <c r="F23">
        <f t="shared" si="1"/>
        <v>5.4312255897343772E-2</v>
      </c>
      <c r="G23">
        <f t="shared" si="3"/>
        <v>2.3561944901923448</v>
      </c>
      <c r="H23">
        <f t="shared" si="4"/>
        <v>2.3050837324091213E-2</v>
      </c>
      <c r="N23">
        <v>0.1875</v>
      </c>
      <c r="O23" s="15">
        <f>9000000*N23^3.9999</f>
        <v>11125.51945642984</v>
      </c>
      <c r="Q23">
        <v>0.1875</v>
      </c>
      <c r="R23">
        <v>2.7611654181941541E-2</v>
      </c>
      <c r="S23">
        <f>10000000*R23^1.9999</f>
        <v>7626.77161824828</v>
      </c>
      <c r="U23" s="21" t="s">
        <v>81</v>
      </c>
      <c r="V23" s="21"/>
      <c r="W23" s="21"/>
    </row>
    <row r="24" spans="1:29">
      <c r="A24" t="str">
        <f t="shared" si="2"/>
        <v>0.531 WD X 5.625 OD</v>
      </c>
      <c r="B24">
        <v>0.53100000000000003</v>
      </c>
      <c r="C24">
        <v>5.625</v>
      </c>
      <c r="D24">
        <v>36.380856423173803</v>
      </c>
      <c r="E24">
        <f t="shared" si="0"/>
        <v>361.65588649460801</v>
      </c>
      <c r="F24">
        <f t="shared" si="1"/>
        <v>0.1005952281761525</v>
      </c>
      <c r="G24">
        <f t="shared" si="3"/>
        <v>2.657419818596495</v>
      </c>
      <c r="H24">
        <f t="shared" si="4"/>
        <v>3.7854473528116252E-2</v>
      </c>
      <c r="N24">
        <v>0.25</v>
      </c>
      <c r="O24" s="15">
        <f t="shared" ref="O24:O32" si="13">9000000*N24^3.9999</f>
        <v>35161.124028947452</v>
      </c>
      <c r="Q24">
        <v>0.25</v>
      </c>
      <c r="R24">
        <v>4.9087385212340517E-2</v>
      </c>
      <c r="S24">
        <f t="shared" ref="S24:S32" si="14">10000000*R24^1.9999</f>
        <v>24102.977781819973</v>
      </c>
      <c r="U24" s="21"/>
      <c r="V24" s="21"/>
      <c r="W24" s="21"/>
    </row>
    <row r="25" spans="1:29">
      <c r="A25" t="str">
        <f t="shared" si="2"/>
        <v>0.56 WD X 7.390625 OD</v>
      </c>
      <c r="B25">
        <v>0.56000000000000005</v>
      </c>
      <c r="C25">
        <v>7.390625</v>
      </c>
      <c r="D25">
        <v>63.109565217391307</v>
      </c>
      <c r="E25">
        <f t="shared" si="0"/>
        <v>459.83659970200233</v>
      </c>
      <c r="F25">
        <f t="shared" si="1"/>
        <v>0.13724345834648555</v>
      </c>
      <c r="G25">
        <f t="shared" si="3"/>
        <v>2.9556103684972777</v>
      </c>
      <c r="H25">
        <f t="shared" si="4"/>
        <v>4.6434895414264057E-2</v>
      </c>
      <c r="N25">
        <v>0.3125</v>
      </c>
      <c r="O25" s="15">
        <f t="shared" si="13"/>
        <v>85840.672460676011</v>
      </c>
      <c r="Q25">
        <v>0.3125</v>
      </c>
      <c r="R25">
        <v>7.6699039394282062E-2</v>
      </c>
      <c r="S25">
        <f t="shared" si="14"/>
        <v>58842.534475124296</v>
      </c>
    </row>
    <row r="26" spans="1:29">
      <c r="A26" t="str">
        <f t="shared" si="2"/>
        <v>0.562 WD X 7.375 OD</v>
      </c>
      <c r="B26">
        <v>0.56200000000000006</v>
      </c>
      <c r="C26">
        <v>7.375</v>
      </c>
      <c r="D26">
        <v>38.289678228165478</v>
      </c>
      <c r="E26">
        <f t="shared" si="0"/>
        <v>457.01788075958558</v>
      </c>
      <c r="F26">
        <f t="shared" si="1"/>
        <v>8.3781575820460683E-2</v>
      </c>
      <c r="G26">
        <f t="shared" si="3"/>
        <v>2.9767595702412444</v>
      </c>
      <c r="H26">
        <f t="shared" si="4"/>
        <v>2.8145227669049134E-2</v>
      </c>
      <c r="N26">
        <v>0.375</v>
      </c>
      <c r="O26" s="15">
        <f t="shared" si="13"/>
        <v>177995.97313458112</v>
      </c>
      <c r="Q26">
        <v>0.375</v>
      </c>
      <c r="R26">
        <v>0.11044661672776616</v>
      </c>
      <c r="S26">
        <f t="shared" si="14"/>
        <v>122011.4303437154</v>
      </c>
    </row>
    <row r="27" spans="1:29">
      <c r="A27" t="str">
        <f t="shared" si="2"/>
        <v>0.625 WD X 7.375 OD</v>
      </c>
      <c r="B27">
        <v>0.625</v>
      </c>
      <c r="C27">
        <v>7.375</v>
      </c>
      <c r="D27">
        <v>56.066865671641793</v>
      </c>
      <c r="E27">
        <f t="shared" si="0"/>
        <v>407.15040790523716</v>
      </c>
      <c r="F27">
        <f t="shared" si="1"/>
        <v>0.1377055372733193</v>
      </c>
      <c r="G27">
        <f t="shared" si="3"/>
        <v>3.6815538909255388</v>
      </c>
      <c r="H27">
        <f t="shared" si="4"/>
        <v>3.740418892488364E-2</v>
      </c>
      <c r="N27">
        <v>0.40625</v>
      </c>
      <c r="O27" s="15">
        <f t="shared" si="13"/>
        <v>245163.11232659296</v>
      </c>
      <c r="Q27">
        <v>0.40625</v>
      </c>
      <c r="R27">
        <v>0.12962137657633668</v>
      </c>
      <c r="S27">
        <f t="shared" si="14"/>
        <v>168051.34434957162</v>
      </c>
    </row>
    <row r="28" spans="1:29">
      <c r="A28" t="str">
        <f t="shared" si="2"/>
        <v>0.625 WD X 7.5 OD</v>
      </c>
      <c r="B28">
        <v>0.625</v>
      </c>
      <c r="C28">
        <v>7.5</v>
      </c>
      <c r="D28">
        <v>49.659404553415058</v>
      </c>
      <c r="E28">
        <f t="shared" si="0"/>
        <v>414.69023027385271</v>
      </c>
      <c r="F28">
        <f t="shared" si="1"/>
        <v>0.11975060160115426</v>
      </c>
      <c r="G28">
        <f t="shared" si="3"/>
        <v>3.6815538909255388</v>
      </c>
      <c r="H28">
        <f t="shared" si="4"/>
        <v>3.2527189645741972E-2</v>
      </c>
      <c r="N28">
        <v>0.4375</v>
      </c>
      <c r="O28" s="15">
        <f t="shared" si="13"/>
        <v>329754.43181714648</v>
      </c>
      <c r="Q28">
        <v>0.4375</v>
      </c>
      <c r="R28">
        <v>0.15033011721279282</v>
      </c>
      <c r="S28">
        <f t="shared" si="14"/>
        <v>226034.26907660929</v>
      </c>
    </row>
    <row r="29" spans="1:29">
      <c r="N29">
        <v>0.46875</v>
      </c>
      <c r="O29" s="15">
        <f t="shared" si="13"/>
        <v>434550.78445688257</v>
      </c>
      <c r="Q29">
        <v>0.46875</v>
      </c>
      <c r="R29">
        <v>0.17257283863713463</v>
      </c>
      <c r="S29">
        <f t="shared" si="14"/>
        <v>297866.17493273062</v>
      </c>
    </row>
    <row r="30" spans="1:29">
      <c r="A30" s="2" t="s">
        <v>67</v>
      </c>
      <c r="B30" s="2" t="s">
        <v>50</v>
      </c>
      <c r="C30" s="2" t="s">
        <v>18</v>
      </c>
      <c r="D30" s="2" t="s">
        <v>55</v>
      </c>
      <c r="E30" s="2" t="s">
        <v>64</v>
      </c>
      <c r="F30" s="2" t="s">
        <v>65</v>
      </c>
      <c r="G30" s="2" t="s">
        <v>66</v>
      </c>
      <c r="H30" s="2" t="s">
        <v>62</v>
      </c>
      <c r="N30">
        <v>0.5</v>
      </c>
      <c r="O30" s="15">
        <f t="shared" si="13"/>
        <v>562538.99088021182</v>
      </c>
      <c r="Q30">
        <v>0.5</v>
      </c>
      <c r="R30">
        <v>0.19634954084936207</v>
      </c>
      <c r="S30">
        <f t="shared" si="14"/>
        <v>385594.18609916326</v>
      </c>
    </row>
    <row r="31" spans="1:29">
      <c r="A31" t="b">
        <f>IFERROR(VLOOKUP(D31,$A$3:$H$28,4,0)=VLOOKUP(D31,$L$11:$M$19,2,0),FALSE)</f>
        <v>0</v>
      </c>
      <c r="B31">
        <v>0.21870000000000001</v>
      </c>
      <c r="C31">
        <v>2.5</v>
      </c>
      <c r="D31" t="str">
        <f t="shared" ref="D31:D56" si="15">B31&amp;" WD X "&amp;C31&amp;" OD"</f>
        <v>0.2187 WD X 2.5 OD</v>
      </c>
      <c r="E31">
        <v>1.7579102995817171E-2</v>
      </c>
      <c r="F31">
        <v>3.8996714340762663E-2</v>
      </c>
      <c r="G31">
        <f t="shared" ref="G31:G56" si="16">(MAX($E$31:$F$56)-MIN($E$31:$F$56))*((H31-MIN($H$31:$H$56))/(MAX($H$31:$H$56)-MIN($H$31:$H$56)))+MIN($E$31:$F$56)</f>
        <v>1.3578569228123538E-2</v>
      </c>
      <c r="H31">
        <v>0.45078420818243159</v>
      </c>
      <c r="N31">
        <v>0.5625</v>
      </c>
      <c r="O31" s="15">
        <f t="shared" si="13"/>
        <v>901068.07808655081</v>
      </c>
      <c r="Q31">
        <v>0.5625</v>
      </c>
      <c r="R31">
        <v>0.24850488763747386</v>
      </c>
      <c r="S31">
        <f t="shared" si="14"/>
        <v>617632.77837595239</v>
      </c>
    </row>
    <row r="32" spans="1:29" hidden="1">
      <c r="A32" t="b">
        <f t="shared" ref="A32:A56" si="17">IFERROR(VLOOKUP(D32,$A$3:$H$28,4,0)=VLOOKUP(D32,$L$11:$M$19,2,0),FALSE)</f>
        <v>1</v>
      </c>
      <c r="B32">
        <v>0.25</v>
      </c>
      <c r="C32">
        <v>2.75</v>
      </c>
      <c r="D32" t="str">
        <f t="shared" si="15"/>
        <v>0.25 WD X 2.75 OD</v>
      </c>
      <c r="E32">
        <v>1.3578569228123538E-2</v>
      </c>
      <c r="F32">
        <v>2.3051695069561205E-2</v>
      </c>
      <c r="G32">
        <f t="shared" si="16"/>
        <v>1.8890722129466079E-2</v>
      </c>
      <c r="H32">
        <v>0.58904862254808621</v>
      </c>
      <c r="N32">
        <v>0.625</v>
      </c>
      <c r="O32" s="15">
        <f t="shared" si="13"/>
        <v>1373355.5623179825</v>
      </c>
      <c r="Q32">
        <v>0.625</v>
      </c>
      <c r="R32">
        <v>0.30679615757712825</v>
      </c>
      <c r="S32">
        <f t="shared" si="14"/>
        <v>941350.04373033519</v>
      </c>
    </row>
    <row r="33" spans="1:8">
      <c r="A33" t="b">
        <f t="shared" si="17"/>
        <v>0</v>
      </c>
      <c r="B33">
        <v>0.28299999999999997</v>
      </c>
      <c r="C33">
        <v>2.75</v>
      </c>
      <c r="D33" t="str">
        <f t="shared" si="15"/>
        <v>0.283 WD X 2.75 OD</v>
      </c>
      <c r="E33">
        <v>3.6621871836328319E-2</v>
      </c>
      <c r="F33">
        <v>4.851729058114114E-2</v>
      </c>
      <c r="G33">
        <f t="shared" si="16"/>
        <v>2.5259739374617264E-2</v>
      </c>
      <c r="H33">
        <v>0.75482104210005874</v>
      </c>
    </row>
    <row r="34" spans="1:8" hidden="1">
      <c r="A34" t="b">
        <f t="shared" si="17"/>
        <v>1</v>
      </c>
      <c r="B34">
        <v>0.312</v>
      </c>
      <c r="C34">
        <v>2.75</v>
      </c>
      <c r="D34" t="str">
        <f t="shared" si="15"/>
        <v>0.312 WD X 2.75 OD</v>
      </c>
      <c r="E34">
        <v>2.1148414833490736E-2</v>
      </c>
      <c r="F34">
        <v>2.3051410525613721E-2</v>
      </c>
      <c r="G34">
        <f t="shared" si="16"/>
        <v>3.1507814453648704E-2</v>
      </c>
      <c r="H34">
        <v>0.91744558581313451</v>
      </c>
    </row>
    <row r="35" spans="1:8" ht="15" hidden="1" customHeight="1">
      <c r="A35" t="b">
        <f t="shared" si="17"/>
        <v>1</v>
      </c>
      <c r="B35">
        <v>0.312</v>
      </c>
      <c r="C35">
        <v>3.75</v>
      </c>
      <c r="D35" t="str">
        <f t="shared" si="15"/>
        <v>0.312 WD X 3.75 OD</v>
      </c>
      <c r="E35">
        <v>2.1147516318568829E-2</v>
      </c>
      <c r="F35">
        <v>2.3050431159713662E-2</v>
      </c>
      <c r="G35">
        <f t="shared" si="16"/>
        <v>3.1507814453648704E-2</v>
      </c>
      <c r="H35">
        <v>0.91744558581313451</v>
      </c>
    </row>
    <row r="36" spans="1:8">
      <c r="A36" t="b">
        <f t="shared" si="17"/>
        <v>0</v>
      </c>
      <c r="B36">
        <v>0.3125</v>
      </c>
      <c r="C36">
        <v>3.5</v>
      </c>
      <c r="D36" t="str">
        <f t="shared" si="15"/>
        <v>0.3125 WD X 3.5 OD</v>
      </c>
      <c r="E36">
        <v>3.2670992593418123E-2</v>
      </c>
      <c r="F36">
        <v>3.5496959774455099E-2</v>
      </c>
      <c r="G36">
        <f t="shared" si="16"/>
        <v>3.1620880894878925E-2</v>
      </c>
      <c r="H36">
        <v>0.92038847273138469</v>
      </c>
    </row>
    <row r="37" spans="1:8" ht="15" hidden="1" customHeight="1">
      <c r="A37" t="b">
        <f t="shared" si="17"/>
        <v>1</v>
      </c>
      <c r="B37">
        <v>0.375</v>
      </c>
      <c r="C37">
        <v>3.75</v>
      </c>
      <c r="D37" t="str">
        <f t="shared" si="15"/>
        <v>0.375 WD X 3.75 OD</v>
      </c>
      <c r="E37">
        <v>3.0548907132361025E-2</v>
      </c>
      <c r="F37">
        <v>2.3049526879623181E-2</v>
      </c>
      <c r="G37">
        <f t="shared" si="16"/>
        <v>4.7179963830383517E-2</v>
      </c>
      <c r="H37">
        <v>1.3253594007331939</v>
      </c>
    </row>
    <row r="38" spans="1:8" ht="15" customHeight="1">
      <c r="A38" t="b">
        <f t="shared" si="17"/>
        <v>0</v>
      </c>
      <c r="B38">
        <v>0.375</v>
      </c>
      <c r="C38">
        <v>4.5</v>
      </c>
      <c r="D38" t="str">
        <f t="shared" si="15"/>
        <v>0.375 WD X 4.5 OD</v>
      </c>
      <c r="E38">
        <v>4.5104990580870842E-2</v>
      </c>
      <c r="F38">
        <v>3.4032271213316617E-2</v>
      </c>
      <c r="G38">
        <f t="shared" si="16"/>
        <v>4.7179963830383517E-2</v>
      </c>
      <c r="H38">
        <v>1.3253594007331939</v>
      </c>
    </row>
    <row r="39" spans="1:8">
      <c r="A39" t="b">
        <f t="shared" si="17"/>
        <v>0</v>
      </c>
      <c r="B39">
        <v>0.39379999999999998</v>
      </c>
      <c r="C39">
        <v>3.625</v>
      </c>
      <c r="D39" t="str">
        <f t="shared" si="15"/>
        <v>0.3938 WD X 3.625 OD</v>
      </c>
      <c r="E39">
        <v>5.6010816179049502E-2</v>
      </c>
      <c r="F39">
        <v>3.8322104441714501E-2</v>
      </c>
      <c r="G39">
        <f t="shared" si="16"/>
        <v>5.2413587607275783E-2</v>
      </c>
      <c r="H39">
        <v>1.4615798635024966</v>
      </c>
    </row>
    <row r="40" spans="1:8" ht="15" customHeight="1">
      <c r="A40" t="b">
        <f t="shared" si="17"/>
        <v>0</v>
      </c>
      <c r="B40">
        <v>0.39379999999999998</v>
      </c>
      <c r="C40">
        <v>4.25</v>
      </c>
      <c r="D40" t="str">
        <f t="shared" si="15"/>
        <v>0.3938 WD X 4.25 OD</v>
      </c>
      <c r="E40">
        <v>5.760697592104394E-2</v>
      </c>
      <c r="F40">
        <v>3.9414182802844519E-2</v>
      </c>
      <c r="G40">
        <f t="shared" si="16"/>
        <v>5.2413587607275783E-2</v>
      </c>
      <c r="H40">
        <v>1.4615798635024966</v>
      </c>
    </row>
    <row r="41" spans="1:8">
      <c r="A41" t="b">
        <f t="shared" si="17"/>
        <v>0</v>
      </c>
      <c r="B41">
        <v>0.40600000000000003</v>
      </c>
      <c r="C41">
        <v>3.75</v>
      </c>
      <c r="D41" t="str">
        <f t="shared" si="15"/>
        <v>0.406 WD X 3.75 OD</v>
      </c>
      <c r="E41">
        <v>5.7805746044620646E-2</v>
      </c>
      <c r="F41">
        <v>3.7208984372815619E-2</v>
      </c>
      <c r="G41">
        <f t="shared" si="16"/>
        <v>5.5946822464891195E-2</v>
      </c>
      <c r="H41">
        <v>1.5535426999413815</v>
      </c>
    </row>
    <row r="42" spans="1:8">
      <c r="A42" t="b">
        <f t="shared" si="17"/>
        <v>0</v>
      </c>
      <c r="B42">
        <v>0.42180000000000001</v>
      </c>
      <c r="C42">
        <v>3.7185999999999999</v>
      </c>
      <c r="D42" t="str">
        <f t="shared" si="15"/>
        <v>0.4218 WD X 3.7186 OD</v>
      </c>
      <c r="E42">
        <v>4.9560897638357061E-2</v>
      </c>
      <c r="F42">
        <v>2.9556627988383561E-2</v>
      </c>
      <c r="G42">
        <f t="shared" si="16"/>
        <v>6.0682845269682338E-2</v>
      </c>
      <c r="H42">
        <v>1.6768116328369949</v>
      </c>
    </row>
    <row r="43" spans="1:8">
      <c r="A43" t="b">
        <f t="shared" si="17"/>
        <v>0</v>
      </c>
      <c r="B43">
        <v>0.43</v>
      </c>
      <c r="C43">
        <v>3.75</v>
      </c>
      <c r="D43" t="str">
        <f t="shared" si="15"/>
        <v>0.43 WD X 3.75 OD</v>
      </c>
      <c r="E43">
        <v>7.6824461485097389E-2</v>
      </c>
      <c r="F43">
        <v>4.4085065064814064E-2</v>
      </c>
      <c r="G43">
        <f t="shared" si="16"/>
        <v>6.3212042887127437E-2</v>
      </c>
      <c r="H43">
        <v>1.7426414449462582</v>
      </c>
    </row>
    <row r="44" spans="1:8" hidden="1">
      <c r="A44" t="b">
        <f t="shared" si="17"/>
        <v>1</v>
      </c>
      <c r="B44">
        <v>0.437</v>
      </c>
      <c r="C44">
        <v>3.75</v>
      </c>
      <c r="D44" t="str">
        <f t="shared" si="15"/>
        <v>0.437 WD X 3.75 OD</v>
      </c>
      <c r="E44">
        <v>4.1487953787111835E-2</v>
      </c>
      <c r="F44">
        <v>2.3050906775399733E-2</v>
      </c>
      <c r="G44">
        <f t="shared" si="16"/>
        <v>6.5409641708028154E-2</v>
      </c>
      <c r="H44">
        <v>1.7998404223901678</v>
      </c>
    </row>
    <row r="45" spans="1:8">
      <c r="A45" t="b">
        <f t="shared" si="17"/>
        <v>0</v>
      </c>
      <c r="B45">
        <v>0.45300000000000001</v>
      </c>
      <c r="C45">
        <v>5.75</v>
      </c>
      <c r="D45" t="str">
        <f t="shared" si="15"/>
        <v>0.453 WD X 5.75 OD</v>
      </c>
      <c r="E45">
        <v>8.3704302833539967E-2</v>
      </c>
      <c r="F45">
        <v>4.3279302415322352E-2</v>
      </c>
      <c r="G45">
        <f t="shared" si="16"/>
        <v>7.0565978371337795E-2</v>
      </c>
      <c r="H45">
        <v>1.9340492605515238</v>
      </c>
    </row>
    <row r="46" spans="1:8" hidden="1">
      <c r="A46" t="b">
        <f t="shared" si="17"/>
        <v>1</v>
      </c>
      <c r="B46">
        <v>0.46800000000000003</v>
      </c>
      <c r="C46">
        <v>3.75</v>
      </c>
      <c r="D46" t="str">
        <f t="shared" si="15"/>
        <v>0.468 WD X 3.75 OD</v>
      </c>
      <c r="E46">
        <v>4.75816542707833E-2</v>
      </c>
      <c r="F46">
        <v>2.3050306443387493E-2</v>
      </c>
      <c r="G46">
        <f t="shared" si="16"/>
        <v>7.556842155979443E-2</v>
      </c>
      <c r="H46">
        <v>2.0642525680795529</v>
      </c>
    </row>
    <row r="47" spans="1:8" ht="15" hidden="1" customHeight="1">
      <c r="A47" t="b">
        <f t="shared" si="17"/>
        <v>1</v>
      </c>
      <c r="B47">
        <v>0.46800000000000003</v>
      </c>
      <c r="C47">
        <v>5.75</v>
      </c>
      <c r="D47" t="str">
        <f t="shared" si="15"/>
        <v>0.468 WD X 5.75 OD</v>
      </c>
      <c r="E47">
        <v>4.7497626306024492E-2</v>
      </c>
      <c r="F47">
        <v>2.3009600201303472E-2</v>
      </c>
      <c r="G47">
        <f t="shared" si="16"/>
        <v>7.556842155979443E-2</v>
      </c>
      <c r="H47">
        <v>2.0642525680795529</v>
      </c>
    </row>
    <row r="48" spans="1:8">
      <c r="A48" t="b">
        <f t="shared" si="17"/>
        <v>0</v>
      </c>
      <c r="B48">
        <v>0.46800000000000003</v>
      </c>
      <c r="C48">
        <v>5.875</v>
      </c>
      <c r="D48" t="str">
        <f t="shared" si="15"/>
        <v>0.468 WD X 5.875 OD</v>
      </c>
      <c r="E48">
        <v>9.0460043263755313E-2</v>
      </c>
      <c r="F48">
        <v>4.3822177897500925E-2</v>
      </c>
      <c r="G48">
        <f t="shared" si="16"/>
        <v>7.556842155979443E-2</v>
      </c>
      <c r="H48">
        <v>2.0642525680795529</v>
      </c>
    </row>
    <row r="49" spans="1:8" ht="15" customHeight="1">
      <c r="A49" t="b">
        <f t="shared" si="17"/>
        <v>0</v>
      </c>
      <c r="B49">
        <v>0.46875</v>
      </c>
      <c r="C49">
        <v>3.75</v>
      </c>
      <c r="D49" t="str">
        <f t="shared" si="15"/>
        <v>0.46875 WD X 3.75 OD</v>
      </c>
      <c r="E49">
        <v>8.9910195352673486E-2</v>
      </c>
      <c r="F49">
        <v>4.3416544217272895E-2</v>
      </c>
      <c r="G49">
        <f t="shared" si="16"/>
        <v>7.5822821052562439E-2</v>
      </c>
      <c r="H49">
        <v>2.0708740636456158</v>
      </c>
    </row>
    <row r="50" spans="1:8" ht="15" customHeight="1">
      <c r="A50" t="b">
        <f t="shared" si="17"/>
        <v>0</v>
      </c>
      <c r="B50">
        <v>0.49</v>
      </c>
      <c r="C50">
        <v>3.8250000000000002</v>
      </c>
      <c r="D50" t="str">
        <f t="shared" si="15"/>
        <v>0.49 WD X 3.825 OD</v>
      </c>
      <c r="E50">
        <v>9.988588542600553E-2</v>
      </c>
      <c r="F50">
        <v>4.4140864669330808E-2</v>
      </c>
      <c r="G50">
        <f t="shared" si="16"/>
        <v>8.3200089503327662E-2</v>
      </c>
      <c r="H50">
        <v>2.2628891883807278</v>
      </c>
    </row>
    <row r="51" spans="1:8" hidden="1">
      <c r="A51" t="b">
        <f t="shared" si="17"/>
        <v>1</v>
      </c>
      <c r="B51">
        <v>0.5</v>
      </c>
      <c r="C51">
        <v>5.75</v>
      </c>
      <c r="D51" t="str">
        <f t="shared" si="15"/>
        <v>0.5 WD X 5.75 OD</v>
      </c>
      <c r="E51">
        <v>5.4312255897343772E-2</v>
      </c>
      <c r="F51">
        <v>2.3050837324091213E-2</v>
      </c>
      <c r="G51">
        <f t="shared" si="16"/>
        <v>8.678490221166793E-2</v>
      </c>
      <c r="H51">
        <v>2.3561944901923448</v>
      </c>
    </row>
    <row r="52" spans="1:8">
      <c r="A52" t="b">
        <f t="shared" si="17"/>
        <v>0</v>
      </c>
      <c r="B52">
        <v>0.53100000000000003</v>
      </c>
      <c r="C52">
        <v>5.625</v>
      </c>
      <c r="D52" t="str">
        <f t="shared" si="15"/>
        <v>0.531 WD X 5.625 OD</v>
      </c>
      <c r="E52">
        <v>0.1005952281761525</v>
      </c>
      <c r="F52">
        <v>3.7854473528116252E-2</v>
      </c>
      <c r="G52">
        <f t="shared" si="16"/>
        <v>9.8358053622906616E-2</v>
      </c>
      <c r="H52">
        <v>2.657419818596495</v>
      </c>
    </row>
    <row r="53" spans="1:8">
      <c r="A53" t="b">
        <f t="shared" si="17"/>
        <v>0</v>
      </c>
      <c r="B53">
        <v>0.56000000000000005</v>
      </c>
      <c r="C53">
        <v>7.390625</v>
      </c>
      <c r="D53" t="str">
        <f t="shared" si="15"/>
        <v>0.56 WD X 7.390625 OD</v>
      </c>
      <c r="E53">
        <v>0.13724345834648555</v>
      </c>
      <c r="F53">
        <v>4.6434895414264057E-2</v>
      </c>
      <c r="G53">
        <f t="shared" si="16"/>
        <v>0.10981460809555081</v>
      </c>
      <c r="H53">
        <v>2.9556103684972777</v>
      </c>
    </row>
    <row r="54" spans="1:8" ht="15" customHeight="1">
      <c r="A54" t="b">
        <f t="shared" si="17"/>
        <v>0</v>
      </c>
      <c r="B54">
        <v>0.56200000000000006</v>
      </c>
      <c r="C54">
        <v>7.375</v>
      </c>
      <c r="D54" t="str">
        <f t="shared" si="15"/>
        <v>0.562 WD X 7.375 OD</v>
      </c>
      <c r="E54">
        <v>8.3781575820460683E-2</v>
      </c>
      <c r="F54">
        <v>2.8145227669049134E-2</v>
      </c>
      <c r="G54">
        <f t="shared" si="16"/>
        <v>0.11062716564277461</v>
      </c>
      <c r="H54">
        <v>2.9767595702412444</v>
      </c>
    </row>
    <row r="55" spans="1:8">
      <c r="A55" t="b">
        <f t="shared" si="17"/>
        <v>0</v>
      </c>
      <c r="B55">
        <v>0.625</v>
      </c>
      <c r="C55">
        <v>7.375</v>
      </c>
      <c r="D55" t="str">
        <f t="shared" si="15"/>
        <v>0.625 WD X 7.375 OD</v>
      </c>
      <c r="E55">
        <v>0.1377055372733193</v>
      </c>
      <c r="F55">
        <v>3.740418892488364E-2</v>
      </c>
      <c r="G55">
        <f t="shared" si="16"/>
        <v>0.1377055372733193</v>
      </c>
      <c r="H55">
        <v>3.6815538909255388</v>
      </c>
    </row>
    <row r="56" spans="1:8">
      <c r="A56" t="b">
        <f t="shared" si="17"/>
        <v>0</v>
      </c>
      <c r="B56">
        <v>0.625</v>
      </c>
      <c r="C56">
        <v>7.5</v>
      </c>
      <c r="D56" t="str">
        <f t="shared" si="15"/>
        <v>0.625 WD X 7.5 OD</v>
      </c>
      <c r="E56">
        <v>0.11975060160115426</v>
      </c>
      <c r="F56">
        <v>3.2527189645741972E-2</v>
      </c>
      <c r="G56">
        <f t="shared" si="16"/>
        <v>0.1377055372733193</v>
      </c>
      <c r="H56">
        <v>3.6815538909255388</v>
      </c>
    </row>
  </sheetData>
  <autoFilter ref="A30:H56">
    <filterColumn colId="0">
      <filters>
        <filter val="FALSE"/>
      </filters>
    </filterColumn>
  </autoFilter>
  <mergeCells count="5">
    <mergeCell ref="U23:W24"/>
    <mergeCell ref="L2:O2"/>
    <mergeCell ref="Q2:S2"/>
    <mergeCell ref="U14:W15"/>
    <mergeCell ref="V16:X18"/>
  </mergeCells>
  <dataValidations count="2">
    <dataValidation type="list" allowBlank="1" showInputMessage="1" showErrorMessage="1" sqref="K4">
      <formula1>INDIRECT("odlookup")</formula1>
    </dataValidation>
    <dataValidation type="list" allowBlank="1" showInputMessage="1" showErrorMessage="1" sqref="J4">
      <formula1>INDIRECT("wirelookup[diameter]")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AA75"/>
  <sheetViews>
    <sheetView topLeftCell="A49" zoomScaleNormal="100" workbookViewId="0">
      <selection activeCell="A54" sqref="A54:D59"/>
    </sheetView>
  </sheetViews>
  <sheetFormatPr defaultRowHeight="15"/>
  <sheetData>
    <row r="4" spans="1:2">
      <c r="A4">
        <v>0.1875</v>
      </c>
      <c r="B4">
        <v>11420</v>
      </c>
    </row>
    <row r="5" spans="1:2">
      <c r="A5">
        <v>0.25</v>
      </c>
      <c r="B5">
        <v>36093</v>
      </c>
    </row>
    <row r="6" spans="1:2">
      <c r="A6">
        <v>0.3125</v>
      </c>
      <c r="B6">
        <v>88119</v>
      </c>
    </row>
    <row r="7" spans="1:2">
      <c r="A7">
        <v>0.375</v>
      </c>
      <c r="B7">
        <v>182724</v>
      </c>
    </row>
    <row r="8" spans="1:2">
      <c r="A8">
        <v>0.40625</v>
      </c>
      <c r="B8">
        <v>251546</v>
      </c>
    </row>
    <row r="9" spans="1:2">
      <c r="A9">
        <v>0.4375</v>
      </c>
      <c r="B9">
        <v>338448</v>
      </c>
    </row>
    <row r="10" spans="1:2">
      <c r="A10">
        <v>0.46875</v>
      </c>
      <c r="B10">
        <v>445807</v>
      </c>
    </row>
    <row r="11" spans="1:2">
      <c r="A11">
        <v>0.5</v>
      </c>
      <c r="B11">
        <v>577500</v>
      </c>
    </row>
    <row r="12" spans="1:2">
      <c r="A12">
        <v>0.5625</v>
      </c>
      <c r="B12">
        <v>925044</v>
      </c>
    </row>
    <row r="13" spans="1:2">
      <c r="A13">
        <v>0.625</v>
      </c>
      <c r="B13">
        <v>1409913</v>
      </c>
    </row>
    <row r="20" spans="1:2">
      <c r="A20">
        <v>11420</v>
      </c>
      <c r="B20">
        <v>0.1875</v>
      </c>
    </row>
    <row r="21" spans="1:2">
      <c r="A21">
        <v>36093</v>
      </c>
      <c r="B21">
        <v>0.25</v>
      </c>
    </row>
    <row r="22" spans="1:2">
      <c r="A22">
        <v>88119</v>
      </c>
      <c r="B22">
        <v>0.3125</v>
      </c>
    </row>
    <row r="23" spans="1:2">
      <c r="A23">
        <v>182724</v>
      </c>
      <c r="B23">
        <v>0.375</v>
      </c>
    </row>
    <row r="24" spans="1:2">
      <c r="A24">
        <v>251546</v>
      </c>
      <c r="B24">
        <v>0.40625</v>
      </c>
    </row>
    <row r="25" spans="1:2">
      <c r="A25">
        <v>338448</v>
      </c>
      <c r="B25">
        <v>0.4375</v>
      </c>
    </row>
    <row r="26" spans="1:2">
      <c r="A26">
        <v>445807</v>
      </c>
      <c r="B26">
        <v>0.46875</v>
      </c>
    </row>
    <row r="27" spans="1:2">
      <c r="A27">
        <v>577500</v>
      </c>
      <c r="B27">
        <v>0.5</v>
      </c>
    </row>
    <row r="28" spans="1:2">
      <c r="A28">
        <v>925044</v>
      </c>
      <c r="B28">
        <v>0.5625</v>
      </c>
    </row>
    <row r="29" spans="1:2">
      <c r="A29">
        <v>1409913</v>
      </c>
      <c r="B29">
        <v>0.625</v>
      </c>
    </row>
    <row r="36" spans="1:2">
      <c r="A36">
        <v>2.7611654181941541E-2</v>
      </c>
      <c r="B36">
        <v>11420</v>
      </c>
    </row>
    <row r="37" spans="1:2">
      <c r="A37">
        <v>4.9087385212340517E-2</v>
      </c>
      <c r="B37">
        <v>36093</v>
      </c>
    </row>
    <row r="38" spans="1:2">
      <c r="A38">
        <v>7.6699039394282062E-2</v>
      </c>
      <c r="B38">
        <v>88119</v>
      </c>
    </row>
    <row r="39" spans="1:2">
      <c r="A39">
        <v>0.11044661672776616</v>
      </c>
      <c r="B39">
        <v>182724</v>
      </c>
    </row>
    <row r="40" spans="1:2">
      <c r="A40">
        <v>0.12962137657633668</v>
      </c>
      <c r="B40">
        <v>251546</v>
      </c>
    </row>
    <row r="41" spans="1:2">
      <c r="A41">
        <v>0.15033011721279282</v>
      </c>
      <c r="B41">
        <v>338448</v>
      </c>
    </row>
    <row r="42" spans="1:2">
      <c r="A42">
        <v>0.17257283863713463</v>
      </c>
      <c r="B42">
        <v>445807</v>
      </c>
    </row>
    <row r="43" spans="1:2">
      <c r="A43">
        <v>0.19634954084936207</v>
      </c>
      <c r="B43">
        <v>577500</v>
      </c>
    </row>
    <row r="44" spans="1:2">
      <c r="A44">
        <v>0.24850488763747386</v>
      </c>
      <c r="B44">
        <v>925044</v>
      </c>
    </row>
    <row r="45" spans="1:2">
      <c r="A45">
        <v>0.30679615757712825</v>
      </c>
      <c r="B45">
        <v>1409913</v>
      </c>
    </row>
    <row r="63" spans="17:20">
      <c r="Q63" t="s">
        <v>84</v>
      </c>
      <c r="R63">
        <f>MAX(B75:M75)</f>
        <v>281982.59999999998</v>
      </c>
      <c r="S63" t="s">
        <v>85</v>
      </c>
      <c r="T63">
        <f>MIN(B75:M75)</f>
        <v>23498.55</v>
      </c>
    </row>
    <row r="65" spans="1:27">
      <c r="B65">
        <v>5</v>
      </c>
      <c r="C65">
        <v>10</v>
      </c>
      <c r="D65">
        <v>15</v>
      </c>
      <c r="E65">
        <v>20</v>
      </c>
      <c r="F65">
        <v>25</v>
      </c>
      <c r="G65">
        <v>30</v>
      </c>
      <c r="H65">
        <v>35</v>
      </c>
      <c r="I65">
        <v>40</v>
      </c>
      <c r="J65">
        <v>45</v>
      </c>
      <c r="K65">
        <v>50</v>
      </c>
      <c r="L65">
        <v>55</v>
      </c>
      <c r="M65">
        <v>60</v>
      </c>
      <c r="P65">
        <v>5</v>
      </c>
      <c r="Q65">
        <v>10</v>
      </c>
      <c r="R65">
        <v>15</v>
      </c>
      <c r="S65">
        <v>20</v>
      </c>
      <c r="T65">
        <v>25</v>
      </c>
      <c r="U65">
        <v>30</v>
      </c>
      <c r="V65">
        <v>35</v>
      </c>
      <c r="W65">
        <v>40</v>
      </c>
      <c r="X65">
        <v>45</v>
      </c>
      <c r="Y65">
        <v>50</v>
      </c>
      <c r="Z65">
        <v>55</v>
      </c>
      <c r="AA65">
        <v>60</v>
      </c>
    </row>
    <row r="66" spans="1:27">
      <c r="A66">
        <v>0.1875</v>
      </c>
      <c r="B66">
        <f>VLOOKUP($A66,wirelookup[],2,0)/B$65</f>
        <v>2284</v>
      </c>
      <c r="C66">
        <f>VLOOKUP($A66,wirelookup[],2,0)/C$65</f>
        <v>1142</v>
      </c>
      <c r="D66">
        <f>VLOOKUP($A66,wirelookup[],2,0)/D$65</f>
        <v>761.33333333333337</v>
      </c>
      <c r="E66">
        <f>VLOOKUP($A66,wirelookup[],2,0)/E$65</f>
        <v>571</v>
      </c>
      <c r="F66">
        <f>VLOOKUP($A66,wirelookup[],2,0)/F$65</f>
        <v>456.8</v>
      </c>
      <c r="G66">
        <f>VLOOKUP($A66,wirelookup[],2,0)/G$65</f>
        <v>380.66666666666669</v>
      </c>
      <c r="H66">
        <f>VLOOKUP($A66,wirelookup[],2,0)/H$65</f>
        <v>326.28571428571428</v>
      </c>
      <c r="I66">
        <f>VLOOKUP($A66,wirelookup[],2,0)/I$65</f>
        <v>285.5</v>
      </c>
      <c r="J66">
        <f>VLOOKUP($A66,wirelookup[],2,0)/J$65</f>
        <v>253.77777777777777</v>
      </c>
      <c r="K66">
        <f>VLOOKUP($A66,wirelookup[],2,0)/K$65</f>
        <v>228.4</v>
      </c>
      <c r="L66">
        <f>VLOOKUP($A66,wirelookup[],2,0)/L$65</f>
        <v>207.63636363636363</v>
      </c>
      <c r="M66">
        <f>VLOOKUP($A66,wirelookup[],2,0)/M$65</f>
        <v>190.33333333333334</v>
      </c>
      <c r="O66">
        <v>0.1875</v>
      </c>
      <c r="P66">
        <f>($R$63-$T$63)*((B66-MIN($B66:$M66))/(MAX($B66:$M66)-MIN($B66:$M66)))+$T$63</f>
        <v>281982.59999999998</v>
      </c>
      <c r="Q66">
        <f t="shared" ref="Q66:AA66" si="0">($R$63-$T$63)*((C66-MIN($B66:$M66))/(MAX($B66:$M66)-MIN($B66:$M66)))+$T$63</f>
        <v>140991.29999999999</v>
      </c>
      <c r="R66">
        <f t="shared" si="0"/>
        <v>93994.200000000012</v>
      </c>
      <c r="S66">
        <f t="shared" si="0"/>
        <v>70495.649999999994</v>
      </c>
      <c r="T66">
        <f t="shared" si="0"/>
        <v>56396.520000000004</v>
      </c>
      <c r="U66">
        <f t="shared" si="0"/>
        <v>46997.100000000006</v>
      </c>
      <c r="V66">
        <f t="shared" si="0"/>
        <v>40283.228571428568</v>
      </c>
      <c r="W66">
        <f t="shared" si="0"/>
        <v>35247.824999999997</v>
      </c>
      <c r="X66">
        <f t="shared" si="0"/>
        <v>31331.399999999998</v>
      </c>
      <c r="Y66">
        <f t="shared" si="0"/>
        <v>28198.26</v>
      </c>
      <c r="Z66">
        <f t="shared" si="0"/>
        <v>25634.781818181815</v>
      </c>
      <c r="AA66">
        <f t="shared" si="0"/>
        <v>23498.55</v>
      </c>
    </row>
    <row r="67" spans="1:27">
      <c r="A67">
        <v>0.25</v>
      </c>
      <c r="B67">
        <f>VLOOKUP($A67,wirelookup[],2,0)/B$65</f>
        <v>7218.6</v>
      </c>
      <c r="C67">
        <f>VLOOKUP($A67,wirelookup[],2,0)/C$65</f>
        <v>3609.3</v>
      </c>
      <c r="D67">
        <f>VLOOKUP($A67,wirelookup[],2,0)/D$65</f>
        <v>2406.1999999999998</v>
      </c>
      <c r="E67">
        <f>VLOOKUP($A67,wirelookup[],2,0)/E$65</f>
        <v>1804.65</v>
      </c>
      <c r="F67">
        <f>VLOOKUP($A67,wirelookup[],2,0)/F$65</f>
        <v>1443.72</v>
      </c>
      <c r="G67">
        <f>VLOOKUP($A67,wirelookup[],2,0)/G$65</f>
        <v>1203.0999999999999</v>
      </c>
      <c r="H67">
        <f>VLOOKUP($A67,wirelookup[],2,0)/H$65</f>
        <v>1031.2285714285715</v>
      </c>
      <c r="I67">
        <f>VLOOKUP($A67,wirelookup[],2,0)/I$65</f>
        <v>902.32500000000005</v>
      </c>
      <c r="J67">
        <f>VLOOKUP($A67,wirelookup[],2,0)/J$65</f>
        <v>802.06666666666672</v>
      </c>
      <c r="K67">
        <f>VLOOKUP($A67,wirelookup[],2,0)/K$65</f>
        <v>721.86</v>
      </c>
      <c r="L67">
        <f>VLOOKUP($A67,wirelookup[],2,0)/L$65</f>
        <v>656.23636363636365</v>
      </c>
      <c r="M67">
        <f>VLOOKUP($A67,wirelookup[],2,0)/M$65</f>
        <v>601.54999999999995</v>
      </c>
      <c r="O67">
        <v>0.25</v>
      </c>
      <c r="P67">
        <f t="shared" ref="P67:P75" si="1">($R$63-$T$63)*((B67-MIN($B67:$M67))/(MAX($B67:$M67)-MIN($B67:$M67)))+$T$63</f>
        <v>281982.59999999998</v>
      </c>
      <c r="Q67">
        <f t="shared" ref="Q67:Q75" si="2">($R$63-$T$63)*((C67-MIN($B67:$M67))/(MAX($B67:$M67)-MIN($B67:$M67)))+$T$63</f>
        <v>140991.29999999999</v>
      </c>
      <c r="R67">
        <f t="shared" ref="R67:R75" si="3">($R$63-$T$63)*((D67-MIN($B67:$M67))/(MAX($B67:$M67)-MIN($B67:$M67)))+$T$63</f>
        <v>93994.2</v>
      </c>
      <c r="S67">
        <f t="shared" ref="S67:S75" si="4">($R$63-$T$63)*((E67-MIN($B67:$M67))/(MAX($B67:$M67)-MIN($B67:$M67)))+$T$63</f>
        <v>70495.649999999994</v>
      </c>
      <c r="T67">
        <f t="shared" ref="T67:T75" si="5">($R$63-$T$63)*((F67-MIN($B67:$M67))/(MAX($B67:$M67)-MIN($B67:$M67)))+$T$63</f>
        <v>56396.520000000004</v>
      </c>
      <c r="U67">
        <f t="shared" ref="U67:U75" si="6">($R$63-$T$63)*((G67-MIN($B67:$M67))/(MAX($B67:$M67)-MIN($B67:$M67)))+$T$63</f>
        <v>46997.099999999991</v>
      </c>
      <c r="V67">
        <f t="shared" ref="V67:V75" si="7">($R$63-$T$63)*((H67-MIN($B67:$M67))/(MAX($B67:$M67)-MIN($B67:$M67)))+$T$63</f>
        <v>40283.228571428575</v>
      </c>
      <c r="W67">
        <f t="shared" ref="W67:W75" si="8">($R$63-$T$63)*((I67-MIN($B67:$M67))/(MAX($B67:$M67)-MIN($B67:$M67)))+$T$63</f>
        <v>35247.825000000004</v>
      </c>
      <c r="X67">
        <f t="shared" ref="X67:X75" si="9">($R$63-$T$63)*((J67-MIN($B67:$M67))/(MAX($B67:$M67)-MIN($B67:$M67)))+$T$63</f>
        <v>31331.4</v>
      </c>
      <c r="Y67">
        <f t="shared" ref="Y67:Y75" si="10">($R$63-$T$63)*((K67-MIN($B67:$M67))/(MAX($B67:$M67)-MIN($B67:$M67)))+$T$63</f>
        <v>28198.260000000002</v>
      </c>
      <c r="Z67">
        <f t="shared" ref="Z67:Z75" si="11">($R$63-$T$63)*((L67-MIN($B67:$M67))/(MAX($B67:$M67)-MIN($B67:$M67)))+$T$63</f>
        <v>25634.781818181818</v>
      </c>
      <c r="AA67">
        <f t="shared" ref="AA67:AA75" si="12">($R$63-$T$63)*((M67-MIN($B67:$M67))/(MAX($B67:$M67)-MIN($B67:$M67)))+$T$63</f>
        <v>23498.55</v>
      </c>
    </row>
    <row r="68" spans="1:27">
      <c r="A68">
        <v>0.3125</v>
      </c>
      <c r="B68">
        <f>VLOOKUP($A68,wirelookup[],2,0)/B$65</f>
        <v>17623.8</v>
      </c>
      <c r="C68">
        <f>VLOOKUP($A68,wirelookup[],2,0)/C$65</f>
        <v>8811.9</v>
      </c>
      <c r="D68">
        <f>VLOOKUP($A68,wirelookup[],2,0)/D$65</f>
        <v>5874.6</v>
      </c>
      <c r="E68">
        <f>VLOOKUP($A68,wirelookup[],2,0)/E$65</f>
        <v>4405.95</v>
      </c>
      <c r="F68">
        <f>VLOOKUP($A68,wirelookup[],2,0)/F$65</f>
        <v>3524.76</v>
      </c>
      <c r="G68">
        <f>VLOOKUP($A68,wirelookup[],2,0)/G$65</f>
        <v>2937.3</v>
      </c>
      <c r="H68">
        <f>VLOOKUP($A68,wirelookup[],2,0)/H$65</f>
        <v>2517.6857142857143</v>
      </c>
      <c r="I68">
        <f>VLOOKUP($A68,wirelookup[],2,0)/I$65</f>
        <v>2202.9749999999999</v>
      </c>
      <c r="J68">
        <f>VLOOKUP($A68,wirelookup[],2,0)/J$65</f>
        <v>1958.2</v>
      </c>
      <c r="K68">
        <f>VLOOKUP($A68,wirelookup[],2,0)/K$65</f>
        <v>1762.38</v>
      </c>
      <c r="L68">
        <f>VLOOKUP($A68,wirelookup[],2,0)/L$65</f>
        <v>1602.1636363636364</v>
      </c>
      <c r="M68">
        <f>VLOOKUP($A68,wirelookup[],2,0)/M$65</f>
        <v>1468.65</v>
      </c>
      <c r="O68">
        <v>0.3125</v>
      </c>
      <c r="P68">
        <f t="shared" si="1"/>
        <v>281982.59999999998</v>
      </c>
      <c r="Q68">
        <f t="shared" si="2"/>
        <v>140991.29999999999</v>
      </c>
      <c r="R68">
        <f t="shared" si="3"/>
        <v>93994.200000000012</v>
      </c>
      <c r="S68">
        <f t="shared" si="4"/>
        <v>70495.649999999994</v>
      </c>
      <c r="T68">
        <f t="shared" si="5"/>
        <v>56396.520000000004</v>
      </c>
      <c r="U68">
        <f t="shared" si="6"/>
        <v>46997.1</v>
      </c>
      <c r="V68">
        <f t="shared" si="7"/>
        <v>40283.228571428568</v>
      </c>
      <c r="W68">
        <f t="shared" si="8"/>
        <v>35247.824999999997</v>
      </c>
      <c r="X68">
        <f t="shared" si="9"/>
        <v>31331.399999999998</v>
      </c>
      <c r="Y68">
        <f t="shared" si="10"/>
        <v>28198.26</v>
      </c>
      <c r="Z68">
        <f t="shared" si="11"/>
        <v>25634.781818181818</v>
      </c>
      <c r="AA68">
        <f t="shared" si="12"/>
        <v>23498.55</v>
      </c>
    </row>
    <row r="69" spans="1:27">
      <c r="A69">
        <v>0.375</v>
      </c>
      <c r="B69">
        <f>VLOOKUP($A69,wirelookup[],2,0)/B$65</f>
        <v>36544.800000000003</v>
      </c>
      <c r="C69">
        <f>VLOOKUP($A69,wirelookup[],2,0)/C$65</f>
        <v>18272.400000000001</v>
      </c>
      <c r="D69">
        <f>VLOOKUP($A69,wirelookup[],2,0)/D$65</f>
        <v>12181.6</v>
      </c>
      <c r="E69">
        <f>VLOOKUP($A69,wirelookup[],2,0)/E$65</f>
        <v>9136.2000000000007</v>
      </c>
      <c r="F69">
        <f>VLOOKUP($A69,wirelookup[],2,0)/F$65</f>
        <v>7308.96</v>
      </c>
      <c r="G69">
        <f>VLOOKUP($A69,wirelookup[],2,0)/G$65</f>
        <v>6090.8</v>
      </c>
      <c r="H69">
        <f>VLOOKUP($A69,wirelookup[],2,0)/H$65</f>
        <v>5220.6857142857143</v>
      </c>
      <c r="I69">
        <f>VLOOKUP($A69,wirelookup[],2,0)/I$65</f>
        <v>4568.1000000000004</v>
      </c>
      <c r="J69">
        <f>VLOOKUP($A69,wirelookup[],2,0)/J$65</f>
        <v>4060.5333333333333</v>
      </c>
      <c r="K69">
        <f>VLOOKUP($A69,wirelookup[],2,0)/K$65</f>
        <v>3654.48</v>
      </c>
      <c r="L69">
        <f>VLOOKUP($A69,wirelookup[],2,0)/L$65</f>
        <v>3322.2545454545457</v>
      </c>
      <c r="M69">
        <f>VLOOKUP($A69,wirelookup[],2,0)/M$65</f>
        <v>3045.4</v>
      </c>
      <c r="O69">
        <v>0.375</v>
      </c>
      <c r="P69">
        <f t="shared" si="1"/>
        <v>281982.59999999998</v>
      </c>
      <c r="Q69">
        <f t="shared" si="2"/>
        <v>140991.29999999999</v>
      </c>
      <c r="R69">
        <f t="shared" si="3"/>
        <v>93994.200000000012</v>
      </c>
      <c r="S69">
        <f t="shared" si="4"/>
        <v>70495.650000000009</v>
      </c>
      <c r="T69">
        <f t="shared" si="5"/>
        <v>56396.51999999999</v>
      </c>
      <c r="U69">
        <f t="shared" si="6"/>
        <v>46997.1</v>
      </c>
      <c r="V69">
        <f t="shared" si="7"/>
        <v>40283.228571428568</v>
      </c>
      <c r="W69">
        <f t="shared" si="8"/>
        <v>35247.824999999997</v>
      </c>
      <c r="X69">
        <f t="shared" si="9"/>
        <v>31331.399999999998</v>
      </c>
      <c r="Y69">
        <f t="shared" si="10"/>
        <v>28198.26</v>
      </c>
      <c r="Z69">
        <f t="shared" si="11"/>
        <v>25634.781818181818</v>
      </c>
      <c r="AA69">
        <f t="shared" si="12"/>
        <v>23498.55</v>
      </c>
    </row>
    <row r="70" spans="1:27">
      <c r="A70">
        <v>0.40625</v>
      </c>
      <c r="B70">
        <f>VLOOKUP($A70,wirelookup[],2,0)/B$65</f>
        <v>50309.2</v>
      </c>
      <c r="C70">
        <f>VLOOKUP($A70,wirelookup[],2,0)/C$65</f>
        <v>25154.6</v>
      </c>
      <c r="D70">
        <f>VLOOKUP($A70,wirelookup[],2,0)/D$65</f>
        <v>16769.733333333334</v>
      </c>
      <c r="E70">
        <f>VLOOKUP($A70,wirelookup[],2,0)/E$65</f>
        <v>12577.3</v>
      </c>
      <c r="F70">
        <f>VLOOKUP($A70,wirelookup[],2,0)/F$65</f>
        <v>10061.84</v>
      </c>
      <c r="G70">
        <f>VLOOKUP($A70,wirelookup[],2,0)/G$65</f>
        <v>8384.8666666666668</v>
      </c>
      <c r="H70">
        <f>VLOOKUP($A70,wirelookup[],2,0)/H$65</f>
        <v>7187.028571428571</v>
      </c>
      <c r="I70">
        <f>VLOOKUP($A70,wirelookup[],2,0)/I$65</f>
        <v>6288.65</v>
      </c>
      <c r="J70">
        <f>VLOOKUP($A70,wirelookup[],2,0)/J$65</f>
        <v>5589.9111111111115</v>
      </c>
      <c r="K70">
        <f>VLOOKUP($A70,wirelookup[],2,0)/K$65</f>
        <v>5030.92</v>
      </c>
      <c r="L70">
        <f>VLOOKUP($A70,wirelookup[],2,0)/L$65</f>
        <v>4573.5636363636368</v>
      </c>
      <c r="M70">
        <f>VLOOKUP($A70,wirelookup[],2,0)/M$65</f>
        <v>4192.4333333333334</v>
      </c>
      <c r="O70">
        <v>0.40625</v>
      </c>
      <c r="P70">
        <f t="shared" si="1"/>
        <v>281982.59999999998</v>
      </c>
      <c r="Q70">
        <f t="shared" si="2"/>
        <v>140991.29999999999</v>
      </c>
      <c r="R70">
        <f t="shared" si="3"/>
        <v>93994.2</v>
      </c>
      <c r="S70">
        <f t="shared" si="4"/>
        <v>70495.649999999994</v>
      </c>
      <c r="T70">
        <f t="shared" si="5"/>
        <v>56396.520000000004</v>
      </c>
      <c r="U70">
        <f t="shared" si="6"/>
        <v>46997.1</v>
      </c>
      <c r="V70">
        <f t="shared" si="7"/>
        <v>40283.228571428568</v>
      </c>
      <c r="W70">
        <f t="shared" si="8"/>
        <v>35247.824999999997</v>
      </c>
      <c r="X70">
        <f t="shared" si="9"/>
        <v>31331.4</v>
      </c>
      <c r="Y70">
        <f t="shared" si="10"/>
        <v>28198.26</v>
      </c>
      <c r="Z70">
        <f t="shared" si="11"/>
        <v>25634.781818181818</v>
      </c>
      <c r="AA70">
        <f t="shared" si="12"/>
        <v>23498.55</v>
      </c>
    </row>
    <row r="71" spans="1:27">
      <c r="A71">
        <v>0.4375</v>
      </c>
      <c r="B71">
        <f>VLOOKUP($A71,wirelookup[],2,0)/B$65</f>
        <v>67689.600000000006</v>
      </c>
      <c r="C71">
        <f>VLOOKUP($A71,wirelookup[],2,0)/C$65</f>
        <v>33844.800000000003</v>
      </c>
      <c r="D71">
        <f>VLOOKUP($A71,wirelookup[],2,0)/D$65</f>
        <v>22563.200000000001</v>
      </c>
      <c r="E71">
        <f>VLOOKUP($A71,wirelookup[],2,0)/E$65</f>
        <v>16922.400000000001</v>
      </c>
      <c r="F71">
        <f>VLOOKUP($A71,wirelookup[],2,0)/F$65</f>
        <v>13537.92</v>
      </c>
      <c r="G71">
        <f>VLOOKUP($A71,wirelookup[],2,0)/G$65</f>
        <v>11281.6</v>
      </c>
      <c r="H71">
        <f>VLOOKUP($A71,wirelookup[],2,0)/H$65</f>
        <v>9669.942857142858</v>
      </c>
      <c r="I71">
        <f>VLOOKUP($A71,wirelookup[],2,0)/I$65</f>
        <v>8461.2000000000007</v>
      </c>
      <c r="J71">
        <f>VLOOKUP($A71,wirelookup[],2,0)/J$65</f>
        <v>7521.0666666666666</v>
      </c>
      <c r="K71">
        <f>VLOOKUP($A71,wirelookup[],2,0)/K$65</f>
        <v>6768.96</v>
      </c>
      <c r="L71">
        <f>VLOOKUP($A71,wirelookup[],2,0)/L$65</f>
        <v>6153.6</v>
      </c>
      <c r="M71">
        <f>VLOOKUP($A71,wirelookup[],2,0)/M$65</f>
        <v>5640.8</v>
      </c>
      <c r="O71">
        <v>0.4375</v>
      </c>
      <c r="P71">
        <f t="shared" si="1"/>
        <v>281982.59999999998</v>
      </c>
      <c r="Q71">
        <f t="shared" si="2"/>
        <v>140991.29999999999</v>
      </c>
      <c r="R71">
        <f t="shared" si="3"/>
        <v>93994.200000000012</v>
      </c>
      <c r="S71">
        <f t="shared" si="4"/>
        <v>70495.650000000009</v>
      </c>
      <c r="T71">
        <f t="shared" si="5"/>
        <v>56396.51999999999</v>
      </c>
      <c r="U71">
        <f t="shared" si="6"/>
        <v>46997.1</v>
      </c>
      <c r="V71">
        <f t="shared" si="7"/>
        <v>40283.228571428568</v>
      </c>
      <c r="W71">
        <f t="shared" si="8"/>
        <v>35247.824999999997</v>
      </c>
      <c r="X71">
        <f t="shared" si="9"/>
        <v>31331.399999999998</v>
      </c>
      <c r="Y71">
        <f t="shared" si="10"/>
        <v>28198.26</v>
      </c>
      <c r="Z71">
        <f t="shared" si="11"/>
        <v>25634.781818181818</v>
      </c>
      <c r="AA71">
        <f t="shared" si="12"/>
        <v>23498.55</v>
      </c>
    </row>
    <row r="72" spans="1:27">
      <c r="A72">
        <v>0.46875</v>
      </c>
      <c r="B72">
        <f>VLOOKUP($A72,wirelookup[],2,0)/B$65</f>
        <v>89161.4</v>
      </c>
      <c r="C72">
        <f>VLOOKUP($A72,wirelookup[],2,0)/C$65</f>
        <v>44580.7</v>
      </c>
      <c r="D72">
        <f>VLOOKUP($A72,wirelookup[],2,0)/D$65</f>
        <v>29720.466666666667</v>
      </c>
      <c r="E72">
        <f>VLOOKUP($A72,wirelookup[],2,0)/E$65</f>
        <v>22290.35</v>
      </c>
      <c r="F72">
        <f>VLOOKUP($A72,wirelookup[],2,0)/F$65</f>
        <v>17832.28</v>
      </c>
      <c r="G72">
        <f>VLOOKUP($A72,wirelookup[],2,0)/G$65</f>
        <v>14860.233333333334</v>
      </c>
      <c r="H72">
        <f>VLOOKUP($A72,wirelookup[],2,0)/H$65</f>
        <v>12737.342857142858</v>
      </c>
      <c r="I72">
        <f>VLOOKUP($A72,wirelookup[],2,0)/I$65</f>
        <v>11145.174999999999</v>
      </c>
      <c r="J72">
        <f>VLOOKUP($A72,wirelookup[],2,0)/J$65</f>
        <v>9906.822222222223</v>
      </c>
      <c r="K72">
        <f>VLOOKUP($A72,wirelookup[],2,0)/K$65</f>
        <v>8916.14</v>
      </c>
      <c r="L72">
        <f>VLOOKUP($A72,wirelookup[],2,0)/L$65</f>
        <v>8105.5818181818186</v>
      </c>
      <c r="M72">
        <f>VLOOKUP($A72,wirelookup[],2,0)/M$65</f>
        <v>7430.1166666666668</v>
      </c>
      <c r="O72">
        <v>0.46875</v>
      </c>
      <c r="P72">
        <f t="shared" si="1"/>
        <v>281982.59999999998</v>
      </c>
      <c r="Q72">
        <f t="shared" si="2"/>
        <v>140991.29999999999</v>
      </c>
      <c r="R72">
        <f t="shared" si="3"/>
        <v>93994.200000000012</v>
      </c>
      <c r="S72">
        <f t="shared" si="4"/>
        <v>70495.649999999994</v>
      </c>
      <c r="T72">
        <f t="shared" si="5"/>
        <v>56396.51999999999</v>
      </c>
      <c r="U72">
        <f t="shared" si="6"/>
        <v>46997.100000000006</v>
      </c>
      <c r="V72">
        <f t="shared" si="7"/>
        <v>40283.228571428568</v>
      </c>
      <c r="W72">
        <f t="shared" si="8"/>
        <v>35247.824999999997</v>
      </c>
      <c r="X72">
        <f t="shared" si="9"/>
        <v>31331.4</v>
      </c>
      <c r="Y72">
        <f t="shared" si="10"/>
        <v>28198.26</v>
      </c>
      <c r="Z72">
        <f t="shared" si="11"/>
        <v>25634.781818181818</v>
      </c>
      <c r="AA72">
        <f t="shared" si="12"/>
        <v>23498.55</v>
      </c>
    </row>
    <row r="73" spans="1:27">
      <c r="A73">
        <v>0.5</v>
      </c>
      <c r="B73">
        <f>VLOOKUP($A73,wirelookup[],2,0)/B$65</f>
        <v>115500</v>
      </c>
      <c r="C73">
        <f>VLOOKUP($A73,wirelookup[],2,0)/C$65</f>
        <v>57750</v>
      </c>
      <c r="D73">
        <f>VLOOKUP($A73,wirelookup[],2,0)/D$65</f>
        <v>38500</v>
      </c>
      <c r="E73">
        <f>VLOOKUP($A73,wirelookup[],2,0)/E$65</f>
        <v>28875</v>
      </c>
      <c r="F73">
        <f>VLOOKUP($A73,wirelookup[],2,0)/F$65</f>
        <v>23100</v>
      </c>
      <c r="G73">
        <f>VLOOKUP($A73,wirelookup[],2,0)/G$65</f>
        <v>19250</v>
      </c>
      <c r="H73">
        <f>VLOOKUP($A73,wirelookup[],2,0)/H$65</f>
        <v>16500</v>
      </c>
      <c r="I73">
        <f>VLOOKUP($A73,wirelookup[],2,0)/I$65</f>
        <v>14437.5</v>
      </c>
      <c r="J73">
        <f>VLOOKUP($A73,wirelookup[],2,0)/J$65</f>
        <v>12833.333333333334</v>
      </c>
      <c r="K73">
        <f>VLOOKUP($A73,wirelookup[],2,0)/K$65</f>
        <v>11550</v>
      </c>
      <c r="L73">
        <f>VLOOKUP($A73,wirelookup[],2,0)/L$65</f>
        <v>10500</v>
      </c>
      <c r="M73">
        <f>VLOOKUP($A73,wirelookup[],2,0)/M$65</f>
        <v>9625</v>
      </c>
      <c r="O73">
        <v>0.5</v>
      </c>
      <c r="P73">
        <f t="shared" si="1"/>
        <v>281982.59999999998</v>
      </c>
      <c r="Q73">
        <f t="shared" si="2"/>
        <v>140991.29999999999</v>
      </c>
      <c r="R73">
        <f t="shared" si="3"/>
        <v>93994.2</v>
      </c>
      <c r="S73">
        <f t="shared" si="4"/>
        <v>70495.649999999994</v>
      </c>
      <c r="T73">
        <f t="shared" si="5"/>
        <v>56396.51999999999</v>
      </c>
      <c r="U73">
        <f t="shared" si="6"/>
        <v>46997.1</v>
      </c>
      <c r="V73">
        <f t="shared" si="7"/>
        <v>40283.228571428568</v>
      </c>
      <c r="W73">
        <f t="shared" si="8"/>
        <v>35247.824999999997</v>
      </c>
      <c r="X73">
        <f t="shared" si="9"/>
        <v>31331.4</v>
      </c>
      <c r="Y73">
        <f t="shared" si="10"/>
        <v>28198.26</v>
      </c>
      <c r="Z73">
        <f t="shared" si="11"/>
        <v>25634.781818181818</v>
      </c>
      <c r="AA73">
        <f t="shared" si="12"/>
        <v>23498.55</v>
      </c>
    </row>
    <row r="74" spans="1:27">
      <c r="A74">
        <v>0.5625</v>
      </c>
      <c r="B74">
        <f>VLOOKUP($A74,wirelookup[],2,0)/B$65</f>
        <v>185008.8</v>
      </c>
      <c r="C74">
        <f>VLOOKUP($A74,wirelookup[],2,0)/C$65</f>
        <v>92504.4</v>
      </c>
      <c r="D74">
        <f>VLOOKUP($A74,wirelookup[],2,0)/D$65</f>
        <v>61669.599999999999</v>
      </c>
      <c r="E74">
        <f>VLOOKUP($A74,wirelookup[],2,0)/E$65</f>
        <v>46252.2</v>
      </c>
      <c r="F74">
        <f>VLOOKUP($A74,wirelookup[],2,0)/F$65</f>
        <v>37001.760000000002</v>
      </c>
      <c r="G74">
        <f>VLOOKUP($A74,wirelookup[],2,0)/G$65</f>
        <v>30834.799999999999</v>
      </c>
      <c r="H74">
        <f>VLOOKUP($A74,wirelookup[],2,0)/H$65</f>
        <v>26429.82857142857</v>
      </c>
      <c r="I74">
        <f>VLOOKUP($A74,wirelookup[],2,0)/I$65</f>
        <v>23126.1</v>
      </c>
      <c r="J74">
        <f>VLOOKUP($A74,wirelookup[],2,0)/J$65</f>
        <v>20556.533333333333</v>
      </c>
      <c r="K74">
        <f>VLOOKUP($A74,wirelookup[],2,0)/K$65</f>
        <v>18500.88</v>
      </c>
      <c r="L74">
        <f>VLOOKUP($A74,wirelookup[],2,0)/L$65</f>
        <v>16818.981818181819</v>
      </c>
      <c r="M74">
        <f>VLOOKUP($A74,wirelookup[],2,0)/M$65</f>
        <v>15417.4</v>
      </c>
      <c r="O74">
        <v>0.5625</v>
      </c>
      <c r="P74">
        <f t="shared" si="1"/>
        <v>281982.59999999998</v>
      </c>
      <c r="Q74">
        <f t="shared" si="2"/>
        <v>140991.29999999999</v>
      </c>
      <c r="R74">
        <f t="shared" si="3"/>
        <v>93994.2</v>
      </c>
      <c r="S74">
        <f t="shared" si="4"/>
        <v>70495.649999999994</v>
      </c>
      <c r="T74">
        <f t="shared" si="5"/>
        <v>56396.520000000004</v>
      </c>
      <c r="U74">
        <f t="shared" si="6"/>
        <v>46997.1</v>
      </c>
      <c r="V74">
        <f t="shared" si="7"/>
        <v>40283.228571428568</v>
      </c>
      <c r="W74">
        <f t="shared" si="8"/>
        <v>35247.824999999997</v>
      </c>
      <c r="X74">
        <f t="shared" si="9"/>
        <v>31331.399999999998</v>
      </c>
      <c r="Y74">
        <f t="shared" si="10"/>
        <v>28198.260000000002</v>
      </c>
      <c r="Z74">
        <f t="shared" si="11"/>
        <v>25634.781818181818</v>
      </c>
      <c r="AA74">
        <f t="shared" si="12"/>
        <v>23498.55</v>
      </c>
    </row>
    <row r="75" spans="1:27">
      <c r="A75">
        <v>0.625</v>
      </c>
      <c r="B75">
        <f>VLOOKUP($A75,wirelookup[],2,0)/B$65</f>
        <v>281982.59999999998</v>
      </c>
      <c r="C75">
        <f>VLOOKUP($A75,wirelookup[],2,0)/C$65</f>
        <v>140991.29999999999</v>
      </c>
      <c r="D75">
        <f>VLOOKUP($A75,wirelookup[],2,0)/D$65</f>
        <v>93994.2</v>
      </c>
      <c r="E75">
        <f>VLOOKUP($A75,wirelookup[],2,0)/E$65</f>
        <v>70495.649999999994</v>
      </c>
      <c r="F75">
        <f>VLOOKUP($A75,wirelookup[],2,0)/F$65</f>
        <v>56396.52</v>
      </c>
      <c r="G75">
        <f>VLOOKUP($A75,wirelookup[],2,0)/G$65</f>
        <v>46997.1</v>
      </c>
      <c r="H75">
        <f>VLOOKUP($A75,wirelookup[],2,0)/H$65</f>
        <v>40283.228571428568</v>
      </c>
      <c r="I75">
        <f>VLOOKUP($A75,wirelookup[],2,0)/I$65</f>
        <v>35247.824999999997</v>
      </c>
      <c r="J75">
        <f>VLOOKUP($A75,wirelookup[],2,0)/J$65</f>
        <v>31331.4</v>
      </c>
      <c r="K75">
        <f>VLOOKUP($A75,wirelookup[],2,0)/K$65</f>
        <v>28198.26</v>
      </c>
      <c r="L75">
        <f>VLOOKUP($A75,wirelookup[],2,0)/L$65</f>
        <v>25634.781818181818</v>
      </c>
      <c r="M75">
        <f>VLOOKUP($A75,wirelookup[],2,0)/M$65</f>
        <v>23498.55</v>
      </c>
      <c r="O75">
        <v>0.625</v>
      </c>
      <c r="P75">
        <f t="shared" si="1"/>
        <v>281982.59999999998</v>
      </c>
      <c r="Q75">
        <f t="shared" si="2"/>
        <v>140991.29999999999</v>
      </c>
      <c r="R75">
        <f t="shared" si="3"/>
        <v>93994.2</v>
      </c>
      <c r="S75">
        <f t="shared" si="4"/>
        <v>70495.649999999994</v>
      </c>
      <c r="T75">
        <f t="shared" si="5"/>
        <v>56396.520000000004</v>
      </c>
      <c r="U75">
        <f t="shared" si="6"/>
        <v>46997.1</v>
      </c>
      <c r="V75">
        <f t="shared" si="7"/>
        <v>40283.228571428568</v>
      </c>
      <c r="W75">
        <f t="shared" si="8"/>
        <v>35247.824999999997</v>
      </c>
      <c r="X75">
        <f t="shared" si="9"/>
        <v>31331.4</v>
      </c>
      <c r="Y75">
        <f t="shared" si="10"/>
        <v>28198.26</v>
      </c>
      <c r="Z75">
        <f t="shared" si="11"/>
        <v>25634.781818181818</v>
      </c>
      <c r="AA75">
        <f t="shared" si="12"/>
        <v>23498.55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E5" sqref="E5"/>
    </sheetView>
  </sheetViews>
  <sheetFormatPr defaultRowHeight="15"/>
  <cols>
    <col min="1" max="1" width="11.28515625" customWidth="1"/>
    <col min="3" max="3" width="9.85546875" customWidth="1"/>
    <col min="4" max="4" width="11.140625" customWidth="1"/>
    <col min="12" max="12" width="10.5703125" customWidth="1"/>
    <col min="15" max="15" width="34.42578125" customWidth="1"/>
  </cols>
  <sheetData>
    <row r="1" spans="1:15">
      <c r="A1" t="s">
        <v>0</v>
      </c>
      <c r="B1" t="s">
        <v>1</v>
      </c>
      <c r="C1" t="s">
        <v>24</v>
      </c>
      <c r="D1" t="s">
        <v>2</v>
      </c>
      <c r="E1" t="s">
        <v>44</v>
      </c>
      <c r="G1" t="s">
        <v>13</v>
      </c>
      <c r="H1" t="s">
        <v>14</v>
      </c>
      <c r="J1" t="s">
        <v>21</v>
      </c>
      <c r="L1" t="s">
        <v>108</v>
      </c>
    </row>
    <row r="2" spans="1:15">
      <c r="A2">
        <v>0.1875</v>
      </c>
      <c r="B2">
        <v>11420</v>
      </c>
      <c r="C2">
        <v>222500</v>
      </c>
      <c r="D2" s="1">
        <f>wirelookup[[#This Row],[average tensile]]*wirelookup[[#This Row],[diameter]]^3/10.2</f>
        <v>143.79164751838238</v>
      </c>
      <c r="E2">
        <v>2.75</v>
      </c>
      <c r="G2">
        <v>12500</v>
      </c>
      <c r="H2">
        <v>1.0549999999999999</v>
      </c>
      <c r="J2">
        <v>2.75</v>
      </c>
      <c r="L2">
        <v>4.25</v>
      </c>
    </row>
    <row r="3" spans="1:15">
      <c r="A3">
        <v>0.25</v>
      </c>
      <c r="B3">
        <v>36093</v>
      </c>
      <c r="C3">
        <v>212500</v>
      </c>
      <c r="D3" s="1">
        <f>wirelookup[[#This Row],[average tensile]]*wirelookup[[#This Row],[diameter]]^3/10.2</f>
        <v>325.52083333333337</v>
      </c>
      <c r="E3">
        <v>2.75</v>
      </c>
      <c r="G3">
        <v>16500</v>
      </c>
      <c r="H3">
        <v>1</v>
      </c>
      <c r="J3">
        <v>3.75</v>
      </c>
      <c r="L3">
        <v>6.25</v>
      </c>
    </row>
    <row r="4" spans="1:15">
      <c r="A4">
        <v>0.3125</v>
      </c>
      <c r="B4">
        <v>88119</v>
      </c>
      <c r="C4">
        <v>202500</v>
      </c>
      <c r="D4" s="1">
        <f>wirelookup[[#This Row],[average tensile]]*wirelookup[[#This Row],[diameter]]^3/10.2</f>
        <v>605.86368336397061</v>
      </c>
      <c r="E4">
        <v>2.75</v>
      </c>
      <c r="G4">
        <v>25000</v>
      </c>
      <c r="H4">
        <v>0.92</v>
      </c>
      <c r="J4">
        <v>5.625</v>
      </c>
    </row>
    <row r="5" spans="1:15">
      <c r="A5">
        <v>0.375</v>
      </c>
      <c r="B5">
        <v>182724</v>
      </c>
      <c r="C5">
        <v>197500</v>
      </c>
      <c r="D5" s="1">
        <f>wirelookup[[#This Row],[average tensile]]*wirelookup[[#This Row],[diameter]]^3/10.2</f>
        <v>1021.0822610294118</v>
      </c>
      <c r="E5">
        <v>3.75</v>
      </c>
      <c r="G5">
        <v>50000</v>
      </c>
      <c r="H5">
        <v>0.79</v>
      </c>
      <c r="J5">
        <v>7.5</v>
      </c>
    </row>
    <row r="6" spans="1:15">
      <c r="A6">
        <v>0.40625</v>
      </c>
      <c r="B6">
        <v>251546</v>
      </c>
      <c r="C6">
        <v>191000</v>
      </c>
      <c r="D6" s="1">
        <f>wirelookup[[#This Row],[average tensile]]*wirelookup[[#This Row],[diameter]]^3/10.2</f>
        <v>1255.4901721430761</v>
      </c>
      <c r="E6">
        <v>3.75</v>
      </c>
      <c r="G6">
        <v>100000</v>
      </c>
      <c r="H6">
        <v>0.68</v>
      </c>
      <c r="J6">
        <v>9.5</v>
      </c>
      <c r="O6" s="9">
        <v>143.79164751838201</v>
      </c>
    </row>
    <row r="7" spans="1:15">
      <c r="A7">
        <v>0.4375</v>
      </c>
      <c r="B7">
        <v>338448</v>
      </c>
      <c r="C7">
        <v>190000</v>
      </c>
      <c r="D7" s="1">
        <f>wirelookup[[#This Row],[average tensile]]*wirelookup[[#This Row],[diameter]]^3/10.2</f>
        <v>1559.8671109068628</v>
      </c>
      <c r="E7">
        <v>3.75</v>
      </c>
      <c r="J7">
        <v>11.5</v>
      </c>
      <c r="O7">
        <v>325.52083333333297</v>
      </c>
    </row>
    <row r="8" spans="1:15">
      <c r="A8">
        <v>0.46875</v>
      </c>
      <c r="B8">
        <v>445807</v>
      </c>
      <c r="C8">
        <v>185000</v>
      </c>
      <c r="D8" s="1">
        <f>wirelookup[[#This Row],[average tensile]]*wirelookup[[#This Row],[diameter]]^3/10.2</f>
        <v>1868.0796903722428</v>
      </c>
      <c r="E8">
        <v>3.75</v>
      </c>
      <c r="O8">
        <v>605.86368336397095</v>
      </c>
    </row>
    <row r="9" spans="1:15">
      <c r="A9">
        <v>0.5</v>
      </c>
      <c r="B9">
        <v>577500</v>
      </c>
      <c r="C9">
        <v>180000</v>
      </c>
      <c r="D9" s="1">
        <f>wirelookup[[#This Row],[average tensile]]*wirelookup[[#This Row],[diameter]]^3/10.2</f>
        <v>2205.8823529411766</v>
      </c>
      <c r="E9">
        <v>5.625</v>
      </c>
      <c r="O9">
        <v>1021.08226102941</v>
      </c>
    </row>
    <row r="10" spans="1:15">
      <c r="A10">
        <v>0.5625</v>
      </c>
      <c r="B10">
        <v>925044</v>
      </c>
      <c r="C10">
        <v>175000</v>
      </c>
      <c r="D10" s="1">
        <f>wirelookup[[#This Row],[average tensile]]*wirelookup[[#This Row],[diameter]]^3/10.2</f>
        <v>3053.5529641544122</v>
      </c>
      <c r="E10">
        <v>5.625</v>
      </c>
      <c r="O10">
        <v>1255.4901721430799</v>
      </c>
    </row>
    <row r="11" spans="1:15">
      <c r="A11">
        <v>0.625</v>
      </c>
      <c r="B11">
        <v>1409913</v>
      </c>
      <c r="C11">
        <v>1725000</v>
      </c>
      <c r="D11" s="1">
        <f>wirelookup[[#This Row],[average tensile]]*wirelookup[[#This Row],[diameter]]^3/10.2</f>
        <v>41288.488051470595</v>
      </c>
      <c r="E11">
        <v>5.625</v>
      </c>
      <c r="O11">
        <v>1559.86711090686</v>
      </c>
    </row>
    <row r="12" spans="1:15">
      <c r="O12">
        <v>1868.0796903722401</v>
      </c>
    </row>
    <row r="13" spans="1:15">
      <c r="O13">
        <v>2205.8823529411802</v>
      </c>
    </row>
    <row r="14" spans="1:15">
      <c r="O14">
        <v>3053.5529641544099</v>
      </c>
    </row>
    <row r="15" spans="1:15">
      <c r="O15">
        <v>41288.488051470602</v>
      </c>
    </row>
  </sheetData>
  <pageMargins left="0.7" right="0.7" top="0.75" bottom="0.75" header="0.3" footer="0.3"/>
  <pageSetup orientation="portrait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Sandbox</vt:lpstr>
      <vt:lpstr>Test Results</vt:lpstr>
      <vt:lpstr>Costs Calculations</vt:lpstr>
      <vt:lpstr>Sheet3</vt:lpstr>
      <vt:lpstr>lookups</vt:lpstr>
      <vt:lpstr>avgtens</vt:lpstr>
      <vt:lpstr>cyc</vt:lpstr>
      <vt:lpstr>cycrat</vt:lpstr>
      <vt:lpstr>ippt</vt:lpstr>
      <vt:lpstr>lift</vt:lpstr>
      <vt:lpstr>mp</vt:lpstr>
      <vt:lpstr>mp_base</vt:lpstr>
      <vt:lpstr>tt</vt:lpstr>
      <vt:lpstr>wd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J-Moriarty</dc:creator>
  <cp:lastModifiedBy>J-Moriarty</cp:lastModifiedBy>
  <dcterms:created xsi:type="dcterms:W3CDTF">2017-10-03T13:52:42Z</dcterms:created>
  <dcterms:modified xsi:type="dcterms:W3CDTF">2017-10-05T16:18:26Z</dcterms:modified>
</cp:coreProperties>
</file>