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nard.collin\Desktop\planilha_denilton\"/>
    </mc:Choice>
  </mc:AlternateContent>
  <xr:revisionPtr revIDLastSave="0" documentId="13_ncr:1_{22DACB40-B9F2-4F70-A065-0ECB93122CB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DOS_TEST" sheetId="13" r:id="rId1"/>
    <sheet name="BD" sheetId="1" r:id="rId2"/>
    <sheet name="Resumo" sheetId="2" r:id="rId3"/>
    <sheet name="Linhas Embalagem" sheetId="3" r:id="rId4"/>
    <sheet name="Programas (Safra)" sheetId="9" r:id="rId5"/>
    <sheet name="Programas (Entressafra)" sheetId="11" r:id="rId6"/>
    <sheet name="Cxs e Etiqueta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3" l="1"/>
  <c r="G16" i="3"/>
  <c r="G17" i="3"/>
  <c r="G18" i="3"/>
  <c r="G19" i="3"/>
  <c r="G20" i="3"/>
  <c r="G21" i="3"/>
  <c r="G22" i="3"/>
  <c r="G23" i="3"/>
  <c r="G24" i="3"/>
  <c r="H14" i="3"/>
  <c r="G10" i="2" l="1"/>
  <c r="C11" i="2"/>
  <c r="R26" i="2"/>
  <c r="U26" i="2" s="1"/>
  <c r="Z35" i="2"/>
  <c r="W10" i="2"/>
  <c r="Z10" i="2" s="1"/>
  <c r="U12" i="2" s="1"/>
  <c r="R9" i="2"/>
  <c r="D12" i="2"/>
  <c r="D10" i="2"/>
  <c r="R8" i="2"/>
  <c r="R10" i="2"/>
  <c r="R11" i="2"/>
  <c r="R12" i="2"/>
  <c r="U11" i="2" l="1"/>
  <c r="O6" i="1"/>
  <c r="O5" i="1"/>
  <c r="O4" i="1"/>
  <c r="O3" i="1"/>
  <c r="O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A8" i="5" l="1"/>
  <c r="C8" i="5" s="1"/>
  <c r="A9" i="5"/>
  <c r="A10" i="5"/>
  <c r="A11" i="5"/>
  <c r="A12" i="5"/>
  <c r="A13" i="5"/>
  <c r="A14" i="5"/>
  <c r="A15" i="5"/>
  <c r="A16" i="5"/>
  <c r="A17" i="5"/>
  <c r="A18" i="5"/>
  <c r="G5" i="5"/>
  <c r="G4" i="5"/>
  <c r="G3" i="5"/>
  <c r="G2" i="5"/>
  <c r="C11" i="5" l="1"/>
  <c r="C18" i="5"/>
  <c r="C9" i="5"/>
  <c r="C17" i="5"/>
  <c r="C13" i="5"/>
  <c r="C10" i="5"/>
  <c r="C12" i="5"/>
  <c r="C16" i="5"/>
  <c r="C14" i="5"/>
  <c r="C15" i="5"/>
  <c r="C16" i="2"/>
  <c r="C15" i="2"/>
  <c r="C13" i="2"/>
  <c r="C9" i="2"/>
  <c r="C12" i="2"/>
  <c r="C14" i="2"/>
  <c r="G3" i="3"/>
  <c r="G4" i="3"/>
  <c r="G5" i="3"/>
  <c r="G6" i="3"/>
  <c r="G7" i="3"/>
  <c r="G8" i="3"/>
  <c r="G9" i="3"/>
  <c r="G10" i="3"/>
  <c r="G11" i="3"/>
  <c r="G12" i="3"/>
  <c r="G13" i="3"/>
  <c r="G14" i="3"/>
  <c r="I19" i="3"/>
  <c r="K19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I10" i="5" l="1"/>
  <c r="K10" i="5"/>
  <c r="J10" i="5"/>
  <c r="J16" i="5"/>
  <c r="I16" i="5"/>
  <c r="K16" i="5"/>
  <c r="J12" i="5"/>
  <c r="I12" i="5"/>
  <c r="K12" i="5"/>
  <c r="G8" i="1"/>
  <c r="G3" i="1"/>
  <c r="G4" i="1"/>
  <c r="G5" i="1"/>
  <c r="G6" i="1"/>
  <c r="G7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9" i="1"/>
  <c r="K17" i="5" l="1"/>
  <c r="J17" i="5"/>
  <c r="I17" i="5"/>
  <c r="K13" i="5"/>
  <c r="J13" i="5"/>
  <c r="I13" i="5"/>
  <c r="K14" i="5"/>
  <c r="J14" i="5"/>
  <c r="I14" i="5"/>
  <c r="I11" i="5"/>
  <c r="K11" i="5"/>
  <c r="J11" i="5"/>
  <c r="I1" i="1"/>
  <c r="I15" i="5" l="1"/>
  <c r="K15" i="5"/>
  <c r="J15" i="5"/>
  <c r="H17" i="3" l="1"/>
  <c r="H15" i="3"/>
  <c r="H18" i="3"/>
  <c r="H21" i="3"/>
  <c r="H20" i="3"/>
  <c r="H19" i="3"/>
  <c r="J19" i="3" s="1"/>
  <c r="H8" i="3"/>
  <c r="I10" i="3"/>
  <c r="K10" i="3" s="1"/>
  <c r="I3" i="3"/>
  <c r="K3" i="3" s="1"/>
  <c r="I9" i="3"/>
  <c r="K9" i="3" s="1"/>
  <c r="I12" i="3"/>
  <c r="K12" i="3" s="1"/>
  <c r="I15" i="3"/>
  <c r="K15" i="3" s="1"/>
  <c r="H3" i="3"/>
  <c r="J3" i="3" s="1"/>
  <c r="I8" i="3"/>
  <c r="K8" i="3" s="1"/>
  <c r="I21" i="3"/>
  <c r="K21" i="3" s="1"/>
  <c r="I24" i="3"/>
  <c r="H9" i="3"/>
  <c r="J9" i="3" s="1"/>
  <c r="I18" i="3"/>
  <c r="H4" i="3"/>
  <c r="H11" i="3"/>
  <c r="J11" i="3" s="1"/>
  <c r="I7" i="3"/>
  <c r="H12" i="3"/>
  <c r="J12" i="3" s="1"/>
  <c r="I22" i="3"/>
  <c r="I17" i="3"/>
  <c r="H13" i="3"/>
  <c r="I23" i="3"/>
  <c r="I4" i="3"/>
  <c r="H10" i="3"/>
  <c r="J10" i="3" s="1"/>
  <c r="H7" i="3"/>
  <c r="J12" i="2"/>
  <c r="M12" i="2" s="1"/>
  <c r="J11" i="2"/>
  <c r="M11" i="2" s="1"/>
  <c r="J13" i="2"/>
  <c r="M13" i="2" s="1"/>
  <c r="J16" i="2"/>
  <c r="M16" i="2" s="1"/>
  <c r="J14" i="2"/>
  <c r="M14" i="2" s="1"/>
  <c r="J9" i="2"/>
  <c r="M9" i="2" s="1"/>
  <c r="J15" i="2"/>
  <c r="M15" i="2" s="1"/>
  <c r="E12" i="5"/>
  <c r="E17" i="5"/>
  <c r="F10" i="5"/>
  <c r="F12" i="5"/>
  <c r="F16" i="5"/>
  <c r="D12" i="5"/>
  <c r="D16" i="5"/>
  <c r="E10" i="5"/>
  <c r="E13" i="5"/>
  <c r="F14" i="5"/>
  <c r="F15" i="5"/>
  <c r="D9" i="5"/>
  <c r="D13" i="5"/>
  <c r="E9" i="5"/>
  <c r="E16" i="5"/>
  <c r="F17" i="5"/>
  <c r="F9" i="5"/>
  <c r="D10" i="5"/>
  <c r="D14" i="5"/>
  <c r="E14" i="5"/>
  <c r="E15" i="5"/>
  <c r="F11" i="5"/>
  <c r="F13" i="5"/>
  <c r="D17" i="5"/>
  <c r="D15" i="5"/>
  <c r="D11" i="5"/>
  <c r="E11" i="5"/>
  <c r="G2" i="1"/>
  <c r="D9" i="2"/>
  <c r="D11" i="2"/>
  <c r="D13" i="2"/>
  <c r="D14" i="2"/>
  <c r="D15" i="2"/>
  <c r="D16" i="2"/>
  <c r="D17" i="2"/>
  <c r="L3" i="3" l="1"/>
  <c r="L10" i="3"/>
  <c r="L9" i="3"/>
  <c r="L12" i="3"/>
  <c r="K17" i="3"/>
  <c r="K7" i="3"/>
  <c r="K4" i="3"/>
  <c r="K23" i="3"/>
  <c r="K18" i="3"/>
  <c r="U13" i="2"/>
  <c r="G17" i="5"/>
  <c r="G15" i="5"/>
  <c r="G13" i="5"/>
  <c r="G11" i="5"/>
  <c r="G14" i="5"/>
  <c r="G16" i="5"/>
  <c r="G10" i="5"/>
  <c r="G12" i="5"/>
  <c r="G9" i="5"/>
  <c r="K9" i="5" l="1"/>
  <c r="J9" i="5"/>
  <c r="I9" i="5"/>
  <c r="C8" i="2" l="1"/>
  <c r="C10" i="2"/>
  <c r="C17" i="2"/>
  <c r="C18" i="2"/>
  <c r="I26" i="2" l="1"/>
  <c r="H24" i="3"/>
  <c r="J24" i="3" s="1"/>
  <c r="H23" i="3"/>
  <c r="J23" i="3" s="1"/>
  <c r="L23" i="3" s="1"/>
  <c r="I6" i="3"/>
  <c r="K6" i="3" s="1"/>
  <c r="I5" i="3"/>
  <c r="K5" i="3" s="1"/>
  <c r="I11" i="3"/>
  <c r="K11" i="3" s="1"/>
  <c r="L11" i="3" s="1"/>
  <c r="H6" i="3"/>
  <c r="J6" i="3" s="1"/>
  <c r="H5" i="3"/>
  <c r="J5" i="3" s="1"/>
  <c r="H22" i="3"/>
  <c r="J22" i="3" s="1"/>
  <c r="H16" i="3"/>
  <c r="J16" i="3" s="1"/>
  <c r="I16" i="3"/>
  <c r="K16" i="3" s="1"/>
  <c r="I13" i="3"/>
  <c r="K13" i="3" s="1"/>
  <c r="I14" i="3"/>
  <c r="K14" i="3" s="1"/>
  <c r="I20" i="3"/>
  <c r="K20" i="3" s="1"/>
  <c r="J17" i="2"/>
  <c r="M17" i="2" s="1"/>
  <c r="J10" i="2"/>
  <c r="M10" i="2" s="1"/>
  <c r="J18" i="3"/>
  <c r="L18" i="3" s="1"/>
  <c r="J17" i="3"/>
  <c r="L17" i="3" s="1"/>
  <c r="J20" i="3"/>
  <c r="J8" i="3"/>
  <c r="L8" i="3" s="1"/>
  <c r="J4" i="3"/>
  <c r="L4" i="3" s="1"/>
  <c r="J7" i="3"/>
  <c r="L7" i="3" s="1"/>
  <c r="J21" i="3"/>
  <c r="L21" i="3" s="1"/>
  <c r="J14" i="3"/>
  <c r="J13" i="3"/>
  <c r="K24" i="3"/>
  <c r="K22" i="3"/>
  <c r="J15" i="3"/>
  <c r="L15" i="3" s="1"/>
  <c r="H15" i="2"/>
  <c r="I15" i="2"/>
  <c r="G15" i="2"/>
  <c r="G14" i="2"/>
  <c r="H14" i="2"/>
  <c r="I14" i="2"/>
  <c r="H17" i="2"/>
  <c r="G17" i="2"/>
  <c r="I17" i="2"/>
  <c r="G13" i="2"/>
  <c r="H13" i="2"/>
  <c r="I13" i="2"/>
  <c r="I9" i="2"/>
  <c r="G9" i="2"/>
  <c r="H9" i="2"/>
  <c r="H11" i="2"/>
  <c r="I11" i="2"/>
  <c r="G11" i="2"/>
  <c r="I10" i="2"/>
  <c r="H10" i="2"/>
  <c r="I16" i="2"/>
  <c r="H16" i="2"/>
  <c r="G16" i="2"/>
  <c r="H12" i="2"/>
  <c r="G12" i="2"/>
  <c r="I12" i="2"/>
  <c r="K10" i="2" l="1"/>
  <c r="L10" i="2" s="1"/>
  <c r="L5" i="3"/>
  <c r="L6" i="3"/>
  <c r="L19" i="3"/>
  <c r="L14" i="3"/>
  <c r="L16" i="3"/>
  <c r="L20" i="3"/>
  <c r="L22" i="3"/>
  <c r="L24" i="3"/>
  <c r="L13" i="3"/>
  <c r="N12" i="3"/>
  <c r="N10" i="3"/>
  <c r="N4" i="3"/>
  <c r="N11" i="3"/>
  <c r="N3" i="3"/>
  <c r="N9" i="3"/>
  <c r="N20" i="3"/>
  <c r="N14" i="3"/>
  <c r="N24" i="3"/>
  <c r="N16" i="3"/>
  <c r="N7" i="3"/>
  <c r="N6" i="3"/>
  <c r="N21" i="3"/>
  <c r="N8" i="3"/>
  <c r="N17" i="3"/>
  <c r="N13" i="3"/>
  <c r="N15" i="3"/>
  <c r="N5" i="3"/>
  <c r="N23" i="3"/>
  <c r="N22" i="3"/>
  <c r="N19" i="3"/>
  <c r="N18" i="3"/>
  <c r="K16" i="2"/>
  <c r="K17" i="2"/>
  <c r="K14" i="2"/>
  <c r="K15" i="2"/>
  <c r="K9" i="2"/>
  <c r="K12" i="2"/>
  <c r="K11" i="2"/>
  <c r="K13" i="2"/>
  <c r="M13" i="3" l="1"/>
  <c r="L15" i="2"/>
  <c r="L12" i="2"/>
  <c r="L13" i="2"/>
  <c r="L9" i="2"/>
  <c r="L16" i="2"/>
  <c r="L11" i="2"/>
  <c r="L14" i="2"/>
  <c r="L17" i="2"/>
  <c r="N13" i="2"/>
  <c r="N12" i="2"/>
  <c r="N14" i="2"/>
  <c r="N16" i="2"/>
  <c r="N11" i="2"/>
  <c r="N15" i="2"/>
  <c r="N10" i="2"/>
  <c r="N17" i="2"/>
  <c r="N9" i="2"/>
  <c r="Q19" i="3"/>
  <c r="Q8" i="3"/>
  <c r="Q13" i="3"/>
  <c r="Q3" i="3"/>
  <c r="M23" i="3"/>
  <c r="M15" i="3"/>
  <c r="M7" i="3"/>
  <c r="M22" i="3"/>
  <c r="M8" i="3"/>
  <c r="M14" i="3"/>
  <c r="M17" i="3"/>
  <c r="M24" i="3"/>
  <c r="M18" i="3"/>
  <c r="M5" i="3"/>
  <c r="M6" i="3"/>
  <c r="M16" i="3"/>
  <c r="M20" i="3"/>
  <c r="M19" i="3"/>
  <c r="M21" i="3"/>
  <c r="M12" i="3"/>
  <c r="M4" i="3"/>
  <c r="M9" i="3"/>
  <c r="M11" i="3"/>
  <c r="M10" i="3"/>
  <c r="M3" i="3"/>
  <c r="P13" i="3" l="1"/>
  <c r="P21" i="3"/>
  <c r="P17" i="3"/>
  <c r="R27" i="2"/>
  <c r="U27" i="2" s="1"/>
  <c r="W14" i="2"/>
  <c r="Z14" i="2"/>
  <c r="T2" i="3" s="1"/>
  <c r="P5" i="3"/>
  <c r="P3" i="3"/>
  <c r="P9" i="3"/>
  <c r="W16" i="2"/>
</calcChain>
</file>

<file path=xl/sharedStrings.xml><?xml version="1.0" encoding="utf-8"?>
<sst xmlns="http://schemas.openxmlformats.org/spreadsheetml/2006/main" count="144" uniqueCount="74">
  <si>
    <t>Peso</t>
  </si>
  <si>
    <t>Calibre</t>
  </si>
  <si>
    <t>Faixa</t>
  </si>
  <si>
    <t>Percentual</t>
  </si>
  <si>
    <t>Embaladeiras</t>
  </si>
  <si>
    <t>Embaladeiras:</t>
  </si>
  <si>
    <t>Grande</t>
  </si>
  <si>
    <t>Pequeno</t>
  </si>
  <si>
    <t>Fruto</t>
  </si>
  <si>
    <t>Qualidade</t>
  </si>
  <si>
    <t>Horas</t>
  </si>
  <si>
    <t>Refugo</t>
  </si>
  <si>
    <t>Caixote</t>
  </si>
  <si>
    <t>Quantidade</t>
  </si>
  <si>
    <t>Caixas</t>
  </si>
  <si>
    <t>Frutos/Caixote:</t>
  </si>
  <si>
    <t>Caixotes:</t>
  </si>
  <si>
    <t>Cxs 3ª Qual.</t>
  </si>
  <si>
    <t>Cxs 1ª Qual.</t>
  </si>
  <si>
    <t>Cxs 2ª Qual.</t>
  </si>
  <si>
    <t>Cxs Total</t>
  </si>
  <si>
    <t>1ª Qualidade</t>
  </si>
  <si>
    <t>2ª Qualidade</t>
  </si>
  <si>
    <t>3ª Qualidade</t>
  </si>
  <si>
    <t>Paletizadores</t>
  </si>
  <si>
    <t>Paletizadores:</t>
  </si>
  <si>
    <t>Corte de talo:</t>
  </si>
  <si>
    <t>Caixotes/Hora:</t>
  </si>
  <si>
    <t>Ton/Hora:</t>
  </si>
  <si>
    <t>Linha</t>
  </si>
  <si>
    <t>Frutos</t>
  </si>
  <si>
    <t>Calibre2</t>
  </si>
  <si>
    <t>Qualidade2</t>
  </si>
  <si>
    <t>Frutos2</t>
  </si>
  <si>
    <t>Caixas2</t>
  </si>
  <si>
    <t>Auxiliar</t>
  </si>
  <si>
    <t>Auxiliar2</t>
  </si>
  <si>
    <t>Horas total palt.</t>
  </si>
  <si>
    <t>Setor</t>
  </si>
  <si>
    <t>Seleção:</t>
  </si>
  <si>
    <t>Limpeza de cal:</t>
  </si>
  <si>
    <t>Etiqueta:</t>
  </si>
  <si>
    <t>Produtividade</t>
  </si>
  <si>
    <t>1ª Impressão</t>
  </si>
  <si>
    <t>2ª Impressão</t>
  </si>
  <si>
    <t>Cxs 1ª Quali.</t>
  </si>
  <si>
    <t>Cxs 2ª Quali.</t>
  </si>
  <si>
    <t>Cxs 3ª Quali.</t>
  </si>
  <si>
    <t>Referências</t>
  </si>
  <si>
    <t>Cal</t>
  </si>
  <si>
    <t>Muito Pouco</t>
  </si>
  <si>
    <t>Pouco</t>
  </si>
  <si>
    <t>Médio</t>
  </si>
  <si>
    <t>Muito</t>
  </si>
  <si>
    <t>Cal:</t>
  </si>
  <si>
    <t>Aéreo</t>
  </si>
  <si>
    <t>Cxs Aéreo</t>
  </si>
  <si>
    <t>ER Aéreo</t>
  </si>
  <si>
    <t>ER 4kg</t>
  </si>
  <si>
    <t>Cxs 4kg</t>
  </si>
  <si>
    <t>Horas total 4kg</t>
  </si>
  <si>
    <t>Horas total aéreo</t>
  </si>
  <si>
    <t>Referência</t>
  </si>
  <si>
    <t>Seleção aéreo:</t>
  </si>
  <si>
    <t>Kent e Keitt</t>
  </si>
  <si>
    <t>Tommy e Palmer</t>
  </si>
  <si>
    <t>ENTRESSAFRA</t>
  </si>
  <si>
    <t>Calibre3</t>
  </si>
  <si>
    <t>Qualidade3</t>
  </si>
  <si>
    <t>proporcao talo/embaladeria tem que ser igual a 0.3</t>
  </si>
  <si>
    <t>essa relaçao se mante, alterando a quantidade de caixotes e frutos/caixotes</t>
  </si>
  <si>
    <t>é a proporcao ideal para qualquer combincao de pessoas</t>
  </si>
  <si>
    <t>talo</t>
  </si>
  <si>
    <t>emba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</si>
</sst>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h:mm;@"/>
    <numFmt numFmtId="166" formatCode="[$-F400]h:mm:ss\ AM/PM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 applyAlignment="1">
      <alignment horizontal="left"/>
    </xf>
    <xf numFmtId="164" fontId="0" fillId="0" borderId="0" xfId="1" applyNumberFormat="1" applyFont="1" applyAlignment="1">
      <alignment horizontal="left"/>
    </xf>
    <xf numFmtId="1" fontId="0" fillId="0" borderId="0" xfId="1" applyNumberFormat="1" applyFont="1" applyAlignment="1">
      <alignment horizontal="left"/>
    </xf>
    <xf numFmtId="0" fontId="2" fillId="2" borderId="1" xfId="0" applyFont="1" applyFill="1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Protection="1"/>
    <xf numFmtId="164" fontId="0" fillId="0" borderId="1" xfId="0" applyNumberFormat="1" applyBorder="1" applyAlignment="1">
      <alignment horizontal="left"/>
    </xf>
    <xf numFmtId="0" fontId="0" fillId="2" borderId="0" xfId="0" applyFill="1"/>
    <xf numFmtId="0" fontId="0" fillId="2" borderId="2" xfId="0" applyFill="1" applyBorder="1"/>
    <xf numFmtId="0" fontId="0" fillId="0" borderId="2" xfId="0" applyBorder="1"/>
    <xf numFmtId="164" fontId="0" fillId="0" borderId="2" xfId="0" applyNumberFormat="1" applyBorder="1"/>
    <xf numFmtId="9" fontId="0" fillId="3" borderId="0" xfId="1" applyFont="1" applyFill="1" applyAlignment="1">
      <alignment horizontal="left"/>
    </xf>
    <xf numFmtId="0" fontId="0" fillId="3" borderId="1" xfId="0" applyFill="1" applyBorder="1" applyAlignment="1" applyProtection="1">
      <alignment horizontal="center"/>
    </xf>
    <xf numFmtId="0" fontId="3" fillId="0" borderId="0" xfId="0" applyFont="1"/>
    <xf numFmtId="0" fontId="2" fillId="4" borderId="5" xfId="0" applyFont="1" applyFill="1" applyBorder="1"/>
    <xf numFmtId="0" fontId="2" fillId="4" borderId="0" xfId="0" applyFont="1" applyFill="1"/>
    <xf numFmtId="0" fontId="0" fillId="5" borderId="0" xfId="0" applyFont="1" applyFill="1"/>
    <xf numFmtId="0" fontId="2" fillId="2" borderId="1" xfId="0" applyFon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0" fontId="0" fillId="0" borderId="1" xfId="0" applyBorder="1"/>
    <xf numFmtId="0" fontId="3" fillId="0" borderId="1" xfId="0" applyFont="1" applyBorder="1"/>
    <xf numFmtId="0" fontId="0" fillId="3" borderId="4" xfId="0" applyFill="1" applyBorder="1" applyAlignment="1" applyProtection="1">
      <alignment horizontal="center"/>
    </xf>
    <xf numFmtId="9" fontId="0" fillId="0" borderId="1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/>
    <xf numFmtId="9" fontId="1" fillId="3" borderId="0" xfId="1" applyFont="1" applyFill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0" fillId="7" borderId="1" xfId="0" applyFill="1" applyBorder="1" applyAlignment="1" applyProtection="1">
      <alignment horizontal="center"/>
    </xf>
    <xf numFmtId="0" fontId="0" fillId="7" borderId="3" xfId="0" applyFill="1" applyBorder="1" applyAlignment="1" applyProtection="1">
      <alignment horizontal="center"/>
    </xf>
    <xf numFmtId="0" fontId="4" fillId="2" borderId="13" xfId="0" applyFont="1" applyFill="1" applyBorder="1"/>
    <xf numFmtId="0" fontId="4" fillId="2" borderId="0" xfId="0" applyFont="1" applyFill="1"/>
    <xf numFmtId="0" fontId="0" fillId="2" borderId="13" xfId="0" applyFill="1" applyBorder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 applyBorder="1"/>
    <xf numFmtId="0" fontId="0" fillId="0" borderId="0" xfId="0" applyBorder="1"/>
    <xf numFmtId="164" fontId="0" fillId="0" borderId="0" xfId="0" applyNumberFormat="1" applyBorder="1"/>
    <xf numFmtId="0" fontId="4" fillId="2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2" xfId="0" applyFont="1" applyFill="1" applyBorder="1"/>
    <xf numFmtId="0" fontId="2" fillId="2" borderId="3" xfId="0" applyFont="1" applyFill="1" applyBorder="1"/>
    <xf numFmtId="0" fontId="0" fillId="0" borderId="3" xfId="0" applyFill="1" applyBorder="1" applyAlignment="1">
      <alignment horizontal="left"/>
    </xf>
    <xf numFmtId="9" fontId="0" fillId="0" borderId="3" xfId="0" applyNumberFormat="1" applyBorder="1" applyAlignment="1">
      <alignment horizontal="center" vertical="center"/>
    </xf>
    <xf numFmtId="165" fontId="0" fillId="0" borderId="1" xfId="0" applyNumberFormat="1" applyBorder="1"/>
    <xf numFmtId="2" fontId="0" fillId="0" borderId="0" xfId="1" applyNumberFormat="1" applyFont="1" applyAlignment="1">
      <alignment horizontal="left"/>
    </xf>
    <xf numFmtId="167" fontId="0" fillId="0" borderId="0" xfId="0" applyNumberFormat="1"/>
    <xf numFmtId="167" fontId="0" fillId="0" borderId="1" xfId="0" applyNumberFormat="1" applyBorder="1"/>
    <xf numFmtId="0" fontId="5" fillId="0" borderId="0" xfId="0" applyFont="1"/>
    <xf numFmtId="9" fontId="5" fillId="0" borderId="15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9" fontId="5" fillId="0" borderId="1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left"/>
    </xf>
    <xf numFmtId="1" fontId="0" fillId="0" borderId="3" xfId="0" applyNumberFormat="1" applyFont="1" applyFill="1" applyBorder="1" applyAlignment="1">
      <alignment horizontal="left"/>
    </xf>
    <xf numFmtId="0" fontId="0" fillId="9" borderId="0" xfId="0" applyFill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81">
    <dxf>
      <numFmt numFmtId="13" formatCode="0%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0" formatCode="General"/>
      <border outline="0">
        <right style="thin">
          <color indexed="64"/>
        </right>
      </border>
    </dxf>
    <dxf>
      <numFmt numFmtId="1" formatCode="0"/>
    </dxf>
    <dxf>
      <numFmt numFmtId="1" formatCode="0"/>
    </dxf>
    <dxf>
      <numFmt numFmtId="1" formatCode="0"/>
    </dxf>
    <dxf>
      <numFmt numFmtId="13" formatCode="0%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  <border outline="0">
        <left style="thin">
          <color indexed="64"/>
        </left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color rgb="FFFFFF00"/>
      </font>
      <fill>
        <patternFill patternType="solid">
          <fgColor indexed="64"/>
          <bgColor theme="9"/>
        </patternFill>
      </fill>
      <border outline="0">
        <right style="thin">
          <color indexed="64"/>
        </right>
      </border>
    </dxf>
    <dxf>
      <numFmt numFmtId="13" formatCode="0%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</dxf>
    <dxf>
      <numFmt numFmtId="13" formatCode="0%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3" formatCode="0%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9"/>
      </font>
    </dxf>
  </dxfs>
  <tableStyles count="1" defaultTableStyle="TableStyleMedium2" defaultPivotStyle="PivotStyleLight16">
    <tableStyle name="Estilo de Tabela 1" pivot="0" count="1" xr9:uid="{00000000-0011-0000-FFFF-FFFF00000000}">
      <tableStyleElement type="firstColumn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5" dropStyle="combo" dx="16" fmlaLink="$L$1" fmlaRange="$U$2:$V$6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3</xdr:col>
      <xdr:colOff>244311</xdr:colOff>
      <xdr:row>3</xdr:row>
      <xdr:rowOff>38101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061680" cy="6096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822960</xdr:colOff>
          <xdr:row>0</xdr:row>
          <xdr:rowOff>0</xdr:rowOff>
        </xdr:from>
        <xdr:to>
          <xdr:col>12</xdr:col>
          <xdr:colOff>7620</xdr:colOff>
          <xdr:row>1</xdr:row>
          <xdr:rowOff>22860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895820</xdr:colOff>
      <xdr:row>3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61680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57620</xdr:colOff>
      <xdr:row>0</xdr:row>
      <xdr:rowOff>609600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0538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895820</xdr:colOff>
      <xdr:row>3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61680" cy="609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8:D208" totalsRowShown="0">
  <autoFilter ref="A8:D208" xr:uid="{00000000-0009-0000-0100-000001000000}"/>
  <tableColumns count="4">
    <tableColumn id="2" xr3:uid="{00000000-0010-0000-0000-000002000000}" name="Fruto" dataDxfId="79">
      <calculatedColumnFormula>IF(Tabela1[[#This Row],[Peso]]="","",ROW(A1))</calculatedColumnFormula>
    </tableColumn>
    <tableColumn id="4" xr3:uid="{00000000-0010-0000-0000-000004000000}" name="Calibre" dataDxfId="78">
      <calculatedColumnFormula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calculatedColumnFormula>
    </tableColumn>
    <tableColumn id="1" xr3:uid="{00000000-0010-0000-0000-000001000000}" name="Peso"/>
    <tableColumn id="3" xr3:uid="{00000000-0010-0000-0000-000003000000}" name="Qualidade"/>
  </tableColumns>
  <tableStyleInfo name="TableStyleMedium2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31014" displayName="Tabela31014" ref="I4:O26" totalsRowShown="0" headerRowDxfId="19" dataDxfId="18">
  <tableColumns count="7">
    <tableColumn id="1" xr3:uid="{00000000-0010-0000-0900-000001000000}" name="Linha" dataDxfId="17"/>
    <tableColumn id="2" xr3:uid="{00000000-0010-0000-0900-000002000000}" name="Calibre" dataDxfId="16"/>
    <tableColumn id="3" xr3:uid="{00000000-0010-0000-0900-000003000000}" name="Qualidade" dataDxfId="15"/>
    <tableColumn id="6" xr3:uid="{00000000-0010-0000-0900-000006000000}" name="Calibre2" dataDxfId="14"/>
    <tableColumn id="7" xr3:uid="{00000000-0010-0000-0900-000007000000}" name="Qualidade2" dataDxfId="13"/>
    <tableColumn id="4" xr3:uid="{00000000-0010-0000-0900-000004000000}" name="Calibre3" dataDxfId="12"/>
    <tableColumn id="5" xr3:uid="{00000000-0010-0000-0900-000005000000}" name="Qualidade3" dataDxfId="11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ela27" displayName="Tabela27" ref="A7:K18" totalsRowShown="0">
  <autoFilter ref="A7:K18" xr:uid="{00000000-0009-0000-0100-000006000000}"/>
  <tableColumns count="11">
    <tableColumn id="1" xr3:uid="{00000000-0010-0000-0A00-000001000000}" name="Faixa" dataDxfId="10">
      <calculatedColumnFormula>Tabela2[[#This Row],[Faixa]]</calculatedColumnFormula>
    </tableColumn>
    <tableColumn id="2" xr3:uid="{00000000-0010-0000-0A00-000002000000}" name="Calibre"/>
    <tableColumn id="3" xr3:uid="{00000000-0010-0000-0A00-000003000000}" name="Percentual" dataDxfId="9" dataCellStyle="Porcentagem">
      <calculatedColumnFormula>COUNTIFS(Tabela1[Peso],"&lt;="&amp;A7,Tabela1[Peso],"&gt;"&amp;A8)/COUNT(Tabela1[Peso])</calculatedColumnFormula>
    </tableColumn>
    <tableColumn id="8" xr3:uid="{00000000-0010-0000-0A00-000008000000}" name="Cxs 1ª Qual." dataDxfId="8">
      <calculatedColumnFormula>($D$5*Resumo!$U$18*$G$2*Tabela27[[#This Row],[Percentual]]/Tabela27[[#This Row],[Calibre]])*1.05</calculatedColumnFormula>
    </tableColumn>
    <tableColumn id="9" xr3:uid="{00000000-0010-0000-0A00-000009000000}" name="Cxs 2ª Qual." dataDxfId="7">
      <calculatedColumnFormula>($D$5*Resumo!$U$18*$G$3*Tabela27[[#This Row],[Percentual]]/Tabela27[[#This Row],[Calibre]])*1.05</calculatedColumnFormula>
    </tableColumn>
    <tableColumn id="10" xr3:uid="{00000000-0010-0000-0A00-00000A000000}" name="Cxs 3ª Qual." dataDxfId="6">
      <calculatedColumnFormula>($D$5*Resumo!$U$18*$G$4*Tabela27[[#This Row],[Percentual]]/Tabela27[[#This Row],[Calibre]])*1.05</calculatedColumnFormula>
    </tableColumn>
    <tableColumn id="11" xr3:uid="{00000000-0010-0000-0A00-00000B000000}" name="Cxs Total" dataDxfId="5">
      <calculatedColumnFormula>SUM(Tabela27[[#This Row],[Cxs 1ª Qual.]:[Cxs 3ª Qual.]])</calculatedColumnFormula>
    </tableColumn>
    <tableColumn id="4" xr3:uid="{00000000-0010-0000-0A00-000004000000}" name="1ª Impressão" dataDxfId="4" dataCellStyle="Porcentagem"/>
    <tableColumn id="5" xr3:uid="{00000000-0010-0000-0A00-000005000000}" name="Cxs 1ª Quali." dataDxfId="3" dataCellStyle="Porcentagem">
      <calculatedColumnFormula>IF(Tabela27[[#This Row],[1ª Impressão]]="","",IF((Tabela27[[#This Row],[Cxs Total]]-Tabela27[[#This Row],[1ª Impressão]])&lt;=0,0,Tabela27[[#This Row],[Cxs Total]]-Tabela27[[#This Row],[1ª Impressão]])*$G$2*1.05)</calculatedColumnFormula>
    </tableColumn>
    <tableColumn id="6" xr3:uid="{00000000-0010-0000-0A00-000006000000}" name="Cxs 2ª Quali." dataDxfId="2">
      <calculatedColumnFormula>IF(Tabela27[[#This Row],[1ª Impressão]]="","",IF((Tabela27[[#This Row],[Cxs Total]]-Tabela27[[#This Row],[1ª Impressão]])&lt;=0,0,Tabela27[[#This Row],[Cxs Total]]-Tabela27[[#This Row],[1ª Impressão]])*$G$3*1.05)</calculatedColumnFormula>
    </tableColumn>
    <tableColumn id="7" xr3:uid="{00000000-0010-0000-0A00-000007000000}" name="Cxs 3ª Quali." dataDxfId="1">
      <calculatedColumnFormula>IF(Tabela27[[#This Row],[1ª Impressão]]="","",IF((Tabela27[[#This Row],[Cxs Total]]-Tabela27[[#This Row],[1ª Impressão]])&lt;=0,0,Tabela27[[#This Row],[Cxs Total]]-Tabela27[[#This Row],[1ª Impressão]])*$G$4*1.05)</calculatedColumnFormula>
    </tableColumn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ela312" displayName="Tabela312" ref="F1:G5" totalsRowShown="0">
  <autoFilter ref="F1:G5" xr:uid="{00000000-0009-0000-0100-00000B000000}"/>
  <tableColumns count="2">
    <tableColumn id="1" xr3:uid="{00000000-0010-0000-0B00-000001000000}" name="Qualidade"/>
    <tableColumn id="2" xr3:uid="{00000000-0010-0000-0B00-000002000000}" name="Percentual" dataDxfId="0" dataCellStyle="Porcentagem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a4" displayName="Tabela4" ref="G1:H8" totalsRowShown="0">
  <autoFilter ref="G1:H8" xr:uid="{00000000-0009-0000-0100-000004000000}"/>
  <tableColumns count="2">
    <tableColumn id="1" xr3:uid="{00000000-0010-0000-0100-000001000000}" name="Caixote" dataDxfId="77">
      <calculatedColumnFormula>ROW(G1)</calculatedColumnFormula>
    </tableColumn>
    <tableColumn id="2" xr3:uid="{00000000-0010-0000-0100-000002000000}" name="Quantidade"/>
  </tableColumns>
  <tableStyleInfo name="TableStyleMedium2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ela313" displayName="Tabela313" ref="N1:O6" totalsRowShown="0">
  <autoFilter ref="N1:O6" xr:uid="{00000000-0009-0000-0100-00000C000000}"/>
  <tableColumns count="2">
    <tableColumn id="1" xr3:uid="{00000000-0010-0000-0200-000001000000}" name="Qualidade"/>
    <tableColumn id="2" xr3:uid="{00000000-0010-0000-0200-000002000000}" name="Percentual" dataDxfId="76" dataCellStyle="Porcentagem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a2" displayName="Tabela2" ref="A7:N18" totalsRowShown="0">
  <autoFilter ref="A7:N18" xr:uid="{00000000-0009-0000-0100-000002000000}"/>
  <tableColumns count="14">
    <tableColumn id="1" xr3:uid="{00000000-0010-0000-0300-000001000000}" name="Faixa"/>
    <tableColumn id="2" xr3:uid="{00000000-0010-0000-0300-000002000000}" name="Calibre"/>
    <tableColumn id="3" xr3:uid="{00000000-0010-0000-0300-000003000000}" name="Percentual" dataDxfId="71" dataCellStyle="Porcentagem">
      <calculatedColumnFormula>COUNTIFS(Tabela1[Peso],"&lt;="&amp;A7,Tabela1[Peso],"&gt;"&amp;A8)/COUNT(Tabela1[Peso])</calculatedColumnFormula>
    </tableColumn>
    <tableColumn id="7" xr3:uid="{00000000-0010-0000-0300-000007000000}" name="Caixas" dataDxfId="70" dataCellStyle="Porcentagem">
      <calculatedColumnFormula>COUNTIFS(Tabela1[Peso],"&lt;="&amp;A7,Tabela1[Peso],"&gt;"&amp;A8)/Tabela2[[#This Row],[Calibre]]</calculatedColumnFormula>
    </tableColumn>
    <tableColumn id="5" xr3:uid="{00000000-0010-0000-0300-000005000000}" name="ER 4kg" dataDxfId="69" dataCellStyle="Porcentagem"/>
    <tableColumn id="6" xr3:uid="{00000000-0010-0000-0300-000006000000}" name="ER Aéreo" dataDxfId="68" dataCellStyle="Porcentagem"/>
    <tableColumn id="8" xr3:uid="{00000000-0010-0000-0300-000008000000}" name="Cxs 1ª Qual." dataDxfId="67">
      <calculatedColumnFormula>$U$7*$U$18*$R$9*Tabela2[[#This Row],[Percentual]]/Tabela2[[#This Row],[Calibre]]</calculatedColumnFormula>
    </tableColumn>
    <tableColumn id="9" xr3:uid="{00000000-0010-0000-0300-000009000000}" name="Cxs 2ª Qual." dataDxfId="66">
      <calculatedColumnFormula>$U$7*$U$18*$R$10*Tabela2[[#This Row],[Percentual]]/Tabela2[[#This Row],[Calibre]]</calculatedColumnFormula>
    </tableColumn>
    <tableColumn id="10" xr3:uid="{00000000-0010-0000-0300-00000A000000}" name="Cxs 3ª Qual." dataDxfId="65">
      <calculatedColumnFormula>$U$7*$U$18*$R$11*Tabela2[[#This Row],[Percentual]]/Tabela2[[#This Row],[Calibre]]</calculatedColumnFormula>
    </tableColumn>
    <tableColumn id="4" xr3:uid="{00000000-0010-0000-0300-000004000000}" name="Cxs Aéreo" dataDxfId="64">
      <calculatedColumnFormula>$U$7*$U$18*$R$8*Tabela2[[#This Row],[Percentual]]/(Tabela2[[#This Row],[Calibre]]*1.5)</calculatedColumnFormula>
    </tableColumn>
    <tableColumn id="11" xr3:uid="{00000000-0010-0000-0300-00000B000000}" name="Cxs 4kg" dataDxfId="63">
      <calculatedColumnFormula>SUM(Tabela2[[#This Row],[Cxs 1ª Qual.]:[Cxs 3ª Qual.]])</calculatedColumnFormula>
    </tableColumn>
    <tableColumn id="12" xr3:uid="{00000000-0010-0000-0300-00000C000000}" name="Horas total 4kg" dataDxfId="62">
      <calculatedColumnFormula>IFERROR(((Tabela2[[#This Row],[Cxs 4kg]]/Tabela2[[#This Row],[ER 4kg]])/$V$14),0)</calculatedColumnFormula>
    </tableColumn>
    <tableColumn id="13" xr3:uid="{00000000-0010-0000-0300-00000D000000}" name="Horas total aéreo" dataDxfId="61">
      <calculatedColumnFormula>IFERROR(((Tabela2[[#This Row],[Cxs Aéreo]]/Tabela2[[#This Row],[ER Aéreo]])/$V$14),0)</calculatedColumnFormula>
    </tableColumn>
    <tableColumn id="15" xr3:uid="{00000000-0010-0000-0300-00000F000000}" name="Horas total palt." dataDxfId="60">
      <calculatedColumnFormula>(Tabela2[[#This Row],[Cxs 4kg]]/1088)/$V$16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ela3" displayName="Tabela3" ref="P7:R12" totalsRowShown="0">
  <autoFilter ref="P7:R12" xr:uid="{00000000-0009-0000-0100-000003000000}"/>
  <tableColumns count="3">
    <tableColumn id="1" xr3:uid="{00000000-0010-0000-0400-000001000000}" name="Qualidade"/>
    <tableColumn id="3" xr3:uid="{00000000-0010-0000-0400-000003000000}" name="Referência"/>
    <tableColumn id="2" xr3:uid="{00000000-0010-0000-0400-000002000000}" name="Percentual" dataDxfId="59" dataCellStyle="Porcentagem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a5" displayName="Tabela5" ref="A2:N24" totalsRowShown="0">
  <autoFilter ref="A2:N24" xr:uid="{00000000-0009-0000-0100-000005000000}"/>
  <tableColumns count="14">
    <tableColumn id="1" xr3:uid="{00000000-0010-0000-0500-000001000000}" name="Linha" dataDxfId="58"/>
    <tableColumn id="2" xr3:uid="{00000000-0010-0000-0500-000002000000}" name="Calibre" dataDxfId="57"/>
    <tableColumn id="3" xr3:uid="{00000000-0010-0000-0500-000003000000}" name="Qualidade" dataDxfId="56"/>
    <tableColumn id="10" xr3:uid="{00000000-0010-0000-0500-00000A000000}" name="Calibre2" dataDxfId="55"/>
    <tableColumn id="9" xr3:uid="{00000000-0010-0000-0500-000009000000}" name="Qualidade2" dataDxfId="54"/>
    <tableColumn id="14" xr3:uid="{00000000-0010-0000-0500-00000E000000}" name="Auxiliar" dataDxfId="53">
      <calculatedColumnFormula>CONCATENATE(Tabela5[[#This Row],[Calibre]],Tabela5[[#This Row],[Qualidade]])</calculatedColumnFormula>
    </tableColumn>
    <tableColumn id="13" xr3:uid="{00000000-0010-0000-0500-00000D000000}" name="Auxiliar2" dataDxfId="52">
      <calculatedColumnFormula>CONCATENATE(Tabela5[[#This Row],[Calibre2]],Tabela5[[#This Row],[Qualidade2]])</calculatedColumnFormula>
    </tableColumn>
    <tableColumn id="4" xr3:uid="{00000000-0010-0000-0500-000004000000}" name="Frutos" dataDxfId="51">
      <calculatedColumnFormula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calculatedColumnFormula>
    </tableColumn>
    <tableColumn id="11" xr3:uid="{00000000-0010-0000-0500-00000B000000}" name="Frutos2" dataDxfId="50">
      <calculatedColumnFormula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calculatedColumnFormula>
    </tableColumn>
    <tableColumn id="5" xr3:uid="{00000000-0010-0000-0500-000005000000}" name="Caixas" dataDxfId="49">
      <calculatedColumnFormula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calculatedColumnFormula>
    </tableColumn>
    <tableColumn id="12" xr3:uid="{00000000-0010-0000-0500-00000C000000}" name="Caixas2" dataDxfId="48">
      <calculatedColumnFormula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calculatedColumnFormula>
    </tableColumn>
    <tableColumn id="6" xr3:uid="{00000000-0010-0000-0500-000006000000}" name="Horas" dataDxfId="47">
      <calculatedColumnFormula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calculatedColumnFormula>
    </tableColumn>
    <tableColumn id="7" xr3:uid="{00000000-0010-0000-0500-000007000000}" name="Embaladeiras" dataDxfId="46">
      <calculatedColumnFormula>IFERROR(Resumo!$U$14*Tabela5[[#This Row],[Horas]]/SUM(Tabela5[Horas]),0)</calculatedColumnFormula>
    </tableColumn>
    <tableColumn id="8" xr3:uid="{00000000-0010-0000-0500-000008000000}" name="Paletizadores" dataDxfId="45">
      <calculatedColumnFormula>IFERROR(Resumo!$U$16*(Tabela5[[#This Row],[Caixas]]+Tabela5[[#This Row],[Caixas2]])/SUM(Tabela5[Caixas],Tabela5[Caixas2]),0)</calculatedColumnFormula>
    </tableColumn>
  </tableColumns>
  <tableStyleInfo name="TableStyleLight14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18" displayName="Tabela18" ref="A2:E24" headerRowDxfId="44" dataDxfId="43" totalsRowDxfId="42">
  <tableColumns count="5">
    <tableColumn id="1" xr3:uid="{00000000-0010-0000-0600-000001000000}" name="Linha" totalsRowLabel="Total" dataDxfId="41"/>
    <tableColumn id="2" xr3:uid="{00000000-0010-0000-0600-000002000000}" name="Calibre" dataDxfId="40"/>
    <tableColumn id="3" xr3:uid="{00000000-0010-0000-0600-000003000000}" name="Qualidade" dataDxfId="39"/>
    <tableColumn id="4" xr3:uid="{00000000-0010-0000-0600-000004000000}" name="Calibre2" dataDxfId="38"/>
    <tableColumn id="5" xr3:uid="{00000000-0010-0000-0600-000005000000}" name="Qualidade2" totalsRowFunction="count" dataDxfId="37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310" displayName="Tabela310" ref="G2:K24" totalsRowShown="0" headerRowDxfId="36" dataDxfId="35">
  <tableColumns count="5">
    <tableColumn id="1" xr3:uid="{00000000-0010-0000-0700-000001000000}" name="Linha" dataDxfId="34"/>
    <tableColumn id="2" xr3:uid="{00000000-0010-0000-0700-000002000000}" name="Calibre" dataDxfId="33"/>
    <tableColumn id="3" xr3:uid="{00000000-0010-0000-0700-000003000000}" name="Qualidade" dataDxfId="32"/>
    <tableColumn id="4" xr3:uid="{00000000-0010-0000-0700-000004000000}" name="Calibre2" dataDxfId="31"/>
    <tableColumn id="5" xr3:uid="{00000000-0010-0000-0700-000005000000}" name="Qualidade2" dataDxfId="3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1811" displayName="Tabela1811" ref="A4:G26" headerRowDxfId="29" dataDxfId="28" totalsRowDxfId="27">
  <tableColumns count="7">
    <tableColumn id="1" xr3:uid="{00000000-0010-0000-0800-000001000000}" name="Linha" totalsRowLabel="Total" dataDxfId="26"/>
    <tableColumn id="2" xr3:uid="{00000000-0010-0000-0800-000002000000}" name="Calibre" dataDxfId="25"/>
    <tableColumn id="3" xr3:uid="{00000000-0010-0000-0800-000003000000}" name="Qualidade" dataDxfId="24"/>
    <tableColumn id="6" xr3:uid="{00000000-0010-0000-0800-000006000000}" name="Calibre2" dataDxfId="23"/>
    <tableColumn id="7" xr3:uid="{00000000-0010-0000-0800-000007000000}" name="Qualidade2" dataDxfId="22"/>
    <tableColumn id="4" xr3:uid="{00000000-0010-0000-0800-000004000000}" name="Calibre3" dataDxfId="21"/>
    <tableColumn id="5" xr3:uid="{00000000-0010-0000-0800-000005000000}" name="Qualidade3" totalsRowFunction="count" dataDxfId="2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BF9D-C0B2-473E-84D7-D9C82912E286}">
  <dimension ref="A1:F151"/>
  <sheetViews>
    <sheetView topLeftCell="A85" workbookViewId="0">
      <selection activeCell="D94" sqref="D94"/>
    </sheetView>
  </sheetViews>
  <sheetFormatPr defaultRowHeight="14.4" x14ac:dyDescent="0.3"/>
  <cols>
    <col min="1" max="1" width="5.5546875" bestFit="1" customWidth="1"/>
    <col min="2" max="2" width="8.77734375" bestFit="1" customWidth="1"/>
    <col min="3" max="3" width="5.109375" bestFit="1" customWidth="1"/>
    <col min="4" max="4" width="9.88671875" bestFit="1" customWidth="1"/>
  </cols>
  <sheetData>
    <row r="1" spans="1:4" x14ac:dyDescent="0.3">
      <c r="A1" t="s">
        <v>8</v>
      </c>
      <c r="B1" t="s">
        <v>1</v>
      </c>
      <c r="C1" t="s">
        <v>0</v>
      </c>
      <c r="D1" t="s">
        <v>9</v>
      </c>
    </row>
    <row r="2" spans="1:4" x14ac:dyDescent="0.3">
      <c r="A2">
        <v>1</v>
      </c>
      <c r="B2">
        <v>6</v>
      </c>
      <c r="C2">
        <v>680</v>
      </c>
      <c r="D2">
        <v>1</v>
      </c>
    </row>
    <row r="3" spans="1:4" x14ac:dyDescent="0.3">
      <c r="A3">
        <v>2</v>
      </c>
      <c r="B3">
        <v>8</v>
      </c>
      <c r="C3">
        <v>520</v>
      </c>
      <c r="D3">
        <v>1</v>
      </c>
    </row>
    <row r="4" spans="1:4" x14ac:dyDescent="0.3">
      <c r="A4">
        <v>3</v>
      </c>
      <c r="B4">
        <v>7</v>
      </c>
      <c r="C4">
        <v>560</v>
      </c>
      <c r="D4">
        <v>3</v>
      </c>
    </row>
    <row r="5" spans="1:4" x14ac:dyDescent="0.3">
      <c r="A5">
        <v>4</v>
      </c>
      <c r="B5">
        <v>7</v>
      </c>
      <c r="C5">
        <v>570</v>
      </c>
      <c r="D5">
        <v>1</v>
      </c>
    </row>
    <row r="6" spans="1:4" x14ac:dyDescent="0.3">
      <c r="A6">
        <v>5</v>
      </c>
      <c r="B6">
        <v>8</v>
      </c>
      <c r="C6">
        <v>535</v>
      </c>
      <c r="D6">
        <v>1</v>
      </c>
    </row>
    <row r="7" spans="1:4" x14ac:dyDescent="0.3">
      <c r="A7">
        <v>6</v>
      </c>
      <c r="B7">
        <v>8</v>
      </c>
      <c r="C7">
        <v>505</v>
      </c>
      <c r="D7">
        <v>1</v>
      </c>
    </row>
    <row r="8" spans="1:4" x14ac:dyDescent="0.3">
      <c r="A8">
        <v>7</v>
      </c>
      <c r="B8">
        <v>10</v>
      </c>
      <c r="C8">
        <v>380</v>
      </c>
      <c r="D8">
        <v>2</v>
      </c>
    </row>
    <row r="9" spans="1:4" x14ac:dyDescent="0.3">
      <c r="A9">
        <v>8</v>
      </c>
      <c r="B9">
        <v>7</v>
      </c>
      <c r="C9">
        <v>560</v>
      </c>
      <c r="D9">
        <v>1</v>
      </c>
    </row>
    <row r="10" spans="1:4" x14ac:dyDescent="0.3">
      <c r="A10">
        <v>9</v>
      </c>
      <c r="B10">
        <v>7</v>
      </c>
      <c r="C10">
        <v>610</v>
      </c>
      <c r="D10">
        <v>1</v>
      </c>
    </row>
    <row r="11" spans="1:4" x14ac:dyDescent="0.3">
      <c r="A11">
        <v>10</v>
      </c>
      <c r="B11">
        <v>7</v>
      </c>
      <c r="C11">
        <v>560</v>
      </c>
      <c r="D11">
        <v>2</v>
      </c>
    </row>
    <row r="12" spans="1:4" x14ac:dyDescent="0.3">
      <c r="A12">
        <v>11</v>
      </c>
      <c r="B12">
        <v>7</v>
      </c>
      <c r="C12">
        <v>620</v>
      </c>
      <c r="D12">
        <v>1</v>
      </c>
    </row>
    <row r="13" spans="1:4" x14ac:dyDescent="0.3">
      <c r="A13">
        <v>12</v>
      </c>
      <c r="B13">
        <v>6</v>
      </c>
      <c r="C13">
        <v>745</v>
      </c>
      <c r="D13">
        <v>1</v>
      </c>
    </row>
    <row r="14" spans="1:4" x14ac:dyDescent="0.3">
      <c r="A14">
        <v>13</v>
      </c>
      <c r="B14">
        <v>12</v>
      </c>
      <c r="C14">
        <v>375</v>
      </c>
      <c r="D14">
        <v>2</v>
      </c>
    </row>
    <row r="15" spans="1:4" x14ac:dyDescent="0.3">
      <c r="A15">
        <v>14</v>
      </c>
      <c r="B15">
        <v>9</v>
      </c>
      <c r="C15">
        <v>455</v>
      </c>
      <c r="D15">
        <v>1</v>
      </c>
    </row>
    <row r="16" spans="1:4" x14ac:dyDescent="0.3">
      <c r="A16">
        <v>15</v>
      </c>
      <c r="B16">
        <v>6</v>
      </c>
      <c r="C16">
        <v>770</v>
      </c>
      <c r="D16">
        <v>1</v>
      </c>
    </row>
    <row r="17" spans="1:4" x14ac:dyDescent="0.3">
      <c r="A17">
        <v>16</v>
      </c>
      <c r="B17">
        <v>8</v>
      </c>
      <c r="C17">
        <v>485</v>
      </c>
      <c r="D17">
        <v>1</v>
      </c>
    </row>
    <row r="18" spans="1:4" x14ac:dyDescent="0.3">
      <c r="A18">
        <v>17</v>
      </c>
      <c r="B18">
        <v>6</v>
      </c>
      <c r="C18">
        <v>640</v>
      </c>
      <c r="D18">
        <v>1</v>
      </c>
    </row>
    <row r="19" spans="1:4" x14ac:dyDescent="0.3">
      <c r="A19">
        <v>18</v>
      </c>
      <c r="B19">
        <v>8</v>
      </c>
      <c r="C19">
        <v>500</v>
      </c>
      <c r="D19">
        <v>1</v>
      </c>
    </row>
    <row r="20" spans="1:4" x14ac:dyDescent="0.3">
      <c r="A20">
        <v>19</v>
      </c>
      <c r="B20">
        <v>7</v>
      </c>
      <c r="C20">
        <v>620</v>
      </c>
      <c r="D20">
        <v>1</v>
      </c>
    </row>
    <row r="21" spans="1:4" x14ac:dyDescent="0.3">
      <c r="A21">
        <v>20</v>
      </c>
      <c r="B21">
        <v>7</v>
      </c>
      <c r="C21">
        <v>595</v>
      </c>
      <c r="D21">
        <v>1</v>
      </c>
    </row>
    <row r="22" spans="1:4" x14ac:dyDescent="0.3">
      <c r="A22">
        <v>21</v>
      </c>
      <c r="B22">
        <v>7</v>
      </c>
      <c r="C22">
        <v>565</v>
      </c>
      <c r="D22">
        <v>1</v>
      </c>
    </row>
    <row r="23" spans="1:4" x14ac:dyDescent="0.3">
      <c r="A23">
        <v>22</v>
      </c>
      <c r="B23">
        <v>8</v>
      </c>
      <c r="C23">
        <v>550</v>
      </c>
      <c r="D23">
        <v>1</v>
      </c>
    </row>
    <row r="24" spans="1:4" x14ac:dyDescent="0.3">
      <c r="A24">
        <v>23</v>
      </c>
      <c r="B24">
        <v>7</v>
      </c>
      <c r="C24">
        <v>605</v>
      </c>
      <c r="D24">
        <v>1</v>
      </c>
    </row>
    <row r="25" spans="1:4" x14ac:dyDescent="0.3">
      <c r="A25">
        <v>24</v>
      </c>
      <c r="B25">
        <v>7</v>
      </c>
      <c r="C25">
        <v>600</v>
      </c>
      <c r="D25">
        <v>2</v>
      </c>
    </row>
    <row r="26" spans="1:4" x14ac:dyDescent="0.3">
      <c r="A26">
        <v>25</v>
      </c>
      <c r="B26">
        <v>8</v>
      </c>
      <c r="C26">
        <v>540</v>
      </c>
      <c r="D26">
        <v>1</v>
      </c>
    </row>
    <row r="27" spans="1:4" x14ac:dyDescent="0.3">
      <c r="A27">
        <v>26</v>
      </c>
      <c r="B27">
        <v>7</v>
      </c>
      <c r="C27">
        <v>625</v>
      </c>
      <c r="D27">
        <v>2</v>
      </c>
    </row>
    <row r="28" spans="1:4" x14ac:dyDescent="0.3">
      <c r="A28">
        <v>27</v>
      </c>
      <c r="B28">
        <v>10</v>
      </c>
      <c r="C28">
        <v>410</v>
      </c>
      <c r="D28">
        <v>4</v>
      </c>
    </row>
    <row r="29" spans="1:4" x14ac:dyDescent="0.3">
      <c r="A29">
        <v>28</v>
      </c>
      <c r="B29">
        <v>10</v>
      </c>
      <c r="C29">
        <v>425</v>
      </c>
      <c r="D29">
        <v>3</v>
      </c>
    </row>
    <row r="30" spans="1:4" x14ac:dyDescent="0.3">
      <c r="A30">
        <v>29</v>
      </c>
      <c r="B30">
        <v>8</v>
      </c>
      <c r="C30">
        <v>530</v>
      </c>
      <c r="D30">
        <v>1</v>
      </c>
    </row>
    <row r="31" spans="1:4" x14ac:dyDescent="0.3">
      <c r="A31">
        <v>30</v>
      </c>
      <c r="B31">
        <v>10</v>
      </c>
      <c r="C31">
        <v>430</v>
      </c>
      <c r="D31">
        <v>1</v>
      </c>
    </row>
    <row r="32" spans="1:4" x14ac:dyDescent="0.3">
      <c r="A32">
        <v>31</v>
      </c>
      <c r="B32">
        <v>9</v>
      </c>
      <c r="C32">
        <v>460</v>
      </c>
      <c r="D32">
        <v>1</v>
      </c>
    </row>
    <row r="33" spans="1:4" x14ac:dyDescent="0.3">
      <c r="A33">
        <v>32</v>
      </c>
      <c r="B33">
        <v>7</v>
      </c>
      <c r="C33">
        <v>595</v>
      </c>
      <c r="D33">
        <v>2</v>
      </c>
    </row>
    <row r="34" spans="1:4" x14ac:dyDescent="0.3">
      <c r="A34">
        <v>33</v>
      </c>
      <c r="B34">
        <v>8</v>
      </c>
      <c r="C34">
        <v>490</v>
      </c>
      <c r="D34">
        <v>1</v>
      </c>
    </row>
    <row r="35" spans="1:4" x14ac:dyDescent="0.3">
      <c r="A35">
        <v>34</v>
      </c>
      <c r="B35">
        <v>10</v>
      </c>
      <c r="C35">
        <v>430</v>
      </c>
      <c r="D35">
        <v>1</v>
      </c>
    </row>
    <row r="36" spans="1:4" x14ac:dyDescent="0.3">
      <c r="A36">
        <v>35</v>
      </c>
      <c r="B36">
        <v>5</v>
      </c>
      <c r="C36">
        <v>785</v>
      </c>
      <c r="D36">
        <v>1</v>
      </c>
    </row>
    <row r="37" spans="1:4" x14ac:dyDescent="0.3">
      <c r="A37">
        <v>36</v>
      </c>
      <c r="B37">
        <v>7</v>
      </c>
      <c r="C37">
        <v>585</v>
      </c>
      <c r="D37">
        <v>1</v>
      </c>
    </row>
    <row r="38" spans="1:4" x14ac:dyDescent="0.3">
      <c r="A38">
        <v>37</v>
      </c>
      <c r="B38">
        <v>5</v>
      </c>
      <c r="C38">
        <v>840</v>
      </c>
      <c r="D38">
        <v>2</v>
      </c>
    </row>
    <row r="39" spans="1:4" x14ac:dyDescent="0.3">
      <c r="A39">
        <v>38</v>
      </c>
      <c r="B39">
        <v>6</v>
      </c>
      <c r="C39">
        <v>775</v>
      </c>
      <c r="D39">
        <v>2</v>
      </c>
    </row>
    <row r="40" spans="1:4" x14ac:dyDescent="0.3">
      <c r="A40">
        <v>39</v>
      </c>
      <c r="B40">
        <v>9</v>
      </c>
      <c r="C40">
        <v>470</v>
      </c>
      <c r="D40">
        <v>1</v>
      </c>
    </row>
    <row r="41" spans="1:4" x14ac:dyDescent="0.3">
      <c r="A41">
        <v>40</v>
      </c>
      <c r="B41">
        <v>6</v>
      </c>
      <c r="C41">
        <v>670</v>
      </c>
      <c r="D41">
        <v>1</v>
      </c>
    </row>
    <row r="42" spans="1:4" x14ac:dyDescent="0.3">
      <c r="A42">
        <v>41</v>
      </c>
      <c r="B42">
        <v>6</v>
      </c>
      <c r="C42">
        <v>710</v>
      </c>
      <c r="D42">
        <v>1</v>
      </c>
    </row>
    <row r="43" spans="1:4" x14ac:dyDescent="0.3">
      <c r="A43">
        <v>42</v>
      </c>
      <c r="B43">
        <v>6</v>
      </c>
      <c r="C43">
        <v>690</v>
      </c>
      <c r="D43">
        <v>1</v>
      </c>
    </row>
    <row r="44" spans="1:4" x14ac:dyDescent="0.3">
      <c r="A44">
        <v>43</v>
      </c>
      <c r="B44">
        <v>6</v>
      </c>
      <c r="C44">
        <v>740</v>
      </c>
      <c r="D44">
        <v>1</v>
      </c>
    </row>
    <row r="45" spans="1:4" x14ac:dyDescent="0.3">
      <c r="A45">
        <v>44</v>
      </c>
      <c r="B45">
        <v>12</v>
      </c>
      <c r="C45">
        <v>355</v>
      </c>
      <c r="D45">
        <v>1</v>
      </c>
    </row>
    <row r="46" spans="1:4" x14ac:dyDescent="0.3">
      <c r="A46">
        <v>45</v>
      </c>
      <c r="B46">
        <v>8</v>
      </c>
      <c r="C46">
        <v>535</v>
      </c>
      <c r="D46">
        <v>1</v>
      </c>
    </row>
    <row r="47" spans="1:4" x14ac:dyDescent="0.3">
      <c r="A47">
        <v>46</v>
      </c>
      <c r="B47">
        <v>8</v>
      </c>
      <c r="C47">
        <v>540</v>
      </c>
      <c r="D47">
        <v>1</v>
      </c>
    </row>
    <row r="48" spans="1:4" x14ac:dyDescent="0.3">
      <c r="A48">
        <v>47</v>
      </c>
      <c r="B48">
        <v>8</v>
      </c>
      <c r="C48">
        <v>505</v>
      </c>
      <c r="D48">
        <v>2</v>
      </c>
    </row>
    <row r="49" spans="1:4" x14ac:dyDescent="0.3">
      <c r="A49">
        <v>48</v>
      </c>
      <c r="B49">
        <v>7</v>
      </c>
      <c r="C49">
        <v>575</v>
      </c>
      <c r="D49">
        <v>3</v>
      </c>
    </row>
    <row r="50" spans="1:4" x14ac:dyDescent="0.3">
      <c r="A50">
        <v>49</v>
      </c>
      <c r="B50">
        <v>5</v>
      </c>
      <c r="C50">
        <v>825</v>
      </c>
      <c r="D50">
        <v>1</v>
      </c>
    </row>
    <row r="51" spans="1:4" x14ac:dyDescent="0.3">
      <c r="A51">
        <v>50</v>
      </c>
      <c r="B51">
        <v>10</v>
      </c>
      <c r="C51">
        <v>415</v>
      </c>
      <c r="D51">
        <v>1</v>
      </c>
    </row>
    <row r="52" spans="1:4" x14ac:dyDescent="0.3">
      <c r="A52">
        <v>51</v>
      </c>
      <c r="B52">
        <v>5</v>
      </c>
      <c r="C52">
        <v>880</v>
      </c>
      <c r="D52">
        <v>2</v>
      </c>
    </row>
    <row r="53" spans="1:4" x14ac:dyDescent="0.3">
      <c r="A53">
        <v>52</v>
      </c>
      <c r="B53">
        <v>8</v>
      </c>
      <c r="C53">
        <v>514</v>
      </c>
      <c r="D53">
        <v>1</v>
      </c>
    </row>
    <row r="54" spans="1:4" x14ac:dyDescent="0.3">
      <c r="A54">
        <v>53</v>
      </c>
      <c r="B54">
        <v>8</v>
      </c>
      <c r="C54">
        <v>525</v>
      </c>
      <c r="D54">
        <v>2</v>
      </c>
    </row>
    <row r="55" spans="1:4" x14ac:dyDescent="0.3">
      <c r="A55">
        <v>54</v>
      </c>
      <c r="B55">
        <v>8</v>
      </c>
      <c r="C55">
        <v>520</v>
      </c>
      <c r="D55">
        <v>1</v>
      </c>
    </row>
    <row r="56" spans="1:4" x14ac:dyDescent="0.3">
      <c r="A56">
        <v>55</v>
      </c>
      <c r="B56">
        <v>8</v>
      </c>
      <c r="C56">
        <v>535</v>
      </c>
      <c r="D56">
        <v>3</v>
      </c>
    </row>
    <row r="57" spans="1:4" x14ac:dyDescent="0.3">
      <c r="A57">
        <v>56</v>
      </c>
      <c r="B57">
        <v>8</v>
      </c>
      <c r="C57">
        <v>555</v>
      </c>
      <c r="D57">
        <v>1</v>
      </c>
    </row>
    <row r="58" spans="1:4" x14ac:dyDescent="0.3">
      <c r="A58">
        <v>57</v>
      </c>
      <c r="B58">
        <v>6</v>
      </c>
      <c r="C58">
        <v>660</v>
      </c>
      <c r="D58">
        <v>2</v>
      </c>
    </row>
    <row r="59" spans="1:4" x14ac:dyDescent="0.3">
      <c r="A59">
        <v>58</v>
      </c>
      <c r="B59">
        <v>7</v>
      </c>
      <c r="C59">
        <v>595</v>
      </c>
      <c r="D59">
        <v>1</v>
      </c>
    </row>
    <row r="60" spans="1:4" x14ac:dyDescent="0.3">
      <c r="A60">
        <v>59</v>
      </c>
      <c r="B60">
        <v>5</v>
      </c>
      <c r="C60">
        <v>915</v>
      </c>
      <c r="D60">
        <v>1</v>
      </c>
    </row>
    <row r="61" spans="1:4" x14ac:dyDescent="0.3">
      <c r="A61">
        <v>60</v>
      </c>
      <c r="B61">
        <v>8</v>
      </c>
      <c r="C61">
        <v>505</v>
      </c>
      <c r="D61">
        <v>2</v>
      </c>
    </row>
    <row r="62" spans="1:4" x14ac:dyDescent="0.3">
      <c r="A62">
        <v>61</v>
      </c>
      <c r="B62">
        <v>8</v>
      </c>
      <c r="C62">
        <v>555</v>
      </c>
      <c r="D62">
        <v>1</v>
      </c>
    </row>
    <row r="63" spans="1:4" x14ac:dyDescent="0.3">
      <c r="A63">
        <v>62</v>
      </c>
      <c r="B63">
        <v>6</v>
      </c>
      <c r="C63">
        <v>630</v>
      </c>
      <c r="D63">
        <v>1</v>
      </c>
    </row>
    <row r="64" spans="1:4" x14ac:dyDescent="0.3">
      <c r="A64">
        <v>63</v>
      </c>
      <c r="B64">
        <v>8</v>
      </c>
      <c r="C64">
        <v>510</v>
      </c>
      <c r="D64">
        <v>1</v>
      </c>
    </row>
    <row r="65" spans="1:4" x14ac:dyDescent="0.3">
      <c r="A65">
        <v>64</v>
      </c>
      <c r="B65">
        <v>7</v>
      </c>
      <c r="C65">
        <v>585</v>
      </c>
      <c r="D65">
        <v>3</v>
      </c>
    </row>
    <row r="66" spans="1:4" x14ac:dyDescent="0.3">
      <c r="A66">
        <v>65</v>
      </c>
      <c r="B66">
        <v>6</v>
      </c>
      <c r="C66">
        <v>630</v>
      </c>
      <c r="D66">
        <v>1</v>
      </c>
    </row>
    <row r="67" spans="1:4" x14ac:dyDescent="0.3">
      <c r="A67">
        <v>66</v>
      </c>
      <c r="B67">
        <v>6</v>
      </c>
      <c r="C67">
        <v>740</v>
      </c>
      <c r="D67">
        <v>1</v>
      </c>
    </row>
    <row r="68" spans="1:4" x14ac:dyDescent="0.3">
      <c r="A68">
        <v>67</v>
      </c>
      <c r="B68">
        <v>8</v>
      </c>
      <c r="C68">
        <v>530</v>
      </c>
      <c r="D68">
        <v>1</v>
      </c>
    </row>
    <row r="69" spans="1:4" x14ac:dyDescent="0.3">
      <c r="A69">
        <v>68</v>
      </c>
      <c r="B69">
        <v>7</v>
      </c>
      <c r="C69">
        <v>595</v>
      </c>
      <c r="D69">
        <v>1</v>
      </c>
    </row>
    <row r="70" spans="1:4" x14ac:dyDescent="0.3">
      <c r="A70">
        <v>69</v>
      </c>
      <c r="B70">
        <v>8</v>
      </c>
      <c r="C70">
        <v>545</v>
      </c>
      <c r="D70">
        <v>1</v>
      </c>
    </row>
    <row r="71" spans="1:4" x14ac:dyDescent="0.3">
      <c r="A71">
        <v>70</v>
      </c>
      <c r="B71">
        <v>10</v>
      </c>
      <c r="C71">
        <v>395</v>
      </c>
      <c r="D71">
        <v>2</v>
      </c>
    </row>
    <row r="72" spans="1:4" x14ac:dyDescent="0.3">
      <c r="A72">
        <v>71</v>
      </c>
      <c r="B72">
        <v>7</v>
      </c>
      <c r="C72">
        <v>575</v>
      </c>
      <c r="D72">
        <v>1</v>
      </c>
    </row>
    <row r="73" spans="1:4" x14ac:dyDescent="0.3">
      <c r="A73">
        <v>72</v>
      </c>
      <c r="B73">
        <v>6</v>
      </c>
      <c r="C73">
        <v>705</v>
      </c>
      <c r="D73">
        <v>2</v>
      </c>
    </row>
    <row r="74" spans="1:4" x14ac:dyDescent="0.3">
      <c r="A74">
        <v>73</v>
      </c>
      <c r="B74">
        <v>6</v>
      </c>
      <c r="C74">
        <v>770</v>
      </c>
      <c r="D74">
        <v>1</v>
      </c>
    </row>
    <row r="75" spans="1:4" x14ac:dyDescent="0.3">
      <c r="A75">
        <v>74</v>
      </c>
      <c r="B75">
        <v>9</v>
      </c>
      <c r="C75">
        <v>445</v>
      </c>
      <c r="D75">
        <v>3</v>
      </c>
    </row>
    <row r="76" spans="1:4" x14ac:dyDescent="0.3">
      <c r="A76">
        <v>75</v>
      </c>
      <c r="B76">
        <v>8</v>
      </c>
      <c r="C76">
        <v>505</v>
      </c>
      <c r="D76">
        <v>2</v>
      </c>
    </row>
    <row r="77" spans="1:4" x14ac:dyDescent="0.3">
      <c r="A77">
        <v>76</v>
      </c>
      <c r="B77">
        <v>8</v>
      </c>
      <c r="C77">
        <v>540</v>
      </c>
      <c r="D77">
        <v>1</v>
      </c>
    </row>
    <row r="78" spans="1:4" x14ac:dyDescent="0.3">
      <c r="A78">
        <v>77</v>
      </c>
      <c r="B78">
        <v>12</v>
      </c>
      <c r="C78">
        <v>365</v>
      </c>
      <c r="D78">
        <v>2</v>
      </c>
    </row>
    <row r="79" spans="1:4" x14ac:dyDescent="0.3">
      <c r="A79">
        <v>78</v>
      </c>
      <c r="B79">
        <v>6</v>
      </c>
      <c r="C79">
        <v>685</v>
      </c>
      <c r="D79">
        <v>1</v>
      </c>
    </row>
    <row r="80" spans="1:4" x14ac:dyDescent="0.3">
      <c r="A80">
        <v>79</v>
      </c>
      <c r="B80">
        <v>7</v>
      </c>
      <c r="C80">
        <v>585</v>
      </c>
      <c r="D80">
        <v>1</v>
      </c>
    </row>
    <row r="81" spans="1:6" x14ac:dyDescent="0.3">
      <c r="A81">
        <v>80</v>
      </c>
      <c r="B81">
        <v>6</v>
      </c>
      <c r="C81">
        <v>710</v>
      </c>
      <c r="D81">
        <v>4</v>
      </c>
    </row>
    <row r="82" spans="1:6" x14ac:dyDescent="0.3">
      <c r="A82">
        <v>81</v>
      </c>
      <c r="B82">
        <v>6</v>
      </c>
      <c r="C82">
        <v>630</v>
      </c>
      <c r="D82">
        <v>1</v>
      </c>
    </row>
    <row r="83" spans="1:6" x14ac:dyDescent="0.3">
      <c r="A83">
        <v>82</v>
      </c>
      <c r="B83">
        <v>9</v>
      </c>
      <c r="C83">
        <v>470</v>
      </c>
      <c r="D83">
        <v>1</v>
      </c>
    </row>
    <row r="84" spans="1:6" x14ac:dyDescent="0.3">
      <c r="A84">
        <v>83</v>
      </c>
      <c r="B84">
        <v>8</v>
      </c>
      <c r="C84">
        <v>495</v>
      </c>
      <c r="D84">
        <v>1</v>
      </c>
    </row>
    <row r="85" spans="1:6" x14ac:dyDescent="0.3">
      <c r="A85">
        <v>84</v>
      </c>
      <c r="B85">
        <v>10</v>
      </c>
      <c r="C85">
        <v>430</v>
      </c>
      <c r="D85">
        <v>1</v>
      </c>
    </row>
    <row r="86" spans="1:6" x14ac:dyDescent="0.3">
      <c r="A86">
        <v>85</v>
      </c>
      <c r="B86">
        <v>5</v>
      </c>
      <c r="C86">
        <v>835</v>
      </c>
      <c r="D86">
        <v>1</v>
      </c>
    </row>
    <row r="87" spans="1:6" x14ac:dyDescent="0.3">
      <c r="A87">
        <v>86</v>
      </c>
      <c r="B87">
        <v>7</v>
      </c>
      <c r="C87">
        <v>610</v>
      </c>
      <c r="D87">
        <v>1</v>
      </c>
    </row>
    <row r="88" spans="1:6" x14ac:dyDescent="0.3">
      <c r="A88">
        <v>87</v>
      </c>
      <c r="B88">
        <v>6</v>
      </c>
      <c r="C88">
        <v>650</v>
      </c>
      <c r="D88">
        <v>1</v>
      </c>
    </row>
    <row r="89" spans="1:6" x14ac:dyDescent="0.3">
      <c r="A89">
        <v>88</v>
      </c>
      <c r="B89">
        <v>8</v>
      </c>
      <c r="C89">
        <v>500</v>
      </c>
      <c r="D89">
        <v>1</v>
      </c>
    </row>
    <row r="90" spans="1:6" x14ac:dyDescent="0.3">
      <c r="A90">
        <v>89</v>
      </c>
      <c r="B90">
        <v>6</v>
      </c>
      <c r="C90">
        <v>730</v>
      </c>
      <c r="D90">
        <v>1</v>
      </c>
    </row>
    <row r="91" spans="1:6" x14ac:dyDescent="0.3">
      <c r="A91">
        <v>90</v>
      </c>
      <c r="B91">
        <v>7</v>
      </c>
      <c r="C91">
        <v>575</v>
      </c>
      <c r="D91">
        <v>1</v>
      </c>
    </row>
    <row r="92" spans="1:6" x14ac:dyDescent="0.3">
      <c r="A92">
        <v>91</v>
      </c>
      <c r="B92">
        <v>7</v>
      </c>
      <c r="C92">
        <v>600</v>
      </c>
      <c r="D92">
        <v>1</v>
      </c>
      <c r="F92" s="60"/>
    </row>
    <row r="93" spans="1:6" x14ac:dyDescent="0.3">
      <c r="A93">
        <v>92</v>
      </c>
      <c r="B93">
        <v>6</v>
      </c>
      <c r="C93">
        <v>675</v>
      </c>
      <c r="D93">
        <v>1</v>
      </c>
    </row>
    <row r="94" spans="1:6" x14ac:dyDescent="0.3">
      <c r="A94">
        <v>93</v>
      </c>
      <c r="B94">
        <v>6</v>
      </c>
      <c r="C94">
        <v>730</v>
      </c>
      <c r="D94" t="s">
        <v>55</v>
      </c>
    </row>
    <row r="95" spans="1:6" x14ac:dyDescent="0.3">
      <c r="A95">
        <v>94</v>
      </c>
      <c r="B95">
        <v>8</v>
      </c>
      <c r="C95">
        <v>500</v>
      </c>
      <c r="D95">
        <v>1</v>
      </c>
    </row>
    <row r="96" spans="1:6" x14ac:dyDescent="0.3">
      <c r="A96">
        <v>95</v>
      </c>
      <c r="B96">
        <v>8</v>
      </c>
      <c r="C96">
        <v>495</v>
      </c>
      <c r="D96">
        <v>2</v>
      </c>
    </row>
    <row r="97" spans="1:4" x14ac:dyDescent="0.3">
      <c r="A97">
        <v>96</v>
      </c>
      <c r="B97">
        <v>9</v>
      </c>
      <c r="C97">
        <v>440</v>
      </c>
      <c r="D97">
        <v>1</v>
      </c>
    </row>
    <row r="98" spans="1:4" x14ac:dyDescent="0.3">
      <c r="A98">
        <v>97</v>
      </c>
      <c r="B98">
        <v>6</v>
      </c>
      <c r="C98">
        <v>685</v>
      </c>
      <c r="D98">
        <v>1</v>
      </c>
    </row>
    <row r="99" spans="1:4" x14ac:dyDescent="0.3">
      <c r="A99">
        <v>98</v>
      </c>
      <c r="B99">
        <v>10</v>
      </c>
      <c r="C99">
        <v>410</v>
      </c>
      <c r="D99">
        <v>1</v>
      </c>
    </row>
    <row r="100" spans="1:4" x14ac:dyDescent="0.3">
      <c r="A100">
        <v>99</v>
      </c>
      <c r="B100">
        <v>10</v>
      </c>
      <c r="C100">
        <v>415</v>
      </c>
      <c r="D100">
        <v>1</v>
      </c>
    </row>
    <row r="101" spans="1:4" x14ac:dyDescent="0.3">
      <c r="A101">
        <v>100</v>
      </c>
      <c r="B101">
        <v>12</v>
      </c>
      <c r="C101">
        <v>375</v>
      </c>
      <c r="D101">
        <v>1</v>
      </c>
    </row>
    <row r="102" spans="1:4" x14ac:dyDescent="0.3">
      <c r="A102">
        <v>101</v>
      </c>
      <c r="B102">
        <v>9</v>
      </c>
      <c r="C102">
        <v>470</v>
      </c>
      <c r="D102">
        <v>1</v>
      </c>
    </row>
    <row r="103" spans="1:4" x14ac:dyDescent="0.3">
      <c r="A103">
        <v>102</v>
      </c>
      <c r="B103">
        <v>8</v>
      </c>
      <c r="C103">
        <v>500</v>
      </c>
      <c r="D103">
        <v>1</v>
      </c>
    </row>
    <row r="104" spans="1:4" x14ac:dyDescent="0.3">
      <c r="A104">
        <v>103</v>
      </c>
      <c r="B104">
        <v>9</v>
      </c>
      <c r="C104">
        <v>465</v>
      </c>
      <c r="D104">
        <v>1</v>
      </c>
    </row>
    <row r="105" spans="1:4" x14ac:dyDescent="0.3">
      <c r="A105">
        <v>104</v>
      </c>
      <c r="B105">
        <v>9</v>
      </c>
      <c r="C105">
        <v>470</v>
      </c>
      <c r="D105">
        <v>1</v>
      </c>
    </row>
    <row r="106" spans="1:4" x14ac:dyDescent="0.3">
      <c r="A106">
        <v>105</v>
      </c>
      <c r="B106">
        <v>10</v>
      </c>
      <c r="C106">
        <v>400</v>
      </c>
      <c r="D106">
        <v>1</v>
      </c>
    </row>
    <row r="107" spans="1:4" x14ac:dyDescent="0.3">
      <c r="A107">
        <v>106</v>
      </c>
      <c r="B107">
        <v>12</v>
      </c>
      <c r="C107">
        <v>320</v>
      </c>
      <c r="D107">
        <v>1</v>
      </c>
    </row>
    <row r="108" spans="1:4" x14ac:dyDescent="0.3">
      <c r="A108">
        <v>107</v>
      </c>
      <c r="B108">
        <v>12</v>
      </c>
      <c r="C108">
        <v>365</v>
      </c>
      <c r="D108">
        <v>1</v>
      </c>
    </row>
    <row r="109" spans="1:4" x14ac:dyDescent="0.3">
      <c r="A109">
        <v>108</v>
      </c>
      <c r="B109">
        <v>10</v>
      </c>
      <c r="C109">
        <v>425</v>
      </c>
      <c r="D109">
        <v>1</v>
      </c>
    </row>
    <row r="110" spans="1:4" x14ac:dyDescent="0.3">
      <c r="A110">
        <v>109</v>
      </c>
      <c r="B110">
        <v>6</v>
      </c>
      <c r="C110">
        <v>670</v>
      </c>
      <c r="D110">
        <v>2</v>
      </c>
    </row>
    <row r="111" spans="1:4" x14ac:dyDescent="0.3">
      <c r="A111">
        <v>110</v>
      </c>
      <c r="B111">
        <v>8</v>
      </c>
      <c r="C111">
        <v>525</v>
      </c>
      <c r="D111">
        <v>1</v>
      </c>
    </row>
    <row r="112" spans="1:4" x14ac:dyDescent="0.3">
      <c r="A112">
        <v>111</v>
      </c>
      <c r="B112">
        <v>8</v>
      </c>
      <c r="C112">
        <v>495</v>
      </c>
      <c r="D112">
        <v>1</v>
      </c>
    </row>
    <row r="113" spans="1:4" x14ac:dyDescent="0.3">
      <c r="A113">
        <v>112</v>
      </c>
      <c r="B113">
        <v>9</v>
      </c>
      <c r="C113">
        <v>460</v>
      </c>
      <c r="D113">
        <v>1</v>
      </c>
    </row>
    <row r="114" spans="1:4" x14ac:dyDescent="0.3">
      <c r="A114">
        <v>113</v>
      </c>
      <c r="B114">
        <v>9</v>
      </c>
      <c r="C114">
        <v>465</v>
      </c>
      <c r="D114">
        <v>1</v>
      </c>
    </row>
    <row r="115" spans="1:4" x14ac:dyDescent="0.3">
      <c r="A115">
        <v>114</v>
      </c>
      <c r="B115">
        <v>10</v>
      </c>
      <c r="C115">
        <v>395</v>
      </c>
      <c r="D115">
        <v>1</v>
      </c>
    </row>
    <row r="116" spans="1:4" x14ac:dyDescent="0.3">
      <c r="A116">
        <v>115</v>
      </c>
      <c r="B116" t="s">
        <v>7</v>
      </c>
      <c r="C116">
        <v>265</v>
      </c>
      <c r="D116">
        <v>4</v>
      </c>
    </row>
    <row r="117" spans="1:4" x14ac:dyDescent="0.3">
      <c r="A117">
        <v>116</v>
      </c>
      <c r="B117">
        <v>9</v>
      </c>
      <c r="C117">
        <v>440</v>
      </c>
      <c r="D117">
        <v>3</v>
      </c>
    </row>
    <row r="118" spans="1:4" x14ac:dyDescent="0.3">
      <c r="A118">
        <v>117</v>
      </c>
      <c r="B118">
        <v>12</v>
      </c>
      <c r="C118">
        <v>370</v>
      </c>
      <c r="D118">
        <v>1</v>
      </c>
    </row>
    <row r="119" spans="1:4" x14ac:dyDescent="0.3">
      <c r="A119">
        <v>118</v>
      </c>
      <c r="B119">
        <v>10</v>
      </c>
      <c r="C119">
        <v>435</v>
      </c>
      <c r="D119">
        <v>1</v>
      </c>
    </row>
    <row r="120" spans="1:4" x14ac:dyDescent="0.3">
      <c r="A120">
        <v>119</v>
      </c>
      <c r="B120">
        <v>10</v>
      </c>
      <c r="C120">
        <v>380</v>
      </c>
      <c r="D120">
        <v>1</v>
      </c>
    </row>
    <row r="121" spans="1:4" x14ac:dyDescent="0.3">
      <c r="A121">
        <v>120</v>
      </c>
      <c r="B121">
        <v>9</v>
      </c>
      <c r="C121">
        <v>465</v>
      </c>
      <c r="D121">
        <v>2</v>
      </c>
    </row>
    <row r="122" spans="1:4" x14ac:dyDescent="0.3">
      <c r="A122">
        <v>121</v>
      </c>
      <c r="B122">
        <v>12</v>
      </c>
      <c r="C122">
        <v>345</v>
      </c>
      <c r="D122">
        <v>1</v>
      </c>
    </row>
    <row r="123" spans="1:4" x14ac:dyDescent="0.3">
      <c r="A123">
        <v>122</v>
      </c>
      <c r="B123">
        <v>8</v>
      </c>
      <c r="C123">
        <v>535</v>
      </c>
      <c r="D123">
        <v>1</v>
      </c>
    </row>
    <row r="124" spans="1:4" x14ac:dyDescent="0.3">
      <c r="A124">
        <v>123</v>
      </c>
      <c r="B124">
        <v>8</v>
      </c>
      <c r="C124">
        <v>545</v>
      </c>
      <c r="D124">
        <v>1</v>
      </c>
    </row>
    <row r="125" spans="1:4" x14ac:dyDescent="0.3">
      <c r="A125">
        <v>124</v>
      </c>
      <c r="B125">
        <v>10</v>
      </c>
      <c r="C125">
        <v>400</v>
      </c>
      <c r="D125">
        <v>1</v>
      </c>
    </row>
    <row r="126" spans="1:4" x14ac:dyDescent="0.3">
      <c r="A126">
        <v>125</v>
      </c>
      <c r="B126">
        <v>8</v>
      </c>
      <c r="C126">
        <v>515</v>
      </c>
      <c r="D126">
        <v>2</v>
      </c>
    </row>
    <row r="127" spans="1:4" x14ac:dyDescent="0.3">
      <c r="A127">
        <v>126</v>
      </c>
      <c r="B127">
        <v>9</v>
      </c>
      <c r="C127">
        <v>445</v>
      </c>
      <c r="D127">
        <v>1</v>
      </c>
    </row>
    <row r="128" spans="1:4" x14ac:dyDescent="0.3">
      <c r="A128">
        <v>127</v>
      </c>
      <c r="B128">
        <v>9</v>
      </c>
      <c r="C128">
        <v>445</v>
      </c>
      <c r="D128">
        <v>1</v>
      </c>
    </row>
    <row r="129" spans="1:4" x14ac:dyDescent="0.3">
      <c r="A129">
        <v>128</v>
      </c>
      <c r="B129">
        <v>10</v>
      </c>
      <c r="C129">
        <v>420</v>
      </c>
      <c r="D129">
        <v>1</v>
      </c>
    </row>
    <row r="130" spans="1:4" x14ac:dyDescent="0.3">
      <c r="A130">
        <v>129</v>
      </c>
      <c r="B130">
        <v>10</v>
      </c>
      <c r="C130">
        <v>430</v>
      </c>
      <c r="D130">
        <v>1</v>
      </c>
    </row>
    <row r="131" spans="1:4" x14ac:dyDescent="0.3">
      <c r="A131">
        <v>130</v>
      </c>
      <c r="B131">
        <v>12</v>
      </c>
      <c r="C131">
        <v>320</v>
      </c>
      <c r="D131">
        <v>1</v>
      </c>
    </row>
    <row r="132" spans="1:4" x14ac:dyDescent="0.3">
      <c r="A132">
        <v>131</v>
      </c>
      <c r="B132">
        <v>7</v>
      </c>
      <c r="C132">
        <v>560</v>
      </c>
      <c r="D132">
        <v>1</v>
      </c>
    </row>
    <row r="133" spans="1:4" x14ac:dyDescent="0.3">
      <c r="A133">
        <v>132</v>
      </c>
      <c r="B133">
        <v>10</v>
      </c>
      <c r="C133">
        <v>420</v>
      </c>
      <c r="D133">
        <v>1</v>
      </c>
    </row>
    <row r="134" spans="1:4" x14ac:dyDescent="0.3">
      <c r="A134">
        <v>133</v>
      </c>
      <c r="B134">
        <v>7</v>
      </c>
      <c r="C134">
        <v>560</v>
      </c>
      <c r="D134">
        <v>3</v>
      </c>
    </row>
    <row r="135" spans="1:4" x14ac:dyDescent="0.3">
      <c r="A135">
        <v>134</v>
      </c>
      <c r="B135">
        <v>12</v>
      </c>
      <c r="C135">
        <v>375</v>
      </c>
      <c r="D135">
        <v>1</v>
      </c>
    </row>
    <row r="136" spans="1:4" x14ac:dyDescent="0.3">
      <c r="A136">
        <v>135</v>
      </c>
      <c r="B136">
        <v>6</v>
      </c>
      <c r="C136">
        <v>635</v>
      </c>
      <c r="D136">
        <v>1</v>
      </c>
    </row>
    <row r="137" spans="1:4" x14ac:dyDescent="0.3">
      <c r="A137">
        <v>136</v>
      </c>
      <c r="B137">
        <v>12</v>
      </c>
      <c r="C137">
        <v>370</v>
      </c>
      <c r="D137">
        <v>1</v>
      </c>
    </row>
    <row r="138" spans="1:4" x14ac:dyDescent="0.3">
      <c r="A138">
        <v>137</v>
      </c>
      <c r="B138">
        <v>8</v>
      </c>
      <c r="C138">
        <v>500</v>
      </c>
      <c r="D138">
        <v>1</v>
      </c>
    </row>
    <row r="139" spans="1:4" x14ac:dyDescent="0.3">
      <c r="A139">
        <v>138</v>
      </c>
      <c r="B139">
        <v>7</v>
      </c>
      <c r="C139">
        <v>560</v>
      </c>
      <c r="D139">
        <v>1</v>
      </c>
    </row>
    <row r="140" spans="1:4" x14ac:dyDescent="0.3">
      <c r="A140">
        <v>139</v>
      </c>
      <c r="B140">
        <v>10</v>
      </c>
      <c r="C140">
        <v>425</v>
      </c>
      <c r="D140">
        <v>1</v>
      </c>
    </row>
    <row r="141" spans="1:4" x14ac:dyDescent="0.3">
      <c r="A141">
        <v>140</v>
      </c>
      <c r="B141">
        <v>8</v>
      </c>
      <c r="C141">
        <v>480</v>
      </c>
      <c r="D141">
        <v>1</v>
      </c>
    </row>
    <row r="142" spans="1:4" x14ac:dyDescent="0.3">
      <c r="A142">
        <v>141</v>
      </c>
      <c r="B142">
        <v>8</v>
      </c>
      <c r="C142">
        <v>510</v>
      </c>
      <c r="D142">
        <v>3</v>
      </c>
    </row>
    <row r="143" spans="1:4" x14ac:dyDescent="0.3">
      <c r="A143">
        <v>142</v>
      </c>
      <c r="B143">
        <v>8</v>
      </c>
      <c r="C143">
        <v>555</v>
      </c>
      <c r="D143">
        <v>1</v>
      </c>
    </row>
    <row r="144" spans="1:4" x14ac:dyDescent="0.3">
      <c r="A144">
        <v>143</v>
      </c>
      <c r="B144">
        <v>8</v>
      </c>
      <c r="C144">
        <v>505</v>
      </c>
      <c r="D144">
        <v>1</v>
      </c>
    </row>
    <row r="145" spans="1:4" x14ac:dyDescent="0.3">
      <c r="A145">
        <v>144</v>
      </c>
      <c r="B145">
        <v>12</v>
      </c>
      <c r="C145">
        <v>360</v>
      </c>
      <c r="D145">
        <v>1</v>
      </c>
    </row>
    <row r="146" spans="1:4" x14ac:dyDescent="0.3">
      <c r="A146">
        <v>145</v>
      </c>
      <c r="B146">
        <v>9</v>
      </c>
      <c r="C146">
        <v>450</v>
      </c>
      <c r="D146">
        <v>1</v>
      </c>
    </row>
    <row r="147" spans="1:4" x14ac:dyDescent="0.3">
      <c r="A147">
        <v>146</v>
      </c>
      <c r="B147">
        <v>9</v>
      </c>
      <c r="C147">
        <v>460</v>
      </c>
      <c r="D147">
        <v>1</v>
      </c>
    </row>
    <row r="148" spans="1:4" x14ac:dyDescent="0.3">
      <c r="A148">
        <v>147</v>
      </c>
      <c r="B148">
        <v>7</v>
      </c>
      <c r="C148">
        <v>570</v>
      </c>
      <c r="D148">
        <v>1</v>
      </c>
    </row>
    <row r="149" spans="1:4" x14ac:dyDescent="0.3">
      <c r="A149">
        <v>148</v>
      </c>
      <c r="B149">
        <v>8</v>
      </c>
      <c r="C149">
        <v>555</v>
      </c>
      <c r="D149">
        <v>4</v>
      </c>
    </row>
    <row r="150" spans="1:4" x14ac:dyDescent="0.3">
      <c r="A150">
        <v>149</v>
      </c>
      <c r="B150">
        <v>9</v>
      </c>
      <c r="C150">
        <v>445</v>
      </c>
      <c r="D150">
        <v>1</v>
      </c>
    </row>
    <row r="151" spans="1:4" x14ac:dyDescent="0.3">
      <c r="A151">
        <v>150</v>
      </c>
      <c r="B151">
        <v>10</v>
      </c>
      <c r="C151">
        <v>415</v>
      </c>
      <c r="D15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8"/>
  <sheetViews>
    <sheetView showGridLines="0" workbookViewId="0">
      <pane ySplit="8" topLeftCell="A9" activePane="bottomLeft" state="frozen"/>
      <selection pane="bottomLeft" activeCell="P8" sqref="P8:P9"/>
    </sheetView>
  </sheetViews>
  <sheetFormatPr defaultRowHeight="14.4" x14ac:dyDescent="0.3"/>
  <cols>
    <col min="4" max="4" width="12.44140625" bestFit="1" customWidth="1"/>
    <col min="5" max="5" width="2.88671875" customWidth="1"/>
    <col min="6" max="6" width="3.6640625" customWidth="1"/>
    <col min="7" max="7" width="10" bestFit="1" customWidth="1"/>
    <col min="8" max="8" width="13.6640625" bestFit="1" customWidth="1"/>
    <col min="11" max="11" width="7.109375" customWidth="1"/>
    <col min="12" max="13" width="14.88671875" customWidth="1"/>
    <col min="14" max="14" width="12.44140625" bestFit="1" customWidth="1"/>
    <col min="15" max="15" width="12.88671875" bestFit="1" customWidth="1"/>
    <col min="16" max="16" width="6.33203125" customWidth="1"/>
    <col min="17" max="17" width="12.44140625" bestFit="1" customWidth="1"/>
    <col min="18" max="18" width="6.5546875" customWidth="1"/>
    <col min="21" max="22" width="0" hidden="1" customWidth="1"/>
  </cols>
  <sheetData>
    <row r="1" spans="1:22" x14ac:dyDescent="0.3">
      <c r="G1" t="s">
        <v>12</v>
      </c>
      <c r="H1" t="s">
        <v>13</v>
      </c>
      <c r="I1">
        <f>MAX(Tabela1[Fruto])-SUM(Tabela4[Quantidade])</f>
        <v>-15</v>
      </c>
      <c r="K1" s="23" t="s">
        <v>54</v>
      </c>
      <c r="L1" s="24">
        <v>1</v>
      </c>
      <c r="N1" t="s">
        <v>9</v>
      </c>
      <c r="O1" t="s">
        <v>3</v>
      </c>
      <c r="Q1" s="28" t="s">
        <v>48</v>
      </c>
      <c r="R1" s="27"/>
      <c r="U1" t="s">
        <v>49</v>
      </c>
    </row>
    <row r="2" spans="1:22" x14ac:dyDescent="0.3">
      <c r="G2">
        <f t="shared" ref="G2" si="0">ROW(G1)</f>
        <v>1</v>
      </c>
      <c r="H2" s="13">
        <v>34</v>
      </c>
      <c r="N2" s="2" t="s">
        <v>55</v>
      </c>
      <c r="O2" s="19">
        <f>COUNTIFS(Tabela1[[#All],[Qualidade]],0)/COUNT(Tabela1[[#All],[Qualidade]])</f>
        <v>0</v>
      </c>
      <c r="Q2" s="27" t="s">
        <v>55</v>
      </c>
      <c r="R2" s="27">
        <v>0</v>
      </c>
    </row>
    <row r="3" spans="1:22" x14ac:dyDescent="0.3">
      <c r="G3" s="8">
        <f t="shared" ref="G3:G7" si="1">ROW(G2)</f>
        <v>2</v>
      </c>
      <c r="H3" s="13">
        <v>33</v>
      </c>
      <c r="N3">
        <v>1</v>
      </c>
      <c r="O3" s="35">
        <f>COUNTIFS(Tabela1[[#All],[Qualidade]],Tabela313[[#This Row],[Qualidade]])/COUNT(Tabela1[[#All],[Qualidade]])</f>
        <v>0.76666666666666672</v>
      </c>
      <c r="Q3" s="27" t="s">
        <v>21</v>
      </c>
      <c r="R3" s="27">
        <v>1</v>
      </c>
      <c r="U3" t="s">
        <v>50</v>
      </c>
      <c r="V3">
        <v>0.15</v>
      </c>
    </row>
    <row r="4" spans="1:22" x14ac:dyDescent="0.3">
      <c r="G4" s="8">
        <f t="shared" si="1"/>
        <v>3</v>
      </c>
      <c r="H4" s="13">
        <v>30</v>
      </c>
      <c r="N4">
        <v>2</v>
      </c>
      <c r="O4" s="19">
        <f>COUNTIFS(Tabela1[[#All],[Qualidade]],Tabela313[[#This Row],[Qualidade]])/COUNT(Tabela1[[#All],[Qualidade]])</f>
        <v>0.14000000000000001</v>
      </c>
      <c r="Q4" s="27" t="s">
        <v>22</v>
      </c>
      <c r="R4" s="27">
        <v>2</v>
      </c>
      <c r="U4" t="s">
        <v>51</v>
      </c>
      <c r="V4">
        <v>0.5</v>
      </c>
    </row>
    <row r="5" spans="1:22" x14ac:dyDescent="0.3">
      <c r="G5" s="8">
        <f t="shared" si="1"/>
        <v>4</v>
      </c>
      <c r="H5">
        <v>37</v>
      </c>
      <c r="N5">
        <v>3</v>
      </c>
      <c r="O5" s="19">
        <f>COUNTIFS(Tabela1[[#All],[Qualidade]],Tabela313[[#This Row],[Qualidade]])/COUNT(Tabela1[[#All],[Qualidade]])</f>
        <v>0.06</v>
      </c>
      <c r="Q5" s="27" t="s">
        <v>23</v>
      </c>
      <c r="R5" s="27">
        <v>3</v>
      </c>
      <c r="U5" t="s">
        <v>52</v>
      </c>
      <c r="V5">
        <v>0.7</v>
      </c>
    </row>
    <row r="6" spans="1:22" x14ac:dyDescent="0.3">
      <c r="G6" s="8">
        <f t="shared" si="1"/>
        <v>5</v>
      </c>
      <c r="H6">
        <v>31</v>
      </c>
      <c r="N6" s="2" t="s">
        <v>11</v>
      </c>
      <c r="O6" s="19">
        <f>COUNTIFS(Tabela1[[#All],[Qualidade]],4)/COUNT(Tabela1[[#All],[Qualidade]])</f>
        <v>3.3333333333333333E-2</v>
      </c>
      <c r="Q6" s="27" t="s">
        <v>11</v>
      </c>
      <c r="R6" s="27">
        <v>4</v>
      </c>
      <c r="U6" t="s">
        <v>53</v>
      </c>
      <c r="V6">
        <v>0.9</v>
      </c>
    </row>
    <row r="7" spans="1:22" x14ac:dyDescent="0.3">
      <c r="G7" s="8">
        <f t="shared" si="1"/>
        <v>6</v>
      </c>
    </row>
    <row r="8" spans="1:22" x14ac:dyDescent="0.3">
      <c r="A8" t="s">
        <v>8</v>
      </c>
      <c r="B8" t="s">
        <v>1</v>
      </c>
      <c r="C8" t="s">
        <v>0</v>
      </c>
      <c r="D8" t="s">
        <v>9</v>
      </c>
      <c r="G8" s="8">
        <f>ROW(G7)</f>
        <v>7</v>
      </c>
    </row>
    <row r="9" spans="1:22" x14ac:dyDescent="0.3">
      <c r="A9" s="32">
        <f>IF(Tabela1[[#This Row],[Peso]]="","",ROW(A1))</f>
        <v>1</v>
      </c>
      <c r="B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9" s="13">
        <v>680</v>
      </c>
      <c r="D9" s="13">
        <v>1</v>
      </c>
    </row>
    <row r="10" spans="1:22" x14ac:dyDescent="0.3">
      <c r="A10" s="32">
        <f>IF(Tabela1[[#This Row],[Peso]]="","",ROW(A2))</f>
        <v>2</v>
      </c>
      <c r="B1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0" s="13">
        <v>520</v>
      </c>
      <c r="D10" s="13">
        <v>1</v>
      </c>
    </row>
    <row r="11" spans="1:22" x14ac:dyDescent="0.3">
      <c r="A11" s="32">
        <f>IF(Tabela1[[#This Row],[Peso]]="","",ROW(A3))</f>
        <v>3</v>
      </c>
      <c r="B1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1" s="13">
        <v>560</v>
      </c>
      <c r="D11" s="13">
        <v>3</v>
      </c>
    </row>
    <row r="12" spans="1:22" x14ac:dyDescent="0.3">
      <c r="A12" s="32">
        <f>IF(Tabela1[[#This Row],[Peso]]="","",ROW(A4))</f>
        <v>4</v>
      </c>
      <c r="B1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2" s="13">
        <v>570</v>
      </c>
      <c r="D12" s="13">
        <v>1</v>
      </c>
    </row>
    <row r="13" spans="1:22" x14ac:dyDescent="0.3">
      <c r="A13" s="32">
        <f>IF(Tabela1[[#This Row],[Peso]]="","",ROW(A5))</f>
        <v>5</v>
      </c>
      <c r="B1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3" s="13">
        <v>535</v>
      </c>
      <c r="D13" s="13">
        <v>1</v>
      </c>
    </row>
    <row r="14" spans="1:22" x14ac:dyDescent="0.3">
      <c r="A14" s="32">
        <f>IF(Tabela1[[#This Row],[Peso]]="","",ROW(A6))</f>
        <v>6</v>
      </c>
      <c r="B1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4" s="13">
        <v>505</v>
      </c>
      <c r="D14" s="13">
        <v>1</v>
      </c>
    </row>
    <row r="15" spans="1:22" x14ac:dyDescent="0.3">
      <c r="A15" s="32">
        <f>IF(Tabela1[[#This Row],[Peso]]="","",ROW(A7))</f>
        <v>7</v>
      </c>
      <c r="B1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5" s="13">
        <v>380</v>
      </c>
      <c r="D15" s="13">
        <v>2</v>
      </c>
    </row>
    <row r="16" spans="1:22" x14ac:dyDescent="0.3">
      <c r="A16" s="32">
        <f>IF(Tabela1[[#This Row],[Peso]]="","",ROW(A8))</f>
        <v>8</v>
      </c>
      <c r="B1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6" s="13">
        <v>560</v>
      </c>
      <c r="D16" s="13">
        <v>1</v>
      </c>
    </row>
    <row r="17" spans="1:4" x14ac:dyDescent="0.3">
      <c r="A17" s="32">
        <f>IF(Tabela1[[#This Row],[Peso]]="","",ROW(A9))</f>
        <v>9</v>
      </c>
      <c r="B1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7" s="13">
        <v>610</v>
      </c>
      <c r="D17" s="13">
        <v>1</v>
      </c>
    </row>
    <row r="18" spans="1:4" x14ac:dyDescent="0.3">
      <c r="A18" s="32">
        <f>IF(Tabela1[[#This Row],[Peso]]="","",ROW(A10))</f>
        <v>10</v>
      </c>
      <c r="B1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8" s="13">
        <v>560</v>
      </c>
      <c r="D18" s="13">
        <v>2</v>
      </c>
    </row>
    <row r="19" spans="1:4" x14ac:dyDescent="0.3">
      <c r="A19" s="32">
        <f>IF(Tabela1[[#This Row],[Peso]]="","",ROW(A11))</f>
        <v>11</v>
      </c>
      <c r="B1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9" s="13">
        <v>620</v>
      </c>
      <c r="D19" s="13">
        <v>1</v>
      </c>
    </row>
    <row r="20" spans="1:4" x14ac:dyDescent="0.3">
      <c r="A20" s="32">
        <f>IF(Tabela1[[#This Row],[Peso]]="","",ROW(A12))</f>
        <v>12</v>
      </c>
      <c r="B2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20" s="13">
        <v>745</v>
      </c>
      <c r="D20" s="13">
        <v>1</v>
      </c>
    </row>
    <row r="21" spans="1:4" x14ac:dyDescent="0.3">
      <c r="A21" s="32">
        <f>IF(Tabela1[[#This Row],[Peso]]="","",ROW(A13))</f>
        <v>13</v>
      </c>
      <c r="B2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21" s="13">
        <v>375</v>
      </c>
      <c r="D21" s="13">
        <v>2</v>
      </c>
    </row>
    <row r="22" spans="1:4" x14ac:dyDescent="0.3">
      <c r="A22" s="32">
        <f>IF(Tabela1[[#This Row],[Peso]]="","",ROW(A14))</f>
        <v>14</v>
      </c>
      <c r="B2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22" s="13">
        <v>455</v>
      </c>
      <c r="D22" s="13">
        <v>1</v>
      </c>
    </row>
    <row r="23" spans="1:4" x14ac:dyDescent="0.3">
      <c r="A23" s="32">
        <f>IF(Tabela1[[#This Row],[Peso]]="","",ROW(A15))</f>
        <v>15</v>
      </c>
      <c r="B2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23" s="13">
        <v>770</v>
      </c>
      <c r="D23" s="13">
        <v>1</v>
      </c>
    </row>
    <row r="24" spans="1:4" x14ac:dyDescent="0.3">
      <c r="A24" s="32">
        <f>IF(Tabela1[[#This Row],[Peso]]="","",ROW(A16))</f>
        <v>16</v>
      </c>
      <c r="B2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24" s="13">
        <v>485</v>
      </c>
      <c r="D24" s="13">
        <v>1</v>
      </c>
    </row>
    <row r="25" spans="1:4" x14ac:dyDescent="0.3">
      <c r="A25" s="32">
        <f>IF(Tabela1[[#This Row],[Peso]]="","",ROW(A17))</f>
        <v>17</v>
      </c>
      <c r="B2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25" s="13">
        <v>640</v>
      </c>
      <c r="D25" s="13">
        <v>1</v>
      </c>
    </row>
    <row r="26" spans="1:4" x14ac:dyDescent="0.3">
      <c r="A26" s="32">
        <f>IF(Tabela1[[#This Row],[Peso]]="","",ROW(A18))</f>
        <v>18</v>
      </c>
      <c r="B2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26" s="13">
        <v>500</v>
      </c>
      <c r="D26" s="13">
        <v>1</v>
      </c>
    </row>
    <row r="27" spans="1:4" x14ac:dyDescent="0.3">
      <c r="A27" s="32">
        <f>IF(Tabela1[[#This Row],[Peso]]="","",ROW(A19))</f>
        <v>19</v>
      </c>
      <c r="B2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27" s="13">
        <v>620</v>
      </c>
      <c r="D27" s="13">
        <v>1</v>
      </c>
    </row>
    <row r="28" spans="1:4" x14ac:dyDescent="0.3">
      <c r="A28" s="32">
        <f>IF(Tabela1[[#This Row],[Peso]]="","",ROW(A20))</f>
        <v>20</v>
      </c>
      <c r="B2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28" s="13">
        <v>595</v>
      </c>
      <c r="D28" s="13">
        <v>1</v>
      </c>
    </row>
    <row r="29" spans="1:4" x14ac:dyDescent="0.3">
      <c r="A29" s="32">
        <f>IF(Tabela1[[#This Row],[Peso]]="","",ROW(A21))</f>
        <v>21</v>
      </c>
      <c r="B2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29" s="13">
        <v>565</v>
      </c>
      <c r="D29" s="13">
        <v>1</v>
      </c>
    </row>
    <row r="30" spans="1:4" x14ac:dyDescent="0.3">
      <c r="A30" s="32">
        <f>IF(Tabela1[[#This Row],[Peso]]="","",ROW(A22))</f>
        <v>22</v>
      </c>
      <c r="B3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30" s="13">
        <v>550</v>
      </c>
      <c r="D30" s="13">
        <v>1</v>
      </c>
    </row>
    <row r="31" spans="1:4" x14ac:dyDescent="0.3">
      <c r="A31" s="32">
        <f>IF(Tabela1[[#This Row],[Peso]]="","",ROW(A23))</f>
        <v>23</v>
      </c>
      <c r="B3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31" s="13">
        <v>605</v>
      </c>
      <c r="D31" s="13">
        <v>1</v>
      </c>
    </row>
    <row r="32" spans="1:4" x14ac:dyDescent="0.3">
      <c r="A32" s="32">
        <f>IF(Tabela1[[#This Row],[Peso]]="","",ROW(A24))</f>
        <v>24</v>
      </c>
      <c r="B3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32" s="13">
        <v>600</v>
      </c>
      <c r="D32" s="13">
        <v>2</v>
      </c>
    </row>
    <row r="33" spans="1:4" x14ac:dyDescent="0.3">
      <c r="A33" s="32">
        <f>IF(Tabela1[[#This Row],[Peso]]="","",ROW(A25))</f>
        <v>25</v>
      </c>
      <c r="B3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33" s="13">
        <v>540</v>
      </c>
      <c r="D33" s="13">
        <v>1</v>
      </c>
    </row>
    <row r="34" spans="1:4" x14ac:dyDescent="0.3">
      <c r="A34" s="32">
        <f>IF(Tabela1[[#This Row],[Peso]]="","",ROW(A26))</f>
        <v>26</v>
      </c>
      <c r="B3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34" s="13">
        <v>625</v>
      </c>
      <c r="D34" s="13">
        <v>2</v>
      </c>
    </row>
    <row r="35" spans="1:4" x14ac:dyDescent="0.3">
      <c r="A35" s="32">
        <f>IF(Tabela1[[#This Row],[Peso]]="","",ROW(A27))</f>
        <v>27</v>
      </c>
      <c r="B3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35" s="13">
        <v>410</v>
      </c>
      <c r="D35" s="13">
        <v>4</v>
      </c>
    </row>
    <row r="36" spans="1:4" x14ac:dyDescent="0.3">
      <c r="A36" s="32">
        <f>IF(Tabela1[[#This Row],[Peso]]="","",ROW(A28))</f>
        <v>28</v>
      </c>
      <c r="B3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36" s="13">
        <v>425</v>
      </c>
      <c r="D36" s="13">
        <v>3</v>
      </c>
    </row>
    <row r="37" spans="1:4" x14ac:dyDescent="0.3">
      <c r="A37" s="32">
        <f>IF(Tabela1[[#This Row],[Peso]]="","",ROW(A29))</f>
        <v>29</v>
      </c>
      <c r="B3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37" s="13">
        <v>530</v>
      </c>
      <c r="D37" s="13">
        <v>1</v>
      </c>
    </row>
    <row r="38" spans="1:4" x14ac:dyDescent="0.3">
      <c r="A38" s="32">
        <f>IF(Tabela1[[#This Row],[Peso]]="","",ROW(A30))</f>
        <v>30</v>
      </c>
      <c r="B3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38" s="13">
        <v>430</v>
      </c>
      <c r="D38" s="13">
        <v>1</v>
      </c>
    </row>
    <row r="39" spans="1:4" x14ac:dyDescent="0.3">
      <c r="A39" s="32">
        <f>IF(Tabela1[[#This Row],[Peso]]="","",ROW(A31))</f>
        <v>31</v>
      </c>
      <c r="B3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39" s="13">
        <v>460</v>
      </c>
      <c r="D39" s="13">
        <v>1</v>
      </c>
    </row>
    <row r="40" spans="1:4" x14ac:dyDescent="0.3">
      <c r="A40" s="32">
        <f>IF(Tabela1[[#This Row],[Peso]]="","",ROW(A32))</f>
        <v>32</v>
      </c>
      <c r="B4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40" s="13">
        <v>595</v>
      </c>
      <c r="D40" s="13">
        <v>2</v>
      </c>
    </row>
    <row r="41" spans="1:4" x14ac:dyDescent="0.3">
      <c r="A41" s="32">
        <f>IF(Tabela1[[#This Row],[Peso]]="","",ROW(A33))</f>
        <v>33</v>
      </c>
      <c r="B4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41" s="13">
        <v>490</v>
      </c>
      <c r="D41" s="13">
        <v>1</v>
      </c>
    </row>
    <row r="42" spans="1:4" x14ac:dyDescent="0.3">
      <c r="A42" s="32">
        <f>IF(Tabela1[[#This Row],[Peso]]="","",ROW(A34))</f>
        <v>34</v>
      </c>
      <c r="B4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42" s="13">
        <v>430</v>
      </c>
      <c r="D42" s="13">
        <v>1</v>
      </c>
    </row>
    <row r="43" spans="1:4" x14ac:dyDescent="0.3">
      <c r="A43" s="32">
        <f>IF(Tabela1[[#This Row],[Peso]]="","",ROW(A35))</f>
        <v>35</v>
      </c>
      <c r="B4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5</v>
      </c>
      <c r="C43" s="13">
        <v>785</v>
      </c>
      <c r="D43" s="13">
        <v>1</v>
      </c>
    </row>
    <row r="44" spans="1:4" x14ac:dyDescent="0.3">
      <c r="A44" s="32">
        <f>IF(Tabela1[[#This Row],[Peso]]="","",ROW(A36))</f>
        <v>36</v>
      </c>
      <c r="B4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44" s="13">
        <v>585</v>
      </c>
      <c r="D44" s="13">
        <v>1</v>
      </c>
    </row>
    <row r="45" spans="1:4" x14ac:dyDescent="0.3">
      <c r="A45" s="32">
        <f>IF(Tabela1[[#This Row],[Peso]]="","",ROW(A37))</f>
        <v>37</v>
      </c>
      <c r="B4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5</v>
      </c>
      <c r="C45" s="13">
        <v>840</v>
      </c>
      <c r="D45" s="13">
        <v>2</v>
      </c>
    </row>
    <row r="46" spans="1:4" x14ac:dyDescent="0.3">
      <c r="A46" s="32">
        <f>IF(Tabela1[[#This Row],[Peso]]="","",ROW(A38))</f>
        <v>38</v>
      </c>
      <c r="B4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46" s="13">
        <v>775</v>
      </c>
      <c r="D46" s="13">
        <v>2</v>
      </c>
    </row>
    <row r="47" spans="1:4" x14ac:dyDescent="0.3">
      <c r="A47" s="32">
        <f>IF(Tabela1[[#This Row],[Peso]]="","",ROW(A39))</f>
        <v>39</v>
      </c>
      <c r="B4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47" s="13">
        <v>470</v>
      </c>
      <c r="D47" s="13">
        <v>1</v>
      </c>
    </row>
    <row r="48" spans="1:4" x14ac:dyDescent="0.3">
      <c r="A48" s="32">
        <f>IF(Tabela1[[#This Row],[Peso]]="","",ROW(A40))</f>
        <v>40</v>
      </c>
      <c r="B4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48" s="13">
        <v>670</v>
      </c>
      <c r="D48" s="13">
        <v>1</v>
      </c>
    </row>
    <row r="49" spans="1:4" x14ac:dyDescent="0.3">
      <c r="A49" s="32">
        <f>IF(Tabela1[[#This Row],[Peso]]="","",ROW(A41))</f>
        <v>41</v>
      </c>
      <c r="B4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49" s="13">
        <v>710</v>
      </c>
      <c r="D49" s="13">
        <v>1</v>
      </c>
    </row>
    <row r="50" spans="1:4" x14ac:dyDescent="0.3">
      <c r="A50" s="32">
        <f>IF(Tabela1[[#This Row],[Peso]]="","",ROW(A42))</f>
        <v>42</v>
      </c>
      <c r="B5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50" s="13">
        <v>690</v>
      </c>
      <c r="D50" s="13">
        <v>1</v>
      </c>
    </row>
    <row r="51" spans="1:4" x14ac:dyDescent="0.3">
      <c r="A51" s="32">
        <f>IF(Tabela1[[#This Row],[Peso]]="","",ROW(A43))</f>
        <v>43</v>
      </c>
      <c r="B5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51" s="13">
        <v>740</v>
      </c>
      <c r="D51" s="13">
        <v>1</v>
      </c>
    </row>
    <row r="52" spans="1:4" x14ac:dyDescent="0.3">
      <c r="A52" s="32">
        <f>IF(Tabela1[[#This Row],[Peso]]="","",ROW(A44))</f>
        <v>44</v>
      </c>
      <c r="B5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52" s="13">
        <v>355</v>
      </c>
      <c r="D52" s="13">
        <v>1</v>
      </c>
    </row>
    <row r="53" spans="1:4" x14ac:dyDescent="0.3">
      <c r="A53" s="32">
        <f>IF(Tabela1[[#This Row],[Peso]]="","",ROW(A45))</f>
        <v>45</v>
      </c>
      <c r="B5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53" s="13">
        <v>535</v>
      </c>
      <c r="D53" s="13">
        <v>1</v>
      </c>
    </row>
    <row r="54" spans="1:4" x14ac:dyDescent="0.3">
      <c r="A54" s="32">
        <f>IF(Tabela1[[#This Row],[Peso]]="","",ROW(A46))</f>
        <v>46</v>
      </c>
      <c r="B5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54" s="13">
        <v>540</v>
      </c>
      <c r="D54" s="13">
        <v>1</v>
      </c>
    </row>
    <row r="55" spans="1:4" x14ac:dyDescent="0.3">
      <c r="A55" s="32">
        <f>IF(Tabela1[[#This Row],[Peso]]="","",ROW(A47))</f>
        <v>47</v>
      </c>
      <c r="B5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55" s="13">
        <v>505</v>
      </c>
      <c r="D55" s="13">
        <v>2</v>
      </c>
    </row>
    <row r="56" spans="1:4" x14ac:dyDescent="0.3">
      <c r="A56" s="32">
        <f>IF(Tabela1[[#This Row],[Peso]]="","",ROW(A48))</f>
        <v>48</v>
      </c>
      <c r="B5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56" s="13">
        <v>575</v>
      </c>
      <c r="D56" s="13">
        <v>3</v>
      </c>
    </row>
    <row r="57" spans="1:4" x14ac:dyDescent="0.3">
      <c r="A57" s="32">
        <f>IF(Tabela1[[#This Row],[Peso]]="","",ROW(A49))</f>
        <v>49</v>
      </c>
      <c r="B5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5</v>
      </c>
      <c r="C57" s="13">
        <v>825</v>
      </c>
      <c r="D57" s="13">
        <v>1</v>
      </c>
    </row>
    <row r="58" spans="1:4" x14ac:dyDescent="0.3">
      <c r="A58" s="32">
        <f>IF(Tabela1[[#This Row],[Peso]]="","",ROW(A50))</f>
        <v>50</v>
      </c>
      <c r="B5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58" s="13">
        <v>415</v>
      </c>
      <c r="D58" s="13">
        <v>1</v>
      </c>
    </row>
    <row r="59" spans="1:4" x14ac:dyDescent="0.3">
      <c r="A59" s="32">
        <f>IF(Tabela1[[#This Row],[Peso]]="","",ROW(A51))</f>
        <v>51</v>
      </c>
      <c r="B5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5</v>
      </c>
      <c r="C59" s="13">
        <v>880</v>
      </c>
      <c r="D59" s="13">
        <v>2</v>
      </c>
    </row>
    <row r="60" spans="1:4" x14ac:dyDescent="0.3">
      <c r="A60" s="32">
        <f>IF(Tabela1[[#This Row],[Peso]]="","",ROW(A52))</f>
        <v>52</v>
      </c>
      <c r="B6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60" s="13">
        <v>514</v>
      </c>
      <c r="D60" s="13">
        <v>1</v>
      </c>
    </row>
    <row r="61" spans="1:4" x14ac:dyDescent="0.3">
      <c r="A61" s="32">
        <f>IF(Tabela1[[#This Row],[Peso]]="","",ROW(A53))</f>
        <v>53</v>
      </c>
      <c r="B6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61" s="13">
        <v>525</v>
      </c>
      <c r="D61" s="13">
        <v>2</v>
      </c>
    </row>
    <row r="62" spans="1:4" x14ac:dyDescent="0.3">
      <c r="A62" s="32">
        <f>IF(Tabela1[[#This Row],[Peso]]="","",ROW(A54))</f>
        <v>54</v>
      </c>
      <c r="B6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62" s="13">
        <v>520</v>
      </c>
      <c r="D62" s="13">
        <v>1</v>
      </c>
    </row>
    <row r="63" spans="1:4" x14ac:dyDescent="0.3">
      <c r="A63" s="32">
        <f>IF(Tabela1[[#This Row],[Peso]]="","",ROW(A55))</f>
        <v>55</v>
      </c>
      <c r="B6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63" s="13">
        <v>535</v>
      </c>
      <c r="D63" s="13">
        <v>3</v>
      </c>
    </row>
    <row r="64" spans="1:4" x14ac:dyDescent="0.3">
      <c r="A64" s="32">
        <f>IF(Tabela1[[#This Row],[Peso]]="","",ROW(A56))</f>
        <v>56</v>
      </c>
      <c r="B6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64" s="13">
        <v>555</v>
      </c>
      <c r="D64" s="13">
        <v>1</v>
      </c>
    </row>
    <row r="65" spans="1:4" x14ac:dyDescent="0.3">
      <c r="A65" s="32">
        <f>IF(Tabela1[[#This Row],[Peso]]="","",ROW(A57))</f>
        <v>57</v>
      </c>
      <c r="B6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65" s="13">
        <v>660</v>
      </c>
      <c r="D65" s="13">
        <v>2</v>
      </c>
    </row>
    <row r="66" spans="1:4" x14ac:dyDescent="0.3">
      <c r="A66" s="32">
        <f>IF(Tabela1[[#This Row],[Peso]]="","",ROW(A58))</f>
        <v>58</v>
      </c>
      <c r="B6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66" s="13">
        <v>595</v>
      </c>
      <c r="D66" s="13">
        <v>1</v>
      </c>
    </row>
    <row r="67" spans="1:4" x14ac:dyDescent="0.3">
      <c r="A67" s="32">
        <f>IF(Tabela1[[#This Row],[Peso]]="","",ROW(A59))</f>
        <v>59</v>
      </c>
      <c r="B6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5</v>
      </c>
      <c r="C67" s="13">
        <v>915</v>
      </c>
      <c r="D67" s="13">
        <v>1</v>
      </c>
    </row>
    <row r="68" spans="1:4" x14ac:dyDescent="0.3">
      <c r="A68" s="32">
        <f>IF(Tabela1[[#This Row],[Peso]]="","",ROW(A60))</f>
        <v>60</v>
      </c>
      <c r="B6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68" s="13">
        <v>505</v>
      </c>
      <c r="D68" s="13">
        <v>2</v>
      </c>
    </row>
    <row r="69" spans="1:4" x14ac:dyDescent="0.3">
      <c r="A69" s="32">
        <f>IF(Tabela1[[#This Row],[Peso]]="","",ROW(A61))</f>
        <v>61</v>
      </c>
      <c r="B6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69" s="13">
        <v>555</v>
      </c>
      <c r="D69" s="13">
        <v>1</v>
      </c>
    </row>
    <row r="70" spans="1:4" x14ac:dyDescent="0.3">
      <c r="A70" s="32">
        <f>IF(Tabela1[[#This Row],[Peso]]="","",ROW(A62))</f>
        <v>62</v>
      </c>
      <c r="B7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70" s="13">
        <v>630</v>
      </c>
      <c r="D70" s="13">
        <v>1</v>
      </c>
    </row>
    <row r="71" spans="1:4" x14ac:dyDescent="0.3">
      <c r="A71" s="32">
        <f>IF(Tabela1[[#This Row],[Peso]]="","",ROW(A63))</f>
        <v>63</v>
      </c>
      <c r="B7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71" s="13">
        <v>510</v>
      </c>
      <c r="D71" s="13">
        <v>1</v>
      </c>
    </row>
    <row r="72" spans="1:4" x14ac:dyDescent="0.3">
      <c r="A72" s="32">
        <f>IF(Tabela1[[#This Row],[Peso]]="","",ROW(A64))</f>
        <v>64</v>
      </c>
      <c r="B7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72" s="13">
        <v>585</v>
      </c>
      <c r="D72" s="13">
        <v>3</v>
      </c>
    </row>
    <row r="73" spans="1:4" x14ac:dyDescent="0.3">
      <c r="A73" s="32">
        <f>IF(Tabela1[[#This Row],[Peso]]="","",ROW(A65))</f>
        <v>65</v>
      </c>
      <c r="B7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73" s="13">
        <v>630</v>
      </c>
      <c r="D73" s="13">
        <v>1</v>
      </c>
    </row>
    <row r="74" spans="1:4" x14ac:dyDescent="0.3">
      <c r="A74" s="32">
        <f>IF(Tabela1[[#This Row],[Peso]]="","",ROW(A66))</f>
        <v>66</v>
      </c>
      <c r="B7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74" s="13">
        <v>740</v>
      </c>
      <c r="D74" s="13">
        <v>1</v>
      </c>
    </row>
    <row r="75" spans="1:4" x14ac:dyDescent="0.3">
      <c r="A75" s="32">
        <f>IF(Tabela1[[#This Row],[Peso]]="","",ROW(A67))</f>
        <v>67</v>
      </c>
      <c r="B7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75" s="13">
        <v>530</v>
      </c>
      <c r="D75" s="13">
        <v>1</v>
      </c>
    </row>
    <row r="76" spans="1:4" x14ac:dyDescent="0.3">
      <c r="A76" s="32">
        <f>IF(Tabela1[[#This Row],[Peso]]="","",ROW(A68))</f>
        <v>68</v>
      </c>
      <c r="B7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76" s="13">
        <v>595</v>
      </c>
      <c r="D76" s="13">
        <v>1</v>
      </c>
    </row>
    <row r="77" spans="1:4" x14ac:dyDescent="0.3">
      <c r="A77" s="32">
        <f>IF(Tabela1[[#This Row],[Peso]]="","",ROW(A69))</f>
        <v>69</v>
      </c>
      <c r="B7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77" s="13">
        <v>545</v>
      </c>
      <c r="D77" s="13">
        <v>1</v>
      </c>
    </row>
    <row r="78" spans="1:4" x14ac:dyDescent="0.3">
      <c r="A78" s="32">
        <f>IF(Tabela1[[#This Row],[Peso]]="","",ROW(A70))</f>
        <v>70</v>
      </c>
      <c r="B7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78" s="13">
        <v>395</v>
      </c>
      <c r="D78" s="13">
        <v>2</v>
      </c>
    </row>
    <row r="79" spans="1:4" x14ac:dyDescent="0.3">
      <c r="A79" s="32">
        <f>IF(Tabela1[[#This Row],[Peso]]="","",ROW(A71))</f>
        <v>71</v>
      </c>
      <c r="B7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79" s="13">
        <v>575</v>
      </c>
      <c r="D79" s="13">
        <v>1</v>
      </c>
    </row>
    <row r="80" spans="1:4" x14ac:dyDescent="0.3">
      <c r="A80" s="32">
        <f>IF(Tabela1[[#This Row],[Peso]]="","",ROW(A72))</f>
        <v>72</v>
      </c>
      <c r="B8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80" s="13">
        <v>705</v>
      </c>
      <c r="D80" s="13">
        <v>2</v>
      </c>
    </row>
    <row r="81" spans="1:4" x14ac:dyDescent="0.3">
      <c r="A81" s="32">
        <f>IF(Tabela1[[#This Row],[Peso]]="","",ROW(A73))</f>
        <v>73</v>
      </c>
      <c r="B8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81" s="13">
        <v>770</v>
      </c>
      <c r="D81" s="13">
        <v>1</v>
      </c>
    </row>
    <row r="82" spans="1:4" x14ac:dyDescent="0.3">
      <c r="A82" s="32">
        <f>IF(Tabela1[[#This Row],[Peso]]="","",ROW(A74))</f>
        <v>74</v>
      </c>
      <c r="B8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82" s="13">
        <v>445</v>
      </c>
      <c r="D82" s="13">
        <v>3</v>
      </c>
    </row>
    <row r="83" spans="1:4" x14ac:dyDescent="0.3">
      <c r="A83" s="32">
        <f>IF(Tabela1[[#This Row],[Peso]]="","",ROW(A75))</f>
        <v>75</v>
      </c>
      <c r="B8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83" s="13">
        <v>505</v>
      </c>
      <c r="D83" s="13">
        <v>2</v>
      </c>
    </row>
    <row r="84" spans="1:4" x14ac:dyDescent="0.3">
      <c r="A84" s="32">
        <f>IF(Tabela1[[#This Row],[Peso]]="","",ROW(A76))</f>
        <v>76</v>
      </c>
      <c r="B8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84" s="13">
        <v>540</v>
      </c>
      <c r="D84" s="13">
        <v>1</v>
      </c>
    </row>
    <row r="85" spans="1:4" x14ac:dyDescent="0.3">
      <c r="A85" s="32">
        <f>IF(Tabela1[[#This Row],[Peso]]="","",ROW(A77))</f>
        <v>77</v>
      </c>
      <c r="B8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85" s="13">
        <v>365</v>
      </c>
      <c r="D85" s="13">
        <v>2</v>
      </c>
    </row>
    <row r="86" spans="1:4" x14ac:dyDescent="0.3">
      <c r="A86" s="32">
        <f>IF(Tabela1[[#This Row],[Peso]]="","",ROW(A78))</f>
        <v>78</v>
      </c>
      <c r="B8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86" s="13">
        <v>685</v>
      </c>
      <c r="D86" s="13">
        <v>1</v>
      </c>
    </row>
    <row r="87" spans="1:4" x14ac:dyDescent="0.3">
      <c r="A87" s="32">
        <f>IF(Tabela1[[#This Row],[Peso]]="","",ROW(A79))</f>
        <v>79</v>
      </c>
      <c r="B8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87" s="13">
        <v>585</v>
      </c>
      <c r="D87" s="13">
        <v>1</v>
      </c>
    </row>
    <row r="88" spans="1:4" x14ac:dyDescent="0.3">
      <c r="A88" s="32">
        <f>IF(Tabela1[[#This Row],[Peso]]="","",ROW(A80))</f>
        <v>80</v>
      </c>
      <c r="B8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88" s="13">
        <v>710</v>
      </c>
      <c r="D88" s="13">
        <v>4</v>
      </c>
    </row>
    <row r="89" spans="1:4" x14ac:dyDescent="0.3">
      <c r="A89" s="32">
        <f>IF(Tabela1[[#This Row],[Peso]]="","",ROW(A81))</f>
        <v>81</v>
      </c>
      <c r="B8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89" s="13">
        <v>630</v>
      </c>
      <c r="D89" s="13">
        <v>1</v>
      </c>
    </row>
    <row r="90" spans="1:4" x14ac:dyDescent="0.3">
      <c r="A90" s="32">
        <f>IF(Tabela1[[#This Row],[Peso]]="","",ROW(A82))</f>
        <v>82</v>
      </c>
      <c r="B9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90" s="13">
        <v>470</v>
      </c>
      <c r="D90" s="13">
        <v>1</v>
      </c>
    </row>
    <row r="91" spans="1:4" x14ac:dyDescent="0.3">
      <c r="A91" s="32">
        <f>IF(Tabela1[[#This Row],[Peso]]="","",ROW(A83))</f>
        <v>83</v>
      </c>
      <c r="B9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91" s="13">
        <v>495</v>
      </c>
      <c r="D91" s="13">
        <v>1</v>
      </c>
    </row>
    <row r="92" spans="1:4" x14ac:dyDescent="0.3">
      <c r="A92" s="32">
        <f>IF(Tabela1[[#This Row],[Peso]]="","",ROW(A84))</f>
        <v>84</v>
      </c>
      <c r="B9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92" s="13">
        <v>430</v>
      </c>
      <c r="D92" s="13">
        <v>1</v>
      </c>
    </row>
    <row r="93" spans="1:4" x14ac:dyDescent="0.3">
      <c r="A93" s="32">
        <f>IF(Tabela1[[#This Row],[Peso]]="","",ROW(A85))</f>
        <v>85</v>
      </c>
      <c r="B9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5</v>
      </c>
      <c r="C93" s="13">
        <v>835</v>
      </c>
      <c r="D93" s="13">
        <v>1</v>
      </c>
    </row>
    <row r="94" spans="1:4" x14ac:dyDescent="0.3">
      <c r="A94" s="32">
        <f>IF(Tabela1[[#This Row],[Peso]]="","",ROW(A86))</f>
        <v>86</v>
      </c>
      <c r="B9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94" s="13">
        <v>610</v>
      </c>
      <c r="D94" s="13">
        <v>1</v>
      </c>
    </row>
    <row r="95" spans="1:4" x14ac:dyDescent="0.3">
      <c r="A95" s="32">
        <f>IF(Tabela1[[#This Row],[Peso]]="","",ROW(A87))</f>
        <v>87</v>
      </c>
      <c r="B9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95" s="13">
        <v>650</v>
      </c>
      <c r="D95" s="13">
        <v>1</v>
      </c>
    </row>
    <row r="96" spans="1:4" x14ac:dyDescent="0.3">
      <c r="A96" s="32">
        <f>IF(Tabela1[[#This Row],[Peso]]="","",ROW(A88))</f>
        <v>88</v>
      </c>
      <c r="B9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96" s="13">
        <v>500</v>
      </c>
      <c r="D96" s="13">
        <v>1</v>
      </c>
    </row>
    <row r="97" spans="1:4" x14ac:dyDescent="0.3">
      <c r="A97" s="32">
        <f>IF(Tabela1[[#This Row],[Peso]]="","",ROW(A89))</f>
        <v>89</v>
      </c>
      <c r="B9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97" s="13">
        <v>730</v>
      </c>
      <c r="D97" s="13">
        <v>1</v>
      </c>
    </row>
    <row r="98" spans="1:4" x14ac:dyDescent="0.3">
      <c r="A98" s="32">
        <f>IF(Tabela1[[#This Row],[Peso]]="","",ROW(A90))</f>
        <v>90</v>
      </c>
      <c r="B9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98" s="13">
        <v>575</v>
      </c>
      <c r="D98" s="13">
        <v>1</v>
      </c>
    </row>
    <row r="99" spans="1:4" x14ac:dyDescent="0.3">
      <c r="A99" s="32">
        <f>IF(Tabela1[[#This Row],[Peso]]="","",ROW(A91))</f>
        <v>91</v>
      </c>
      <c r="B9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99" s="13">
        <v>600</v>
      </c>
      <c r="D99" s="13">
        <v>1</v>
      </c>
    </row>
    <row r="100" spans="1:4" x14ac:dyDescent="0.3">
      <c r="A100" s="32">
        <f>IF(Tabela1[[#This Row],[Peso]]="","",ROW(A92))</f>
        <v>92</v>
      </c>
      <c r="B10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100" s="13">
        <v>675</v>
      </c>
      <c r="D100" s="13">
        <v>1</v>
      </c>
    </row>
    <row r="101" spans="1:4" x14ac:dyDescent="0.3">
      <c r="A101" s="32">
        <f>IF(Tabela1[[#This Row],[Peso]]="","",ROW(A93))</f>
        <v>93</v>
      </c>
      <c r="B10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101" s="13">
        <v>730</v>
      </c>
      <c r="D101" s="13">
        <v>4</v>
      </c>
    </row>
    <row r="102" spans="1:4" x14ac:dyDescent="0.3">
      <c r="A102" s="32">
        <f>IF(Tabela1[[#This Row],[Peso]]="","",ROW(A94))</f>
        <v>94</v>
      </c>
      <c r="B10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02" s="13">
        <v>500</v>
      </c>
      <c r="D102" s="13">
        <v>1</v>
      </c>
    </row>
    <row r="103" spans="1:4" x14ac:dyDescent="0.3">
      <c r="A103" s="32">
        <f>IF(Tabela1[[#This Row],[Peso]]="","",ROW(A95))</f>
        <v>95</v>
      </c>
      <c r="B10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03" s="13">
        <v>495</v>
      </c>
      <c r="D103" s="13">
        <v>2</v>
      </c>
    </row>
    <row r="104" spans="1:4" x14ac:dyDescent="0.3">
      <c r="A104" s="32">
        <f>IF(Tabela1[[#This Row],[Peso]]="","",ROW(A96))</f>
        <v>96</v>
      </c>
      <c r="B10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04" s="13">
        <v>440</v>
      </c>
      <c r="D104" s="13">
        <v>1</v>
      </c>
    </row>
    <row r="105" spans="1:4" x14ac:dyDescent="0.3">
      <c r="A105" s="32">
        <f>IF(Tabela1[[#This Row],[Peso]]="","",ROW(A97))</f>
        <v>97</v>
      </c>
      <c r="B10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105" s="13">
        <v>685</v>
      </c>
      <c r="D105" s="13">
        <v>1</v>
      </c>
    </row>
    <row r="106" spans="1:4" x14ac:dyDescent="0.3">
      <c r="A106" s="32">
        <f>IF(Tabela1[[#This Row],[Peso]]="","",ROW(A98))</f>
        <v>98</v>
      </c>
      <c r="B10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06" s="13">
        <v>410</v>
      </c>
      <c r="D106" s="13">
        <v>1</v>
      </c>
    </row>
    <row r="107" spans="1:4" x14ac:dyDescent="0.3">
      <c r="A107" s="32">
        <f>IF(Tabela1[[#This Row],[Peso]]="","",ROW(A99))</f>
        <v>99</v>
      </c>
      <c r="B10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07" s="13">
        <v>415</v>
      </c>
      <c r="D107" s="13">
        <v>1</v>
      </c>
    </row>
    <row r="108" spans="1:4" x14ac:dyDescent="0.3">
      <c r="A108" s="32">
        <f>IF(Tabela1[[#This Row],[Peso]]="","",ROW(A100))</f>
        <v>100</v>
      </c>
      <c r="B10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108" s="13">
        <v>375</v>
      </c>
      <c r="D108" s="13">
        <v>1</v>
      </c>
    </row>
    <row r="109" spans="1:4" x14ac:dyDescent="0.3">
      <c r="A109" s="32">
        <f>IF(Tabela1[[#This Row],[Peso]]="","",ROW(A101))</f>
        <v>101</v>
      </c>
      <c r="B10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09" s="13">
        <v>470</v>
      </c>
      <c r="D109" s="13">
        <v>1</v>
      </c>
    </row>
    <row r="110" spans="1:4" x14ac:dyDescent="0.3">
      <c r="A110" s="32">
        <f>IF(Tabela1[[#This Row],[Peso]]="","",ROW(A102))</f>
        <v>102</v>
      </c>
      <c r="B11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10" s="13">
        <v>500</v>
      </c>
      <c r="D110" s="13">
        <v>1</v>
      </c>
    </row>
    <row r="111" spans="1:4" x14ac:dyDescent="0.3">
      <c r="A111" s="32">
        <f>IF(Tabela1[[#This Row],[Peso]]="","",ROW(A103))</f>
        <v>103</v>
      </c>
      <c r="B11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11" s="13">
        <v>465</v>
      </c>
      <c r="D111" s="13">
        <v>1</v>
      </c>
    </row>
    <row r="112" spans="1:4" x14ac:dyDescent="0.3">
      <c r="A112" s="32">
        <f>IF(Tabela1[[#This Row],[Peso]]="","",ROW(A104))</f>
        <v>104</v>
      </c>
      <c r="B11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12" s="13">
        <v>470</v>
      </c>
      <c r="D112" s="13">
        <v>1</v>
      </c>
    </row>
    <row r="113" spans="1:4" x14ac:dyDescent="0.3">
      <c r="A113" s="32">
        <f>IF(Tabela1[[#This Row],[Peso]]="","",ROW(A105))</f>
        <v>105</v>
      </c>
      <c r="B11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13" s="13">
        <v>400</v>
      </c>
      <c r="D113" s="13">
        <v>1</v>
      </c>
    </row>
    <row r="114" spans="1:4" x14ac:dyDescent="0.3">
      <c r="A114" s="32">
        <f>IF(Tabela1[[#This Row],[Peso]]="","",ROW(A106))</f>
        <v>106</v>
      </c>
      <c r="B11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114" s="13">
        <v>320</v>
      </c>
      <c r="D114" s="13">
        <v>1</v>
      </c>
    </row>
    <row r="115" spans="1:4" x14ac:dyDescent="0.3">
      <c r="A115" s="32">
        <f>IF(Tabela1[[#This Row],[Peso]]="","",ROW(A107))</f>
        <v>107</v>
      </c>
      <c r="B11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115" s="13">
        <v>365</v>
      </c>
      <c r="D115" s="13">
        <v>1</v>
      </c>
    </row>
    <row r="116" spans="1:4" x14ac:dyDescent="0.3">
      <c r="A116" s="32">
        <f>IF(Tabela1[[#This Row],[Peso]]="","",ROW(A108))</f>
        <v>108</v>
      </c>
      <c r="B11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16" s="13">
        <v>425</v>
      </c>
      <c r="D116" s="13">
        <v>1</v>
      </c>
    </row>
    <row r="117" spans="1:4" x14ac:dyDescent="0.3">
      <c r="A117" s="32">
        <f>IF(Tabela1[[#This Row],[Peso]]="","",ROW(A109))</f>
        <v>109</v>
      </c>
      <c r="B11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117" s="13">
        <v>670</v>
      </c>
      <c r="D117" s="13">
        <v>2</v>
      </c>
    </row>
    <row r="118" spans="1:4" x14ac:dyDescent="0.3">
      <c r="A118" s="32">
        <f>IF(Tabela1[[#This Row],[Peso]]="","",ROW(A110))</f>
        <v>110</v>
      </c>
      <c r="B11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18" s="13">
        <v>525</v>
      </c>
      <c r="D118" s="13">
        <v>1</v>
      </c>
    </row>
    <row r="119" spans="1:4" x14ac:dyDescent="0.3">
      <c r="A119" s="32">
        <f>IF(Tabela1[[#This Row],[Peso]]="","",ROW(A111))</f>
        <v>111</v>
      </c>
      <c r="B11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19" s="13">
        <v>495</v>
      </c>
      <c r="D119" s="13">
        <v>1</v>
      </c>
    </row>
    <row r="120" spans="1:4" x14ac:dyDescent="0.3">
      <c r="A120" s="32">
        <f>IF(Tabela1[[#This Row],[Peso]]="","",ROW(A112))</f>
        <v>112</v>
      </c>
      <c r="B12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20" s="13">
        <v>460</v>
      </c>
      <c r="D120" s="13">
        <v>1</v>
      </c>
    </row>
    <row r="121" spans="1:4" x14ac:dyDescent="0.3">
      <c r="A121" s="32">
        <f>IF(Tabela1[[#This Row],[Peso]]="","",ROW(A113))</f>
        <v>113</v>
      </c>
      <c r="B12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21" s="13">
        <v>465</v>
      </c>
      <c r="D121" s="13">
        <v>1</v>
      </c>
    </row>
    <row r="122" spans="1:4" x14ac:dyDescent="0.3">
      <c r="A122" s="32">
        <f>IF(Tabela1[[#This Row],[Peso]]="","",ROW(A114))</f>
        <v>114</v>
      </c>
      <c r="B12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22" s="13">
        <v>395</v>
      </c>
      <c r="D122" s="13">
        <v>1</v>
      </c>
    </row>
    <row r="123" spans="1:4" x14ac:dyDescent="0.3">
      <c r="A123" s="32">
        <f>IF(Tabela1[[#This Row],[Peso]]="","",ROW(A115))</f>
        <v>115</v>
      </c>
      <c r="B123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Pequeno</v>
      </c>
      <c r="C123" s="13">
        <v>265</v>
      </c>
      <c r="D123" s="13">
        <v>4</v>
      </c>
    </row>
    <row r="124" spans="1:4" x14ac:dyDescent="0.3">
      <c r="A124" s="32">
        <f>IF(Tabela1[[#This Row],[Peso]]="","",ROW(A116))</f>
        <v>116</v>
      </c>
      <c r="B12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24" s="13">
        <v>440</v>
      </c>
      <c r="D124" s="13">
        <v>3</v>
      </c>
    </row>
    <row r="125" spans="1:4" x14ac:dyDescent="0.3">
      <c r="A125" s="32">
        <f>IF(Tabela1[[#This Row],[Peso]]="","",ROW(A117))</f>
        <v>117</v>
      </c>
      <c r="B12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125" s="13">
        <v>370</v>
      </c>
      <c r="D125" s="13">
        <v>1</v>
      </c>
    </row>
    <row r="126" spans="1:4" x14ac:dyDescent="0.3">
      <c r="A126" s="32">
        <f>IF(Tabela1[[#This Row],[Peso]]="","",ROW(A118))</f>
        <v>118</v>
      </c>
      <c r="B12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26" s="13">
        <v>435</v>
      </c>
      <c r="D126" s="13">
        <v>1</v>
      </c>
    </row>
    <row r="127" spans="1:4" x14ac:dyDescent="0.3">
      <c r="A127" s="32">
        <f>IF(Tabela1[[#This Row],[Peso]]="","",ROW(A119))</f>
        <v>119</v>
      </c>
      <c r="B12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27" s="13">
        <v>380</v>
      </c>
      <c r="D127" s="13">
        <v>1</v>
      </c>
    </row>
    <row r="128" spans="1:4" x14ac:dyDescent="0.3">
      <c r="A128" s="32">
        <f>IF(Tabela1[[#This Row],[Peso]]="","",ROW(A120))</f>
        <v>120</v>
      </c>
      <c r="B12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28" s="13">
        <v>465</v>
      </c>
      <c r="D128" s="13">
        <v>2</v>
      </c>
    </row>
    <row r="129" spans="1:4" x14ac:dyDescent="0.3">
      <c r="A129" s="32">
        <f>IF(Tabela1[[#This Row],[Peso]]="","",ROW(A121))</f>
        <v>121</v>
      </c>
      <c r="B12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129" s="13">
        <v>345</v>
      </c>
      <c r="D129" s="13">
        <v>1</v>
      </c>
    </row>
    <row r="130" spans="1:4" x14ac:dyDescent="0.3">
      <c r="A130" s="32">
        <f>IF(Tabela1[[#This Row],[Peso]]="","",ROW(A122))</f>
        <v>122</v>
      </c>
      <c r="B13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30" s="13">
        <v>535</v>
      </c>
      <c r="D130" s="13">
        <v>1</v>
      </c>
    </row>
    <row r="131" spans="1:4" x14ac:dyDescent="0.3">
      <c r="A131" s="32">
        <f>IF(Tabela1[[#This Row],[Peso]]="","",ROW(A123))</f>
        <v>123</v>
      </c>
      <c r="B13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31" s="13">
        <v>545</v>
      </c>
      <c r="D131" s="13">
        <v>1</v>
      </c>
    </row>
    <row r="132" spans="1:4" x14ac:dyDescent="0.3">
      <c r="A132" s="32">
        <f>IF(Tabela1[[#This Row],[Peso]]="","",ROW(A124))</f>
        <v>124</v>
      </c>
      <c r="B13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32" s="13">
        <v>400</v>
      </c>
      <c r="D132" s="13">
        <v>1</v>
      </c>
    </row>
    <row r="133" spans="1:4" x14ac:dyDescent="0.3">
      <c r="A133" s="32">
        <f>IF(Tabela1[[#This Row],[Peso]]="","",ROW(A125))</f>
        <v>125</v>
      </c>
      <c r="B13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33" s="13">
        <v>515</v>
      </c>
      <c r="D133" s="13">
        <v>2</v>
      </c>
    </row>
    <row r="134" spans="1:4" x14ac:dyDescent="0.3">
      <c r="A134" s="32">
        <f>IF(Tabela1[[#This Row],[Peso]]="","",ROW(A126))</f>
        <v>126</v>
      </c>
      <c r="B13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34" s="13">
        <v>445</v>
      </c>
      <c r="D134" s="13">
        <v>1</v>
      </c>
    </row>
    <row r="135" spans="1:4" x14ac:dyDescent="0.3">
      <c r="A135" s="32">
        <f>IF(Tabela1[[#This Row],[Peso]]="","",ROW(A127))</f>
        <v>127</v>
      </c>
      <c r="B13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35" s="13">
        <v>445</v>
      </c>
      <c r="D135" s="13">
        <v>1</v>
      </c>
    </row>
    <row r="136" spans="1:4" x14ac:dyDescent="0.3">
      <c r="A136" s="32">
        <f>IF(Tabela1[[#This Row],[Peso]]="","",ROW(A128))</f>
        <v>128</v>
      </c>
      <c r="B13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36" s="13">
        <v>420</v>
      </c>
      <c r="D136" s="13">
        <v>1</v>
      </c>
    </row>
    <row r="137" spans="1:4" x14ac:dyDescent="0.3">
      <c r="A137" s="32">
        <f>IF(Tabela1[[#This Row],[Peso]]="","",ROW(A129))</f>
        <v>129</v>
      </c>
      <c r="B13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37" s="13">
        <v>430</v>
      </c>
      <c r="D137" s="13">
        <v>1</v>
      </c>
    </row>
    <row r="138" spans="1:4" x14ac:dyDescent="0.3">
      <c r="A138" s="32">
        <f>IF(Tabela1[[#This Row],[Peso]]="","",ROW(A130))</f>
        <v>130</v>
      </c>
      <c r="B13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138" s="13">
        <v>320</v>
      </c>
      <c r="D138" s="13">
        <v>1</v>
      </c>
    </row>
    <row r="139" spans="1:4" x14ac:dyDescent="0.3">
      <c r="A139" s="32">
        <f>IF(Tabela1[[#This Row],[Peso]]="","",ROW(A131))</f>
        <v>131</v>
      </c>
      <c r="B13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39" s="13">
        <v>560</v>
      </c>
      <c r="D139" s="13">
        <v>1</v>
      </c>
    </row>
    <row r="140" spans="1:4" x14ac:dyDescent="0.3">
      <c r="A140" s="32">
        <f>IF(Tabela1[[#This Row],[Peso]]="","",ROW(A132))</f>
        <v>132</v>
      </c>
      <c r="B14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40" s="13">
        <v>420</v>
      </c>
      <c r="D140" s="13">
        <v>1</v>
      </c>
    </row>
    <row r="141" spans="1:4" x14ac:dyDescent="0.3">
      <c r="A141" s="32">
        <f>IF(Tabela1[[#This Row],[Peso]]="","",ROW(A133))</f>
        <v>133</v>
      </c>
      <c r="B14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41" s="13">
        <v>560</v>
      </c>
      <c r="D141" s="13">
        <v>3</v>
      </c>
    </row>
    <row r="142" spans="1:4" x14ac:dyDescent="0.3">
      <c r="A142" s="32">
        <f>IF(Tabela1[[#This Row],[Peso]]="","",ROW(A134))</f>
        <v>134</v>
      </c>
      <c r="B14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142" s="13">
        <v>375</v>
      </c>
      <c r="D142" s="13">
        <v>1</v>
      </c>
    </row>
    <row r="143" spans="1:4" x14ac:dyDescent="0.3">
      <c r="A143" s="32">
        <f>IF(Tabela1[[#This Row],[Peso]]="","",ROW(A135))</f>
        <v>135</v>
      </c>
      <c r="B14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6</v>
      </c>
      <c r="C143" s="13">
        <v>635</v>
      </c>
      <c r="D143" s="13">
        <v>1</v>
      </c>
    </row>
    <row r="144" spans="1:4" x14ac:dyDescent="0.3">
      <c r="A144" s="32">
        <f>IF(Tabela1[[#This Row],[Peso]]="","",ROW(A136))</f>
        <v>136</v>
      </c>
      <c r="B14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144" s="13">
        <v>370</v>
      </c>
      <c r="D144" s="13">
        <v>1</v>
      </c>
    </row>
    <row r="145" spans="1:4" x14ac:dyDescent="0.3">
      <c r="A145" s="32">
        <f>IF(Tabela1[[#This Row],[Peso]]="","",ROW(A137))</f>
        <v>137</v>
      </c>
      <c r="B14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45" s="13">
        <v>500</v>
      </c>
      <c r="D145" s="13">
        <v>1</v>
      </c>
    </row>
    <row r="146" spans="1:4" x14ac:dyDescent="0.3">
      <c r="A146" s="32">
        <f>IF(Tabela1[[#This Row],[Peso]]="","",ROW(A138))</f>
        <v>138</v>
      </c>
      <c r="B14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46" s="13">
        <v>560</v>
      </c>
      <c r="D146" s="13">
        <v>1</v>
      </c>
    </row>
    <row r="147" spans="1:4" x14ac:dyDescent="0.3">
      <c r="A147" s="32">
        <f>IF(Tabela1[[#This Row],[Peso]]="","",ROW(A139))</f>
        <v>139</v>
      </c>
      <c r="B14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47" s="13">
        <v>425</v>
      </c>
      <c r="D147" s="13">
        <v>1</v>
      </c>
    </row>
    <row r="148" spans="1:4" x14ac:dyDescent="0.3">
      <c r="A148" s="32">
        <f>IF(Tabela1[[#This Row],[Peso]]="","",ROW(A140))</f>
        <v>140</v>
      </c>
      <c r="B14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48" s="13">
        <v>480</v>
      </c>
      <c r="D148" s="13">
        <v>1</v>
      </c>
    </row>
    <row r="149" spans="1:4" x14ac:dyDescent="0.3">
      <c r="A149" s="32">
        <f>IF(Tabela1[[#This Row],[Peso]]="","",ROW(A141))</f>
        <v>141</v>
      </c>
      <c r="B149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49" s="13">
        <v>510</v>
      </c>
      <c r="D149" s="13">
        <v>3</v>
      </c>
    </row>
    <row r="150" spans="1:4" x14ac:dyDescent="0.3">
      <c r="A150" s="32">
        <f>IF(Tabela1[[#This Row],[Peso]]="","",ROW(A142))</f>
        <v>142</v>
      </c>
      <c r="B150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50" s="13">
        <v>555</v>
      </c>
      <c r="D150" s="13">
        <v>1</v>
      </c>
    </row>
    <row r="151" spans="1:4" x14ac:dyDescent="0.3">
      <c r="A151" s="32">
        <f>IF(Tabela1[[#This Row],[Peso]]="","",ROW(A143))</f>
        <v>143</v>
      </c>
      <c r="B151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51" s="13">
        <v>505</v>
      </c>
      <c r="D151" s="13">
        <v>1</v>
      </c>
    </row>
    <row r="152" spans="1:4" x14ac:dyDescent="0.3">
      <c r="A152" s="32">
        <f>IF(Tabela1[[#This Row],[Peso]]="","",ROW(A144))</f>
        <v>144</v>
      </c>
      <c r="B152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12</v>
      </c>
      <c r="C152" s="13">
        <v>360</v>
      </c>
      <c r="D152" s="13">
        <v>1</v>
      </c>
    </row>
    <row r="153" spans="1:4" x14ac:dyDescent="0.3">
      <c r="A153" s="32">
        <f>IF(Tabela1[[#This Row],[Peso]]="","",ROW(A145))</f>
        <v>145</v>
      </c>
      <c r="B153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53" s="13">
        <v>450</v>
      </c>
      <c r="D153" s="13">
        <v>1</v>
      </c>
    </row>
    <row r="154" spans="1:4" x14ac:dyDescent="0.3">
      <c r="A154" s="32">
        <f>IF(Tabela1[[#This Row],[Peso]]="","",ROW(A146))</f>
        <v>146</v>
      </c>
      <c r="B154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54" s="13">
        <v>460</v>
      </c>
      <c r="D154" s="13">
        <v>1</v>
      </c>
    </row>
    <row r="155" spans="1:4" x14ac:dyDescent="0.3">
      <c r="A155" s="32">
        <f>IF(Tabela1[[#This Row],[Peso]]="","",ROW(A147))</f>
        <v>147</v>
      </c>
      <c r="B155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7</v>
      </c>
      <c r="C155" s="13">
        <v>570</v>
      </c>
      <c r="D155" s="13">
        <v>1</v>
      </c>
    </row>
    <row r="156" spans="1:4" x14ac:dyDescent="0.3">
      <c r="A156" s="32">
        <f>IF(Tabela1[[#This Row],[Peso]]="","",ROW(A148))</f>
        <v>148</v>
      </c>
      <c r="B156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8</v>
      </c>
      <c r="C156" s="13">
        <v>555</v>
      </c>
      <c r="D156" s="13">
        <v>4</v>
      </c>
    </row>
    <row r="157" spans="1:4" x14ac:dyDescent="0.3">
      <c r="A157" s="32">
        <f>IF(Tabela1[[#This Row],[Peso]]="","",ROW(A149))</f>
        <v>149</v>
      </c>
      <c r="B157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9</v>
      </c>
      <c r="C157" s="13">
        <v>445</v>
      </c>
      <c r="D157" s="13">
        <v>1</v>
      </c>
    </row>
    <row r="158" spans="1:4" x14ac:dyDescent="0.3">
      <c r="A158" s="32">
        <f>IF(Tabela1[[#This Row],[Peso]]="","",ROW(A150))</f>
        <v>150</v>
      </c>
      <c r="B158" s="33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>10</v>
      </c>
      <c r="C158" s="13">
        <v>415</v>
      </c>
      <c r="D158" s="13">
        <v>1</v>
      </c>
    </row>
    <row r="159" spans="1:4" x14ac:dyDescent="0.3">
      <c r="A159" s="32" t="str">
        <f>IF(Tabela1[[#This Row],[Peso]]="","",ROW(A151))</f>
        <v/>
      </c>
      <c r="B159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0" spans="1:4" x14ac:dyDescent="0.3">
      <c r="A160" s="32" t="str">
        <f>IF(Tabela1[[#This Row],[Peso]]="","",ROW(A152))</f>
        <v/>
      </c>
      <c r="B160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1" spans="1:2" x14ac:dyDescent="0.3">
      <c r="A161" s="32" t="str">
        <f>IF(Tabela1[[#This Row],[Peso]]="","",ROW(A153))</f>
        <v/>
      </c>
      <c r="B161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2" spans="1:2" x14ac:dyDescent="0.3">
      <c r="A162" s="32" t="str">
        <f>IF(Tabela1[[#This Row],[Peso]]="","",ROW(A154))</f>
        <v/>
      </c>
      <c r="B162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3" spans="1:2" x14ac:dyDescent="0.3">
      <c r="A163" s="32" t="str">
        <f>IF(Tabela1[[#This Row],[Peso]]="","",ROW(A155))</f>
        <v/>
      </c>
      <c r="B163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4" spans="1:2" x14ac:dyDescent="0.3">
      <c r="A164" s="32" t="str">
        <f>IF(Tabela1[[#This Row],[Peso]]="","",ROW(A156))</f>
        <v/>
      </c>
      <c r="B164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5" spans="1:2" x14ac:dyDescent="0.3">
      <c r="A165" s="32" t="str">
        <f>IF(Tabela1[[#This Row],[Peso]]="","",ROW(A157))</f>
        <v/>
      </c>
      <c r="B165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6" spans="1:2" x14ac:dyDescent="0.3">
      <c r="A166" s="32" t="str">
        <f>IF(Tabela1[[#This Row],[Peso]]="","",ROW(A158))</f>
        <v/>
      </c>
      <c r="B166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7" spans="1:2" x14ac:dyDescent="0.3">
      <c r="A167" s="32" t="str">
        <f>IF(Tabela1[[#This Row],[Peso]]="","",ROW(A159))</f>
        <v/>
      </c>
      <c r="B167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8" spans="1:2" x14ac:dyDescent="0.3">
      <c r="A168" s="32" t="str">
        <f>IF(Tabela1[[#This Row],[Peso]]="","",ROW(A160))</f>
        <v/>
      </c>
      <c r="B168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69" spans="1:2" x14ac:dyDescent="0.3">
      <c r="A169" s="32" t="str">
        <f>IF(Tabela1[[#This Row],[Peso]]="","",ROW(A161))</f>
        <v/>
      </c>
      <c r="B169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0" spans="1:2" x14ac:dyDescent="0.3">
      <c r="A170" s="32" t="str">
        <f>IF(Tabela1[[#This Row],[Peso]]="","",ROW(A162))</f>
        <v/>
      </c>
      <c r="B170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1" spans="1:2" x14ac:dyDescent="0.3">
      <c r="A171" s="32" t="str">
        <f>IF(Tabela1[[#This Row],[Peso]]="","",ROW(A163))</f>
        <v/>
      </c>
      <c r="B171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2" spans="1:2" x14ac:dyDescent="0.3">
      <c r="A172" s="32" t="str">
        <f>IF(Tabela1[[#This Row],[Peso]]="","",ROW(A164))</f>
        <v/>
      </c>
      <c r="B172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3" spans="1:2" x14ac:dyDescent="0.3">
      <c r="A173" s="32" t="str">
        <f>IF(Tabela1[[#This Row],[Peso]]="","",ROW(A165))</f>
        <v/>
      </c>
      <c r="B173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4" spans="1:2" x14ac:dyDescent="0.3">
      <c r="A174" s="32" t="str">
        <f>IF(Tabela1[[#This Row],[Peso]]="","",ROW(A166))</f>
        <v/>
      </c>
      <c r="B174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5" spans="1:2" x14ac:dyDescent="0.3">
      <c r="A175" s="32" t="str">
        <f>IF(Tabela1[[#This Row],[Peso]]="","",ROW(A167))</f>
        <v/>
      </c>
      <c r="B175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6" spans="1:2" x14ac:dyDescent="0.3">
      <c r="A176" s="32" t="str">
        <f>IF(Tabela1[[#This Row],[Peso]]="","",ROW(A168))</f>
        <v/>
      </c>
      <c r="B176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7" spans="1:2" x14ac:dyDescent="0.3">
      <c r="A177" s="32" t="str">
        <f>IF(Tabela1[[#This Row],[Peso]]="","",ROW(A169))</f>
        <v/>
      </c>
      <c r="B177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8" spans="1:2" x14ac:dyDescent="0.3">
      <c r="A178" s="32" t="str">
        <f>IF(Tabela1[[#This Row],[Peso]]="","",ROW(A170))</f>
        <v/>
      </c>
      <c r="B178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79" spans="1:2" x14ac:dyDescent="0.3">
      <c r="A179" s="32" t="str">
        <f>IF(Tabela1[[#This Row],[Peso]]="","",ROW(A171))</f>
        <v/>
      </c>
      <c r="B179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0" spans="1:2" x14ac:dyDescent="0.3">
      <c r="A180" s="32" t="str">
        <f>IF(Tabela1[[#This Row],[Peso]]="","",ROW(A172))</f>
        <v/>
      </c>
      <c r="B180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1" spans="1:2" x14ac:dyDescent="0.3">
      <c r="A181" s="32" t="str">
        <f>IF(Tabela1[[#This Row],[Peso]]="","",ROW(A173))</f>
        <v/>
      </c>
      <c r="B181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2" spans="1:2" x14ac:dyDescent="0.3">
      <c r="A182" s="32" t="str">
        <f>IF(Tabela1[[#This Row],[Peso]]="","",ROW(A174))</f>
        <v/>
      </c>
      <c r="B182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3" spans="1:2" x14ac:dyDescent="0.3">
      <c r="A183" s="32" t="str">
        <f>IF(Tabela1[[#This Row],[Peso]]="","",ROW(A175))</f>
        <v/>
      </c>
      <c r="B183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4" spans="1:2" x14ac:dyDescent="0.3">
      <c r="A184" s="32" t="str">
        <f>IF(Tabela1[[#This Row],[Peso]]="","",ROW(A176))</f>
        <v/>
      </c>
      <c r="B184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5" spans="1:2" x14ac:dyDescent="0.3">
      <c r="A185" s="32" t="str">
        <f>IF(Tabela1[[#This Row],[Peso]]="","",ROW(A177))</f>
        <v/>
      </c>
      <c r="B185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6" spans="1:2" x14ac:dyDescent="0.3">
      <c r="A186" s="32" t="str">
        <f>IF(Tabela1[[#This Row],[Peso]]="","",ROW(A178))</f>
        <v/>
      </c>
      <c r="B186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7" spans="1:2" x14ac:dyDescent="0.3">
      <c r="A187" s="32" t="str">
        <f>IF(Tabela1[[#This Row],[Peso]]="","",ROW(A179))</f>
        <v/>
      </c>
      <c r="B187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8" spans="1:2" x14ac:dyDescent="0.3">
      <c r="A188" s="32" t="str">
        <f>IF(Tabela1[[#This Row],[Peso]]="","",ROW(A180))</f>
        <v/>
      </c>
      <c r="B188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89" spans="1:2" x14ac:dyDescent="0.3">
      <c r="A189" s="32" t="str">
        <f>IF(Tabela1[[#This Row],[Peso]]="","",ROW(A181))</f>
        <v/>
      </c>
      <c r="B189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0" spans="1:2" x14ac:dyDescent="0.3">
      <c r="A190" s="32" t="str">
        <f>IF(Tabela1[[#This Row],[Peso]]="","",ROW(A182))</f>
        <v/>
      </c>
      <c r="B190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1" spans="1:2" x14ac:dyDescent="0.3">
      <c r="A191" s="32" t="str">
        <f>IF(Tabela1[[#This Row],[Peso]]="","",ROW(A183))</f>
        <v/>
      </c>
      <c r="B191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2" spans="1:2" x14ac:dyDescent="0.3">
      <c r="A192" s="32" t="str">
        <f>IF(Tabela1[[#This Row],[Peso]]="","",ROW(A184))</f>
        <v/>
      </c>
      <c r="B192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3" spans="1:2" x14ac:dyDescent="0.3">
      <c r="A193" s="32" t="str">
        <f>IF(Tabela1[[#This Row],[Peso]]="","",ROW(A185))</f>
        <v/>
      </c>
      <c r="B193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4" spans="1:2" x14ac:dyDescent="0.3">
      <c r="A194" s="32" t="str">
        <f>IF(Tabela1[[#This Row],[Peso]]="","",ROW(A186))</f>
        <v/>
      </c>
      <c r="B194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5" spans="1:2" x14ac:dyDescent="0.3">
      <c r="A195" s="32" t="str">
        <f>IF(Tabela1[[#This Row],[Peso]]="","",ROW(A187))</f>
        <v/>
      </c>
      <c r="B195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6" spans="1:2" x14ac:dyDescent="0.3">
      <c r="A196" s="32" t="str">
        <f>IF(Tabela1[[#This Row],[Peso]]="","",ROW(A188))</f>
        <v/>
      </c>
      <c r="B196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7" spans="1:2" x14ac:dyDescent="0.3">
      <c r="A197" s="32" t="str">
        <f>IF(Tabela1[[#This Row],[Peso]]="","",ROW(A189))</f>
        <v/>
      </c>
      <c r="B197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8" spans="1:2" x14ac:dyDescent="0.3">
      <c r="A198" s="32" t="str">
        <f>IF(Tabela1[[#This Row],[Peso]]="","",ROW(A190))</f>
        <v/>
      </c>
      <c r="B198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199" spans="1:2" x14ac:dyDescent="0.3">
      <c r="A199" s="32" t="str">
        <f>IF(Tabela1[[#This Row],[Peso]]="","",ROW(A191))</f>
        <v/>
      </c>
      <c r="B199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200" spans="1:2" x14ac:dyDescent="0.3">
      <c r="A200" s="32" t="str">
        <f>IF(Tabela1[[#This Row],[Peso]]="","",ROW(A192))</f>
        <v/>
      </c>
      <c r="B200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201" spans="1:2" x14ac:dyDescent="0.3">
      <c r="A201" s="32" t="str">
        <f>IF(Tabela1[[#This Row],[Peso]]="","",ROW(A193))</f>
        <v/>
      </c>
      <c r="B201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202" spans="1:2" x14ac:dyDescent="0.3">
      <c r="A202" s="32" t="str">
        <f>IF(Tabela1[[#This Row],[Peso]]="","",ROW(A194))</f>
        <v/>
      </c>
      <c r="B202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203" spans="1:2" x14ac:dyDescent="0.3">
      <c r="A203" s="32" t="str">
        <f>IF(Tabela1[[#This Row],[Peso]]="","",ROW(A195))</f>
        <v/>
      </c>
      <c r="B203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204" spans="1:2" x14ac:dyDescent="0.3">
      <c r="A204" s="32" t="str">
        <f>IF(Tabela1[[#This Row],[Peso]]="","",ROW(A196))</f>
        <v/>
      </c>
      <c r="B204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205" spans="1:2" x14ac:dyDescent="0.3">
      <c r="A205" s="32" t="str">
        <f>IF(Tabela1[[#This Row],[Peso]]="","",ROW(A197))</f>
        <v/>
      </c>
      <c r="B205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206" spans="1:2" x14ac:dyDescent="0.3">
      <c r="A206" s="32" t="str">
        <f>IF(Tabela1[[#This Row],[Peso]]="","",ROW(A198))</f>
        <v/>
      </c>
      <c r="B206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207" spans="1:2" x14ac:dyDescent="0.3">
      <c r="A207" s="32" t="str">
        <f>IF(Tabela1[[#This Row],[Peso]]="","",ROW(A199))</f>
        <v/>
      </c>
      <c r="B207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  <row r="208" spans="1:2" x14ac:dyDescent="0.3">
      <c r="A208" s="32" t="str">
        <f>IF(Tabela1[[#This Row],[Peso]]="","",ROW(A200))</f>
        <v/>
      </c>
      <c r="B208" s="33" t="str">
        <f>IF(Tabela1[[#This Row],[Peso]]="","",IF(AND(Tabela1[[#This Row],[Peso]]&gt;=Resumo!$A$9,Tabela1[[#This Row],[Peso]]&lt;=Resumo!$A$8),Resumo!$B$9,IF(AND(Tabela1[[#This Row],[Peso]]&gt;=Resumo!$A$10,Tabela1[[#This Row],[Peso]]&lt;=Resumo!$A$9),Resumo!$B$10,IF(AND(Tabela1[[#This Row],[Peso]]&gt;=Resumo!$A$11,Tabela1[[#This Row],[Peso]]&lt;=Resumo!$A$10),Resumo!$B$11,IF(AND(Tabela1[[#This Row],[Peso]]&gt;=Resumo!$A$12,Tabela1[[#This Row],[Peso]]&lt;=Resumo!$A$11),Resumo!$B$12,IF(AND(Tabela1[[#This Row],[Peso]]&gt;=Resumo!$A$13,Tabela1[[#This Row],[Peso]]&lt;=Resumo!$A$12),Resumo!$B$13,IF(AND(Tabela1[[#This Row],[Peso]]&gt;=Resumo!$A$14,Tabela1[[#This Row],[Peso]]&lt;=Resumo!$A$13),Resumo!$B$14,IF(AND(Tabela1[[#This Row],[Peso]]&gt;=Resumo!$A$15,Tabela1[[#This Row],[Peso]]&lt;=Resumo!$A$14),Resumo!$B$15,IF(AND(Tabela1[[#This Row],[Peso]]&gt;=Resumo!$A$16,Tabela1[[#This Row],[Peso]]&lt;=Resumo!$A$15),Resumo!$B$16,IF(AND(Tabela1[[#This Row],[Peso]]&gt;=Resumo!$A$17,Tabela1[[#This Row],[Peso]]&lt;=Resumo!$A$16),Resumo!$B$17,IF(Tabela1[[#This Row],[Peso]]&gt;=Resumo!$A$8,Resumo!$B$8,Resumo!$B$18)))))))))))</f>
        <v/>
      </c>
    </row>
  </sheetData>
  <sheetProtection formatCells="0" formatColumns="0" formatRows="0" insertColumns="0" insertRows="0"/>
  <protectedRanges>
    <protectedRange sqref="C9:D208 H2:H8" name="Intervalo1"/>
  </protectedRanges>
  <conditionalFormatting sqref="O2:O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{2C7B5596-1E98-41B8-862F-0B6CFB31CC90}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10</xdr:col>
                    <xdr:colOff>822960</xdr:colOff>
                    <xdr:row>0</xdr:row>
                    <xdr:rowOff>0</xdr:rowOff>
                  </from>
                  <to>
                    <xdr:col>12</xdr:col>
                    <xdr:colOff>7620</xdr:colOff>
                    <xdr:row>1</xdr:row>
                    <xdr:rowOff>22860</xdr:rowOff>
                  </to>
                </anchor>
              </controlPr>
            </control>
          </mc:Choice>
        </mc:AlternateContent>
      </controls>
    </mc:Choice>
  </mc:AlternateContent>
  <tableParts count="3"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7B5596-1E98-41B8-862F-0B6CFB31C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Z37"/>
  <sheetViews>
    <sheetView showGridLines="0" tabSelected="1" topLeftCell="K1" workbookViewId="0">
      <selection activeCell="K25" sqref="K25"/>
    </sheetView>
  </sheetViews>
  <sheetFormatPr defaultRowHeight="14.4" x14ac:dyDescent="0.3"/>
  <cols>
    <col min="1" max="1" width="7.88671875" bestFit="1" customWidth="1"/>
    <col min="2" max="2" width="9.5546875" bestFit="1" customWidth="1"/>
    <col min="3" max="3" width="34.21875" customWidth="1"/>
    <col min="4" max="4" width="9.6640625" customWidth="1"/>
    <col min="5" max="5" width="8.88671875" customWidth="1"/>
    <col min="6" max="6" width="11.33203125" customWidth="1"/>
    <col min="7" max="10" width="13.6640625" customWidth="1"/>
    <col min="11" max="11" width="11.109375" customWidth="1"/>
    <col min="12" max="12" width="16.44140625" customWidth="1"/>
    <col min="13" max="13" width="20" customWidth="1"/>
    <col min="14" max="14" width="17.44140625" customWidth="1"/>
    <col min="15" max="15" width="5.88671875" customWidth="1"/>
    <col min="16" max="16" width="12.44140625" bestFit="1" customWidth="1"/>
    <col min="17" max="17" width="15.109375" customWidth="1"/>
    <col min="18" max="18" width="12.88671875" bestFit="1" customWidth="1"/>
    <col min="19" max="19" width="5.109375" customWidth="1"/>
    <col min="20" max="20" width="14.88671875" bestFit="1" customWidth="1"/>
    <col min="21" max="21" width="14.33203125" bestFit="1" customWidth="1"/>
    <col min="22" max="22" width="13.6640625" bestFit="1" customWidth="1"/>
    <col min="23" max="23" width="7.6640625" bestFit="1" customWidth="1"/>
    <col min="24" max="24" width="5.109375" customWidth="1"/>
    <col min="25" max="25" width="14.33203125" bestFit="1" customWidth="1"/>
    <col min="26" max="26" width="7.6640625" bestFit="1" customWidth="1"/>
  </cols>
  <sheetData>
    <row r="5" spans="1:26" x14ac:dyDescent="0.3">
      <c r="K5" s="60"/>
      <c r="W5" s="60"/>
    </row>
    <row r="7" spans="1:26" x14ac:dyDescent="0.3">
      <c r="A7" t="s">
        <v>2</v>
      </c>
      <c r="B7" t="s">
        <v>1</v>
      </c>
      <c r="C7" t="s">
        <v>3</v>
      </c>
      <c r="D7" t="s">
        <v>14</v>
      </c>
      <c r="E7" t="s">
        <v>58</v>
      </c>
      <c r="F7" t="s">
        <v>57</v>
      </c>
      <c r="G7" t="s">
        <v>18</v>
      </c>
      <c r="H7" t="s">
        <v>19</v>
      </c>
      <c r="I7" t="s">
        <v>17</v>
      </c>
      <c r="J7" t="s">
        <v>56</v>
      </c>
      <c r="K7" t="s">
        <v>59</v>
      </c>
      <c r="L7" t="s">
        <v>60</v>
      </c>
      <c r="M7" t="s">
        <v>61</v>
      </c>
      <c r="N7" t="s">
        <v>37</v>
      </c>
      <c r="P7" t="s">
        <v>9</v>
      </c>
      <c r="Q7" t="s">
        <v>62</v>
      </c>
      <c r="R7" t="s">
        <v>3</v>
      </c>
      <c r="T7" s="6" t="s">
        <v>16</v>
      </c>
      <c r="U7" s="12">
        <v>530</v>
      </c>
    </row>
    <row r="8" spans="1:26" x14ac:dyDescent="0.3">
      <c r="A8">
        <v>1130</v>
      </c>
      <c r="B8" t="s">
        <v>6</v>
      </c>
      <c r="C8" s="19">
        <f>COUNTIFS(Tabela1[Peso],"&gt;"&amp;A8)/COUNT(Tabela1[Peso])</f>
        <v>0</v>
      </c>
      <c r="D8" s="4"/>
      <c r="E8" s="3"/>
      <c r="F8" s="3"/>
      <c r="H8" s="1"/>
      <c r="J8" s="1"/>
      <c r="L8" s="1"/>
      <c r="M8" s="8"/>
      <c r="N8" s="8"/>
      <c r="P8" s="2" t="s">
        <v>55</v>
      </c>
      <c r="Q8" s="2">
        <v>0</v>
      </c>
      <c r="R8" s="19">
        <f>COUNTIFS(Tabela1[[#All],[Qualidade]],0)/COUNT(Tabela1[[#All],[Qualidade]])</f>
        <v>0</v>
      </c>
    </row>
    <row r="9" spans="1:26" x14ac:dyDescent="0.3">
      <c r="A9">
        <v>980</v>
      </c>
      <c r="B9">
        <v>4</v>
      </c>
      <c r="C9" s="19">
        <f>COUNTIFS(Tabela1[Peso],"&lt;="&amp;A8,Tabela1[Peso],"&gt;"&amp;A9)/COUNT(Tabela1[Peso])</f>
        <v>0</v>
      </c>
      <c r="D9" s="57">
        <f>COUNTIFS(Tabela1[Peso],"&lt;="&amp;A8,Tabela1[Peso],"&gt;"&amp;A9)/Tabela2[[#This Row],[Calibre]]</f>
        <v>0</v>
      </c>
      <c r="E9" s="5">
        <v>229</v>
      </c>
      <c r="F9" s="5"/>
      <c r="G9" s="1">
        <f>$U$7*$U$18*$R$9*Tabela2[[#This Row],[Percentual]]/Tabela2[[#This Row],[Calibre]]</f>
        <v>0</v>
      </c>
      <c r="H9" s="1">
        <f>$U$7*$U$18*$R$10*Tabela2[[#This Row],[Percentual]]/Tabela2[[#This Row],[Calibre]]</f>
        <v>0</v>
      </c>
      <c r="I9" s="1">
        <f>$U$7*$U$18*$R$11*Tabela2[[#This Row],[Percentual]]/Tabela2[[#This Row],[Calibre]]</f>
        <v>0</v>
      </c>
      <c r="J9" s="1">
        <f>$U$7*$U$18*$R$8*Tabela2[[#This Row],[Percentual]]/(Tabela2[[#This Row],[Calibre]]*1.5)</f>
        <v>0</v>
      </c>
      <c r="K9" s="1">
        <f>SUM(Tabela2[[#This Row],[Cxs 1ª Qual.]:[Cxs 3ª Qual.]])</f>
        <v>0</v>
      </c>
      <c r="L9" s="34">
        <f>IFERROR(((Tabela2[[#This Row],[Cxs 4kg]]/Tabela2[[#This Row],[ER 4kg]])/$V$14),0)</f>
        <v>0</v>
      </c>
      <c r="M9" s="34">
        <f>IFERROR(((Tabela2[[#This Row],[Cxs Aéreo]]/Tabela2[[#This Row],[ER Aéreo]])/$V$14),0)</f>
        <v>0</v>
      </c>
      <c r="N9" s="8">
        <f>(Tabela2[[#This Row],[Cxs 4kg]]/1088)/$V$16</f>
        <v>0</v>
      </c>
      <c r="P9">
        <v>1</v>
      </c>
      <c r="Q9">
        <v>1</v>
      </c>
      <c r="R9" s="19">
        <f>COUNTIFS(Tabela1[[#All],[Qualidade]],Tabela3[[#This Row],[Qualidade]])/COUNT(Tabela1[[#All],[Qualidade]])</f>
        <v>0.76666666666666672</v>
      </c>
      <c r="V9" t="s">
        <v>42</v>
      </c>
      <c r="W9" t="s">
        <v>10</v>
      </c>
    </row>
    <row r="10" spans="1:26" x14ac:dyDescent="0.3">
      <c r="A10">
        <v>777</v>
      </c>
      <c r="B10">
        <v>5</v>
      </c>
      <c r="C10" s="19">
        <f>COUNTIFS(Tabela1[Peso],"&lt;="&amp;A9,Tabela1[Peso],"&gt;"&amp;A10)/COUNT(Tabela1[Peso])</f>
        <v>0.04</v>
      </c>
      <c r="D10" s="57">
        <f>COUNTIFS(Tabela1[Peso],"&lt;="&amp;A9,Tabela1[Peso],"&gt;"&amp;A10)/Tabela2[[#This Row],[Calibre]]</f>
        <v>1.2</v>
      </c>
      <c r="E10" s="5">
        <v>229</v>
      </c>
      <c r="F10" s="5">
        <v>83</v>
      </c>
      <c r="G10" s="1">
        <f>$U$7*$U$18*$R$9*Tabela2[[#This Row],[Percentual]]/Tabela2[[#This Row],[Calibre]]</f>
        <v>107.27200000000001</v>
      </c>
      <c r="H10" s="1">
        <f>$U$7*$U$18*$R$10*Tabela2[[#This Row],[Percentual]]/Tabela2[[#This Row],[Calibre]]</f>
        <v>19.588800000000003</v>
      </c>
      <c r="I10" s="1">
        <f>$U$7*$U$18*$R$11*Tabela2[[#This Row],[Percentual]]/Tabela2[[#This Row],[Calibre]]</f>
        <v>8.3951999999999991</v>
      </c>
      <c r="J10" s="1">
        <f>$U$7*$U$18*$R$8*Tabela2[[#This Row],[Percentual]]/(Tabela2[[#This Row],[Calibre]]*1.5)</f>
        <v>0</v>
      </c>
      <c r="K10" s="1">
        <f>SUM(Tabela2[[#This Row],[Cxs 1ª Qual.]:[Cxs 3ª Qual.]])</f>
        <v>135.256</v>
      </c>
      <c r="L10" s="34">
        <f>IFERROR(((Tabela2[[#This Row],[Cxs 4kg]]/Tabela2[[#This Row],[ER 4kg]])/$V$14),0)</f>
        <v>0.78751673944687051</v>
      </c>
      <c r="M10" s="34">
        <f>IFERROR(((Tabela2[[#This Row],[Cxs Aéreo]]/Tabela2[[#This Row],[ER Aéreo]])/$V$14),0)</f>
        <v>0</v>
      </c>
      <c r="N10" s="8">
        <f>(Tabela2[[#This Row],[Cxs 4kg]]/1088)/$V$16</f>
        <v>0.17759453781512607</v>
      </c>
      <c r="P10">
        <v>2</v>
      </c>
      <c r="Q10">
        <v>2</v>
      </c>
      <c r="R10" s="19">
        <f>COUNTIFS(Tabela1[[#All],[Qualidade]],Tabela3[[#This Row],[Qualidade]])/COUNT(Tabela1[[#All],[Qualidade]])</f>
        <v>0.14000000000000001</v>
      </c>
      <c r="T10" s="6" t="s">
        <v>26</v>
      </c>
      <c r="U10" s="62">
        <v>16</v>
      </c>
      <c r="V10" s="31">
        <v>0.8</v>
      </c>
      <c r="W10" s="56">
        <f>(((U7*U18)/U10)/(4200*$V$10))*1/24</f>
        <v>1.355561755952381E-2</v>
      </c>
      <c r="Y10" s="6" t="s">
        <v>27</v>
      </c>
      <c r="Z10" s="14">
        <f>U7*0.0416667/W10</f>
        <v>1629.0922123636362</v>
      </c>
    </row>
    <row r="11" spans="1:26" x14ac:dyDescent="0.3">
      <c r="A11">
        <v>630</v>
      </c>
      <c r="B11">
        <v>6</v>
      </c>
      <c r="C11" s="19">
        <f>COUNTIFS(Tabela1[Peso],"&lt;="&amp;A10,Tabela1[Peso],"&gt;"&amp;A11)/COUNT(Tabela1[Peso])</f>
        <v>0.14666666666666667</v>
      </c>
      <c r="D11" s="57">
        <f>COUNTIFS(Tabela1[Peso],"&lt;="&amp;A10,Tabela1[Peso],"&gt;"&amp;A11)/Tabela2[[#This Row],[Calibre]]</f>
        <v>3.6666666666666665</v>
      </c>
      <c r="E11" s="5">
        <v>169</v>
      </c>
      <c r="F11" s="5">
        <v>70</v>
      </c>
      <c r="G11" s="1">
        <f>$U$7*$U$18*$R$9*Tabela2[[#This Row],[Percentual]]/Tabela2[[#This Row],[Calibre]]</f>
        <v>327.77555555555557</v>
      </c>
      <c r="H11" s="1">
        <f>$U$7*$U$18*$R$10*Tabela2[[#This Row],[Percentual]]/Tabela2[[#This Row],[Calibre]]</f>
        <v>59.854666666666674</v>
      </c>
      <c r="I11" s="1">
        <f>$U$7*$U$18*$R$11*Tabela2[[#This Row],[Percentual]]/Tabela2[[#This Row],[Calibre]]</f>
        <v>25.651999999999997</v>
      </c>
      <c r="J11" s="1">
        <f>$U$7*$U$18*$R$8*Tabela2[[#This Row],[Percentual]]/(Tabela2[[#This Row],[Calibre]]*1.5)</f>
        <v>0</v>
      </c>
      <c r="K11" s="1">
        <f>SUM(Tabela2[[#This Row],[Cxs 1ª Qual.]:[Cxs 3ª Qual.]])</f>
        <v>413.28222222222223</v>
      </c>
      <c r="L11" s="34">
        <f>IFERROR(((Tabela2[[#This Row],[Cxs 4kg]]/Tabela2[[#This Row],[ER 4kg]])/$V$14),0)</f>
        <v>3.2606092483015559</v>
      </c>
      <c r="M11" s="34">
        <f>IFERROR(((Tabela2[[#This Row],[Cxs Aéreo]]/Tabela2[[#This Row],[ER Aéreo]])/$V$14),0)</f>
        <v>0</v>
      </c>
      <c r="N11" s="8">
        <f>(Tabela2[[#This Row],[Cxs 4kg]]/1088)/$V$16</f>
        <v>0.54264997665732961</v>
      </c>
      <c r="P11">
        <v>3</v>
      </c>
      <c r="Q11">
        <v>3</v>
      </c>
      <c r="R11" s="19">
        <f>COUNTIFS(Tabela1[[#All],[Qualidade]],Tabela3[[#This Row],[Qualidade]])/COUNT(Tabela1[[#All],[Qualidade]])</f>
        <v>0.06</v>
      </c>
      <c r="T11" s="53" t="s">
        <v>39</v>
      </c>
      <c r="U11" s="65">
        <f>(($Z$10*$U$18)*(R10+R11+R12)/(3501*$V$11))+(($Z$10*$U$18)*R9/(6480*$V$11))</f>
        <v>13.257970765899266</v>
      </c>
      <c r="V11" s="61">
        <v>0.75</v>
      </c>
    </row>
    <row r="12" spans="1:26" x14ac:dyDescent="0.3">
      <c r="A12">
        <v>557</v>
      </c>
      <c r="B12">
        <v>7</v>
      </c>
      <c r="C12" s="19">
        <f>COUNTIFS(Tabela1[Peso],"&lt;="&amp;A11,Tabela1[Peso],"&gt;"&amp;A12)/COUNT(Tabela1[Peso])</f>
        <v>0.2</v>
      </c>
      <c r="D12" s="57">
        <f>COUNTIFS(Tabela1[Peso],"&lt;="&amp;A11,Tabela1[Peso],"&gt;"&amp;A12)/Tabela2[[#This Row],[Calibre]]</f>
        <v>4.2857142857142856</v>
      </c>
      <c r="E12" s="5">
        <v>174</v>
      </c>
      <c r="F12" s="5">
        <v>59</v>
      </c>
      <c r="G12" s="1">
        <f>$U$7*$U$18*$R$9*Tabela2[[#This Row],[Percentual]]/Tabela2[[#This Row],[Calibre]]</f>
        <v>383.11428571428576</v>
      </c>
      <c r="H12" s="1">
        <f>$U$7*$U$18*$R$10*Tabela2[[#This Row],[Percentual]]/Tabela2[[#This Row],[Calibre]]</f>
        <v>69.960000000000008</v>
      </c>
      <c r="I12" s="1">
        <f>$U$7*$U$18*$R$11*Tabela2[[#This Row],[Percentual]]/Tabela2[[#This Row],[Calibre]]</f>
        <v>29.982857142857142</v>
      </c>
      <c r="J12" s="1">
        <f>$U$7*$U$18*$R$8*Tabela2[[#This Row],[Percentual]]/(Tabela2[[#This Row],[Calibre]]*1.5)</f>
        <v>0</v>
      </c>
      <c r="K12" s="1">
        <f>SUM(Tabela2[[#This Row],[Cxs 1ª Qual.]:[Cxs 3ª Qual.]])</f>
        <v>483.05714285714294</v>
      </c>
      <c r="L12" s="34">
        <f>IFERROR(((Tabela2[[#This Row],[Cxs 4kg]]/Tabela2[[#This Row],[ER 4kg]])/$V$14),0)</f>
        <v>3.7015873015873022</v>
      </c>
      <c r="M12" s="34">
        <f>IFERROR(((Tabela2[[#This Row],[Cxs Aéreo]]/Tabela2[[#This Row],[ER Aéreo]])/$V$14),0)</f>
        <v>0</v>
      </c>
      <c r="N12" s="8">
        <f>(Tabela2[[#This Row],[Cxs 4kg]]/1088)/$V$16</f>
        <v>0.63426620648259324</v>
      </c>
      <c r="P12" s="2" t="s">
        <v>11</v>
      </c>
      <c r="Q12" s="2">
        <v>4</v>
      </c>
      <c r="R12" s="19">
        <f>COUNTIFS(Tabela1[[#All],[Qualidade]],4)/COUNT(Tabela1[[#All],[Qualidade]])</f>
        <v>3.3333333333333333E-2</v>
      </c>
      <c r="T12" s="6" t="s">
        <v>40</v>
      </c>
      <c r="U12" s="36">
        <f>Z10*U18*0.6/(3230*V12)</f>
        <v>13.315180930773993</v>
      </c>
      <c r="V12" s="31">
        <v>0.75</v>
      </c>
      <c r="X12" s="60"/>
    </row>
    <row r="13" spans="1:26" x14ac:dyDescent="0.3">
      <c r="A13">
        <v>478</v>
      </c>
      <c r="B13">
        <v>8</v>
      </c>
      <c r="C13" s="19">
        <f>COUNTIFS(Tabela1[Peso],"&lt;="&amp;A12,Tabela1[Peso],"&gt;"&amp;A13)/COUNT(Tabela1[Peso])</f>
        <v>0.26666666666666666</v>
      </c>
      <c r="D13" s="57">
        <f>COUNTIFS(Tabela1[Peso],"&lt;="&amp;A12,Tabela1[Peso],"&gt;"&amp;A13)/Tabela2[[#This Row],[Calibre]]</f>
        <v>5</v>
      </c>
      <c r="E13" s="5">
        <v>191</v>
      </c>
      <c r="F13" s="5">
        <v>45</v>
      </c>
      <c r="G13" s="1">
        <f>$U$7*$U$18*$R$9*Tabela2[[#This Row],[Percentual]]/Tabela2[[#This Row],[Calibre]]</f>
        <v>446.96666666666664</v>
      </c>
      <c r="H13" s="1">
        <f>$U$7*$U$18*$R$10*Tabela2[[#This Row],[Percentual]]/Tabela2[[#This Row],[Calibre]]</f>
        <v>81.62</v>
      </c>
      <c r="I13" s="1">
        <f>$U$7*$U$18*$R$11*Tabela2[[#This Row],[Percentual]]/Tabela2[[#This Row],[Calibre]]</f>
        <v>34.979999999999997</v>
      </c>
      <c r="J13" s="1">
        <f>$U$7*$U$18*$R$8*Tabela2[[#This Row],[Percentual]]/(Tabela2[[#This Row],[Calibre]]*1.5)</f>
        <v>0</v>
      </c>
      <c r="K13" s="1">
        <f>SUM(Tabela2[[#This Row],[Cxs 1ª Qual.]:[Cxs 3ª Qual.]])</f>
        <v>563.56666666666661</v>
      </c>
      <c r="L13" s="34">
        <f>IFERROR(((Tabela2[[#This Row],[Cxs 4kg]]/Tabela2[[#This Row],[ER 4kg]])/$V$14),0)</f>
        <v>3.9341477603257702</v>
      </c>
      <c r="M13" s="34">
        <f>IFERROR(((Tabela2[[#This Row],[Cxs Aéreo]]/Tabela2[[#This Row],[ER Aéreo]])/$V$14),0)</f>
        <v>0</v>
      </c>
      <c r="N13" s="8">
        <f>(Tabela2[[#This Row],[Cxs 4kg]]/1088)/$V$16</f>
        <v>0.73997724089635852</v>
      </c>
      <c r="T13" s="52" t="s">
        <v>63</v>
      </c>
      <c r="U13" s="64">
        <f>Z10*U18*R8/(3501*V13)</f>
        <v>0</v>
      </c>
      <c r="V13" s="30">
        <v>0.75</v>
      </c>
      <c r="X13" s="60"/>
    </row>
    <row r="14" spans="1:26" x14ac:dyDescent="0.3">
      <c r="A14">
        <v>438</v>
      </c>
      <c r="B14">
        <v>9</v>
      </c>
      <c r="C14" s="19">
        <f>COUNTIFS(Tabela1[Peso],"&lt;="&amp;A13,Tabela1[Peso],"&gt;"&amp;A14)/COUNT(Tabela1[Peso])</f>
        <v>0.12</v>
      </c>
      <c r="D14" s="57">
        <f>COUNTIFS(Tabela1[Peso],"&lt;="&amp;A13,Tabela1[Peso],"&gt;"&amp;A14)/Tabela2[[#This Row],[Calibre]]</f>
        <v>2</v>
      </c>
      <c r="E14" s="5">
        <v>157</v>
      </c>
      <c r="F14" s="5">
        <v>33</v>
      </c>
      <c r="G14" s="1">
        <f>$U$7*$U$18*$R$9*Tabela2[[#This Row],[Percentual]]/Tabela2[[#This Row],[Calibre]]</f>
        <v>178.78666666666666</v>
      </c>
      <c r="H14" s="1">
        <f>$U$7*$U$18*$R$10*Tabela2[[#This Row],[Percentual]]/Tabela2[[#This Row],[Calibre]]</f>
        <v>32.648000000000003</v>
      </c>
      <c r="I14" s="1">
        <f>$U$7*$U$18*$R$11*Tabela2[[#This Row],[Percentual]]/Tabela2[[#This Row],[Calibre]]</f>
        <v>13.991999999999997</v>
      </c>
      <c r="J14" s="1">
        <f>$U$7*$U$18*$R$8*Tabela2[[#This Row],[Percentual]]/(Tabela2[[#This Row],[Calibre]]*1.5)</f>
        <v>0</v>
      </c>
      <c r="K14" s="1">
        <f>SUM(Tabela2[[#This Row],[Cxs 1ª Qual.]:[Cxs 3ª Qual.]])</f>
        <v>225.42666666666665</v>
      </c>
      <c r="L14" s="34">
        <f>IFERROR(((Tabela2[[#This Row],[Cxs 4kg]]/Tabela2[[#This Row],[ER 4kg]])/$V$14),0)</f>
        <v>1.9144515215852795</v>
      </c>
      <c r="M14" s="34">
        <f>IFERROR(((Tabela2[[#This Row],[Cxs Aéreo]]/Tabela2[[#This Row],[ER Aéreo]])/$V$14),0)</f>
        <v>0</v>
      </c>
      <c r="N14" s="8">
        <f>(Tabela2[[#This Row],[Cxs 4kg]]/1088)/$V$16</f>
        <v>0.29599089635854342</v>
      </c>
      <c r="T14" s="6" t="s">
        <v>5</v>
      </c>
      <c r="U14" s="12">
        <v>55</v>
      </c>
      <c r="V14" s="31">
        <v>0.75</v>
      </c>
      <c r="W14" s="56">
        <f>(SUM(L9:M17)/U14)*1/24</f>
        <v>1.2785922285022617E-2</v>
      </c>
      <c r="X14" s="27"/>
      <c r="Y14" s="6" t="s">
        <v>28</v>
      </c>
      <c r="Z14" s="14">
        <f>((SUM(Tabela2[Cxs 4kg])*4.05/1000)+(SUM(Tabela2[Cxs Aéreo])*6.1/1000))/(SUM(Tabela2[[Horas total 4kg]:[Horas total aéreo]])/$U$14)</f>
        <v>28.639897630700723</v>
      </c>
    </row>
    <row r="15" spans="1:26" x14ac:dyDescent="0.3">
      <c r="A15">
        <v>376</v>
      </c>
      <c r="B15">
        <v>10</v>
      </c>
      <c r="C15" s="19">
        <f>COUNTIFS(Tabela1[Peso],"&lt;="&amp;A14,Tabela1[Peso],"&gt;"&amp;A15)/COUNT(Tabela1[Peso])</f>
        <v>0.14000000000000001</v>
      </c>
      <c r="D15" s="57">
        <f>COUNTIFS(Tabela1[Peso],"&lt;="&amp;A14,Tabela1[Peso],"&gt;"&amp;A15)/Tabela2[[#This Row],[Calibre]]</f>
        <v>2.1</v>
      </c>
      <c r="E15" s="5">
        <v>139</v>
      </c>
      <c r="F15" s="5"/>
      <c r="G15" s="1">
        <f>$U$7*$U$18*$R$9*Tabela2[[#This Row],[Percentual]]/Tabela2[[#This Row],[Calibre]]</f>
        <v>187.72600000000003</v>
      </c>
      <c r="H15" s="1">
        <f>$U$7*$U$18*$R$10*Tabela2[[#This Row],[Percentual]]/Tabela2[[#This Row],[Calibre]]</f>
        <v>34.280400000000007</v>
      </c>
      <c r="I15" s="1">
        <f>$U$7*$U$18*$R$11*Tabela2[[#This Row],[Percentual]]/Tabela2[[#This Row],[Calibre]]</f>
        <v>14.691599999999999</v>
      </c>
      <c r="J15" s="1">
        <f>$U$7*$U$18*$R$8*Tabela2[[#This Row],[Percentual]]/(Tabela2[[#This Row],[Calibre]]*1.5)</f>
        <v>0</v>
      </c>
      <c r="K15" s="1">
        <f>SUM(Tabela2[[#This Row],[Cxs 1ª Qual.]:[Cxs 3ª Qual.]])</f>
        <v>236.69800000000004</v>
      </c>
      <c r="L15" s="34">
        <f>IFERROR(((Tabela2[[#This Row],[Cxs 4kg]]/Tabela2[[#This Row],[ER 4kg]])/$V$14),0)</f>
        <v>2.2704844124700245</v>
      </c>
      <c r="M15" s="34">
        <f>IFERROR(((Tabela2[[#This Row],[Cxs Aéreo]]/Tabela2[[#This Row],[ER Aéreo]])/$V$14),0)</f>
        <v>0</v>
      </c>
      <c r="N15" s="8">
        <f>(Tabela2[[#This Row],[Cxs 4kg]]/1088)/$V$16</f>
        <v>0.31079044117647064</v>
      </c>
      <c r="T15" s="53" t="s">
        <v>41</v>
      </c>
      <c r="U15" s="54"/>
      <c r="V15" s="55">
        <v>0.5</v>
      </c>
    </row>
    <row r="16" spans="1:26" x14ac:dyDescent="0.3">
      <c r="A16">
        <v>295</v>
      </c>
      <c r="B16">
        <v>12</v>
      </c>
      <c r="C16" s="19">
        <f>COUNTIFS(Tabela1[Peso],"&lt;="&amp;A15,Tabela1[Peso],"&gt;"&amp;A16)/COUNT(Tabela1[Peso])</f>
        <v>0.08</v>
      </c>
      <c r="D16" s="57">
        <f>COUNTIFS(Tabela1[Peso],"&lt;="&amp;A15,Tabela1[Peso],"&gt;"&amp;A16)/Tabela2[[#This Row],[Calibre]]</f>
        <v>1</v>
      </c>
      <c r="E16" s="5">
        <v>149</v>
      </c>
      <c r="F16" s="5"/>
      <c r="G16" s="1">
        <f>$U$7*$U$18*$R$9*Tabela2[[#This Row],[Percentual]]/Tabela2[[#This Row],[Calibre]]</f>
        <v>89.393333333333331</v>
      </c>
      <c r="H16" s="1">
        <f>$U$7*$U$18*$R$10*Tabela2[[#This Row],[Percentual]]/Tabela2[[#This Row],[Calibre]]</f>
        <v>16.324000000000002</v>
      </c>
      <c r="I16" s="1">
        <f>$U$7*$U$18*$R$11*Tabela2[[#This Row],[Percentual]]/Tabela2[[#This Row],[Calibre]]</f>
        <v>6.9959999999999987</v>
      </c>
      <c r="J16" s="1">
        <f>$U$7*$U$18*$R$8*Tabela2[[#This Row],[Percentual]]/(Tabela2[[#This Row],[Calibre]]*1.5)</f>
        <v>0</v>
      </c>
      <c r="K16" s="1">
        <f>SUM(Tabela2[[#This Row],[Cxs 1ª Qual.]:[Cxs 3ª Qual.]])</f>
        <v>112.71333333333332</v>
      </c>
      <c r="L16" s="34">
        <f>IFERROR(((Tabela2[[#This Row],[Cxs 4kg]]/Tabela2[[#This Row],[ER 4kg]])/$V$14),0)</f>
        <v>1.0086204325130499</v>
      </c>
      <c r="M16" s="34">
        <f>IFERROR(((Tabela2[[#This Row],[Cxs Aéreo]]/Tabela2[[#This Row],[ER Aéreo]])/$V$14),0)</f>
        <v>0</v>
      </c>
      <c r="N16" s="8">
        <f>(Tabela2[[#This Row],[Cxs 4kg]]/1088)/$V$16</f>
        <v>0.14799544817927171</v>
      </c>
      <c r="T16" s="6" t="s">
        <v>25</v>
      </c>
      <c r="U16" s="62"/>
      <c r="V16" s="63">
        <v>0.7</v>
      </c>
      <c r="W16" s="9" t="e">
        <f>(SUM(Tabela2[Horas total palt.])/U16)*1/24</f>
        <v>#DIV/0!</v>
      </c>
    </row>
    <row r="17" spans="1:25" x14ac:dyDescent="0.3">
      <c r="A17">
        <v>280</v>
      </c>
      <c r="B17">
        <v>14</v>
      </c>
      <c r="C17" s="19">
        <f>COUNTIFS(Tabela1[Peso],"&lt;="&amp;A16,Tabela1[Peso],"&gt;"&amp;A17)/COUNT(Tabela1[Peso])</f>
        <v>0</v>
      </c>
      <c r="D17" s="57">
        <f>COUNTIFS(Tabela1[Peso],"&lt;="&amp;A16,Tabela1[Peso],"&gt;"&amp;A17)/Tabela2[[#This Row],[Calibre]]</f>
        <v>0</v>
      </c>
      <c r="E17" s="5">
        <v>85</v>
      </c>
      <c r="F17" s="5"/>
      <c r="G17" s="1">
        <f>$U$7*$U$18*$R$9*Tabela2[[#This Row],[Percentual]]/Tabela2[[#This Row],[Calibre]]</f>
        <v>0</v>
      </c>
      <c r="H17" s="1">
        <f>$U$7*$U$18*$R$10*Tabela2[[#This Row],[Percentual]]/Tabela2[[#This Row],[Calibre]]</f>
        <v>0</v>
      </c>
      <c r="I17" s="1">
        <f>$U$7*$U$18*$R$11*Tabela2[[#This Row],[Percentual]]/Tabela2[[#This Row],[Calibre]]</f>
        <v>0</v>
      </c>
      <c r="J17" s="1">
        <f>$U$7*$U$18*$R$8*Tabela2[[#This Row],[Percentual]]/(Tabela2[[#This Row],[Calibre]]*1.5)</f>
        <v>0</v>
      </c>
      <c r="K17" s="1">
        <f>SUM(Tabela2[[#This Row],[Cxs 1ª Qual.]:[Cxs 3ª Qual.]])</f>
        <v>0</v>
      </c>
      <c r="L17" s="34">
        <f>IFERROR(((Tabela2[[#This Row],[Cxs 4kg]]/Tabela2[[#This Row],[ER 4kg]])/$V$14),0)</f>
        <v>0</v>
      </c>
      <c r="M17" s="34">
        <f>IFERROR(((Tabela2[[#This Row],[Cxs Aéreo]]/Tabela2[[#This Row],[ER Aéreo]])/$V$14),0)</f>
        <v>0</v>
      </c>
      <c r="N17" s="8">
        <f>(Tabela2[[#This Row],[Cxs 4kg]]/1088)/$V$16</f>
        <v>0</v>
      </c>
      <c r="U17" s="60"/>
      <c r="Y17" s="60"/>
    </row>
    <row r="18" spans="1:25" x14ac:dyDescent="0.3">
      <c r="A18">
        <v>230</v>
      </c>
      <c r="B18" t="s">
        <v>7</v>
      </c>
      <c r="C18" s="19">
        <f>COUNTIFS(Tabela1[Peso],"&lt;="&amp;A17,Tabela1[Peso],"&gt;"&amp;A18)/COUNT(Tabela1[Peso])</f>
        <v>6.6666666666666671E-3</v>
      </c>
      <c r="D18" s="4"/>
      <c r="E18" s="3"/>
      <c r="F18" s="3"/>
      <c r="H18" s="1"/>
      <c r="J18" s="1"/>
      <c r="L18" s="1"/>
      <c r="M18" s="8"/>
      <c r="N18" s="8"/>
      <c r="T18" s="6" t="s">
        <v>15</v>
      </c>
      <c r="U18" s="11">
        <v>33</v>
      </c>
    </row>
    <row r="20" spans="1:25" x14ac:dyDescent="0.3">
      <c r="Q20" s="10"/>
    </row>
    <row r="21" spans="1:25" x14ac:dyDescent="0.3">
      <c r="O21" s="10"/>
    </row>
    <row r="25" spans="1:25" x14ac:dyDescent="0.3">
      <c r="Q25" s="60"/>
      <c r="R25" s="10"/>
    </row>
    <row r="26" spans="1:25" x14ac:dyDescent="0.3">
      <c r="I26">
        <f>$U$7*$U$18*$R$9*(C10/B10)</f>
        <v>107.27200000000001</v>
      </c>
      <c r="Q26" t="s">
        <v>72</v>
      </c>
      <c r="R26" s="58">
        <f>(((U7*U18)/U10)/(4200*$V$10))*1/24</f>
        <v>1.355561755952381E-2</v>
      </c>
      <c r="U26">
        <f>R26*100</f>
        <v>1.3555617559523809</v>
      </c>
    </row>
    <row r="27" spans="1:25" x14ac:dyDescent="0.3">
      <c r="Q27" t="s">
        <v>73</v>
      </c>
      <c r="R27" s="59">
        <f>(SUM(L9:M17)/U14)*1/24</f>
        <v>1.2785922285022617E-2</v>
      </c>
      <c r="U27">
        <f>R27*100</f>
        <v>1.2785922285022617</v>
      </c>
    </row>
    <row r="33" spans="22:26" x14ac:dyDescent="0.3">
      <c r="V33" s="66" t="s">
        <v>69</v>
      </c>
      <c r="W33" s="66"/>
      <c r="X33" s="66"/>
    </row>
    <row r="34" spans="22:26" x14ac:dyDescent="0.3">
      <c r="V34" s="66"/>
      <c r="W34" s="66"/>
      <c r="X34" s="66"/>
    </row>
    <row r="35" spans="22:26" x14ac:dyDescent="0.3">
      <c r="V35" s="66"/>
      <c r="W35" s="66"/>
      <c r="X35" s="66"/>
      <c r="Z35">
        <f>+AD34</f>
        <v>0</v>
      </c>
    </row>
    <row r="36" spans="22:26" x14ac:dyDescent="0.3">
      <c r="V36" t="s">
        <v>70</v>
      </c>
    </row>
    <row r="37" spans="22:26" x14ac:dyDescent="0.3">
      <c r="V37" t="s">
        <v>71</v>
      </c>
    </row>
  </sheetData>
  <protectedRanges>
    <protectedRange sqref="C8:C18 R8:R12" name="Intervalo2"/>
    <protectedRange sqref="U7 U10:V10 V11:V16 U14 U16" name="Intervalo1"/>
  </protectedRanges>
  <mergeCells count="1">
    <mergeCell ref="V33:X35"/>
  </mergeCells>
  <conditionalFormatting sqref="R8:R1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{C3A86CDE-9E82-47A4-991D-8AFCAF72BAFF}</x14:id>
        </ext>
      </extLst>
    </cfRule>
  </conditionalFormatting>
  <conditionalFormatting sqref="C8:C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{F8B41715-FF17-404E-98C3-07BD62E9443B}</x14:id>
        </ext>
      </extLst>
    </cfRule>
  </conditionalFormatting>
  <conditionalFormatting sqref="W16">
    <cfRule type="cellIs" dxfId="75" priority="15" operator="lessThan">
      <formula>$W$14</formula>
    </cfRule>
    <cfRule type="cellIs" dxfId="74" priority="16" operator="greaterThan">
      <formula>$W$14</formula>
    </cfRule>
  </conditionalFormatting>
  <conditionalFormatting sqref="E9:F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{B30E8D4D-0411-4ABC-80C2-6F9A40F77963}</x14:id>
        </ext>
      </extLst>
    </cfRule>
  </conditionalFormatting>
  <conditionalFormatting sqref="C8:F8 C18:F18 C9:D1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{064CEBE9-1E2C-4CFB-81C2-1A3B6772D865}</x14:id>
        </ext>
      </extLst>
    </cfRule>
  </conditionalFormatting>
  <conditionalFormatting sqref="W10">
    <cfRule type="cellIs" dxfId="73" priority="18" operator="lessThan">
      <formula>$W$14</formula>
    </cfRule>
    <cfRule type="cellIs" dxfId="72" priority="19" operator="greaterThan">
      <formula>$W$14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A86CDE-9E82-47A4-991D-8AFCAF72B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R8:R12</xm:sqref>
        </x14:conditionalFormatting>
        <x14:conditionalFormatting xmlns:xm="http://schemas.microsoft.com/office/excel/2006/main">
          <x14:cfRule type="dataBar" id="{F8B41715-FF17-404E-98C3-07BD62E94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C8:C18</xm:sqref>
        </x14:conditionalFormatting>
        <x14:conditionalFormatting xmlns:xm="http://schemas.microsoft.com/office/excel/2006/main">
          <x14:cfRule type="dataBar" id="{B30E8D4D-0411-4ABC-80C2-6F9A40F77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E9:F17</xm:sqref>
        </x14:conditionalFormatting>
        <x14:conditionalFormatting xmlns:xm="http://schemas.microsoft.com/office/excel/2006/main">
          <x14:cfRule type="dataBar" id="{064CEBE9-1E2C-4CFB-81C2-1A3B6772D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C8:F8 C18:F18 C9:D17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showGridLines="0" zoomScale="85" zoomScaleNormal="85" workbookViewId="0">
      <selection activeCell="R15" sqref="R15"/>
    </sheetView>
  </sheetViews>
  <sheetFormatPr defaultRowHeight="14.4" x14ac:dyDescent="0.3"/>
  <cols>
    <col min="1" max="1" width="8" bestFit="1" customWidth="1"/>
    <col min="2" max="2" width="9.5546875" bestFit="1" customWidth="1"/>
    <col min="3" max="3" width="12.44140625" bestFit="1" customWidth="1"/>
    <col min="4" max="4" width="10.5546875" bestFit="1" customWidth="1"/>
    <col min="5" max="5" width="13.44140625" bestFit="1" customWidth="1"/>
    <col min="6" max="7" width="13.44140625" customWidth="1"/>
    <col min="8" max="8" width="9.109375" customWidth="1"/>
    <col min="9" max="9" width="9.88671875" customWidth="1"/>
    <col min="10" max="10" width="9.109375" customWidth="1"/>
    <col min="11" max="11" width="9.88671875" customWidth="1"/>
    <col min="12" max="12" width="9.109375" customWidth="1"/>
    <col min="13" max="13" width="34.109375" customWidth="1"/>
    <col min="14" max="14" width="32.88671875" customWidth="1"/>
    <col min="16" max="16" width="12.88671875" bestFit="1" customWidth="1"/>
    <col min="17" max="17" width="13.109375" customWidth="1"/>
    <col min="19" max="19" width="9.88671875" bestFit="1" customWidth="1"/>
  </cols>
  <sheetData>
    <row r="1" spans="1:20" ht="49.5" customHeight="1" x14ac:dyDescent="0.3"/>
    <row r="2" spans="1:20" x14ac:dyDescent="0.3">
      <c r="A2" t="s">
        <v>29</v>
      </c>
      <c r="B2" t="s">
        <v>1</v>
      </c>
      <c r="C2" t="s">
        <v>9</v>
      </c>
      <c r="D2" t="s">
        <v>31</v>
      </c>
      <c r="E2" t="s">
        <v>32</v>
      </c>
      <c r="F2" t="s">
        <v>35</v>
      </c>
      <c r="G2" t="s">
        <v>36</v>
      </c>
      <c r="H2" t="s">
        <v>30</v>
      </c>
      <c r="I2" t="s">
        <v>33</v>
      </c>
      <c r="J2" t="s">
        <v>14</v>
      </c>
      <c r="K2" t="s">
        <v>34</v>
      </c>
      <c r="L2" t="s">
        <v>10</v>
      </c>
      <c r="M2" t="s">
        <v>4</v>
      </c>
      <c r="N2" t="s">
        <v>24</v>
      </c>
      <c r="O2" s="22" t="s">
        <v>38</v>
      </c>
      <c r="P2" s="22" t="s">
        <v>4</v>
      </c>
      <c r="Q2" s="22" t="s">
        <v>24</v>
      </c>
      <c r="S2" s="6" t="s">
        <v>28</v>
      </c>
      <c r="T2" s="14">
        <f>Resumo!Z14</f>
        <v>28.639897630700723</v>
      </c>
    </row>
    <row r="3" spans="1:20" x14ac:dyDescent="0.3">
      <c r="A3" s="44">
        <v>1</v>
      </c>
      <c r="B3" s="20" t="s">
        <v>11</v>
      </c>
      <c r="C3" s="20"/>
      <c r="D3" s="20"/>
      <c r="E3" s="20"/>
      <c r="F3" s="45" t="str">
        <f>CONCATENATE(Tabela5[[#This Row],[Calibre]],Tabela5[[#This Row],[Qualidade]])</f>
        <v>Refugo</v>
      </c>
      <c r="G3" s="45" t="str">
        <f>CONCATENATE(Tabela5[[#This Row],[Calibre2]],Tabela5[[#This Row],[Qualidade2]])</f>
        <v/>
      </c>
      <c r="H3" s="46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3" s="46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3" s="46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3" s="46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3" s="46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3" s="46">
        <f>IFERROR(Resumo!$U$14*Tabela5[[#This Row],[Horas]]/SUM(Tabela5[Horas]),0)</f>
        <v>0</v>
      </c>
      <c r="N3" s="46">
        <f>IFERROR(Resumo!$U$16*(Tabela5[[#This Row],[Caixas]]+Tabela5[[#This Row],[Caixas2]])/SUM(Tabela5[Caixas],Tabela5[Caixas2]),0)</f>
        <v>0</v>
      </c>
      <c r="O3" s="73">
        <v>1</v>
      </c>
      <c r="P3" s="69">
        <f>SUM(M3:N4)</f>
        <v>0</v>
      </c>
      <c r="Q3" s="70">
        <f>SUM(N3:N7)</f>
        <v>0</v>
      </c>
    </row>
    <row r="4" spans="1:20" x14ac:dyDescent="0.3">
      <c r="A4" s="44">
        <v>2</v>
      </c>
      <c r="B4" s="20" t="s">
        <v>11</v>
      </c>
      <c r="C4" s="20"/>
      <c r="D4" s="20"/>
      <c r="E4" s="20"/>
      <c r="F4" s="45" t="str">
        <f>CONCATENATE(Tabela5[[#This Row],[Calibre]],Tabela5[[#This Row],[Qualidade]])</f>
        <v>Refugo</v>
      </c>
      <c r="G4" s="45" t="str">
        <f>CONCATENATE(Tabela5[[#This Row],[Calibre2]],Tabela5[[#This Row],[Qualidade2]])</f>
        <v/>
      </c>
      <c r="H4" s="46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4" s="46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4" s="46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4" s="46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4" s="46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4" s="46">
        <f>IFERROR(Resumo!$U$14*Tabela5[[#This Row],[Horas]]/SUM(Tabela5[Horas]),0)</f>
        <v>0</v>
      </c>
      <c r="N4" s="46">
        <f>IFERROR(Resumo!$U$16*(Tabela5[[#This Row],[Caixas]]+Tabela5[[#This Row],[Caixas2]])/SUM(Tabela5[Caixas],Tabela5[Caixas2]),0)</f>
        <v>0</v>
      </c>
      <c r="O4" s="74"/>
      <c r="P4" s="68"/>
      <c r="Q4" s="71"/>
    </row>
    <row r="5" spans="1:20" x14ac:dyDescent="0.3">
      <c r="A5" s="39">
        <v>3</v>
      </c>
      <c r="B5" s="37"/>
      <c r="C5" s="37"/>
      <c r="D5" s="37"/>
      <c r="E5" s="37"/>
      <c r="F5" s="45" t="str">
        <f>CONCATENATE(Tabela5[[#This Row],[Calibre]],Tabela5[[#This Row],[Qualidade]])</f>
        <v/>
      </c>
      <c r="G5" s="45" t="str">
        <f>CONCATENATE(Tabela5[[#This Row],[Calibre2]],Tabela5[[#This Row],[Qualidade2]])</f>
        <v/>
      </c>
      <c r="H5" s="46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5" s="46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5" s="46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5" s="46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5" s="46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5" s="46">
        <f>IFERROR(Resumo!$U$14*Tabela5[[#This Row],[Horas]]/SUM(Tabela5[Horas]),0)</f>
        <v>0</v>
      </c>
      <c r="N5" s="46">
        <f>IFERROR(Resumo!$U$16*(Tabela5[[#This Row],[Caixas]]+Tabela5[[#This Row],[Caixas2]])/SUM(Tabela5[Caixas],Tabela5[Caixas2]),0)</f>
        <v>0</v>
      </c>
      <c r="O5" s="73">
        <v>2</v>
      </c>
      <c r="P5" s="69">
        <f>SUM(M5:M8)</f>
        <v>0</v>
      </c>
      <c r="Q5" s="71"/>
    </row>
    <row r="6" spans="1:20" x14ac:dyDescent="0.3">
      <c r="A6" s="47">
        <v>4</v>
      </c>
      <c r="B6" s="37"/>
      <c r="C6" s="37"/>
      <c r="D6" s="37"/>
      <c r="E6" s="37"/>
      <c r="F6" s="45" t="str">
        <f>CONCATENATE(Tabela5[[#This Row],[Calibre]],Tabela5[[#This Row],[Qualidade]])</f>
        <v/>
      </c>
      <c r="G6" s="45" t="str">
        <f>CONCATENATE(Tabela5[[#This Row],[Calibre2]],Tabela5[[#This Row],[Qualidade2]])</f>
        <v/>
      </c>
      <c r="H6" s="46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6" s="46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6" s="46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6" s="46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6" s="46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6" s="46">
        <f>IFERROR(Resumo!$U$14*Tabela5[[#This Row],[Horas]]/SUM(Tabela5[Horas]),0)</f>
        <v>0</v>
      </c>
      <c r="N6" s="46">
        <f>IFERROR(Resumo!$U$16*(Tabela5[[#This Row],[Caixas]]+Tabela5[[#This Row],[Caixas2]])/SUM(Tabela5[Caixas],Tabela5[Caixas2]),0)</f>
        <v>0</v>
      </c>
      <c r="O6" s="75"/>
      <c r="P6" s="67"/>
      <c r="Q6" s="71"/>
    </row>
    <row r="7" spans="1:20" x14ac:dyDescent="0.3">
      <c r="A7" s="47">
        <v>5</v>
      </c>
      <c r="B7" s="20"/>
      <c r="C7" s="20"/>
      <c r="D7" s="20"/>
      <c r="E7" s="20"/>
      <c r="F7" s="45" t="str">
        <f>CONCATENATE(Tabela5[[#This Row],[Calibre]],Tabela5[[#This Row],[Qualidade]])</f>
        <v/>
      </c>
      <c r="G7" s="45" t="str">
        <f>CONCATENATE(Tabela5[[#This Row],[Calibre2]],Tabela5[[#This Row],[Qualidade2]])</f>
        <v/>
      </c>
      <c r="H7" s="46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7" s="46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7" s="46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7" s="46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7" s="46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7" s="46">
        <f>IFERROR(Resumo!$U$14*Tabela5[[#This Row],[Horas]]/SUM(Tabela5[Horas]),0)</f>
        <v>0</v>
      </c>
      <c r="N7" s="46">
        <f>IFERROR(Resumo!$U$16*(Tabela5[[#This Row],[Caixas]]+Tabela5[[#This Row],[Caixas2]])/SUM(Tabela5[Caixas],Tabela5[Caixas2]),0)</f>
        <v>0</v>
      </c>
      <c r="O7" s="75"/>
      <c r="P7" s="67"/>
      <c r="Q7" s="71"/>
    </row>
    <row r="8" spans="1:20" x14ac:dyDescent="0.3">
      <c r="A8" s="47">
        <v>6</v>
      </c>
      <c r="B8" s="20"/>
      <c r="C8" s="20"/>
      <c r="D8" s="20"/>
      <c r="E8" s="20"/>
      <c r="F8" s="45" t="str">
        <f>CONCATENATE(Tabela5[[#This Row],[Calibre]],Tabela5[[#This Row],[Qualidade]])</f>
        <v/>
      </c>
      <c r="G8" s="45" t="str">
        <f>CONCATENATE(Tabela5[[#This Row],[Calibre2]],Tabela5[[#This Row],[Qualidade2]])</f>
        <v/>
      </c>
      <c r="H8" s="46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8" s="46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8" s="46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8" s="46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8" s="46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8" s="46">
        <f>IFERROR(Resumo!$U$14*Tabela5[[#This Row],[Horas]]/SUM(Tabela5[Horas]),0)</f>
        <v>0</v>
      </c>
      <c r="N8" s="46">
        <f>IFERROR(Resumo!$U$16*(Tabela5[[#This Row],[Caixas]]+Tabela5[[#This Row],[Caixas2]])/SUM(Tabela5[Caixas],Tabela5[Caixas2]),0)</f>
        <v>0</v>
      </c>
      <c r="O8" s="74"/>
      <c r="P8" s="68"/>
      <c r="Q8" s="70">
        <f>SUM(N8:N12)</f>
        <v>0</v>
      </c>
    </row>
    <row r="9" spans="1:20" x14ac:dyDescent="0.3">
      <c r="A9" s="41">
        <v>7</v>
      </c>
      <c r="B9" s="37"/>
      <c r="C9" s="37"/>
      <c r="D9" s="37"/>
      <c r="E9" s="37"/>
      <c r="F9" s="45" t="str">
        <f>CONCATENATE(Tabela5[[#This Row],[Calibre]],Tabela5[[#This Row],[Qualidade]])</f>
        <v/>
      </c>
      <c r="G9" s="45" t="str">
        <f>CONCATENATE(Tabela5[[#This Row],[Calibre2]],Tabela5[[#This Row],[Qualidade2]])</f>
        <v/>
      </c>
      <c r="H9" s="46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9" s="46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9" s="46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9" s="46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9" s="46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9" s="46">
        <f>IFERROR(Resumo!$U$14*Tabela5[[#This Row],[Horas]]/SUM(Tabela5[Horas]),0)</f>
        <v>0</v>
      </c>
      <c r="N9" s="46">
        <f>IFERROR(Resumo!$U$16*(Tabela5[[#This Row],[Caixas]]+Tabela5[[#This Row],[Caixas2]])/SUM(Tabela5[Caixas],Tabela5[Caixas2]),0)</f>
        <v>0</v>
      </c>
      <c r="O9" s="73">
        <v>3</v>
      </c>
      <c r="P9" s="69">
        <f>SUM(M9:M12)</f>
        <v>0</v>
      </c>
      <c r="Q9" s="71"/>
    </row>
    <row r="10" spans="1:20" x14ac:dyDescent="0.3">
      <c r="A10" s="44">
        <v>8</v>
      </c>
      <c r="B10" s="37"/>
      <c r="C10" s="37"/>
      <c r="D10" s="37"/>
      <c r="E10" s="37"/>
      <c r="F10" s="45" t="str">
        <f>CONCATENATE(Tabela5[[#This Row],[Calibre]],Tabela5[[#This Row],[Qualidade]])</f>
        <v/>
      </c>
      <c r="G10" s="45" t="str">
        <f>CONCATENATE(Tabela5[[#This Row],[Calibre2]],Tabela5[[#This Row],[Qualidade2]])</f>
        <v/>
      </c>
      <c r="H10" s="46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10" s="46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10" s="46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10" s="46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10" s="46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10" s="46">
        <f>IFERROR(Resumo!$U$14*Tabela5[[#This Row],[Horas]]/SUM(Tabela5[Horas]),0)</f>
        <v>0</v>
      </c>
      <c r="N10" s="46">
        <f>IFERROR(Resumo!$U$16*(Tabela5[[#This Row],[Caixas]]+Tabela5[[#This Row],[Caixas2]])/SUM(Tabela5[Caixas],Tabela5[Caixas2]),0)</f>
        <v>0</v>
      </c>
      <c r="O10" s="75"/>
      <c r="P10" s="67"/>
      <c r="Q10" s="71"/>
    </row>
    <row r="11" spans="1:20" x14ac:dyDescent="0.3">
      <c r="A11" s="44">
        <v>9</v>
      </c>
      <c r="B11" s="20"/>
      <c r="C11" s="20"/>
      <c r="D11" s="20"/>
      <c r="E11" s="20"/>
      <c r="F11" s="45" t="str">
        <f>CONCATENATE(Tabela5[[#This Row],[Calibre]],Tabela5[[#This Row],[Qualidade]])</f>
        <v/>
      </c>
      <c r="G11" s="45" t="str">
        <f>CONCATENATE(Tabela5[[#This Row],[Calibre2]],Tabela5[[#This Row],[Qualidade2]])</f>
        <v/>
      </c>
      <c r="H11" s="46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11" s="46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11" s="46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11" s="46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11" s="46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11" s="46">
        <f>IFERROR(Resumo!$U$14*Tabela5[[#This Row],[Horas]]/SUM(Tabela5[Horas]),0)</f>
        <v>0</v>
      </c>
      <c r="N11" s="46">
        <f>IFERROR(Resumo!$U$16*(Tabela5[[#This Row],[Caixas]]+Tabela5[[#This Row],[Caixas2]])/SUM(Tabela5[Caixas],Tabela5[Caixas2]),0)</f>
        <v>0</v>
      </c>
      <c r="O11" s="75"/>
      <c r="P11" s="67"/>
      <c r="Q11" s="71"/>
    </row>
    <row r="12" spans="1:20" ht="15" thickBot="1" x14ac:dyDescent="0.35">
      <c r="A12" s="16">
        <v>10</v>
      </c>
      <c r="B12" s="29"/>
      <c r="C12" s="29"/>
      <c r="D12" s="29"/>
      <c r="E12" s="29"/>
      <c r="F12" s="17" t="str">
        <f>CONCATENATE(Tabela5[[#This Row],[Calibre]],Tabela5[[#This Row],[Qualidade]])</f>
        <v/>
      </c>
      <c r="G12" s="17" t="str">
        <f>CONCATENATE(Tabela5[[#This Row],[Calibre2]],Tabela5[[#This Row],[Qualidade2]])</f>
        <v/>
      </c>
      <c r="H12" s="18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12" s="18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12" s="18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12" s="18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12" s="18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12" s="18">
        <f>IFERROR(Resumo!$U$14*Tabela5[[#This Row],[Horas]]/SUM(Tabela5[Horas]),0)</f>
        <v>0</v>
      </c>
      <c r="N12" s="18">
        <f>IFERROR(Resumo!$U$16*(Tabela5[[#This Row],[Caixas]]+Tabela5[[#This Row],[Caixas2]])/SUM(Tabela5[Caixas],Tabela5[Caixas2]),0)</f>
        <v>0</v>
      </c>
      <c r="O12" s="76"/>
      <c r="P12" s="77"/>
      <c r="Q12" s="72"/>
    </row>
    <row r="13" spans="1:20" x14ac:dyDescent="0.3">
      <c r="A13" s="40">
        <v>11</v>
      </c>
      <c r="B13" s="38">
        <v>9</v>
      </c>
      <c r="C13" s="38">
        <v>2</v>
      </c>
      <c r="D13" s="38"/>
      <c r="E13" s="38"/>
      <c r="F13" t="str">
        <f>CONCATENATE(Tabela5[[#This Row],[Calibre]],Tabela5[[#This Row],[Qualidade]])</f>
        <v>92</v>
      </c>
      <c r="G13" t="str">
        <f>CONCATENATE(Tabela5[[#This Row],[Calibre2]],Tabela5[[#This Row],[Qualidade2]])</f>
        <v/>
      </c>
      <c r="H13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293.83199999999999</v>
      </c>
      <c r="I13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13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32.647999999999996</v>
      </c>
      <c r="K13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13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0.20794904458598723</v>
      </c>
      <c r="M13" s="7">
        <f>IFERROR(Resumo!$U$14*Tabela5[[#This Row],[Horas]]/SUM(Tabela5[Horas]),0)</f>
        <v>0.96334413512914108</v>
      </c>
      <c r="N13" s="7">
        <f>IFERROR(Resumo!$U$16*(Tabela5[[#This Row],[Caixas]]+Tabela5[[#This Row],[Caixas2]])/SUM(Tabela5[Caixas],Tabela5[Caixas2]),0)</f>
        <v>0</v>
      </c>
      <c r="O13" s="75">
        <v>4</v>
      </c>
      <c r="P13" s="67">
        <f>SUM(M13:M16)</f>
        <v>13.637837513676804</v>
      </c>
      <c r="Q13" s="67">
        <f>SUM(N13:N18)</f>
        <v>0</v>
      </c>
      <c r="S13" s="21"/>
      <c r="T13" s="7"/>
    </row>
    <row r="14" spans="1:20" x14ac:dyDescent="0.3">
      <c r="A14" s="40">
        <v>12</v>
      </c>
      <c r="B14" s="37">
        <v>9</v>
      </c>
      <c r="C14" s="37">
        <v>1</v>
      </c>
      <c r="D14" s="37"/>
      <c r="E14" s="37"/>
      <c r="F14" t="str">
        <f>CONCATENATE(Tabela5[[#This Row],[Calibre]],Tabela5[[#This Row],[Qualidade]])</f>
        <v>91</v>
      </c>
      <c r="G14" t="str">
        <f>CONCATENATE(Tabela5[[#This Row],[Calibre2]],Tabela5[[#This Row],[Qualidade2]])</f>
        <v/>
      </c>
      <c r="H14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1609.08</v>
      </c>
      <c r="I14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14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178.78666666666666</v>
      </c>
      <c r="K14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14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1.1387685774946921</v>
      </c>
      <c r="M14" s="7">
        <f>IFERROR(Resumo!$U$14*Tabela5[[#This Row],[Horas]]/SUM(Tabela5[Horas]),0)</f>
        <v>5.2754559780881545</v>
      </c>
      <c r="N14" s="7">
        <f>IFERROR(Resumo!$U$16*(Tabela5[[#This Row],[Caixas]]+Tabela5[[#This Row],[Caixas2]])/SUM(Tabela5[Caixas],Tabela5[Caixas2]),0)</f>
        <v>0</v>
      </c>
      <c r="O14" s="75"/>
      <c r="P14" s="67"/>
      <c r="Q14" s="67"/>
      <c r="S14" s="21"/>
      <c r="T14" s="7"/>
    </row>
    <row r="15" spans="1:20" x14ac:dyDescent="0.3">
      <c r="A15" s="40">
        <v>13</v>
      </c>
      <c r="B15" s="20">
        <v>10</v>
      </c>
      <c r="C15" s="20">
        <v>2</v>
      </c>
      <c r="D15" s="20"/>
      <c r="E15" s="20"/>
      <c r="F15" t="str">
        <f>CONCATENATE(Tabela5[[#This Row],[Calibre]],Tabela5[[#This Row],[Qualidade]])</f>
        <v>102</v>
      </c>
      <c r="G15" t="str">
        <f>CONCATENATE(Tabela5[[#This Row],[Calibre2]],Tabela5[[#This Row],[Qualidade2]])</f>
        <v/>
      </c>
      <c r="H15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342.80400000000009</v>
      </c>
      <c r="I15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15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34.280400000000007</v>
      </c>
      <c r="K15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15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0.24662158273381299</v>
      </c>
      <c r="M15" s="7">
        <f>IFERROR(Resumo!$U$14*Tabela5[[#This Row],[Horas]]/SUM(Tabela5[Horas]),0)</f>
        <v>1.1424984221297767</v>
      </c>
      <c r="N15" s="7">
        <f>IFERROR(Resumo!$U$16*(Tabela5[[#This Row],[Caixas]]+Tabela5[[#This Row],[Caixas2]])/SUM(Tabela5[Caixas],Tabela5[Caixas2]),0)</f>
        <v>0</v>
      </c>
      <c r="O15" s="75"/>
      <c r="P15" s="67"/>
      <c r="Q15" s="67"/>
      <c r="S15" s="21"/>
      <c r="T15" s="7"/>
    </row>
    <row r="16" spans="1:20" x14ac:dyDescent="0.3">
      <c r="A16" s="40">
        <v>14</v>
      </c>
      <c r="B16" s="20">
        <v>10</v>
      </c>
      <c r="C16" s="20">
        <v>1</v>
      </c>
      <c r="D16" s="20"/>
      <c r="E16" s="20"/>
      <c r="F16" t="str">
        <f>CONCATENATE(Tabela5[[#This Row],[Calibre]],Tabela5[[#This Row],[Qualidade]])</f>
        <v>101</v>
      </c>
      <c r="G16" t="str">
        <f>CONCATENATE(Tabela5[[#This Row],[Calibre2]],Tabela5[[#This Row],[Qualidade2]])</f>
        <v/>
      </c>
      <c r="H16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1877.2600000000004</v>
      </c>
      <c r="I16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16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187.72600000000006</v>
      </c>
      <c r="K16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16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1.3505467625899286</v>
      </c>
      <c r="M16" s="7">
        <f>IFERROR(Resumo!$U$14*Tabela5[[#This Row],[Horas]]/SUM(Tabela5[Horas]),0)</f>
        <v>6.2565389783297309</v>
      </c>
      <c r="N16" s="7">
        <f>IFERROR(Resumo!$U$16*(Tabela5[[#This Row],[Caixas]]+Tabela5[[#This Row],[Caixas2]])/SUM(Tabela5[Caixas],Tabela5[Caixas2]),0)</f>
        <v>0</v>
      </c>
      <c r="O16" s="74"/>
      <c r="P16" s="68"/>
      <c r="Q16" s="67"/>
    </row>
    <row r="17" spans="1:17" x14ac:dyDescent="0.3">
      <c r="A17" s="41">
        <v>15</v>
      </c>
      <c r="B17" s="37"/>
      <c r="C17" s="37"/>
      <c r="D17" s="37"/>
      <c r="E17" s="37"/>
      <c r="F17" t="str">
        <f>CONCATENATE(Tabela5[[#This Row],[Calibre]],Tabela5[[#This Row],[Qualidade]])</f>
        <v/>
      </c>
      <c r="G17" t="str">
        <f>CONCATENATE(Tabela5[[#This Row],[Calibre2]],Tabela5[[#This Row],[Qualidade2]])</f>
        <v/>
      </c>
      <c r="H17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17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17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17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17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17" s="7">
        <f>IFERROR(Resumo!$U$14*Tabela5[[#This Row],[Horas]]/SUM(Tabela5[Horas]),0)</f>
        <v>0</v>
      </c>
      <c r="N17" s="7">
        <f>IFERROR(Resumo!$U$16*(Tabela5[[#This Row],[Caixas]]+Tabela5[[#This Row],[Caixas2]])/SUM(Tabela5[Caixas],Tabela5[Caixas2]),0)</f>
        <v>0</v>
      </c>
      <c r="O17" s="73">
        <v>5</v>
      </c>
      <c r="P17" s="69">
        <f>SUM(M17:M20)</f>
        <v>13.912533336943183</v>
      </c>
      <c r="Q17" s="67"/>
    </row>
    <row r="18" spans="1:17" x14ac:dyDescent="0.3">
      <c r="A18" s="15">
        <v>16</v>
      </c>
      <c r="B18" s="37">
        <v>12</v>
      </c>
      <c r="C18" s="37">
        <v>2</v>
      </c>
      <c r="D18" s="37">
        <v>6</v>
      </c>
      <c r="E18" s="37">
        <v>2</v>
      </c>
      <c r="F18" t="str">
        <f>CONCATENATE(Tabela5[[#This Row],[Calibre]],Tabela5[[#This Row],[Qualidade]])</f>
        <v>122</v>
      </c>
      <c r="G18" t="str">
        <f>CONCATENATE(Tabela5[[#This Row],[Calibre2]],Tabela5[[#This Row],[Qualidade2]])</f>
        <v>62</v>
      </c>
      <c r="H18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195.88800000000003</v>
      </c>
      <c r="I18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359.12799999999999</v>
      </c>
      <c r="J18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16.324000000000002</v>
      </c>
      <c r="K18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59.854666666666667</v>
      </c>
      <c r="L18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0.46372667222641412</v>
      </c>
      <c r="M18" s="7">
        <f>IFERROR(Resumo!$U$14*Tabela5[[#This Row],[Horas]]/SUM(Tabela5[Horas]),0)</f>
        <v>2.148258824086815</v>
      </c>
      <c r="N18" s="7">
        <f>IFERROR(Resumo!$U$16*(Tabela5[[#This Row],[Caixas]]+Tabela5[[#This Row],[Caixas2]])/SUM(Tabela5[Caixas],Tabela5[Caixas2]),0)</f>
        <v>0</v>
      </c>
      <c r="O18" s="75"/>
      <c r="P18" s="67"/>
      <c r="Q18" s="68"/>
    </row>
    <row r="19" spans="1:17" x14ac:dyDescent="0.3">
      <c r="A19" s="15">
        <v>17</v>
      </c>
      <c r="B19" s="20">
        <v>12</v>
      </c>
      <c r="C19" s="20">
        <v>1</v>
      </c>
      <c r="D19" s="20">
        <v>6</v>
      </c>
      <c r="E19" s="20">
        <v>1</v>
      </c>
      <c r="F19" t="str">
        <f>CONCATENATE(Tabela5[[#This Row],[Calibre]],Tabela5[[#This Row],[Qualidade]])</f>
        <v>121</v>
      </c>
      <c r="G19" t="str">
        <f>CONCATENATE(Tabela5[[#This Row],[Calibre2]],Tabela5[[#This Row],[Qualidade2]])</f>
        <v>61</v>
      </c>
      <c r="H19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1072.72</v>
      </c>
      <c r="I19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1966.6533333333334</v>
      </c>
      <c r="J19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89.393333333333331</v>
      </c>
      <c r="K19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327.77555555555557</v>
      </c>
      <c r="L19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2.5394555860017918</v>
      </c>
      <c r="M19" s="7">
        <f>IFERROR(Resumo!$U$14*Tabela5[[#This Row],[Horas]]/SUM(Tabela5[Horas]),0)</f>
        <v>11.764274512856367</v>
      </c>
      <c r="N19" s="7">
        <f>IFERROR(Resumo!$U$16*(Tabela5[[#This Row],[Caixas]]+Tabela5[[#This Row],[Caixas2]])/SUM(Tabela5[Caixas],Tabela5[Caixas2]),0)</f>
        <v>0</v>
      </c>
      <c r="O19" s="75"/>
      <c r="P19" s="67"/>
      <c r="Q19" s="69">
        <f>SUM(N19:N24)</f>
        <v>0</v>
      </c>
    </row>
    <row r="20" spans="1:17" x14ac:dyDescent="0.3">
      <c r="A20" s="15">
        <v>18</v>
      </c>
      <c r="B20" s="20"/>
      <c r="C20" s="20"/>
      <c r="D20" s="20"/>
      <c r="E20" s="20"/>
      <c r="F20" t="str">
        <f>CONCATENATE(Tabela5[[#This Row],[Calibre]],Tabela5[[#This Row],[Qualidade]])</f>
        <v/>
      </c>
      <c r="G20" t="str">
        <f>CONCATENATE(Tabela5[[#This Row],[Calibre2]],Tabela5[[#This Row],[Qualidade2]])</f>
        <v/>
      </c>
      <c r="H20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0</v>
      </c>
      <c r="I20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20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0</v>
      </c>
      <c r="K20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20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</v>
      </c>
      <c r="M20" s="7">
        <f>IFERROR(Resumo!$U$14*Tabela5[[#This Row],[Horas]]/SUM(Tabela5[Horas]),0)</f>
        <v>0</v>
      </c>
      <c r="N20" s="7">
        <f>IFERROR(Resumo!$U$16*(Tabela5[[#This Row],[Caixas]]+Tabela5[[#This Row],[Caixas2]])/SUM(Tabela5[Caixas],Tabela5[Caixas2]),0)</f>
        <v>0</v>
      </c>
      <c r="O20" s="74"/>
      <c r="P20" s="68"/>
      <c r="Q20" s="67"/>
    </row>
    <row r="21" spans="1:17" x14ac:dyDescent="0.3">
      <c r="A21" s="39">
        <v>19</v>
      </c>
      <c r="B21" s="37">
        <v>8</v>
      </c>
      <c r="C21" s="37">
        <v>2</v>
      </c>
      <c r="D21" s="37"/>
      <c r="E21" s="37"/>
      <c r="F21" t="str">
        <f>CONCATENATE(Tabela5[[#This Row],[Calibre]],Tabela5[[#This Row],[Qualidade]])</f>
        <v>82</v>
      </c>
      <c r="G21" t="str">
        <f>CONCATENATE(Tabela5[[#This Row],[Calibre2]],Tabela5[[#This Row],[Qualidade2]])</f>
        <v/>
      </c>
      <c r="H21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652.96</v>
      </c>
      <c r="I21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21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81.62</v>
      </c>
      <c r="K21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21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0.42732984293193721</v>
      </c>
      <c r="M21" s="7">
        <f>IFERROR(Resumo!$U$14*Tabela5[[#This Row],[Horas]]/SUM(Tabela5[Horas]),0)</f>
        <v>1.9796469792575286</v>
      </c>
      <c r="N21" s="7">
        <f>IFERROR(Resumo!$U$16*(Tabela5[[#This Row],[Caixas]]+Tabela5[[#This Row],[Caixas2]])/SUM(Tabela5[Caixas],Tabela5[Caixas2]),0)</f>
        <v>0</v>
      </c>
      <c r="O21" s="73">
        <v>6</v>
      </c>
      <c r="P21" s="69">
        <f>SUM(M21:M24)</f>
        <v>27.449629149380012</v>
      </c>
      <c r="Q21" s="67"/>
    </row>
    <row r="22" spans="1:17" x14ac:dyDescent="0.3">
      <c r="A22" s="40">
        <v>20</v>
      </c>
      <c r="B22" s="37">
        <v>8</v>
      </c>
      <c r="C22" s="37">
        <v>1</v>
      </c>
      <c r="D22" s="37"/>
      <c r="E22" s="37"/>
      <c r="F22" t="str">
        <f>CONCATENATE(Tabela5[[#This Row],[Calibre]],Tabela5[[#This Row],[Qualidade]])</f>
        <v>81</v>
      </c>
      <c r="G22" t="str">
        <f>CONCATENATE(Tabela5[[#This Row],[Calibre2]],Tabela5[[#This Row],[Qualidade2]])</f>
        <v/>
      </c>
      <c r="H22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3575.7333333333336</v>
      </c>
      <c r="I22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0</v>
      </c>
      <c r="J22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446.9666666666667</v>
      </c>
      <c r="K22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0</v>
      </c>
      <c r="L22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2.3401396160558465</v>
      </c>
      <c r="M22" s="7">
        <f>IFERROR(Resumo!$U$14*Tabela5[[#This Row],[Horas]]/SUM(Tabela5[Horas]),0)</f>
        <v>10.840923934029323</v>
      </c>
      <c r="N22" s="7">
        <f>IFERROR(Resumo!$U$16*(Tabela5[[#This Row],[Caixas]]+Tabela5[[#This Row],[Caixas2]])/SUM(Tabela5[Caixas],Tabela5[Caixas2]),0)</f>
        <v>0</v>
      </c>
      <c r="O22" s="75"/>
      <c r="P22" s="67"/>
      <c r="Q22" s="67"/>
    </row>
    <row r="23" spans="1:17" x14ac:dyDescent="0.3">
      <c r="A23" s="40">
        <v>21</v>
      </c>
      <c r="B23" s="37">
        <v>5</v>
      </c>
      <c r="C23" s="37">
        <v>1</v>
      </c>
      <c r="D23" s="37">
        <v>7</v>
      </c>
      <c r="E23" s="37">
        <v>1</v>
      </c>
      <c r="F23" t="str">
        <f>CONCATENATE(Tabela5[[#This Row],[Calibre]],Tabela5[[#This Row],[Qualidade]])</f>
        <v>51</v>
      </c>
      <c r="G23" t="str">
        <f>CONCATENATE(Tabela5[[#This Row],[Calibre2]],Tabela5[[#This Row],[Qualidade2]])</f>
        <v>71</v>
      </c>
      <c r="H23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536.36</v>
      </c>
      <c r="I23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2681.8</v>
      </c>
      <c r="J23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107.27200000000001</v>
      </c>
      <c r="K23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383.11428571428576</v>
      </c>
      <c r="L23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2.6702429209599821</v>
      </c>
      <c r="M23" s="7">
        <f>IFERROR(Resumo!$U$14*Tabela5[[#This Row],[Horas]]/SUM(Tabela5[Horas]),0)</f>
        <v>12.370159537872892</v>
      </c>
      <c r="N23" s="7">
        <f>IFERROR(Resumo!$U$16*(Tabela5[[#This Row],[Caixas]]+Tabela5[[#This Row],[Caixas2]])/SUM(Tabela5[Caixas],Tabela5[Caixas2]),0)</f>
        <v>0</v>
      </c>
      <c r="O23" s="75"/>
      <c r="P23" s="67"/>
      <c r="Q23" s="67"/>
    </row>
    <row r="24" spans="1:17" x14ac:dyDescent="0.3">
      <c r="A24" s="40">
        <v>22</v>
      </c>
      <c r="B24" s="20">
        <v>5</v>
      </c>
      <c r="C24" s="20">
        <v>2</v>
      </c>
      <c r="D24" s="20">
        <v>7</v>
      </c>
      <c r="E24" s="20">
        <v>2</v>
      </c>
      <c r="F24" t="str">
        <f>CONCATENATE(Tabela5[[#This Row],[Calibre]],Tabela5[[#This Row],[Qualidade]])</f>
        <v>52</v>
      </c>
      <c r="G24" t="str">
        <f>CONCATENATE(Tabela5[[#This Row],[Calibre2]],Tabela5[[#This Row],[Qualidade2]])</f>
        <v>72</v>
      </c>
      <c r="H24" s="7">
        <f>IFERROR((Resumo!$U$7*Resumo!$U$18*(VLOOKUP(Tabela5[[#This Row],[Calibre]],Tabela2[[#All],[Calibre]:[Percentual]],2,FALSE))*VLOOKUP(Tabela5[[#This Row],[Qualidade]],Tabela3[[#All],[Referência]:[Percentual]],2,FALSE)),0)/COUNTIFS(Tabela5[[Auxiliar]:[Auxiliar2]],Tabela5[[#This Row],[Auxiliar]])</f>
        <v>97.944000000000017</v>
      </c>
      <c r="I24" s="7">
        <f>IFERROR((Resumo!$U$7*Resumo!$U$18*(VLOOKUP(Tabela5[[#This Row],[Calibre2]],Tabela2[[#All],[Calibre]:[Percentual]],2,FALSE))*VLOOKUP(Tabela5[[#This Row],[Qualidade2]],Tabela3[[#All],[Referência]:[Percentual]],2,FALSE)),0)/COUNTIFS(Tabela5[[Auxiliar]:[Auxiliar2]],Tabela5[[#This Row],[Auxiliar2]])</f>
        <v>489.72</v>
      </c>
      <c r="J24" s="7">
        <f>IFERROR(IF(OR(Tabela5[[#This Row],[Qualidade]]=1,Tabela5[[#This Row],[Qualidade]]=2,Tabela5[[#This Row],[Qualidade]]=3),Tabela5[[#This Row],[Frutos]]/Tabela5[[#This Row],[Calibre]],IF(Tabela5[[#This Row],[Qualidade]]=0,Tabela5[[#This Row],[Frutos]]/(Tabela5[[#This Row],[Calibre]]*1.5),0)),0)</f>
        <v>19.588800000000003</v>
      </c>
      <c r="K24" s="7">
        <f>IFERROR(IF(OR(Tabela5[[#This Row],[Qualidade2]]=1,Tabela5[[#This Row],[Qualidade2]]=2,Tabela5[[#This Row],[Qualidade2]]=3),Tabela5[[#This Row],[Frutos2]]/Tabela5[[#This Row],[Calibre2]],IF(Tabela5[[#This Row],[Qualidade2]]=0,Tabela5[[#This Row],[Frutos2]]/(Tabela5[[#This Row],[Calibre2]]*1.5),0)),0)</f>
        <v>69.960000000000008</v>
      </c>
      <c r="L24" s="7">
        <f>IFERROR(IF(OR(Tabela5[[#This Row],[Qualidade]]=1,Tabela5[[#This Row],[Qualidade]]=2,Tabela5[[#This Row],[Qualidade]]=3),(Tabela5[[#This Row],[Caixas]]/VLOOKUP(Tabela5[[#This Row],[Calibre]],Tabela2[[#All],[Calibre]:[ER 4kg]],4,FALSE)),IF(Tabela5[[#This Row],[Qualidade]]=0,(Tabela5[[#This Row],[Caixas]]/VLOOKUP(Tabela5[[#This Row],[Calibre]],Tabela2[[#All],[Calibre]:[ER Aéreo]],5,FALSE)),0)),0)+IFERROR(IF(OR(Tabela5[[#This Row],[Qualidade2]]=1,Tabela5[[#This Row],[Qualidade2]]=2,Tabela5[[#This Row],[Qualidade2]]=3),(Tabela5[[#This Row],[Caixas2]]/VLOOKUP(Tabela5[[#This Row],[Calibre2]],Tabela2[[#All],[Calibre]:[ER 4kg]],4,FALSE)),IF(Tabela5[[#This Row],[Qualidade2]]=0,(Tabela5[[#This Row],[Caixas2]]/VLOOKUP(Tabela5[[#This Row],[Calibre2]],Tabela2[[#All],[Calibre]:[ER Aéreo]],5,FALSE)),0)),0)</f>
        <v>0.48760957687095319</v>
      </c>
      <c r="M24" s="7">
        <f>IFERROR(Resumo!$U$14*Tabela5[[#This Row],[Horas]]/SUM(Tabela5[Horas]),0)</f>
        <v>2.2588986982202672</v>
      </c>
      <c r="N24" s="7">
        <f>IFERROR(Resumo!$U$16*(Tabela5[[#This Row],[Caixas]]+Tabela5[[#This Row],[Caixas2]])/SUM(Tabela5[Caixas],Tabela5[Caixas2]),0)</f>
        <v>0</v>
      </c>
      <c r="O24" s="74"/>
      <c r="P24" s="68"/>
      <c r="Q24" s="68"/>
    </row>
  </sheetData>
  <protectedRanges>
    <protectedRange sqref="B3:E24" name="Intervalo1_1"/>
  </protectedRanges>
  <mergeCells count="16">
    <mergeCell ref="Q13:Q18"/>
    <mergeCell ref="Q19:Q24"/>
    <mergeCell ref="Q8:Q12"/>
    <mergeCell ref="Q3:Q7"/>
    <mergeCell ref="O3:O4"/>
    <mergeCell ref="O5:O8"/>
    <mergeCell ref="O9:O12"/>
    <mergeCell ref="O13:O16"/>
    <mergeCell ref="O17:O20"/>
    <mergeCell ref="O21:O24"/>
    <mergeCell ref="P3:P4"/>
    <mergeCell ref="P5:P8"/>
    <mergeCell ref="P9:P12"/>
    <mergeCell ref="P13:P16"/>
    <mergeCell ref="P17:P20"/>
    <mergeCell ref="P21:P24"/>
  </mergeCells>
  <conditionalFormatting sqref="M3:M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{D06D5360-E4A2-4372-89F2-2209D850ADDA}</x14:id>
        </ext>
      </extLst>
    </cfRule>
  </conditionalFormatting>
  <conditionalFormatting sqref="N3:N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{C3E2A906-E559-4445-8748-22B2E6FA052A}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6D5360-E4A2-4372-89F2-2209D850A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M3:M24</xm:sqref>
        </x14:conditionalFormatting>
        <x14:conditionalFormatting xmlns:xm="http://schemas.microsoft.com/office/excel/2006/main">
          <x14:cfRule type="dataBar" id="{C3E2A906-E559-4445-8748-22B2E6FA0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showGridLines="0" workbookViewId="0">
      <selection activeCell="D28" sqref="D28"/>
    </sheetView>
  </sheetViews>
  <sheetFormatPr defaultColWidth="11.44140625" defaultRowHeight="14.4" x14ac:dyDescent="0.3"/>
  <cols>
    <col min="1" max="1" width="5.6640625" bestFit="1" customWidth="1"/>
    <col min="7" max="7" width="5.6640625" bestFit="1" customWidth="1"/>
  </cols>
  <sheetData>
    <row r="1" spans="1:12" x14ac:dyDescent="0.3">
      <c r="A1" s="78" t="s">
        <v>64</v>
      </c>
      <c r="B1" s="78"/>
      <c r="C1" s="78"/>
      <c r="D1" s="78"/>
      <c r="E1" s="78"/>
      <c r="F1" s="48"/>
      <c r="G1" s="78" t="s">
        <v>65</v>
      </c>
      <c r="H1" s="78"/>
      <c r="I1" s="78"/>
      <c r="J1" s="78"/>
      <c r="K1" s="78"/>
    </row>
    <row r="2" spans="1:12" x14ac:dyDescent="0.3">
      <c r="A2" s="32" t="s">
        <v>29</v>
      </c>
      <c r="B2" s="32" t="s">
        <v>1</v>
      </c>
      <c r="C2" s="32" t="s">
        <v>9</v>
      </c>
      <c r="D2" s="32" t="s">
        <v>31</v>
      </c>
      <c r="E2" s="32" t="s">
        <v>32</v>
      </c>
      <c r="F2" s="32"/>
      <c r="G2" s="32" t="s">
        <v>29</v>
      </c>
      <c r="H2" s="32" t="s">
        <v>1</v>
      </c>
      <c r="I2" s="32" t="s">
        <v>9</v>
      </c>
      <c r="J2" s="32" t="s">
        <v>31</v>
      </c>
      <c r="K2" s="32" t="s">
        <v>32</v>
      </c>
    </row>
    <row r="3" spans="1:12" x14ac:dyDescent="0.3">
      <c r="A3" s="42">
        <v>1</v>
      </c>
      <c r="B3" s="32" t="s">
        <v>11</v>
      </c>
      <c r="C3" s="32"/>
      <c r="D3" s="32"/>
      <c r="E3" s="32"/>
      <c r="F3" s="43"/>
      <c r="G3" s="42">
        <v>1</v>
      </c>
      <c r="H3" s="32" t="s">
        <v>11</v>
      </c>
      <c r="I3" s="32"/>
      <c r="J3" s="32"/>
      <c r="K3" s="32"/>
      <c r="L3" s="21"/>
    </row>
    <row r="4" spans="1:12" x14ac:dyDescent="0.3">
      <c r="A4" s="42">
        <v>2</v>
      </c>
      <c r="B4" s="32"/>
      <c r="C4" s="32"/>
      <c r="D4" s="32"/>
      <c r="E4" s="32"/>
      <c r="F4" s="32"/>
      <c r="G4" s="42">
        <v>2</v>
      </c>
      <c r="H4" s="32"/>
      <c r="I4" s="32"/>
      <c r="J4" s="32"/>
      <c r="K4" s="32"/>
    </row>
    <row r="5" spans="1:12" x14ac:dyDescent="0.3">
      <c r="A5" s="42">
        <v>3</v>
      </c>
      <c r="B5" s="32"/>
      <c r="C5" s="32"/>
      <c r="D5" s="32"/>
      <c r="E5" s="32"/>
      <c r="F5" s="32"/>
      <c r="G5" s="42">
        <v>3</v>
      </c>
      <c r="H5" s="32">
        <v>14</v>
      </c>
      <c r="I5" s="32">
        <v>2</v>
      </c>
      <c r="J5" s="32">
        <v>5</v>
      </c>
      <c r="K5" s="32">
        <v>2</v>
      </c>
    </row>
    <row r="6" spans="1:12" x14ac:dyDescent="0.3">
      <c r="A6" s="42">
        <v>4</v>
      </c>
      <c r="B6" s="32"/>
      <c r="C6" s="32"/>
      <c r="D6" s="32"/>
      <c r="E6" s="32"/>
      <c r="F6" s="32"/>
      <c r="G6" s="42">
        <v>4</v>
      </c>
      <c r="H6" s="32">
        <v>14</v>
      </c>
      <c r="I6" s="32">
        <v>1</v>
      </c>
      <c r="J6" s="32">
        <v>5</v>
      </c>
      <c r="K6" s="32">
        <v>1</v>
      </c>
    </row>
    <row r="7" spans="1:12" x14ac:dyDescent="0.3">
      <c r="A7" s="42">
        <v>5</v>
      </c>
      <c r="B7" s="32">
        <v>10</v>
      </c>
      <c r="C7" s="32">
        <v>2</v>
      </c>
      <c r="D7" s="32"/>
      <c r="E7" s="32"/>
      <c r="F7" s="32"/>
      <c r="G7" s="42">
        <v>5</v>
      </c>
      <c r="H7" s="32">
        <v>6</v>
      </c>
      <c r="I7" s="32">
        <v>2</v>
      </c>
      <c r="J7" s="32"/>
      <c r="K7" s="32"/>
    </row>
    <row r="8" spans="1:12" x14ac:dyDescent="0.3">
      <c r="A8" s="42">
        <v>6</v>
      </c>
      <c r="B8" s="32">
        <v>10</v>
      </c>
      <c r="C8" s="32">
        <v>1</v>
      </c>
      <c r="D8" s="32"/>
      <c r="E8" s="32"/>
      <c r="F8" s="32"/>
      <c r="G8" s="42">
        <v>6</v>
      </c>
      <c r="H8" s="32">
        <v>6</v>
      </c>
      <c r="I8" s="32">
        <v>1</v>
      </c>
      <c r="J8" s="32"/>
      <c r="K8" s="32"/>
    </row>
    <row r="9" spans="1:12" x14ac:dyDescent="0.3">
      <c r="A9" s="42">
        <v>7</v>
      </c>
      <c r="B9" s="32">
        <v>9</v>
      </c>
      <c r="C9" s="32">
        <v>1</v>
      </c>
      <c r="D9" s="32"/>
      <c r="E9" s="32"/>
      <c r="F9" s="32"/>
      <c r="G9" s="42">
        <v>7</v>
      </c>
      <c r="H9" s="32">
        <v>9</v>
      </c>
      <c r="I9" s="32">
        <v>2</v>
      </c>
      <c r="J9" s="32"/>
      <c r="K9" s="32"/>
    </row>
    <row r="10" spans="1:12" x14ac:dyDescent="0.3">
      <c r="A10" s="42">
        <v>8</v>
      </c>
      <c r="B10" s="32">
        <v>9</v>
      </c>
      <c r="C10" s="32">
        <v>2</v>
      </c>
      <c r="D10" s="32"/>
      <c r="E10" s="32"/>
      <c r="F10" s="32"/>
      <c r="G10" s="42">
        <v>8</v>
      </c>
      <c r="H10" s="32">
        <v>9</v>
      </c>
      <c r="I10" s="32">
        <v>1</v>
      </c>
      <c r="J10" s="32"/>
      <c r="K10" s="32"/>
    </row>
    <row r="11" spans="1:12" x14ac:dyDescent="0.3">
      <c r="A11" s="42">
        <v>9</v>
      </c>
      <c r="B11" s="32" t="s">
        <v>55</v>
      </c>
      <c r="C11" s="32"/>
      <c r="D11" s="32"/>
      <c r="E11" s="32"/>
      <c r="F11" s="32"/>
      <c r="G11" s="42">
        <v>9</v>
      </c>
      <c r="H11" s="32"/>
      <c r="I11" s="32"/>
      <c r="J11" s="32"/>
      <c r="K11" s="32"/>
    </row>
    <row r="12" spans="1:12" x14ac:dyDescent="0.3">
      <c r="A12" s="42">
        <v>10</v>
      </c>
      <c r="B12" s="32" t="s">
        <v>55</v>
      </c>
      <c r="C12" s="32"/>
      <c r="D12" s="32"/>
      <c r="E12" s="32"/>
      <c r="F12" s="32"/>
      <c r="G12" s="42">
        <v>10</v>
      </c>
      <c r="H12" s="32"/>
      <c r="I12" s="32"/>
      <c r="J12" s="32"/>
      <c r="K12" s="32"/>
    </row>
    <row r="13" spans="1:12" x14ac:dyDescent="0.3">
      <c r="A13" s="42">
        <v>11</v>
      </c>
      <c r="B13" s="32">
        <v>6</v>
      </c>
      <c r="C13" s="32">
        <v>2</v>
      </c>
      <c r="D13" s="32"/>
      <c r="E13" s="32"/>
      <c r="F13" s="32"/>
      <c r="G13" s="42">
        <v>11</v>
      </c>
      <c r="H13" s="32">
        <v>7</v>
      </c>
      <c r="I13" s="32">
        <v>2</v>
      </c>
      <c r="J13" s="32"/>
      <c r="K13" s="32"/>
    </row>
    <row r="14" spans="1:12" x14ac:dyDescent="0.3">
      <c r="A14" s="42">
        <v>12</v>
      </c>
      <c r="B14" s="32">
        <v>6</v>
      </c>
      <c r="C14" s="32">
        <v>1</v>
      </c>
      <c r="D14" s="32"/>
      <c r="E14" s="32"/>
      <c r="F14" s="32"/>
      <c r="G14" s="42">
        <v>12</v>
      </c>
      <c r="H14" s="32">
        <v>7</v>
      </c>
      <c r="I14" s="32">
        <v>1</v>
      </c>
      <c r="J14" s="32"/>
      <c r="K14" s="32"/>
    </row>
    <row r="15" spans="1:12" x14ac:dyDescent="0.3">
      <c r="A15" s="42">
        <v>13</v>
      </c>
      <c r="B15" s="32"/>
      <c r="C15" s="32"/>
      <c r="D15" s="32"/>
      <c r="E15" s="32"/>
      <c r="F15" s="32"/>
      <c r="G15" s="42">
        <v>13</v>
      </c>
      <c r="H15" s="32"/>
      <c r="I15" s="32"/>
      <c r="J15" s="32"/>
      <c r="K15" s="32"/>
    </row>
    <row r="16" spans="1:12" x14ac:dyDescent="0.3">
      <c r="A16" s="42">
        <v>14</v>
      </c>
      <c r="B16" s="32">
        <v>8</v>
      </c>
      <c r="C16" s="32">
        <v>2</v>
      </c>
      <c r="D16" s="32"/>
      <c r="E16" s="32"/>
      <c r="F16" s="32"/>
      <c r="G16" s="42">
        <v>14</v>
      </c>
      <c r="H16" s="32">
        <v>10</v>
      </c>
      <c r="I16" s="32">
        <v>2</v>
      </c>
      <c r="J16" s="32"/>
      <c r="K16" s="32"/>
    </row>
    <row r="17" spans="1:11" x14ac:dyDescent="0.3">
      <c r="A17" s="42">
        <v>15</v>
      </c>
      <c r="B17" s="32">
        <v>8</v>
      </c>
      <c r="C17" s="32">
        <v>1</v>
      </c>
      <c r="D17" s="32"/>
      <c r="E17" s="32"/>
      <c r="F17" s="32"/>
      <c r="G17" s="42">
        <v>15</v>
      </c>
      <c r="H17" s="32">
        <v>10</v>
      </c>
      <c r="I17" s="32">
        <v>1</v>
      </c>
      <c r="J17" s="32"/>
      <c r="K17" s="32"/>
    </row>
    <row r="18" spans="1:11" x14ac:dyDescent="0.3">
      <c r="A18" s="42">
        <v>16</v>
      </c>
      <c r="B18" s="32"/>
      <c r="C18" s="32"/>
      <c r="D18" s="32"/>
      <c r="E18" s="32"/>
      <c r="F18" s="32"/>
      <c r="G18" s="42">
        <v>16</v>
      </c>
      <c r="H18" s="32"/>
      <c r="I18" s="32"/>
      <c r="J18" s="32"/>
      <c r="K18" s="32"/>
    </row>
    <row r="19" spans="1:11" x14ac:dyDescent="0.3">
      <c r="A19" s="42">
        <v>17</v>
      </c>
      <c r="B19" s="32">
        <v>7</v>
      </c>
      <c r="C19" s="32">
        <v>2</v>
      </c>
      <c r="D19" s="32">
        <v>14</v>
      </c>
      <c r="E19" s="32">
        <v>2</v>
      </c>
      <c r="F19" s="32"/>
      <c r="G19" s="42">
        <v>17</v>
      </c>
      <c r="H19" s="32">
        <v>12</v>
      </c>
      <c r="I19" s="32">
        <v>2</v>
      </c>
      <c r="J19" s="32"/>
      <c r="K19" s="32"/>
    </row>
    <row r="20" spans="1:11" x14ac:dyDescent="0.3">
      <c r="A20" s="42">
        <v>18</v>
      </c>
      <c r="B20" s="32">
        <v>7</v>
      </c>
      <c r="C20" s="32">
        <v>1</v>
      </c>
      <c r="D20" s="32">
        <v>14</v>
      </c>
      <c r="E20" s="32">
        <v>1</v>
      </c>
      <c r="F20" s="32"/>
      <c r="G20" s="42">
        <v>18</v>
      </c>
      <c r="H20" s="32">
        <v>12</v>
      </c>
      <c r="I20" s="32">
        <v>1</v>
      </c>
      <c r="J20" s="32"/>
      <c r="K20" s="32"/>
    </row>
    <row r="21" spans="1:11" x14ac:dyDescent="0.3">
      <c r="A21" s="42">
        <v>19</v>
      </c>
      <c r="B21" s="32"/>
      <c r="C21" s="32"/>
      <c r="D21" s="32"/>
      <c r="E21" s="32"/>
      <c r="F21" s="32"/>
      <c r="G21" s="42">
        <v>19</v>
      </c>
      <c r="H21" s="32"/>
      <c r="I21" s="32"/>
      <c r="J21" s="32"/>
      <c r="K21" s="32"/>
    </row>
    <row r="22" spans="1:11" x14ac:dyDescent="0.3">
      <c r="A22" s="42">
        <v>20</v>
      </c>
      <c r="B22" s="32"/>
      <c r="C22" s="32"/>
      <c r="D22" s="32"/>
      <c r="E22" s="32"/>
      <c r="F22" s="32"/>
      <c r="G22" s="42">
        <v>20</v>
      </c>
      <c r="H22" s="32"/>
      <c r="I22" s="32"/>
      <c r="J22" s="32"/>
      <c r="K22" s="32"/>
    </row>
    <row r="23" spans="1:11" x14ac:dyDescent="0.3">
      <c r="A23" s="42">
        <v>21</v>
      </c>
      <c r="B23" s="32">
        <v>12</v>
      </c>
      <c r="C23" s="32">
        <v>1</v>
      </c>
      <c r="D23" s="32">
        <v>5</v>
      </c>
      <c r="E23" s="32">
        <v>1</v>
      </c>
      <c r="F23" s="32"/>
      <c r="G23" s="42">
        <v>21</v>
      </c>
      <c r="H23" s="32">
        <v>8</v>
      </c>
      <c r="I23" s="32">
        <v>1</v>
      </c>
      <c r="J23" s="32"/>
      <c r="K23" s="32"/>
    </row>
    <row r="24" spans="1:11" x14ac:dyDescent="0.3">
      <c r="A24" s="42">
        <v>22</v>
      </c>
      <c r="B24" s="32">
        <v>12</v>
      </c>
      <c r="C24" s="32">
        <v>2</v>
      </c>
      <c r="D24" s="32">
        <v>5</v>
      </c>
      <c r="E24" s="32">
        <v>2</v>
      </c>
      <c r="F24" s="32"/>
      <c r="G24" s="42">
        <v>22</v>
      </c>
      <c r="H24" s="32">
        <v>8</v>
      </c>
      <c r="I24" s="32">
        <v>2</v>
      </c>
      <c r="J24" s="32"/>
      <c r="K24" s="32"/>
    </row>
  </sheetData>
  <mergeCells count="2">
    <mergeCell ref="A1:E1"/>
    <mergeCell ref="G1:K1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6"/>
  <sheetViews>
    <sheetView showGridLines="0" workbookViewId="0">
      <selection activeCell="H39" sqref="H39"/>
    </sheetView>
  </sheetViews>
  <sheetFormatPr defaultColWidth="11.44140625" defaultRowHeight="14.4" x14ac:dyDescent="0.3"/>
  <cols>
    <col min="1" max="1" width="5.6640625" bestFit="1" customWidth="1"/>
    <col min="2" max="2" width="7.33203125" bestFit="1" customWidth="1"/>
    <col min="3" max="3" width="10.109375" bestFit="1" customWidth="1"/>
    <col min="4" max="4" width="8.33203125" bestFit="1" customWidth="1"/>
    <col min="5" max="5" width="11.109375" bestFit="1" customWidth="1"/>
    <col min="6" max="6" width="8.33203125" bestFit="1" customWidth="1"/>
    <col min="7" max="7" width="11.109375" bestFit="1" customWidth="1"/>
    <col min="9" max="9" width="5.6640625" bestFit="1" customWidth="1"/>
    <col min="10" max="10" width="7.33203125" bestFit="1" customWidth="1"/>
    <col min="11" max="11" width="10.109375" bestFit="1" customWidth="1"/>
    <col min="12" max="12" width="8.33203125" bestFit="1" customWidth="1"/>
    <col min="13" max="13" width="11.109375" bestFit="1" customWidth="1"/>
    <col min="14" max="14" width="8.33203125" bestFit="1" customWidth="1"/>
    <col min="15" max="15" width="11.109375" bestFit="1" customWidth="1"/>
  </cols>
  <sheetData>
    <row r="1" spans="1:16" x14ac:dyDescent="0.3">
      <c r="A1" s="78" t="s">
        <v>66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3" spans="1:16" x14ac:dyDescent="0.3">
      <c r="A3" s="78" t="s">
        <v>64</v>
      </c>
      <c r="B3" s="78"/>
      <c r="C3" s="78"/>
      <c r="D3" s="78"/>
      <c r="E3" s="78"/>
      <c r="F3" s="78"/>
      <c r="G3" s="78"/>
      <c r="H3" s="49"/>
      <c r="I3" s="78" t="s">
        <v>65</v>
      </c>
      <c r="J3" s="78"/>
      <c r="K3" s="78"/>
      <c r="L3" s="78"/>
      <c r="M3" s="78"/>
      <c r="N3" s="78"/>
      <c r="O3" s="78"/>
    </row>
    <row r="4" spans="1:16" x14ac:dyDescent="0.3">
      <c r="A4" s="32" t="s">
        <v>29</v>
      </c>
      <c r="B4" s="32" t="s">
        <v>1</v>
      </c>
      <c r="C4" s="32" t="s">
        <v>9</v>
      </c>
      <c r="D4" s="32" t="s">
        <v>31</v>
      </c>
      <c r="E4" s="32" t="s">
        <v>32</v>
      </c>
      <c r="F4" s="32" t="s">
        <v>67</v>
      </c>
      <c r="G4" s="32" t="s">
        <v>68</v>
      </c>
      <c r="H4" s="32"/>
      <c r="I4" s="32" t="s">
        <v>29</v>
      </c>
      <c r="J4" s="32" t="s">
        <v>1</v>
      </c>
      <c r="K4" s="32" t="s">
        <v>9</v>
      </c>
      <c r="L4" s="32" t="s">
        <v>31</v>
      </c>
      <c r="M4" s="32" t="s">
        <v>32</v>
      </c>
      <c r="N4" s="32" t="s">
        <v>67</v>
      </c>
      <c r="O4" s="32" t="s">
        <v>68</v>
      </c>
    </row>
    <row r="5" spans="1:16" x14ac:dyDescent="0.3">
      <c r="A5" s="42">
        <v>1</v>
      </c>
      <c r="B5" s="50" t="s">
        <v>11</v>
      </c>
      <c r="C5" s="51"/>
      <c r="D5" s="50"/>
      <c r="E5" s="51"/>
      <c r="F5" s="50"/>
      <c r="G5" s="51"/>
      <c r="H5" s="43"/>
      <c r="I5" s="42">
        <v>1</v>
      </c>
      <c r="J5" s="50" t="s">
        <v>11</v>
      </c>
      <c r="K5" s="51"/>
      <c r="L5" s="50"/>
      <c r="M5" s="51"/>
      <c r="N5" s="50"/>
      <c r="O5" s="51"/>
      <c r="P5" s="21"/>
    </row>
    <row r="6" spans="1:16" x14ac:dyDescent="0.3">
      <c r="A6" s="42">
        <v>2</v>
      </c>
      <c r="B6" s="50" t="s">
        <v>11</v>
      </c>
      <c r="C6" s="51"/>
      <c r="D6" s="50"/>
      <c r="E6" s="51"/>
      <c r="F6" s="50"/>
      <c r="G6" s="51"/>
      <c r="H6" s="32"/>
      <c r="I6" s="42">
        <v>2</v>
      </c>
      <c r="J6" s="50" t="s">
        <v>11</v>
      </c>
      <c r="K6" s="51"/>
      <c r="L6" s="50"/>
      <c r="M6" s="51"/>
      <c r="N6" s="50"/>
      <c r="O6" s="51"/>
    </row>
    <row r="7" spans="1:16" x14ac:dyDescent="0.3">
      <c r="A7" s="42">
        <v>3</v>
      </c>
      <c r="B7" s="50"/>
      <c r="C7" s="51"/>
      <c r="D7" s="50"/>
      <c r="E7" s="51"/>
      <c r="F7" s="50"/>
      <c r="G7" s="51"/>
      <c r="H7" s="32"/>
      <c r="I7" s="42">
        <v>3</v>
      </c>
      <c r="J7" s="50"/>
      <c r="K7" s="51"/>
      <c r="L7" s="50"/>
      <c r="M7" s="51"/>
      <c r="N7" s="50"/>
      <c r="O7" s="51"/>
    </row>
    <row r="8" spans="1:16" x14ac:dyDescent="0.3">
      <c r="A8" s="42">
        <v>4</v>
      </c>
      <c r="B8" s="50"/>
      <c r="C8" s="51"/>
      <c r="D8" s="50"/>
      <c r="E8" s="51"/>
      <c r="F8" s="50"/>
      <c r="G8" s="51"/>
      <c r="H8" s="32"/>
      <c r="I8" s="42">
        <v>4</v>
      </c>
      <c r="J8" s="50"/>
      <c r="K8" s="51"/>
      <c r="L8" s="50"/>
      <c r="M8" s="51"/>
      <c r="N8" s="50"/>
      <c r="O8" s="51"/>
    </row>
    <row r="9" spans="1:16" x14ac:dyDescent="0.3">
      <c r="A9" s="42">
        <v>5</v>
      </c>
      <c r="B9" s="50"/>
      <c r="C9" s="51"/>
      <c r="D9" s="50"/>
      <c r="E9" s="51"/>
      <c r="F9" s="50"/>
      <c r="G9" s="51"/>
      <c r="H9" s="32"/>
      <c r="I9" s="42">
        <v>5</v>
      </c>
      <c r="J9" s="50"/>
      <c r="K9" s="51"/>
      <c r="L9" s="50"/>
      <c r="M9" s="51"/>
      <c r="N9" s="50"/>
      <c r="O9" s="51"/>
    </row>
    <row r="10" spans="1:16" x14ac:dyDescent="0.3">
      <c r="A10" s="42">
        <v>6</v>
      </c>
      <c r="B10" s="50"/>
      <c r="C10" s="51"/>
      <c r="D10" s="50"/>
      <c r="E10" s="51"/>
      <c r="F10" s="50"/>
      <c r="G10" s="51"/>
      <c r="H10" s="32"/>
      <c r="I10" s="42">
        <v>6</v>
      </c>
      <c r="J10" s="50"/>
      <c r="K10" s="51"/>
      <c r="L10" s="50"/>
      <c r="M10" s="51"/>
      <c r="N10" s="50"/>
      <c r="O10" s="51"/>
    </row>
    <row r="11" spans="1:16" x14ac:dyDescent="0.3">
      <c r="A11" s="42">
        <v>7</v>
      </c>
      <c r="B11" s="50"/>
      <c r="C11" s="51"/>
      <c r="D11" s="50"/>
      <c r="E11" s="51"/>
      <c r="F11" s="50"/>
      <c r="G11" s="51"/>
      <c r="H11" s="32"/>
      <c r="I11" s="42">
        <v>7</v>
      </c>
      <c r="J11" s="50"/>
      <c r="K11" s="51"/>
      <c r="L11" s="50"/>
      <c r="M11" s="51"/>
      <c r="N11" s="50"/>
      <c r="O11" s="51"/>
    </row>
    <row r="12" spans="1:16" x14ac:dyDescent="0.3">
      <c r="A12" s="42">
        <v>8</v>
      </c>
      <c r="B12" s="50"/>
      <c r="C12" s="51"/>
      <c r="D12" s="50"/>
      <c r="E12" s="51"/>
      <c r="F12" s="50"/>
      <c r="G12" s="51"/>
      <c r="H12" s="32"/>
      <c r="I12" s="42">
        <v>8</v>
      </c>
      <c r="J12" s="50"/>
      <c r="K12" s="51"/>
      <c r="L12" s="50"/>
      <c r="M12" s="51"/>
      <c r="N12" s="50"/>
      <c r="O12" s="51"/>
    </row>
    <row r="13" spans="1:16" x14ac:dyDescent="0.3">
      <c r="A13" s="42">
        <v>9</v>
      </c>
      <c r="B13" s="50" t="s">
        <v>55</v>
      </c>
      <c r="C13" s="51"/>
      <c r="D13" s="50"/>
      <c r="E13" s="51"/>
      <c r="F13" s="50"/>
      <c r="G13" s="51"/>
      <c r="H13" s="32"/>
      <c r="I13" s="42">
        <v>9</v>
      </c>
      <c r="J13" s="50"/>
      <c r="K13" s="51"/>
      <c r="L13" s="50"/>
      <c r="M13" s="51"/>
      <c r="N13" s="50"/>
      <c r="O13" s="51"/>
    </row>
    <row r="14" spans="1:16" x14ac:dyDescent="0.3">
      <c r="A14" s="42">
        <v>10</v>
      </c>
      <c r="B14" s="50" t="s">
        <v>55</v>
      </c>
      <c r="C14" s="51"/>
      <c r="D14" s="50"/>
      <c r="E14" s="51"/>
      <c r="F14" s="50"/>
      <c r="G14" s="51"/>
      <c r="H14" s="32"/>
      <c r="I14" s="42">
        <v>10</v>
      </c>
      <c r="J14" s="50"/>
      <c r="K14" s="51"/>
      <c r="L14" s="50"/>
      <c r="M14" s="51"/>
      <c r="N14" s="50"/>
      <c r="O14" s="51"/>
    </row>
    <row r="15" spans="1:16" x14ac:dyDescent="0.3">
      <c r="A15" s="42">
        <v>11</v>
      </c>
      <c r="B15" s="50"/>
      <c r="C15" s="51"/>
      <c r="D15" s="50"/>
      <c r="E15" s="51"/>
      <c r="F15" s="50"/>
      <c r="G15" s="51"/>
      <c r="H15" s="32"/>
      <c r="I15" s="42">
        <v>11</v>
      </c>
      <c r="J15" s="50">
        <v>9</v>
      </c>
      <c r="K15" s="51">
        <v>2</v>
      </c>
      <c r="L15" s="50"/>
      <c r="M15" s="51"/>
      <c r="N15" s="50"/>
      <c r="O15" s="51"/>
    </row>
    <row r="16" spans="1:16" x14ac:dyDescent="0.3">
      <c r="A16" s="42">
        <v>12</v>
      </c>
      <c r="B16" s="50">
        <v>6</v>
      </c>
      <c r="C16" s="51">
        <v>1</v>
      </c>
      <c r="D16" s="50">
        <v>16</v>
      </c>
      <c r="E16" s="51">
        <v>1</v>
      </c>
      <c r="F16" s="50"/>
      <c r="G16" s="51"/>
      <c r="H16" s="32"/>
      <c r="I16" s="42">
        <v>12</v>
      </c>
      <c r="J16" s="50">
        <v>9</v>
      </c>
      <c r="K16" s="51">
        <v>1</v>
      </c>
      <c r="L16" s="50"/>
      <c r="M16" s="51"/>
      <c r="N16" s="50"/>
      <c r="O16" s="51"/>
    </row>
    <row r="17" spans="1:15" x14ac:dyDescent="0.3">
      <c r="A17" s="42">
        <v>13</v>
      </c>
      <c r="B17" s="50">
        <v>8</v>
      </c>
      <c r="C17" s="51">
        <v>2</v>
      </c>
      <c r="D17" s="50">
        <v>6</v>
      </c>
      <c r="E17" s="51">
        <v>2</v>
      </c>
      <c r="F17" s="50"/>
      <c r="G17" s="51"/>
      <c r="H17" s="32"/>
      <c r="I17" s="42">
        <v>13</v>
      </c>
      <c r="J17" s="50">
        <v>10</v>
      </c>
      <c r="K17" s="51">
        <v>2</v>
      </c>
      <c r="L17" s="50"/>
      <c r="M17" s="51"/>
      <c r="N17" s="50"/>
      <c r="O17" s="51"/>
    </row>
    <row r="18" spans="1:15" x14ac:dyDescent="0.3">
      <c r="A18" s="42">
        <v>14</v>
      </c>
      <c r="B18" s="50">
        <v>8</v>
      </c>
      <c r="C18" s="51">
        <v>1</v>
      </c>
      <c r="D18" s="50"/>
      <c r="E18" s="51"/>
      <c r="F18" s="50"/>
      <c r="G18" s="51"/>
      <c r="H18" s="32"/>
      <c r="I18" s="42">
        <v>14</v>
      </c>
      <c r="J18" s="50">
        <v>10</v>
      </c>
      <c r="K18" s="51">
        <v>1</v>
      </c>
      <c r="L18" s="50"/>
      <c r="M18" s="51"/>
      <c r="N18" s="50"/>
      <c r="O18" s="51"/>
    </row>
    <row r="19" spans="1:15" x14ac:dyDescent="0.3">
      <c r="A19" s="42">
        <v>15</v>
      </c>
      <c r="B19" s="50">
        <v>10</v>
      </c>
      <c r="C19" s="51">
        <v>2</v>
      </c>
      <c r="D19" s="50"/>
      <c r="E19" s="51"/>
      <c r="F19" s="50"/>
      <c r="G19" s="51"/>
      <c r="H19" s="32"/>
      <c r="I19" s="42">
        <v>15</v>
      </c>
      <c r="J19" s="50"/>
      <c r="K19" s="51"/>
      <c r="L19" s="50"/>
      <c r="M19" s="51"/>
      <c r="N19" s="50"/>
      <c r="O19" s="51"/>
    </row>
    <row r="20" spans="1:15" x14ac:dyDescent="0.3">
      <c r="A20" s="42">
        <v>16</v>
      </c>
      <c r="B20" s="50">
        <v>10</v>
      </c>
      <c r="C20" s="51">
        <v>1</v>
      </c>
      <c r="D20" s="50"/>
      <c r="E20" s="51"/>
      <c r="F20" s="50"/>
      <c r="G20" s="51"/>
      <c r="H20" s="32"/>
      <c r="I20" s="42">
        <v>16</v>
      </c>
      <c r="J20" s="50">
        <v>12</v>
      </c>
      <c r="K20" s="51">
        <v>2</v>
      </c>
      <c r="L20" s="50">
        <v>6</v>
      </c>
      <c r="M20" s="51">
        <v>2</v>
      </c>
      <c r="N20" s="50"/>
      <c r="O20" s="51"/>
    </row>
    <row r="21" spans="1:15" x14ac:dyDescent="0.3">
      <c r="A21" s="42">
        <v>17</v>
      </c>
      <c r="B21" s="50">
        <v>7</v>
      </c>
      <c r="C21" s="51">
        <v>2</v>
      </c>
      <c r="D21" s="50">
        <v>14</v>
      </c>
      <c r="E21" s="51">
        <v>2</v>
      </c>
      <c r="F21" s="50"/>
      <c r="G21" s="51"/>
      <c r="H21" s="32"/>
      <c r="I21" s="42">
        <v>17</v>
      </c>
      <c r="J21" s="50">
        <v>12</v>
      </c>
      <c r="K21" s="51">
        <v>1</v>
      </c>
      <c r="L21" s="50">
        <v>6</v>
      </c>
      <c r="M21" s="51">
        <v>1</v>
      </c>
      <c r="N21" s="50"/>
      <c r="O21" s="51"/>
    </row>
    <row r="22" spans="1:15" x14ac:dyDescent="0.3">
      <c r="A22" s="42">
        <v>18</v>
      </c>
      <c r="B22" s="50">
        <v>7</v>
      </c>
      <c r="C22" s="51">
        <v>1</v>
      </c>
      <c r="D22" s="50">
        <v>14</v>
      </c>
      <c r="E22" s="51">
        <v>1</v>
      </c>
      <c r="F22" s="50"/>
      <c r="G22" s="51"/>
      <c r="H22" s="32"/>
      <c r="I22" s="42">
        <v>18</v>
      </c>
      <c r="J22" s="50"/>
      <c r="K22" s="51"/>
      <c r="L22" s="50"/>
      <c r="M22" s="51"/>
      <c r="N22" s="50"/>
      <c r="O22" s="51"/>
    </row>
    <row r="23" spans="1:15" x14ac:dyDescent="0.3">
      <c r="A23" s="42">
        <v>19</v>
      </c>
      <c r="B23" s="50"/>
      <c r="C23" s="51"/>
      <c r="D23" s="50"/>
      <c r="E23" s="51"/>
      <c r="F23" s="50"/>
      <c r="G23" s="51"/>
      <c r="H23" s="32"/>
      <c r="I23" s="42">
        <v>19</v>
      </c>
      <c r="J23" s="50">
        <v>8</v>
      </c>
      <c r="K23" s="51">
        <v>2</v>
      </c>
      <c r="L23" s="50"/>
      <c r="M23" s="51"/>
      <c r="N23" s="50"/>
      <c r="O23" s="51"/>
    </row>
    <row r="24" spans="1:15" x14ac:dyDescent="0.3">
      <c r="A24" s="42">
        <v>20</v>
      </c>
      <c r="B24" s="50">
        <v>9</v>
      </c>
      <c r="C24" s="51">
        <v>1</v>
      </c>
      <c r="D24" s="50"/>
      <c r="E24" s="51"/>
      <c r="F24" s="50"/>
      <c r="G24" s="51"/>
      <c r="H24" s="32"/>
      <c r="I24" s="42">
        <v>20</v>
      </c>
      <c r="J24" s="50">
        <v>8</v>
      </c>
      <c r="K24" s="51">
        <v>1</v>
      </c>
      <c r="L24" s="50"/>
      <c r="M24" s="51"/>
      <c r="N24" s="50"/>
      <c r="O24" s="51"/>
    </row>
    <row r="25" spans="1:15" x14ac:dyDescent="0.3">
      <c r="A25" s="42">
        <v>21</v>
      </c>
      <c r="B25" s="50">
        <v>12</v>
      </c>
      <c r="C25" s="51">
        <v>1</v>
      </c>
      <c r="D25" s="50">
        <v>5</v>
      </c>
      <c r="E25" s="51">
        <v>1</v>
      </c>
      <c r="F25" s="50"/>
      <c r="G25" s="51"/>
      <c r="H25" s="32"/>
      <c r="I25" s="42">
        <v>21</v>
      </c>
      <c r="J25" s="50">
        <v>5</v>
      </c>
      <c r="K25" s="51">
        <v>1</v>
      </c>
      <c r="L25" s="50">
        <v>7</v>
      </c>
      <c r="M25" s="51">
        <v>1</v>
      </c>
      <c r="N25" s="50">
        <v>14</v>
      </c>
      <c r="O25" s="51">
        <v>1</v>
      </c>
    </row>
    <row r="26" spans="1:15" x14ac:dyDescent="0.3">
      <c r="A26" s="42">
        <v>22</v>
      </c>
      <c r="B26" s="50">
        <v>12</v>
      </c>
      <c r="C26" s="51">
        <v>2</v>
      </c>
      <c r="D26" s="50">
        <v>5</v>
      </c>
      <c r="E26" s="51">
        <v>2</v>
      </c>
      <c r="F26" s="50">
        <v>9</v>
      </c>
      <c r="G26" s="51">
        <v>2</v>
      </c>
      <c r="H26" s="32"/>
      <c r="I26" s="42">
        <v>22</v>
      </c>
      <c r="J26" s="50">
        <v>5</v>
      </c>
      <c r="K26" s="51">
        <v>2</v>
      </c>
      <c r="L26" s="50">
        <v>7</v>
      </c>
      <c r="M26" s="51">
        <v>2</v>
      </c>
      <c r="N26" s="50">
        <v>14</v>
      </c>
      <c r="O26" s="51">
        <v>2</v>
      </c>
    </row>
  </sheetData>
  <mergeCells count="3">
    <mergeCell ref="A1:O1"/>
    <mergeCell ref="A3:G3"/>
    <mergeCell ref="I3:O3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showGridLines="0" showRowColHeaders="0" workbookViewId="0">
      <selection activeCell="J19" sqref="J19"/>
    </sheetView>
  </sheetViews>
  <sheetFormatPr defaultRowHeight="14.4" x14ac:dyDescent="0.3"/>
  <cols>
    <col min="1" max="1" width="7.88671875" bestFit="1" customWidth="1"/>
    <col min="2" max="2" width="9.5546875" bestFit="1" customWidth="1"/>
    <col min="3" max="3" width="28.5546875" customWidth="1"/>
    <col min="4" max="4" width="14.88671875" bestFit="1" customWidth="1"/>
    <col min="5" max="5" width="13.88671875" customWidth="1"/>
    <col min="6" max="6" width="14.44140625" customWidth="1"/>
    <col min="7" max="7" width="12.88671875" bestFit="1" customWidth="1"/>
    <col min="8" max="8" width="16.44140625" customWidth="1"/>
    <col min="9" max="9" width="14.6640625" bestFit="1" customWidth="1"/>
    <col min="10" max="10" width="15.109375" customWidth="1"/>
    <col min="11" max="11" width="15.44140625" bestFit="1" customWidth="1"/>
    <col min="12" max="12" width="9.44140625" customWidth="1"/>
  </cols>
  <sheetData>
    <row r="1" spans="1:11" x14ac:dyDescent="0.3">
      <c r="F1" t="s">
        <v>9</v>
      </c>
      <c r="G1" t="s">
        <v>3</v>
      </c>
    </row>
    <row r="2" spans="1:11" x14ac:dyDescent="0.3">
      <c r="F2">
        <v>1</v>
      </c>
      <c r="G2" s="19">
        <f>COUNTIFS(Tabela1[[#All],[Qualidade]],Tabela312[[#This Row],[Qualidade]])/COUNT(Tabela1[[#All],[Qualidade]])</f>
        <v>0.76666666666666672</v>
      </c>
    </row>
    <row r="3" spans="1:11" x14ac:dyDescent="0.3">
      <c r="F3">
        <v>2</v>
      </c>
      <c r="G3" s="19">
        <f>COUNTIFS(Tabela1[[#All],[Qualidade]],Tabela312[[#This Row],[Qualidade]])/COUNT(Tabela1[[#All],[Qualidade]])</f>
        <v>0.14000000000000001</v>
      </c>
    </row>
    <row r="4" spans="1:11" x14ac:dyDescent="0.3">
      <c r="F4">
        <v>3</v>
      </c>
      <c r="G4" s="19">
        <f>COUNTIFS(Tabela1[[#All],[Qualidade]],Tabela312[[#This Row],[Qualidade]])/COUNT(Tabela1[[#All],[Qualidade]])</f>
        <v>0.06</v>
      </c>
    </row>
    <row r="5" spans="1:11" x14ac:dyDescent="0.3">
      <c r="C5" s="25" t="s">
        <v>16</v>
      </c>
      <c r="D5" s="12">
        <v>1512</v>
      </c>
      <c r="F5" s="2" t="s">
        <v>11</v>
      </c>
      <c r="G5" s="19">
        <f>COUNTIFS(Tabela1[[#All],[Qualidade]],4)/COUNT(Tabela1[[#All],[Qualidade]])</f>
        <v>3.3333333333333333E-2</v>
      </c>
    </row>
    <row r="6" spans="1:11" x14ac:dyDescent="0.3">
      <c r="I6" s="79" t="s">
        <v>44</v>
      </c>
      <c r="J6" s="79"/>
      <c r="K6" s="79"/>
    </row>
    <row r="7" spans="1:11" x14ac:dyDescent="0.3">
      <c r="A7" t="s">
        <v>2</v>
      </c>
      <c r="B7" t="s">
        <v>1</v>
      </c>
      <c r="C7" t="s">
        <v>3</v>
      </c>
      <c r="D7" t="s">
        <v>18</v>
      </c>
      <c r="E7" t="s">
        <v>19</v>
      </c>
      <c r="F7" t="s">
        <v>17</v>
      </c>
      <c r="G7" t="s">
        <v>20</v>
      </c>
      <c r="H7" t="s">
        <v>43</v>
      </c>
      <c r="I7" t="s">
        <v>45</v>
      </c>
      <c r="J7" t="s">
        <v>46</v>
      </c>
      <c r="K7" t="s">
        <v>47</v>
      </c>
    </row>
    <row r="8" spans="1:11" x14ac:dyDescent="0.3">
      <c r="A8">
        <f>Tabela2[[#This Row],[Faixa]]</f>
        <v>1130</v>
      </c>
      <c r="B8" t="s">
        <v>6</v>
      </c>
      <c r="C8" s="19">
        <f>COUNTIFS(Tabela1[Peso],"&gt;"&amp;A8)/COUNT(Tabela1[Peso])</f>
        <v>0</v>
      </c>
      <c r="D8" s="1"/>
      <c r="E8" s="1"/>
      <c r="F8" s="1"/>
      <c r="H8" s="26"/>
      <c r="I8" s="1"/>
      <c r="J8" s="1"/>
      <c r="K8" s="1"/>
    </row>
    <row r="9" spans="1:11" x14ac:dyDescent="0.3">
      <c r="A9">
        <f>Tabela2[[#This Row],[Faixa]]</f>
        <v>980</v>
      </c>
      <c r="B9">
        <v>4</v>
      </c>
      <c r="C9" s="19">
        <f>COUNTIFS(Tabela1[Peso],"&lt;="&amp;A8,Tabela1[Peso],"&gt;"&amp;A9)/COUNT(Tabela1[Peso])</f>
        <v>0</v>
      </c>
      <c r="D9" s="1">
        <f>($D$5*Resumo!$U$18*$G$2*Tabela27[[#This Row],[Percentual]]/Tabela27[[#This Row],[Calibre]])*1.05</f>
        <v>0</v>
      </c>
      <c r="E9" s="1">
        <f>($D$5*Resumo!$U$18*$G$3*Tabela27[[#This Row],[Percentual]]/Tabela27[[#This Row],[Calibre]])*1.05</f>
        <v>0</v>
      </c>
      <c r="F9" s="1">
        <f>($D$5*Resumo!$U$18*$G$4*Tabela27[[#This Row],[Percentual]]/Tabela27[[#This Row],[Calibre]])*1.05</f>
        <v>0</v>
      </c>
      <c r="G9" s="1">
        <f>SUM(Tabela27[[#This Row],[Cxs 1ª Qual.]:[Cxs 3ª Qual.]])</f>
        <v>0</v>
      </c>
      <c r="H9" s="26"/>
      <c r="I9" s="1" t="str">
        <f>IF(Tabela27[[#This Row],[1ª Impressão]]="","",IF((Tabela27[[#This Row],[Cxs Total]]-Tabela27[[#This Row],[1ª Impressão]])&lt;=0,0,Tabela27[[#This Row],[Cxs Total]]-Tabela27[[#This Row],[1ª Impressão]])*$G$2*1.05)</f>
        <v/>
      </c>
      <c r="J9" s="1" t="str">
        <f>IF(Tabela27[[#This Row],[1ª Impressão]]="","",IF((Tabela27[[#This Row],[Cxs Total]]-Tabela27[[#This Row],[1ª Impressão]])&lt;=0,0,Tabela27[[#This Row],[Cxs Total]]-Tabela27[[#This Row],[1ª Impressão]])*$G$3*1.05)</f>
        <v/>
      </c>
      <c r="K9" s="1" t="str">
        <f>IF(Tabela27[[#This Row],[1ª Impressão]]="","",IF((Tabela27[[#This Row],[Cxs Total]]-Tabela27[[#This Row],[1ª Impressão]])&lt;=0,0,Tabela27[[#This Row],[Cxs Total]]-Tabela27[[#This Row],[1ª Impressão]])*$G$4*1.05)</f>
        <v/>
      </c>
    </row>
    <row r="10" spans="1:11" x14ac:dyDescent="0.3">
      <c r="A10">
        <f>Tabela2[[#This Row],[Faixa]]</f>
        <v>777</v>
      </c>
      <c r="B10">
        <v>5</v>
      </c>
      <c r="C10" s="19">
        <f>COUNTIFS(Tabela1[Peso],"&lt;="&amp;A9,Tabela1[Peso],"&gt;"&amp;A10)/COUNT(Tabela1[Peso])</f>
        <v>0.04</v>
      </c>
      <c r="D10" s="1">
        <f>($D$5*Resumo!$U$18*$G$2*Tabela27[[#This Row],[Percentual]]/Tabela27[[#This Row],[Calibre]])*1.05</f>
        <v>321.33024000000006</v>
      </c>
      <c r="E10" s="1">
        <f>($D$5*Resumo!$U$18*$G$3*Tabela27[[#This Row],[Percentual]]/Tabela27[[#This Row],[Calibre]])*1.05</f>
        <v>58.677696000000012</v>
      </c>
      <c r="F10" s="1">
        <f>($D$5*Resumo!$U$18*$G$4*Tabela27[[#This Row],[Percentual]]/Tabela27[[#This Row],[Calibre]])*1.05</f>
        <v>25.147584000000002</v>
      </c>
      <c r="G10" s="1">
        <f>SUM(Tabela27[[#This Row],[Cxs 1ª Qual.]:[Cxs 3ª Qual.]])</f>
        <v>405.15552000000008</v>
      </c>
      <c r="H10" s="26"/>
      <c r="I10" s="1" t="str">
        <f>IF(Tabela27[[#This Row],[1ª Impressão]]="","",IF((Tabela27[[#This Row],[Cxs Total]]-Tabela27[[#This Row],[1ª Impressão]])&lt;=0,0,Tabela27[[#This Row],[Cxs Total]]-Tabela27[[#This Row],[1ª Impressão]])*$G$2*1.05)</f>
        <v/>
      </c>
      <c r="J10" s="1" t="str">
        <f>IF(Tabela27[[#This Row],[1ª Impressão]]="","",IF((Tabela27[[#This Row],[Cxs Total]]-Tabela27[[#This Row],[1ª Impressão]])&lt;=0,0,Tabela27[[#This Row],[Cxs Total]]-Tabela27[[#This Row],[1ª Impressão]])*$G$3*1.05)</f>
        <v/>
      </c>
      <c r="K10" s="1" t="str">
        <f>IF(Tabela27[[#This Row],[1ª Impressão]]="","",IF((Tabela27[[#This Row],[Cxs Total]]-Tabela27[[#This Row],[1ª Impressão]])&lt;=0,0,Tabela27[[#This Row],[Cxs Total]]-Tabela27[[#This Row],[1ª Impressão]])*$G$4*1.05)</f>
        <v/>
      </c>
    </row>
    <row r="11" spans="1:11" x14ac:dyDescent="0.3">
      <c r="A11">
        <f>Tabela2[[#This Row],[Faixa]]</f>
        <v>630</v>
      </c>
      <c r="B11">
        <v>6</v>
      </c>
      <c r="C11" s="19">
        <f>COUNTIFS(Tabela1[Peso],"&lt;="&amp;A10,Tabela1[Peso],"&gt;"&amp;A11)/COUNT(Tabela1[Peso])</f>
        <v>0.14666666666666667</v>
      </c>
      <c r="D11" s="1">
        <f>($D$5*Resumo!$U$18*$G$2*Tabela27[[#This Row],[Percentual]]/Tabela27[[#This Row],[Calibre]])*1.05</f>
        <v>981.84240000000023</v>
      </c>
      <c r="E11" s="1">
        <f>($D$5*Resumo!$U$18*$G$3*Tabela27[[#This Row],[Percentual]]/Tabela27[[#This Row],[Calibre]])*1.05</f>
        <v>179.29296000000005</v>
      </c>
      <c r="F11" s="1">
        <f>($D$5*Resumo!$U$18*$G$4*Tabela27[[#This Row],[Percentual]]/Tabela27[[#This Row],[Calibre]])*1.05</f>
        <v>76.839839999999995</v>
      </c>
      <c r="G11" s="1">
        <f>SUM(Tabela27[[#This Row],[Cxs 1ª Qual.]:[Cxs 3ª Qual.]])</f>
        <v>1237.9752000000003</v>
      </c>
      <c r="H11" s="26"/>
      <c r="I11" s="1" t="str">
        <f>IF(Tabela27[[#This Row],[1ª Impressão]]="","",IF((Tabela27[[#This Row],[Cxs Total]]-Tabela27[[#This Row],[1ª Impressão]])&lt;=0,0,Tabela27[[#This Row],[Cxs Total]]-Tabela27[[#This Row],[1ª Impressão]])*$G$2*1.05)</f>
        <v/>
      </c>
      <c r="J11" s="1" t="str">
        <f>IF(Tabela27[[#This Row],[1ª Impressão]]="","",IF((Tabela27[[#This Row],[Cxs Total]]-Tabela27[[#This Row],[1ª Impressão]])&lt;=0,0,Tabela27[[#This Row],[Cxs Total]]-Tabela27[[#This Row],[1ª Impressão]])*$G$3*1.05)</f>
        <v/>
      </c>
      <c r="K11" s="1" t="str">
        <f>IF(Tabela27[[#This Row],[1ª Impressão]]="","",IF((Tabela27[[#This Row],[Cxs Total]]-Tabela27[[#This Row],[1ª Impressão]])&lt;=0,0,Tabela27[[#This Row],[Cxs Total]]-Tabela27[[#This Row],[1ª Impressão]])*$G$4*1.05)</f>
        <v/>
      </c>
    </row>
    <row r="12" spans="1:11" x14ac:dyDescent="0.3">
      <c r="A12">
        <f>Tabela2[[#This Row],[Faixa]]</f>
        <v>557</v>
      </c>
      <c r="B12">
        <v>7</v>
      </c>
      <c r="C12" s="19">
        <f>COUNTIFS(Tabela1[Peso],"&lt;="&amp;A11,Tabela1[Peso],"&gt;"&amp;A12)/COUNT(Tabela1[Peso])</f>
        <v>0.2</v>
      </c>
      <c r="D12" s="1">
        <f>($D$5*Resumo!$U$18*$G$2*Tabela27[[#This Row],[Percentual]]/Tabela27[[#This Row],[Calibre]])*1.05</f>
        <v>1147.6080000000004</v>
      </c>
      <c r="E12" s="1">
        <f>($D$5*Resumo!$U$18*$G$3*Tabela27[[#This Row],[Percentual]]/Tabela27[[#This Row],[Calibre]])*1.05</f>
        <v>209.56320000000005</v>
      </c>
      <c r="F12" s="1">
        <f>($D$5*Resumo!$U$18*$G$4*Tabela27[[#This Row],[Percentual]]/Tabela27[[#This Row],[Calibre]])*1.05</f>
        <v>89.812799999999996</v>
      </c>
      <c r="G12" s="1">
        <f>SUM(Tabela27[[#This Row],[Cxs 1ª Qual.]:[Cxs 3ª Qual.]])</f>
        <v>1446.9840000000004</v>
      </c>
      <c r="H12" s="26"/>
      <c r="I12" s="1" t="str">
        <f>IF(Tabela27[[#This Row],[1ª Impressão]]="","",IF((Tabela27[[#This Row],[Cxs Total]]-Tabela27[[#This Row],[1ª Impressão]])&lt;=0,0,Tabela27[[#This Row],[Cxs Total]]-Tabela27[[#This Row],[1ª Impressão]])*$G$2*1.05)</f>
        <v/>
      </c>
      <c r="J12" s="1" t="str">
        <f>IF(Tabela27[[#This Row],[1ª Impressão]]="","",IF((Tabela27[[#This Row],[Cxs Total]]-Tabela27[[#This Row],[1ª Impressão]])&lt;=0,0,Tabela27[[#This Row],[Cxs Total]]-Tabela27[[#This Row],[1ª Impressão]])*$G$3*1.05)</f>
        <v/>
      </c>
      <c r="K12" s="1" t="str">
        <f>IF(Tabela27[[#This Row],[1ª Impressão]]="","",IF((Tabela27[[#This Row],[Cxs Total]]-Tabela27[[#This Row],[1ª Impressão]])&lt;=0,0,Tabela27[[#This Row],[Cxs Total]]-Tabela27[[#This Row],[1ª Impressão]])*$G$4*1.05)</f>
        <v/>
      </c>
    </row>
    <row r="13" spans="1:11" x14ac:dyDescent="0.3">
      <c r="A13">
        <f>Tabela2[[#This Row],[Faixa]]</f>
        <v>478</v>
      </c>
      <c r="B13">
        <v>8</v>
      </c>
      <c r="C13" s="19">
        <f>COUNTIFS(Tabela1[Peso],"&lt;="&amp;A12,Tabela1[Peso],"&gt;"&amp;A13)/COUNT(Tabela1[Peso])</f>
        <v>0.26666666666666666</v>
      </c>
      <c r="D13" s="1">
        <f>($D$5*Resumo!$U$18*$G$2*Tabela27[[#This Row],[Percentual]]/Tabela27[[#This Row],[Calibre]])*1.05</f>
        <v>1338.8760000000002</v>
      </c>
      <c r="E13" s="1">
        <f>($D$5*Resumo!$U$18*$G$3*Tabela27[[#This Row],[Percentual]]/Tabela27[[#This Row],[Calibre]])*1.05</f>
        <v>244.49040000000002</v>
      </c>
      <c r="F13" s="1">
        <f>($D$5*Resumo!$U$18*$G$4*Tabela27[[#This Row],[Percentual]]/Tabela27[[#This Row],[Calibre]])*1.05</f>
        <v>104.7816</v>
      </c>
      <c r="G13" s="1">
        <f>SUM(Tabela27[[#This Row],[Cxs 1ª Qual.]:[Cxs 3ª Qual.]])</f>
        <v>1688.1480000000004</v>
      </c>
      <c r="H13" s="26"/>
      <c r="I13" s="1" t="str">
        <f>IF(Tabela27[[#This Row],[1ª Impressão]]="","",IF((Tabela27[[#This Row],[Cxs Total]]-Tabela27[[#This Row],[1ª Impressão]])&lt;=0,0,Tabela27[[#This Row],[Cxs Total]]-Tabela27[[#This Row],[1ª Impressão]])*$G$2*1.05)</f>
        <v/>
      </c>
      <c r="J13" s="1" t="str">
        <f>IF(Tabela27[[#This Row],[1ª Impressão]]="","",IF((Tabela27[[#This Row],[Cxs Total]]-Tabela27[[#This Row],[1ª Impressão]])&lt;=0,0,Tabela27[[#This Row],[Cxs Total]]-Tabela27[[#This Row],[1ª Impressão]])*$G$3*1.05)</f>
        <v/>
      </c>
      <c r="K13" s="1" t="str">
        <f>IF(Tabela27[[#This Row],[1ª Impressão]]="","",IF((Tabela27[[#This Row],[Cxs Total]]-Tabela27[[#This Row],[1ª Impressão]])&lt;=0,0,Tabela27[[#This Row],[Cxs Total]]-Tabela27[[#This Row],[1ª Impressão]])*$G$4*1.05)</f>
        <v/>
      </c>
    </row>
    <row r="14" spans="1:11" x14ac:dyDescent="0.3">
      <c r="A14">
        <f>Tabela2[[#This Row],[Faixa]]</f>
        <v>438</v>
      </c>
      <c r="B14">
        <v>9</v>
      </c>
      <c r="C14" s="19">
        <f>COUNTIFS(Tabela1[Peso],"&lt;="&amp;A13,Tabela1[Peso],"&gt;"&amp;A14)/COUNT(Tabela1[Peso])</f>
        <v>0.12</v>
      </c>
      <c r="D14" s="1">
        <f>($D$5*Resumo!$U$18*$G$2*Tabela27[[#This Row],[Percentual]]/Tabela27[[#This Row],[Calibre]])*1.05</f>
        <v>535.55040000000008</v>
      </c>
      <c r="E14" s="1">
        <f>($D$5*Resumo!$U$18*$G$3*Tabela27[[#This Row],[Percentual]]/Tabela27[[#This Row],[Calibre]])*1.05</f>
        <v>97.79616</v>
      </c>
      <c r="F14" s="1">
        <f>($D$5*Resumo!$U$18*$G$4*Tabela27[[#This Row],[Percentual]]/Tabela27[[#This Row],[Calibre]])*1.05</f>
        <v>41.912639999999996</v>
      </c>
      <c r="G14" s="1">
        <f>SUM(Tabela27[[#This Row],[Cxs 1ª Qual.]:[Cxs 3ª Qual.]])</f>
        <v>675.25920000000008</v>
      </c>
      <c r="H14" s="26"/>
      <c r="I14" s="1" t="str">
        <f>IF(Tabela27[[#This Row],[1ª Impressão]]="","",IF((Tabela27[[#This Row],[Cxs Total]]-Tabela27[[#This Row],[1ª Impressão]])&lt;=0,0,Tabela27[[#This Row],[Cxs Total]]-Tabela27[[#This Row],[1ª Impressão]])*$G$2*1.05)</f>
        <v/>
      </c>
      <c r="J14" s="1" t="str">
        <f>IF(Tabela27[[#This Row],[1ª Impressão]]="","",IF((Tabela27[[#This Row],[Cxs Total]]-Tabela27[[#This Row],[1ª Impressão]])&lt;=0,0,Tabela27[[#This Row],[Cxs Total]]-Tabela27[[#This Row],[1ª Impressão]])*$G$3*1.05)</f>
        <v/>
      </c>
      <c r="K14" s="1" t="str">
        <f>IF(Tabela27[[#This Row],[1ª Impressão]]="","",IF((Tabela27[[#This Row],[Cxs Total]]-Tabela27[[#This Row],[1ª Impressão]])&lt;=0,0,Tabela27[[#This Row],[Cxs Total]]-Tabela27[[#This Row],[1ª Impressão]])*$G$4*1.05)</f>
        <v/>
      </c>
    </row>
    <row r="15" spans="1:11" x14ac:dyDescent="0.3">
      <c r="A15">
        <f>Tabela2[[#This Row],[Faixa]]</f>
        <v>376</v>
      </c>
      <c r="B15">
        <v>10</v>
      </c>
      <c r="C15" s="19">
        <f>COUNTIFS(Tabela1[Peso],"&lt;="&amp;A14,Tabela1[Peso],"&gt;"&amp;A15)/COUNT(Tabela1[Peso])</f>
        <v>0.14000000000000001</v>
      </c>
      <c r="D15" s="1">
        <f>($D$5*Resumo!$U$18*$G$2*Tabela27[[#This Row],[Percentual]]/Tabela27[[#This Row],[Calibre]])*1.05</f>
        <v>562.32792000000018</v>
      </c>
      <c r="E15" s="1">
        <f>($D$5*Resumo!$U$18*$G$3*Tabela27[[#This Row],[Percentual]]/Tabela27[[#This Row],[Calibre]])*1.05</f>
        <v>102.68596800000002</v>
      </c>
      <c r="F15" s="1">
        <f>($D$5*Resumo!$U$18*$G$4*Tabela27[[#This Row],[Percentual]]/Tabela27[[#This Row],[Calibre]])*1.05</f>
        <v>44.008271999999998</v>
      </c>
      <c r="G15" s="1">
        <f>SUM(Tabela27[[#This Row],[Cxs 1ª Qual.]:[Cxs 3ª Qual.]])</f>
        <v>709.02216000000021</v>
      </c>
      <c r="H15" s="26"/>
      <c r="I15" s="1" t="str">
        <f>IF(Tabela27[[#This Row],[1ª Impressão]]="","",IF((Tabela27[[#This Row],[Cxs Total]]-Tabela27[[#This Row],[1ª Impressão]])&lt;=0,0,Tabela27[[#This Row],[Cxs Total]]-Tabela27[[#This Row],[1ª Impressão]])*$G$2*1.05)</f>
        <v/>
      </c>
      <c r="J15" s="1" t="str">
        <f>IF(Tabela27[[#This Row],[1ª Impressão]]="","",IF((Tabela27[[#This Row],[Cxs Total]]-Tabela27[[#This Row],[1ª Impressão]])&lt;=0,0,Tabela27[[#This Row],[Cxs Total]]-Tabela27[[#This Row],[1ª Impressão]])*$G$3*1.05)</f>
        <v/>
      </c>
      <c r="K15" s="1" t="str">
        <f>IF(Tabela27[[#This Row],[1ª Impressão]]="","",IF((Tabela27[[#This Row],[Cxs Total]]-Tabela27[[#This Row],[1ª Impressão]])&lt;=0,0,Tabela27[[#This Row],[Cxs Total]]-Tabela27[[#This Row],[1ª Impressão]])*$G$4*1.05)</f>
        <v/>
      </c>
    </row>
    <row r="16" spans="1:11" x14ac:dyDescent="0.3">
      <c r="A16">
        <f>Tabela2[[#This Row],[Faixa]]</f>
        <v>295</v>
      </c>
      <c r="B16">
        <v>12</v>
      </c>
      <c r="C16" s="19">
        <f>COUNTIFS(Tabela1[Peso],"&lt;="&amp;A15,Tabela1[Peso],"&gt;"&amp;A16)/COUNT(Tabela1[Peso])</f>
        <v>0.08</v>
      </c>
      <c r="D16" s="1">
        <f>($D$5*Resumo!$U$18*$G$2*Tabela27[[#This Row],[Percentual]]/Tabela27[[#This Row],[Calibre]])*1.05</f>
        <v>267.77520000000004</v>
      </c>
      <c r="E16" s="1">
        <f>($D$5*Resumo!$U$18*$G$3*Tabela27[[#This Row],[Percentual]]/Tabela27[[#This Row],[Calibre]])*1.05</f>
        <v>48.898080000000007</v>
      </c>
      <c r="F16" s="1">
        <f>($D$5*Resumo!$U$18*$G$4*Tabela27[[#This Row],[Percentual]]/Tabela27[[#This Row],[Calibre]])*1.05</f>
        <v>20.956320000000002</v>
      </c>
      <c r="G16" s="1">
        <f>SUM(Tabela27[[#This Row],[Cxs 1ª Qual.]:[Cxs 3ª Qual.]])</f>
        <v>337.62960000000004</v>
      </c>
      <c r="H16" s="26"/>
      <c r="I16" s="1" t="str">
        <f>IF(Tabela27[[#This Row],[1ª Impressão]]="","",IF((Tabela27[[#This Row],[Cxs Total]]-Tabela27[[#This Row],[1ª Impressão]])&lt;=0,0,Tabela27[[#This Row],[Cxs Total]]-Tabela27[[#This Row],[1ª Impressão]])*$G$2*1.05)</f>
        <v/>
      </c>
      <c r="J16" s="1" t="str">
        <f>IF(Tabela27[[#This Row],[1ª Impressão]]="","",IF((Tabela27[[#This Row],[Cxs Total]]-Tabela27[[#This Row],[1ª Impressão]])&lt;=0,0,Tabela27[[#This Row],[Cxs Total]]-Tabela27[[#This Row],[1ª Impressão]])*$G$3*1.05)</f>
        <v/>
      </c>
      <c r="K16" s="1" t="str">
        <f>IF(Tabela27[[#This Row],[1ª Impressão]]="","",IF((Tabela27[[#This Row],[Cxs Total]]-Tabela27[[#This Row],[1ª Impressão]])&lt;=0,0,Tabela27[[#This Row],[Cxs Total]]-Tabela27[[#This Row],[1ª Impressão]])*$G$4*1.05)</f>
        <v/>
      </c>
    </row>
    <row r="17" spans="1:11" x14ac:dyDescent="0.3">
      <c r="A17">
        <f>Tabela2[[#This Row],[Faixa]]</f>
        <v>280</v>
      </c>
      <c r="B17">
        <v>14</v>
      </c>
      <c r="C17" s="19">
        <f>COUNTIFS(Tabela1[Peso],"&lt;="&amp;A16,Tabela1[Peso],"&gt;"&amp;A17)/COUNT(Tabela1[Peso])</f>
        <v>0</v>
      </c>
      <c r="D17" s="1">
        <f>($D$5*Resumo!$U$18*$G$2*Tabela27[[#This Row],[Percentual]]/Tabela27[[#This Row],[Calibre]])*1.05</f>
        <v>0</v>
      </c>
      <c r="E17" s="1">
        <f>($D$5*Resumo!$U$18*$G$3*Tabela27[[#This Row],[Percentual]]/Tabela27[[#This Row],[Calibre]])*1.05</f>
        <v>0</v>
      </c>
      <c r="F17" s="1">
        <f>($D$5*Resumo!$U$18*$G$4*Tabela27[[#This Row],[Percentual]]/Tabela27[[#This Row],[Calibre]])*1.05</f>
        <v>0</v>
      </c>
      <c r="G17" s="1">
        <f>SUM(Tabela27[[#This Row],[Cxs 1ª Qual.]:[Cxs 3ª Qual.]])</f>
        <v>0</v>
      </c>
      <c r="H17" s="26"/>
      <c r="I17" s="1" t="str">
        <f>IF(Tabela27[[#This Row],[1ª Impressão]]="","",IF((Tabela27[[#This Row],[Cxs Total]]-Tabela27[[#This Row],[1ª Impressão]])&lt;=0,0,Tabela27[[#This Row],[Cxs Total]]-Tabela27[[#This Row],[1ª Impressão]])*$G$2*1.05)</f>
        <v/>
      </c>
      <c r="J17" s="1" t="str">
        <f>IF(Tabela27[[#This Row],[1ª Impressão]]="","",IF((Tabela27[[#This Row],[Cxs Total]]-Tabela27[[#This Row],[1ª Impressão]])&lt;=0,0,Tabela27[[#This Row],[Cxs Total]]-Tabela27[[#This Row],[1ª Impressão]])*$G$3*1.05)</f>
        <v/>
      </c>
      <c r="K17" s="1" t="str">
        <f>IF(Tabela27[[#This Row],[1ª Impressão]]="","",IF((Tabela27[[#This Row],[Cxs Total]]-Tabela27[[#This Row],[1ª Impressão]])&lt;=0,0,Tabela27[[#This Row],[Cxs Total]]-Tabela27[[#This Row],[1ª Impressão]])*$G$4*1.05)</f>
        <v/>
      </c>
    </row>
    <row r="18" spans="1:11" x14ac:dyDescent="0.3">
      <c r="A18">
        <f>Tabela2[[#This Row],[Faixa]]</f>
        <v>230</v>
      </c>
      <c r="B18" t="s">
        <v>7</v>
      </c>
      <c r="C18" s="19">
        <f>COUNTIFS(Tabela1[Peso],"&lt;="&amp;A17,Tabela1[Peso],"&gt;"&amp;A18)/COUNT(Tabela1[Peso])</f>
        <v>6.6666666666666671E-3</v>
      </c>
      <c r="D18" s="1"/>
      <c r="E18" s="1"/>
      <c r="F18" s="1"/>
      <c r="H18" s="26"/>
      <c r="I18" s="1"/>
      <c r="J18" s="1"/>
      <c r="K18" s="1"/>
    </row>
    <row r="21" spans="1:11" x14ac:dyDescent="0.3">
      <c r="H21" s="10"/>
    </row>
  </sheetData>
  <sheetProtection sheet="1" objects="1" scenarios="1"/>
  <protectedRanges>
    <protectedRange sqref="C8:C18 G2:G5 H8:H18" name="Intervalo2"/>
    <protectedRange sqref="D5" name="Intervalo1"/>
  </protectedRanges>
  <mergeCells count="1">
    <mergeCell ref="I6:K6"/>
  </mergeCells>
  <conditionalFormatting sqref="C8:C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{2113F5A0-E8C2-408D-8F9A-8E13CD2F7934}</x14:id>
        </ext>
      </extLst>
    </cfRule>
  </conditionalFormatting>
  <conditionalFormatting sqref="G2:G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{6FFAB8D3-31B8-422B-B35E-40646F67E750}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13F5A0-E8C2-408D-8F9A-8E13CD2F7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C8:C18</xm:sqref>
        </x14:conditionalFormatting>
        <x14:conditionalFormatting xmlns:xm="http://schemas.microsoft.com/office/excel/2006/main">
          <x14:cfRule type="dataBar" id="{6FFAB8D3-31B8-422B-B35E-40646F67E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DADOS_TEST</vt:lpstr>
      <vt:lpstr>BD</vt:lpstr>
      <vt:lpstr>Resumo</vt:lpstr>
      <vt:lpstr>Linhas Embalagem</vt:lpstr>
      <vt:lpstr>Programas (Safra)</vt:lpstr>
      <vt:lpstr>Programas (Entressafra)</vt:lpstr>
      <vt:lpstr>Cxs e Etiquetas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Denilton Santana</dc:creator>
  <cp:lastModifiedBy>Bernard Roger Ramos Collin</cp:lastModifiedBy>
  <cp:lastPrinted>2018-05-04T13:04:00Z</cp:lastPrinted>
  <dcterms:created xsi:type="dcterms:W3CDTF">2018-05-04T12:17:31Z</dcterms:created>
  <dcterms:modified xsi:type="dcterms:W3CDTF">2022-04-28T16:59:59Z</dcterms:modified>
</cp:coreProperties>
</file>