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og\Dropbox\wwwroot\badminton\App_Data\"/>
    </mc:Choice>
  </mc:AlternateContent>
  <xr:revisionPtr revIDLastSave="0" documentId="13_ncr:1_{3666BFB8-37BE-47E5-881D-0A568611746E}" xr6:coauthVersionLast="45" xr6:coauthVersionMax="45" xr10:uidLastSave="{00000000-0000-0000-0000-000000000000}"/>
  <bookViews>
    <workbookView xWindow="-109" yWindow="-109" windowWidth="26301" windowHeight="14305" tabRatio="788" activeTab="1" xr2:uid="{00000000-000D-0000-FFFF-FFFF00000000}"/>
  </bookViews>
  <sheets>
    <sheet name="Calendar" sheetId="14" r:id="rId1"/>
    <sheet name="Itemised TWBL" sheetId="17" r:id="rId2"/>
    <sheet name="Itemised Edenbridge" sheetId="16" r:id="rId3"/>
  </sheets>
  <definedNames>
    <definedName name="_xlnm._FilterDatabase" localSheetId="2" hidden="1">'Itemised Edenbridge'!$A$1:$G$15</definedName>
    <definedName name="_xlnm._FilterDatabase" localSheetId="1" hidden="1">'Itemised TWBL'!$B$1:$H$111</definedName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Calendar!$C$17</definedName>
    <definedName name="Calendar2MonthOption">MATCH(Calendar2Month,Months,0)</definedName>
    <definedName name="Calendar2Year">Calendar!$B$17</definedName>
    <definedName name="Calendar3Month">Calendar!$C$33</definedName>
    <definedName name="Calendar3MonthOption">MATCH(Calendar3Month,Months,0)</definedName>
    <definedName name="Calendar3Year">Calendar!$B$33</definedName>
    <definedName name="Calendar4Month">Calendar!$C$49</definedName>
    <definedName name="Calendar4MonthOption">MATCH(Calendar4Month,Months,0)</definedName>
    <definedName name="Calendar4Year">Calendar!$B$49</definedName>
    <definedName name="Calendar5Month">Calendar!$C$65</definedName>
    <definedName name="Calendar5MonthOption">MATCH(Calendar5Month,Months,0)</definedName>
    <definedName name="Calendar5Year">Calendar!$B$65</definedName>
    <definedName name="Calendar6Month">Calendar!$C$81</definedName>
    <definedName name="Calendar6MonthOption">MATCH(Calendar6Month,Months,0)</definedName>
    <definedName name="Calendar6Year">Calendar!$B$81</definedName>
    <definedName name="Calendar7Month">Calendar!$C$97</definedName>
    <definedName name="Calendar7MonthOption">MATCH(Calendar7Month,Months,0)</definedName>
    <definedName name="Calendar7Year">Calendar!$B$97</definedName>
    <definedName name="Calendar8Month">Calendar!$C$113</definedName>
    <definedName name="Calendar8MonthOption">MATCH(Calendar8Month,Months,0)</definedName>
    <definedName name="Calendar8Year">Calendar!$B$113</definedName>
    <definedName name="Calendar9Month">Calendar!$C$129</definedName>
    <definedName name="Calendar9MonthOption">MATCH(Calendar9Month,Months,0)</definedName>
    <definedName name="Calendar9Year">Calendar!$B$129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Calendar!$A$1:$H$144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17" l="1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F3" i="17" l="1"/>
  <c r="G3" i="17"/>
  <c r="F4" i="17"/>
  <c r="G4" i="17"/>
  <c r="F5" i="17"/>
  <c r="G5" i="17"/>
  <c r="F6" i="17"/>
  <c r="G6" i="17"/>
  <c r="F7" i="17"/>
  <c r="G7" i="17"/>
  <c r="F8" i="17"/>
  <c r="G8" i="17"/>
  <c r="F9" i="17"/>
  <c r="G9" i="17"/>
  <c r="F10" i="17"/>
  <c r="G10" i="17"/>
  <c r="F11" i="17"/>
  <c r="G11" i="17"/>
  <c r="F12" i="17"/>
  <c r="G12" i="17"/>
  <c r="F13" i="17"/>
  <c r="G13" i="17"/>
  <c r="F59" i="17"/>
  <c r="G59" i="17"/>
  <c r="F14" i="17"/>
  <c r="G14" i="17"/>
  <c r="F15" i="17"/>
  <c r="G15" i="17"/>
  <c r="F16" i="17"/>
  <c r="G16" i="17"/>
  <c r="F17" i="17"/>
  <c r="G17" i="17"/>
  <c r="F18" i="17"/>
  <c r="G18" i="17"/>
  <c r="F19" i="17"/>
  <c r="G19" i="17"/>
  <c r="F46" i="17"/>
  <c r="G46" i="17"/>
  <c r="F21" i="17"/>
  <c r="G21" i="17"/>
  <c r="F22" i="17"/>
  <c r="G22" i="17"/>
  <c r="F23" i="17"/>
  <c r="G23" i="17"/>
  <c r="F24" i="17"/>
  <c r="G24" i="17"/>
  <c r="F25" i="17"/>
  <c r="G25" i="17"/>
  <c r="F26" i="17"/>
  <c r="G26" i="17"/>
  <c r="F27" i="17"/>
  <c r="G27" i="17"/>
  <c r="F28" i="17"/>
  <c r="G28" i="17"/>
  <c r="F29" i="17"/>
  <c r="G29" i="17"/>
  <c r="F30" i="17"/>
  <c r="G30" i="17"/>
  <c r="F31" i="17"/>
  <c r="G31" i="17"/>
  <c r="F32" i="17"/>
  <c r="G32" i="17"/>
  <c r="F33" i="17"/>
  <c r="G33" i="17"/>
  <c r="F34" i="17"/>
  <c r="G34" i="17"/>
  <c r="F35" i="17"/>
  <c r="G35" i="17"/>
  <c r="F36" i="17"/>
  <c r="G36" i="17"/>
  <c r="F37" i="17"/>
  <c r="G37" i="17"/>
  <c r="F38" i="17"/>
  <c r="G38" i="17"/>
  <c r="F39" i="17"/>
  <c r="G39" i="17"/>
  <c r="F40" i="17"/>
  <c r="G40" i="17"/>
  <c r="F41" i="17"/>
  <c r="G41" i="17"/>
  <c r="F42" i="17"/>
  <c r="G42" i="17"/>
  <c r="F43" i="17"/>
  <c r="G43" i="17"/>
  <c r="F44" i="17"/>
  <c r="G44" i="17"/>
  <c r="F45" i="17"/>
  <c r="G45" i="17"/>
  <c r="F20" i="17"/>
  <c r="G20" i="17"/>
  <c r="F47" i="17"/>
  <c r="G47" i="17"/>
  <c r="F48" i="17"/>
  <c r="G48" i="17"/>
  <c r="F49" i="17"/>
  <c r="G49" i="17"/>
  <c r="F50" i="17"/>
  <c r="G50" i="17"/>
  <c r="F51" i="17"/>
  <c r="G51" i="17"/>
  <c r="F52" i="17"/>
  <c r="G52" i="17"/>
  <c r="F53" i="17"/>
  <c r="G53" i="17"/>
  <c r="F54" i="17"/>
  <c r="G54" i="17"/>
  <c r="F55" i="17"/>
  <c r="G55" i="17"/>
  <c r="F56" i="17"/>
  <c r="G56" i="17"/>
  <c r="F57" i="17"/>
  <c r="G57" i="17"/>
  <c r="F58" i="17"/>
  <c r="G58" i="17"/>
  <c r="F60" i="17"/>
  <c r="G60" i="17"/>
  <c r="F61" i="17"/>
  <c r="G61" i="17"/>
  <c r="F62" i="17"/>
  <c r="G62" i="17"/>
  <c r="F63" i="17"/>
  <c r="G63" i="17"/>
  <c r="F64" i="17"/>
  <c r="G64" i="17"/>
  <c r="F65" i="17"/>
  <c r="G65" i="17"/>
  <c r="F66" i="17"/>
  <c r="G66" i="17"/>
  <c r="F67" i="17"/>
  <c r="G67" i="17"/>
  <c r="F68" i="17"/>
  <c r="G68" i="17"/>
  <c r="F69" i="17"/>
  <c r="G69" i="17"/>
  <c r="F70" i="17"/>
  <c r="G70" i="17"/>
  <c r="F71" i="17"/>
  <c r="G71" i="17"/>
  <c r="F104" i="17"/>
  <c r="G104" i="17"/>
  <c r="F72" i="17"/>
  <c r="G72" i="17"/>
  <c r="F73" i="17"/>
  <c r="G73" i="17"/>
  <c r="F74" i="17"/>
  <c r="G74" i="17"/>
  <c r="F75" i="17"/>
  <c r="G75" i="17"/>
  <c r="F76" i="17"/>
  <c r="G76" i="17"/>
  <c r="F77" i="17"/>
  <c r="G77" i="17"/>
  <c r="F78" i="17"/>
  <c r="G78" i="17"/>
  <c r="F79" i="17"/>
  <c r="G79" i="17"/>
  <c r="F80" i="17"/>
  <c r="G80" i="17"/>
  <c r="F81" i="17"/>
  <c r="G81" i="17"/>
  <c r="F82" i="17"/>
  <c r="G82" i="17"/>
  <c r="F85" i="17"/>
  <c r="G85" i="17"/>
  <c r="F86" i="17"/>
  <c r="G86" i="17"/>
  <c r="F87" i="17"/>
  <c r="G87" i="17"/>
  <c r="F88" i="17"/>
  <c r="G88" i="17"/>
  <c r="F89" i="17"/>
  <c r="G89" i="17"/>
  <c r="F90" i="17"/>
  <c r="G90" i="17"/>
  <c r="F91" i="17"/>
  <c r="G91" i="17"/>
  <c r="F92" i="17"/>
  <c r="G92" i="17"/>
  <c r="F93" i="17"/>
  <c r="G93" i="17"/>
  <c r="F94" i="17"/>
  <c r="G94" i="17"/>
  <c r="F95" i="17"/>
  <c r="G95" i="17"/>
  <c r="F96" i="17"/>
  <c r="G96" i="17"/>
  <c r="F97" i="17"/>
  <c r="G97" i="17"/>
  <c r="F98" i="17"/>
  <c r="G98" i="17"/>
  <c r="F99" i="17"/>
  <c r="G99" i="17"/>
  <c r="F100" i="17"/>
  <c r="G100" i="17"/>
  <c r="F101" i="17"/>
  <c r="G101" i="17"/>
  <c r="F102" i="17"/>
  <c r="G102" i="17"/>
  <c r="F103" i="17"/>
  <c r="G103" i="17"/>
  <c r="F105" i="17"/>
  <c r="G105" i="17"/>
  <c r="F106" i="17"/>
  <c r="G106" i="17"/>
  <c r="F107" i="17"/>
  <c r="G107" i="17"/>
  <c r="F108" i="17"/>
  <c r="G108" i="17"/>
  <c r="F109" i="17"/>
  <c r="G109" i="17"/>
  <c r="F110" i="17"/>
  <c r="G110" i="17"/>
  <c r="F111" i="17"/>
  <c r="G111" i="17"/>
  <c r="F83" i="17"/>
  <c r="G83" i="17"/>
  <c r="F84" i="17"/>
  <c r="Q84" i="17" s="1"/>
  <c r="G84" i="17"/>
  <c r="J3" i="17"/>
  <c r="K3" i="17"/>
  <c r="L3" i="17"/>
  <c r="M3" i="17"/>
  <c r="N3" i="17"/>
  <c r="O3" i="17"/>
  <c r="P3" i="17"/>
  <c r="R3" i="17"/>
  <c r="S3" i="17"/>
  <c r="J4" i="17"/>
  <c r="K4" i="17"/>
  <c r="L4" i="17"/>
  <c r="M4" i="17"/>
  <c r="N4" i="17"/>
  <c r="O4" i="17"/>
  <c r="P4" i="17"/>
  <c r="R4" i="17"/>
  <c r="S4" i="17"/>
  <c r="J5" i="17"/>
  <c r="K5" i="17"/>
  <c r="L5" i="17"/>
  <c r="M5" i="17"/>
  <c r="N5" i="17"/>
  <c r="O5" i="17"/>
  <c r="P5" i="17"/>
  <c r="R5" i="17"/>
  <c r="S5" i="17"/>
  <c r="J6" i="17"/>
  <c r="K6" i="17"/>
  <c r="L6" i="17"/>
  <c r="M6" i="17"/>
  <c r="N6" i="17"/>
  <c r="O6" i="17"/>
  <c r="P6" i="17"/>
  <c r="R6" i="17"/>
  <c r="S6" i="17"/>
  <c r="J7" i="17"/>
  <c r="K7" i="17"/>
  <c r="L7" i="17"/>
  <c r="M7" i="17"/>
  <c r="N7" i="17"/>
  <c r="O7" i="17"/>
  <c r="P7" i="17"/>
  <c r="R7" i="17"/>
  <c r="S7" i="17"/>
  <c r="J8" i="17"/>
  <c r="K8" i="17"/>
  <c r="L8" i="17"/>
  <c r="M8" i="17"/>
  <c r="N8" i="17"/>
  <c r="O8" i="17"/>
  <c r="P8" i="17"/>
  <c r="R8" i="17"/>
  <c r="S8" i="17"/>
  <c r="J9" i="17"/>
  <c r="K9" i="17"/>
  <c r="L9" i="17"/>
  <c r="M9" i="17"/>
  <c r="N9" i="17"/>
  <c r="O9" i="17"/>
  <c r="P9" i="17"/>
  <c r="R9" i="17"/>
  <c r="S9" i="17"/>
  <c r="J10" i="17"/>
  <c r="K10" i="17"/>
  <c r="L10" i="17"/>
  <c r="M10" i="17"/>
  <c r="N10" i="17"/>
  <c r="O10" i="17"/>
  <c r="P10" i="17"/>
  <c r="R10" i="17"/>
  <c r="S10" i="17"/>
  <c r="J11" i="17"/>
  <c r="K11" i="17"/>
  <c r="L11" i="17"/>
  <c r="M11" i="17"/>
  <c r="N11" i="17"/>
  <c r="O11" i="17"/>
  <c r="P11" i="17"/>
  <c r="R11" i="17"/>
  <c r="S11" i="17"/>
  <c r="J12" i="17"/>
  <c r="K12" i="17"/>
  <c r="L12" i="17"/>
  <c r="M12" i="17"/>
  <c r="N12" i="17"/>
  <c r="O12" i="17"/>
  <c r="P12" i="17"/>
  <c r="R12" i="17"/>
  <c r="S12" i="17"/>
  <c r="J13" i="17"/>
  <c r="K13" i="17"/>
  <c r="L13" i="17"/>
  <c r="M13" i="17"/>
  <c r="N13" i="17"/>
  <c r="O13" i="17"/>
  <c r="P13" i="17"/>
  <c r="R13" i="17"/>
  <c r="S13" i="17"/>
  <c r="J59" i="17"/>
  <c r="K59" i="17"/>
  <c r="L59" i="17"/>
  <c r="M59" i="17"/>
  <c r="N59" i="17"/>
  <c r="O59" i="17"/>
  <c r="P59" i="17"/>
  <c r="R59" i="17"/>
  <c r="S59" i="17"/>
  <c r="J14" i="17"/>
  <c r="K14" i="17"/>
  <c r="L14" i="17"/>
  <c r="M14" i="17"/>
  <c r="N14" i="17"/>
  <c r="O14" i="17"/>
  <c r="P14" i="17"/>
  <c r="R14" i="17"/>
  <c r="S14" i="17"/>
  <c r="J15" i="17"/>
  <c r="K15" i="17"/>
  <c r="L15" i="17"/>
  <c r="M15" i="17"/>
  <c r="N15" i="17"/>
  <c r="O15" i="17"/>
  <c r="P15" i="17"/>
  <c r="R15" i="17"/>
  <c r="S15" i="17"/>
  <c r="J16" i="17"/>
  <c r="K16" i="17"/>
  <c r="L16" i="17"/>
  <c r="M16" i="17"/>
  <c r="N16" i="17"/>
  <c r="O16" i="17"/>
  <c r="P16" i="17"/>
  <c r="R16" i="17"/>
  <c r="S16" i="17"/>
  <c r="J17" i="17"/>
  <c r="K17" i="17"/>
  <c r="L17" i="17"/>
  <c r="M17" i="17"/>
  <c r="N17" i="17"/>
  <c r="O17" i="17"/>
  <c r="P17" i="17"/>
  <c r="R17" i="17"/>
  <c r="S17" i="17"/>
  <c r="J18" i="17"/>
  <c r="K18" i="17"/>
  <c r="L18" i="17"/>
  <c r="M18" i="17"/>
  <c r="N18" i="17"/>
  <c r="O18" i="17"/>
  <c r="P18" i="17"/>
  <c r="R18" i="17"/>
  <c r="S18" i="17"/>
  <c r="J19" i="17"/>
  <c r="K19" i="17"/>
  <c r="L19" i="17"/>
  <c r="M19" i="17"/>
  <c r="N19" i="17"/>
  <c r="O19" i="17"/>
  <c r="P19" i="17"/>
  <c r="R19" i="17"/>
  <c r="S19" i="17"/>
  <c r="J46" i="17"/>
  <c r="K46" i="17"/>
  <c r="L46" i="17"/>
  <c r="M46" i="17"/>
  <c r="N46" i="17"/>
  <c r="O46" i="17"/>
  <c r="P46" i="17"/>
  <c r="R46" i="17"/>
  <c r="S46" i="17"/>
  <c r="J21" i="17"/>
  <c r="K21" i="17"/>
  <c r="L21" i="17"/>
  <c r="M21" i="17"/>
  <c r="N21" i="17"/>
  <c r="O21" i="17"/>
  <c r="P21" i="17"/>
  <c r="R21" i="17"/>
  <c r="S21" i="17"/>
  <c r="J22" i="17"/>
  <c r="K22" i="17"/>
  <c r="L22" i="17"/>
  <c r="M22" i="17"/>
  <c r="N22" i="17"/>
  <c r="O22" i="17"/>
  <c r="P22" i="17"/>
  <c r="R22" i="17"/>
  <c r="S22" i="17"/>
  <c r="J23" i="17"/>
  <c r="K23" i="17"/>
  <c r="L23" i="17"/>
  <c r="M23" i="17"/>
  <c r="N23" i="17"/>
  <c r="O23" i="17"/>
  <c r="P23" i="17"/>
  <c r="R23" i="17"/>
  <c r="S23" i="17"/>
  <c r="J24" i="17"/>
  <c r="K24" i="17"/>
  <c r="L24" i="17"/>
  <c r="M24" i="17"/>
  <c r="N24" i="17"/>
  <c r="O24" i="17"/>
  <c r="P24" i="17"/>
  <c r="R24" i="17"/>
  <c r="S24" i="17"/>
  <c r="J25" i="17"/>
  <c r="K25" i="17"/>
  <c r="L25" i="17"/>
  <c r="M25" i="17"/>
  <c r="N25" i="17"/>
  <c r="O25" i="17"/>
  <c r="P25" i="17"/>
  <c r="R25" i="17"/>
  <c r="S25" i="17"/>
  <c r="J26" i="17"/>
  <c r="K26" i="17"/>
  <c r="L26" i="17"/>
  <c r="M26" i="17"/>
  <c r="N26" i="17"/>
  <c r="O26" i="17"/>
  <c r="P26" i="17"/>
  <c r="R26" i="17"/>
  <c r="S26" i="17"/>
  <c r="J27" i="17"/>
  <c r="K27" i="17"/>
  <c r="L27" i="17"/>
  <c r="M27" i="17"/>
  <c r="N27" i="17"/>
  <c r="O27" i="17"/>
  <c r="P27" i="17"/>
  <c r="R27" i="17"/>
  <c r="S27" i="17"/>
  <c r="J28" i="17"/>
  <c r="K28" i="17"/>
  <c r="L28" i="17"/>
  <c r="M28" i="17"/>
  <c r="N28" i="17"/>
  <c r="O28" i="17"/>
  <c r="P28" i="17"/>
  <c r="R28" i="17"/>
  <c r="S28" i="17"/>
  <c r="J29" i="17"/>
  <c r="K29" i="17"/>
  <c r="L29" i="17"/>
  <c r="M29" i="17"/>
  <c r="N29" i="17"/>
  <c r="O29" i="17"/>
  <c r="P29" i="17"/>
  <c r="R29" i="17"/>
  <c r="S29" i="17"/>
  <c r="J30" i="17"/>
  <c r="K30" i="17"/>
  <c r="L30" i="17"/>
  <c r="M30" i="17"/>
  <c r="N30" i="17"/>
  <c r="O30" i="17"/>
  <c r="P30" i="17"/>
  <c r="R30" i="17"/>
  <c r="S30" i="17"/>
  <c r="J31" i="17"/>
  <c r="K31" i="17"/>
  <c r="L31" i="17"/>
  <c r="M31" i="17"/>
  <c r="N31" i="17"/>
  <c r="O31" i="17"/>
  <c r="P31" i="17"/>
  <c r="R31" i="17"/>
  <c r="S31" i="17"/>
  <c r="J32" i="17"/>
  <c r="K32" i="17"/>
  <c r="L32" i="17"/>
  <c r="M32" i="17"/>
  <c r="N32" i="17"/>
  <c r="O32" i="17"/>
  <c r="P32" i="17"/>
  <c r="R32" i="17"/>
  <c r="S32" i="17"/>
  <c r="J33" i="17"/>
  <c r="K33" i="17"/>
  <c r="L33" i="17"/>
  <c r="M33" i="17"/>
  <c r="N33" i="17"/>
  <c r="O33" i="17"/>
  <c r="P33" i="17"/>
  <c r="R33" i="17"/>
  <c r="S33" i="17"/>
  <c r="J34" i="17"/>
  <c r="K34" i="17"/>
  <c r="L34" i="17"/>
  <c r="M34" i="17"/>
  <c r="N34" i="17"/>
  <c r="O34" i="17"/>
  <c r="P34" i="17"/>
  <c r="R34" i="17"/>
  <c r="S34" i="17"/>
  <c r="J35" i="17"/>
  <c r="K35" i="17"/>
  <c r="L35" i="17"/>
  <c r="M35" i="17"/>
  <c r="N35" i="17"/>
  <c r="O35" i="17"/>
  <c r="P35" i="17"/>
  <c r="R35" i="17"/>
  <c r="S35" i="17"/>
  <c r="J36" i="17"/>
  <c r="K36" i="17"/>
  <c r="L36" i="17"/>
  <c r="M36" i="17"/>
  <c r="N36" i="17"/>
  <c r="O36" i="17"/>
  <c r="P36" i="17"/>
  <c r="R36" i="17"/>
  <c r="S36" i="17"/>
  <c r="J37" i="17"/>
  <c r="K37" i="17"/>
  <c r="L37" i="17"/>
  <c r="M37" i="17"/>
  <c r="N37" i="17"/>
  <c r="O37" i="17"/>
  <c r="P37" i="17"/>
  <c r="R37" i="17"/>
  <c r="S37" i="17"/>
  <c r="J38" i="17"/>
  <c r="K38" i="17"/>
  <c r="L38" i="17"/>
  <c r="M38" i="17"/>
  <c r="N38" i="17"/>
  <c r="O38" i="17"/>
  <c r="P38" i="17"/>
  <c r="R38" i="17"/>
  <c r="S38" i="17"/>
  <c r="J39" i="17"/>
  <c r="K39" i="17"/>
  <c r="L39" i="17"/>
  <c r="M39" i="17"/>
  <c r="N39" i="17"/>
  <c r="O39" i="17"/>
  <c r="P39" i="17"/>
  <c r="R39" i="17"/>
  <c r="S39" i="17"/>
  <c r="J40" i="17"/>
  <c r="T40" i="17" s="1"/>
  <c r="K40" i="17"/>
  <c r="L40" i="17"/>
  <c r="M40" i="17"/>
  <c r="N40" i="17"/>
  <c r="O40" i="17"/>
  <c r="P40" i="17"/>
  <c r="R40" i="17"/>
  <c r="S40" i="17"/>
  <c r="J41" i="17"/>
  <c r="K41" i="17"/>
  <c r="L41" i="17"/>
  <c r="M41" i="17"/>
  <c r="N41" i="17"/>
  <c r="O41" i="17"/>
  <c r="P41" i="17"/>
  <c r="R41" i="17"/>
  <c r="S41" i="17"/>
  <c r="J42" i="17"/>
  <c r="K42" i="17"/>
  <c r="L42" i="17"/>
  <c r="M42" i="17"/>
  <c r="N42" i="17"/>
  <c r="O42" i="17"/>
  <c r="P42" i="17"/>
  <c r="R42" i="17"/>
  <c r="S42" i="17"/>
  <c r="J43" i="17"/>
  <c r="K43" i="17"/>
  <c r="L43" i="17"/>
  <c r="M43" i="17"/>
  <c r="N43" i="17"/>
  <c r="O43" i="17"/>
  <c r="P43" i="17"/>
  <c r="R43" i="17"/>
  <c r="S43" i="17"/>
  <c r="J44" i="17"/>
  <c r="K44" i="17"/>
  <c r="L44" i="17"/>
  <c r="M44" i="17"/>
  <c r="N44" i="17"/>
  <c r="O44" i="17"/>
  <c r="P44" i="17"/>
  <c r="R44" i="17"/>
  <c r="S44" i="17"/>
  <c r="J45" i="17"/>
  <c r="K45" i="17"/>
  <c r="L45" i="17"/>
  <c r="M45" i="17"/>
  <c r="N45" i="17"/>
  <c r="O45" i="17"/>
  <c r="P45" i="17"/>
  <c r="R45" i="17"/>
  <c r="S45" i="17"/>
  <c r="J20" i="17"/>
  <c r="K20" i="17"/>
  <c r="L20" i="17"/>
  <c r="M20" i="17"/>
  <c r="N20" i="17"/>
  <c r="O20" i="17"/>
  <c r="P20" i="17"/>
  <c r="R20" i="17"/>
  <c r="S20" i="17"/>
  <c r="J47" i="17"/>
  <c r="K47" i="17"/>
  <c r="L47" i="17"/>
  <c r="M47" i="17"/>
  <c r="N47" i="17"/>
  <c r="O47" i="17"/>
  <c r="P47" i="17"/>
  <c r="R47" i="17"/>
  <c r="S47" i="17"/>
  <c r="J48" i="17"/>
  <c r="K48" i="17"/>
  <c r="L48" i="17"/>
  <c r="M48" i="17"/>
  <c r="N48" i="17"/>
  <c r="O48" i="17"/>
  <c r="P48" i="17"/>
  <c r="R48" i="17"/>
  <c r="S48" i="17"/>
  <c r="J49" i="17"/>
  <c r="K49" i="17"/>
  <c r="L49" i="17"/>
  <c r="M49" i="17"/>
  <c r="N49" i="17"/>
  <c r="O49" i="17"/>
  <c r="P49" i="17"/>
  <c r="R49" i="17"/>
  <c r="S49" i="17"/>
  <c r="J50" i="17"/>
  <c r="K50" i="17"/>
  <c r="L50" i="17"/>
  <c r="M50" i="17"/>
  <c r="N50" i="17"/>
  <c r="O50" i="17"/>
  <c r="P50" i="17"/>
  <c r="R50" i="17"/>
  <c r="S50" i="17"/>
  <c r="J51" i="17"/>
  <c r="K51" i="17"/>
  <c r="L51" i="17"/>
  <c r="M51" i="17"/>
  <c r="N51" i="17"/>
  <c r="O51" i="17"/>
  <c r="P51" i="17"/>
  <c r="R51" i="17"/>
  <c r="S51" i="17"/>
  <c r="J52" i="17"/>
  <c r="K52" i="17"/>
  <c r="L52" i="17"/>
  <c r="M52" i="17"/>
  <c r="N52" i="17"/>
  <c r="O52" i="17"/>
  <c r="P52" i="17"/>
  <c r="R52" i="17"/>
  <c r="S52" i="17"/>
  <c r="J53" i="17"/>
  <c r="K53" i="17"/>
  <c r="L53" i="17"/>
  <c r="M53" i="17"/>
  <c r="N53" i="17"/>
  <c r="O53" i="17"/>
  <c r="P53" i="17"/>
  <c r="R53" i="17"/>
  <c r="S53" i="17"/>
  <c r="J54" i="17"/>
  <c r="K54" i="17"/>
  <c r="L54" i="17"/>
  <c r="M54" i="17"/>
  <c r="N54" i="17"/>
  <c r="O54" i="17"/>
  <c r="P54" i="17"/>
  <c r="R54" i="17"/>
  <c r="S54" i="17"/>
  <c r="J55" i="17"/>
  <c r="K55" i="17"/>
  <c r="L55" i="17"/>
  <c r="M55" i="17"/>
  <c r="N55" i="17"/>
  <c r="O55" i="17"/>
  <c r="P55" i="17"/>
  <c r="R55" i="17"/>
  <c r="S55" i="17"/>
  <c r="J56" i="17"/>
  <c r="K56" i="17"/>
  <c r="L56" i="17"/>
  <c r="M56" i="17"/>
  <c r="N56" i="17"/>
  <c r="O56" i="17"/>
  <c r="P56" i="17"/>
  <c r="R56" i="17"/>
  <c r="S56" i="17"/>
  <c r="J57" i="17"/>
  <c r="K57" i="17"/>
  <c r="L57" i="17"/>
  <c r="M57" i="17"/>
  <c r="N57" i="17"/>
  <c r="O57" i="17"/>
  <c r="P57" i="17"/>
  <c r="R57" i="17"/>
  <c r="S57" i="17"/>
  <c r="J58" i="17"/>
  <c r="K58" i="17"/>
  <c r="L58" i="17"/>
  <c r="M58" i="17"/>
  <c r="N58" i="17"/>
  <c r="O58" i="17"/>
  <c r="P58" i="17"/>
  <c r="R58" i="17"/>
  <c r="S58" i="17"/>
  <c r="J60" i="17"/>
  <c r="K60" i="17"/>
  <c r="L60" i="17"/>
  <c r="M60" i="17"/>
  <c r="N60" i="17"/>
  <c r="O60" i="17"/>
  <c r="P60" i="17"/>
  <c r="R60" i="17"/>
  <c r="S60" i="17"/>
  <c r="J61" i="17"/>
  <c r="K61" i="17"/>
  <c r="L61" i="17"/>
  <c r="M61" i="17"/>
  <c r="N61" i="17"/>
  <c r="O61" i="17"/>
  <c r="P61" i="17"/>
  <c r="R61" i="17"/>
  <c r="S61" i="17"/>
  <c r="J62" i="17"/>
  <c r="K62" i="17"/>
  <c r="L62" i="17"/>
  <c r="M62" i="17"/>
  <c r="N62" i="17"/>
  <c r="O62" i="17"/>
  <c r="P62" i="17"/>
  <c r="R62" i="17"/>
  <c r="S62" i="17"/>
  <c r="J63" i="17"/>
  <c r="K63" i="17"/>
  <c r="L63" i="17"/>
  <c r="M63" i="17"/>
  <c r="N63" i="17"/>
  <c r="O63" i="17"/>
  <c r="P63" i="17"/>
  <c r="R63" i="17"/>
  <c r="S63" i="17"/>
  <c r="J64" i="17"/>
  <c r="K64" i="17"/>
  <c r="L64" i="17"/>
  <c r="M64" i="17"/>
  <c r="N64" i="17"/>
  <c r="O64" i="17"/>
  <c r="P64" i="17"/>
  <c r="R64" i="17"/>
  <c r="S64" i="17"/>
  <c r="J65" i="17"/>
  <c r="K65" i="17"/>
  <c r="L65" i="17"/>
  <c r="M65" i="17"/>
  <c r="N65" i="17"/>
  <c r="O65" i="17"/>
  <c r="P65" i="17"/>
  <c r="R65" i="17"/>
  <c r="S65" i="17"/>
  <c r="J66" i="17"/>
  <c r="K66" i="17"/>
  <c r="L66" i="17"/>
  <c r="M66" i="17"/>
  <c r="N66" i="17"/>
  <c r="O66" i="17"/>
  <c r="P66" i="17"/>
  <c r="R66" i="17"/>
  <c r="S66" i="17"/>
  <c r="J67" i="17"/>
  <c r="K67" i="17"/>
  <c r="L67" i="17"/>
  <c r="M67" i="17"/>
  <c r="N67" i="17"/>
  <c r="O67" i="17"/>
  <c r="P67" i="17"/>
  <c r="R67" i="17"/>
  <c r="S67" i="17"/>
  <c r="J68" i="17"/>
  <c r="K68" i="17"/>
  <c r="L68" i="17"/>
  <c r="M68" i="17"/>
  <c r="N68" i="17"/>
  <c r="O68" i="17"/>
  <c r="P68" i="17"/>
  <c r="R68" i="17"/>
  <c r="S68" i="17"/>
  <c r="J69" i="17"/>
  <c r="K69" i="17"/>
  <c r="L69" i="17"/>
  <c r="M69" i="17"/>
  <c r="N69" i="17"/>
  <c r="O69" i="17"/>
  <c r="P69" i="17"/>
  <c r="R69" i="17"/>
  <c r="S69" i="17"/>
  <c r="J70" i="17"/>
  <c r="K70" i="17"/>
  <c r="L70" i="17"/>
  <c r="M70" i="17"/>
  <c r="N70" i="17"/>
  <c r="O70" i="17"/>
  <c r="P70" i="17"/>
  <c r="R70" i="17"/>
  <c r="S70" i="17"/>
  <c r="J71" i="17"/>
  <c r="K71" i="17"/>
  <c r="L71" i="17"/>
  <c r="M71" i="17"/>
  <c r="N71" i="17"/>
  <c r="O71" i="17"/>
  <c r="P71" i="17"/>
  <c r="R71" i="17"/>
  <c r="S71" i="17"/>
  <c r="J104" i="17"/>
  <c r="K104" i="17"/>
  <c r="L104" i="17"/>
  <c r="M104" i="17"/>
  <c r="N104" i="17"/>
  <c r="O104" i="17"/>
  <c r="P104" i="17"/>
  <c r="R104" i="17"/>
  <c r="S104" i="17"/>
  <c r="J72" i="17"/>
  <c r="K72" i="17"/>
  <c r="L72" i="17"/>
  <c r="M72" i="17"/>
  <c r="N72" i="17"/>
  <c r="O72" i="17"/>
  <c r="P72" i="17"/>
  <c r="R72" i="17"/>
  <c r="S72" i="17"/>
  <c r="J73" i="17"/>
  <c r="K73" i="17"/>
  <c r="L73" i="17"/>
  <c r="M73" i="17"/>
  <c r="N73" i="17"/>
  <c r="O73" i="17"/>
  <c r="P73" i="17"/>
  <c r="R73" i="17"/>
  <c r="S73" i="17"/>
  <c r="J74" i="17"/>
  <c r="K74" i="17"/>
  <c r="L74" i="17"/>
  <c r="M74" i="17"/>
  <c r="N74" i="17"/>
  <c r="O74" i="17"/>
  <c r="P74" i="17"/>
  <c r="R74" i="17"/>
  <c r="S74" i="17"/>
  <c r="J75" i="17"/>
  <c r="K75" i="17"/>
  <c r="L75" i="17"/>
  <c r="M75" i="17"/>
  <c r="N75" i="17"/>
  <c r="O75" i="17"/>
  <c r="P75" i="17"/>
  <c r="R75" i="17"/>
  <c r="S75" i="17"/>
  <c r="J76" i="17"/>
  <c r="K76" i="17"/>
  <c r="L76" i="17"/>
  <c r="M76" i="17"/>
  <c r="N76" i="17"/>
  <c r="O76" i="17"/>
  <c r="P76" i="17"/>
  <c r="R76" i="17"/>
  <c r="S76" i="17"/>
  <c r="J77" i="17"/>
  <c r="K77" i="17"/>
  <c r="L77" i="17"/>
  <c r="M77" i="17"/>
  <c r="N77" i="17"/>
  <c r="O77" i="17"/>
  <c r="P77" i="17"/>
  <c r="R77" i="17"/>
  <c r="S77" i="17"/>
  <c r="J78" i="17"/>
  <c r="K78" i="17"/>
  <c r="L78" i="17"/>
  <c r="M78" i="17"/>
  <c r="N78" i="17"/>
  <c r="O78" i="17"/>
  <c r="P78" i="17"/>
  <c r="R78" i="17"/>
  <c r="S78" i="17"/>
  <c r="J79" i="17"/>
  <c r="K79" i="17"/>
  <c r="L79" i="17"/>
  <c r="M79" i="17"/>
  <c r="N79" i="17"/>
  <c r="O79" i="17"/>
  <c r="P79" i="17"/>
  <c r="R79" i="17"/>
  <c r="S79" i="17"/>
  <c r="J80" i="17"/>
  <c r="K80" i="17"/>
  <c r="L80" i="17"/>
  <c r="M80" i="17"/>
  <c r="N80" i="17"/>
  <c r="O80" i="17"/>
  <c r="P80" i="17"/>
  <c r="R80" i="17"/>
  <c r="S80" i="17"/>
  <c r="J81" i="17"/>
  <c r="K81" i="17"/>
  <c r="L81" i="17"/>
  <c r="M81" i="17"/>
  <c r="N81" i="17"/>
  <c r="O81" i="17"/>
  <c r="P81" i="17"/>
  <c r="R81" i="17"/>
  <c r="S81" i="17"/>
  <c r="J82" i="17"/>
  <c r="K82" i="17"/>
  <c r="L82" i="17"/>
  <c r="M82" i="17"/>
  <c r="N82" i="17"/>
  <c r="O82" i="17"/>
  <c r="P82" i="17"/>
  <c r="R82" i="17"/>
  <c r="S82" i="17"/>
  <c r="J85" i="17"/>
  <c r="K85" i="17"/>
  <c r="L85" i="17"/>
  <c r="M85" i="17"/>
  <c r="N85" i="17"/>
  <c r="O85" i="17"/>
  <c r="P85" i="17"/>
  <c r="R85" i="17"/>
  <c r="S85" i="17"/>
  <c r="J86" i="17"/>
  <c r="K86" i="17"/>
  <c r="L86" i="17"/>
  <c r="M86" i="17"/>
  <c r="N86" i="17"/>
  <c r="O86" i="17"/>
  <c r="P86" i="17"/>
  <c r="R86" i="17"/>
  <c r="S86" i="17"/>
  <c r="J87" i="17"/>
  <c r="K87" i="17"/>
  <c r="L87" i="17"/>
  <c r="M87" i="17"/>
  <c r="N87" i="17"/>
  <c r="O87" i="17"/>
  <c r="P87" i="17"/>
  <c r="R87" i="17"/>
  <c r="S87" i="17"/>
  <c r="J88" i="17"/>
  <c r="K88" i="17"/>
  <c r="L88" i="17"/>
  <c r="M88" i="17"/>
  <c r="N88" i="17"/>
  <c r="O88" i="17"/>
  <c r="P88" i="17"/>
  <c r="T88" i="17"/>
  <c r="R88" i="17"/>
  <c r="S88" i="17"/>
  <c r="J89" i="17"/>
  <c r="K89" i="17"/>
  <c r="L89" i="17"/>
  <c r="M89" i="17"/>
  <c r="N89" i="17"/>
  <c r="O89" i="17"/>
  <c r="P89" i="17"/>
  <c r="R89" i="17"/>
  <c r="S89" i="17"/>
  <c r="J90" i="17"/>
  <c r="K90" i="17"/>
  <c r="L90" i="17"/>
  <c r="M90" i="17"/>
  <c r="N90" i="17"/>
  <c r="O90" i="17"/>
  <c r="P90" i="17"/>
  <c r="R90" i="17"/>
  <c r="S90" i="17"/>
  <c r="J91" i="17"/>
  <c r="K91" i="17"/>
  <c r="L91" i="17"/>
  <c r="M91" i="17"/>
  <c r="N91" i="17"/>
  <c r="O91" i="17"/>
  <c r="P91" i="17"/>
  <c r="R91" i="17"/>
  <c r="S91" i="17"/>
  <c r="J92" i="17"/>
  <c r="K92" i="17"/>
  <c r="L92" i="17"/>
  <c r="M92" i="17"/>
  <c r="N92" i="17"/>
  <c r="O92" i="17"/>
  <c r="P92" i="17"/>
  <c r="R92" i="17"/>
  <c r="S92" i="17"/>
  <c r="J93" i="17"/>
  <c r="K93" i="17"/>
  <c r="L93" i="17"/>
  <c r="M93" i="17"/>
  <c r="N93" i="17"/>
  <c r="O93" i="17"/>
  <c r="P93" i="17"/>
  <c r="R93" i="17"/>
  <c r="S93" i="17"/>
  <c r="J94" i="17"/>
  <c r="K94" i="17"/>
  <c r="L94" i="17"/>
  <c r="M94" i="17"/>
  <c r="N94" i="17"/>
  <c r="O94" i="17"/>
  <c r="P94" i="17"/>
  <c r="R94" i="17"/>
  <c r="S94" i="17"/>
  <c r="J95" i="17"/>
  <c r="K95" i="17"/>
  <c r="L95" i="17"/>
  <c r="M95" i="17"/>
  <c r="N95" i="17"/>
  <c r="O95" i="17"/>
  <c r="P95" i="17"/>
  <c r="R95" i="17"/>
  <c r="S95" i="17"/>
  <c r="J96" i="17"/>
  <c r="K96" i="17"/>
  <c r="L96" i="17"/>
  <c r="M96" i="17"/>
  <c r="N96" i="17"/>
  <c r="O96" i="17"/>
  <c r="P96" i="17"/>
  <c r="R96" i="17"/>
  <c r="S96" i="17"/>
  <c r="J97" i="17"/>
  <c r="T97" i="17" s="1"/>
  <c r="K97" i="17"/>
  <c r="L97" i="17"/>
  <c r="M97" i="17"/>
  <c r="N97" i="17"/>
  <c r="O97" i="17"/>
  <c r="P97" i="17"/>
  <c r="R97" i="17"/>
  <c r="S97" i="17"/>
  <c r="J98" i="17"/>
  <c r="K98" i="17"/>
  <c r="L98" i="17"/>
  <c r="M98" i="17"/>
  <c r="N98" i="17"/>
  <c r="O98" i="17"/>
  <c r="P98" i="17"/>
  <c r="R98" i="17"/>
  <c r="S98" i="17"/>
  <c r="J99" i="17"/>
  <c r="K99" i="17"/>
  <c r="L99" i="17"/>
  <c r="M99" i="17"/>
  <c r="N99" i="17"/>
  <c r="O99" i="17"/>
  <c r="P99" i="17"/>
  <c r="R99" i="17"/>
  <c r="S99" i="17"/>
  <c r="J100" i="17"/>
  <c r="K100" i="17"/>
  <c r="L100" i="17"/>
  <c r="M100" i="17"/>
  <c r="N100" i="17"/>
  <c r="O100" i="17"/>
  <c r="P100" i="17"/>
  <c r="R100" i="17"/>
  <c r="S100" i="17"/>
  <c r="J101" i="17"/>
  <c r="K101" i="17"/>
  <c r="L101" i="17"/>
  <c r="M101" i="17"/>
  <c r="N101" i="17"/>
  <c r="O101" i="17"/>
  <c r="P101" i="17"/>
  <c r="R101" i="17"/>
  <c r="S101" i="17"/>
  <c r="J102" i="17"/>
  <c r="K102" i="17"/>
  <c r="L102" i="17"/>
  <c r="M102" i="17"/>
  <c r="N102" i="17"/>
  <c r="O102" i="17"/>
  <c r="P102" i="17"/>
  <c r="R102" i="17"/>
  <c r="S102" i="17"/>
  <c r="J103" i="17"/>
  <c r="K103" i="17"/>
  <c r="L103" i="17"/>
  <c r="M103" i="17"/>
  <c r="N103" i="17"/>
  <c r="O103" i="17"/>
  <c r="P103" i="17"/>
  <c r="R103" i="17"/>
  <c r="S103" i="17"/>
  <c r="J105" i="17"/>
  <c r="K105" i="17"/>
  <c r="L105" i="17"/>
  <c r="M105" i="17"/>
  <c r="N105" i="17"/>
  <c r="O105" i="17"/>
  <c r="P105" i="17"/>
  <c r="R105" i="17"/>
  <c r="S105" i="17"/>
  <c r="J106" i="17"/>
  <c r="K106" i="17"/>
  <c r="L106" i="17"/>
  <c r="M106" i="17"/>
  <c r="N106" i="17"/>
  <c r="O106" i="17"/>
  <c r="P106" i="17"/>
  <c r="R106" i="17"/>
  <c r="S106" i="17"/>
  <c r="J107" i="17"/>
  <c r="K107" i="17"/>
  <c r="L107" i="17"/>
  <c r="M107" i="17"/>
  <c r="N107" i="17"/>
  <c r="O107" i="17"/>
  <c r="P107" i="17"/>
  <c r="R107" i="17"/>
  <c r="S107" i="17"/>
  <c r="J108" i="17"/>
  <c r="K108" i="17"/>
  <c r="L108" i="17"/>
  <c r="M108" i="17"/>
  <c r="N108" i="17"/>
  <c r="O108" i="17"/>
  <c r="P108" i="17"/>
  <c r="R108" i="17"/>
  <c r="S108" i="17"/>
  <c r="J109" i="17"/>
  <c r="K109" i="17"/>
  <c r="L109" i="17"/>
  <c r="M109" i="17"/>
  <c r="N109" i="17"/>
  <c r="O109" i="17"/>
  <c r="P109" i="17"/>
  <c r="R109" i="17"/>
  <c r="S109" i="17"/>
  <c r="J110" i="17"/>
  <c r="K110" i="17"/>
  <c r="L110" i="17"/>
  <c r="M110" i="17"/>
  <c r="N110" i="17"/>
  <c r="O110" i="17"/>
  <c r="P110" i="17"/>
  <c r="R110" i="17"/>
  <c r="S110" i="17"/>
  <c r="J111" i="17"/>
  <c r="K111" i="17"/>
  <c r="L111" i="17"/>
  <c r="M111" i="17"/>
  <c r="N111" i="17"/>
  <c r="O111" i="17"/>
  <c r="P111" i="17"/>
  <c r="R111" i="17"/>
  <c r="S111" i="17"/>
  <c r="J83" i="17"/>
  <c r="K83" i="17"/>
  <c r="L83" i="17"/>
  <c r="M83" i="17"/>
  <c r="N83" i="17"/>
  <c r="O83" i="17"/>
  <c r="P83" i="17"/>
  <c r="R83" i="17"/>
  <c r="S83" i="17"/>
  <c r="J84" i="17"/>
  <c r="K84" i="17"/>
  <c r="L84" i="17"/>
  <c r="M84" i="17"/>
  <c r="N84" i="17"/>
  <c r="O84" i="17"/>
  <c r="P84" i="17"/>
  <c r="R84" i="17"/>
  <c r="S84" i="17"/>
  <c r="S2" i="17"/>
  <c r="R2" i="17"/>
  <c r="P2" i="17"/>
  <c r="O2" i="17"/>
  <c r="N2" i="17"/>
  <c r="M2" i="17"/>
  <c r="L2" i="17"/>
  <c r="K2" i="17"/>
  <c r="J2" i="17"/>
  <c r="G2" i="17"/>
  <c r="F2" i="17"/>
  <c r="T44" i="17" l="1"/>
  <c r="T105" i="17"/>
  <c r="T80" i="17"/>
  <c r="T81" i="17"/>
  <c r="T87" i="17"/>
  <c r="T86" i="17"/>
  <c r="T34" i="17"/>
  <c r="T84" i="17"/>
  <c r="T42" i="17"/>
  <c r="T59" i="17"/>
  <c r="T13" i="17"/>
  <c r="T9" i="17"/>
  <c r="T5" i="17"/>
  <c r="T99" i="17"/>
  <c r="T74" i="17"/>
  <c r="T71" i="17"/>
  <c r="T38" i="17"/>
  <c r="T78" i="17"/>
  <c r="T75" i="17"/>
  <c r="T104" i="17"/>
  <c r="T14" i="17"/>
  <c r="T7" i="17"/>
  <c r="T3" i="17"/>
  <c r="T91" i="17"/>
  <c r="T70" i="17"/>
  <c r="T66" i="17"/>
  <c r="T60" i="17"/>
  <c r="T53" i="17"/>
  <c r="T51" i="17"/>
  <c r="T25" i="17"/>
  <c r="T23" i="17"/>
  <c r="T21" i="17"/>
  <c r="T19" i="17"/>
  <c r="T100" i="17"/>
  <c r="T48" i="17"/>
  <c r="T20" i="17"/>
  <c r="T111" i="17"/>
  <c r="T107" i="17"/>
  <c r="T102" i="17"/>
  <c r="T109" i="17"/>
  <c r="T96" i="17"/>
  <c r="T92" i="17"/>
  <c r="T77" i="17"/>
  <c r="T67" i="17"/>
  <c r="T52" i="17"/>
  <c r="T50" i="17"/>
  <c r="T45" i="17"/>
  <c r="T37" i="17"/>
  <c r="T30" i="17"/>
  <c r="T31" i="17"/>
  <c r="T28" i="17"/>
  <c r="T18" i="17"/>
  <c r="T11" i="17"/>
  <c r="T68" i="17"/>
  <c r="T54" i="17"/>
  <c r="T41" i="17"/>
  <c r="T6" i="17"/>
  <c r="T49" i="17"/>
  <c r="T35" i="17"/>
  <c r="T27" i="17"/>
  <c r="T17" i="17"/>
  <c r="T108" i="17"/>
  <c r="T89" i="17"/>
  <c r="T64" i="17"/>
  <c r="T58" i="17"/>
  <c r="T10" i="17"/>
  <c r="T98" i="17"/>
  <c r="T95" i="17"/>
  <c r="T94" i="17"/>
  <c r="T85" i="17"/>
  <c r="T82" i="17"/>
  <c r="T76" i="17"/>
  <c r="T73" i="17"/>
  <c r="T72" i="17"/>
  <c r="T47" i="17"/>
  <c r="T36" i="17"/>
  <c r="T33" i="17"/>
  <c r="T32" i="17"/>
  <c r="T29" i="17"/>
  <c r="T26" i="17"/>
  <c r="T24" i="17"/>
  <c r="T15" i="17"/>
  <c r="T93" i="17"/>
  <c r="T83" i="17"/>
  <c r="T103" i="17"/>
  <c r="T63" i="17"/>
  <c r="T55" i="17"/>
  <c r="T110" i="17"/>
  <c r="T106" i="17"/>
  <c r="T101" i="17"/>
  <c r="T90" i="17"/>
  <c r="T79" i="17"/>
  <c r="T69" i="17"/>
  <c r="T65" i="17"/>
  <c r="T62" i="17"/>
  <c r="T61" i="17"/>
  <c r="T57" i="17"/>
  <c r="T56" i="17"/>
  <c r="T43" i="17"/>
  <c r="T39" i="17"/>
  <c r="T22" i="17"/>
  <c r="T46" i="17"/>
  <c r="T16" i="17"/>
  <c r="T12" i="17"/>
  <c r="T8" i="17"/>
  <c r="T4" i="17"/>
  <c r="T2" i="17"/>
  <c r="B17" i="16" l="1"/>
  <c r="B16" i="16" l="1"/>
  <c r="C84" i="17" l="1"/>
  <c r="C83" i="17"/>
  <c r="C104" i="17" l="1"/>
  <c r="C50" i="17"/>
  <c r="C91" i="17"/>
  <c r="C64" i="17"/>
  <c r="C3" i="17"/>
  <c r="C4" i="17"/>
  <c r="C5" i="17"/>
  <c r="C6" i="17"/>
  <c r="C7" i="17"/>
  <c r="C8" i="17"/>
  <c r="C9" i="17"/>
  <c r="C10" i="17"/>
  <c r="C12" i="17"/>
  <c r="C13" i="17"/>
  <c r="C59" i="17"/>
  <c r="C14" i="17"/>
  <c r="C15" i="17"/>
  <c r="C16" i="17"/>
  <c r="C17" i="17"/>
  <c r="C18" i="17"/>
  <c r="C19" i="17"/>
  <c r="C46" i="17"/>
  <c r="C21" i="17"/>
  <c r="C22" i="17"/>
  <c r="C23" i="17"/>
  <c r="C24" i="17"/>
  <c r="C25" i="17"/>
  <c r="C26" i="17"/>
  <c r="C27" i="17"/>
  <c r="C28" i="17"/>
  <c r="C29" i="17"/>
  <c r="C31" i="17"/>
  <c r="C32" i="17"/>
  <c r="C34" i="17"/>
  <c r="C35" i="17"/>
  <c r="C36" i="17"/>
  <c r="C37" i="17"/>
  <c r="C38" i="17"/>
  <c r="C40" i="17"/>
  <c r="C42" i="17"/>
  <c r="C41" i="17"/>
  <c r="C43" i="17"/>
  <c r="C44" i="17"/>
  <c r="C45" i="17"/>
  <c r="C20" i="17"/>
  <c r="C48" i="17"/>
  <c r="C49" i="17"/>
  <c r="C51" i="17"/>
  <c r="C52" i="17"/>
  <c r="C53" i="17"/>
  <c r="C54" i="17"/>
  <c r="C55" i="17"/>
  <c r="C56" i="17"/>
  <c r="C57" i="17"/>
  <c r="C58" i="17"/>
  <c r="C60" i="17"/>
  <c r="C61" i="17"/>
  <c r="C62" i="17"/>
  <c r="C63" i="17"/>
  <c r="C65" i="17"/>
  <c r="C66" i="17"/>
  <c r="C67" i="17"/>
  <c r="C68" i="17"/>
  <c r="C81" i="17"/>
  <c r="C70" i="17"/>
  <c r="C72" i="17"/>
  <c r="C73" i="17"/>
  <c r="C101" i="17"/>
  <c r="C74" i="17"/>
  <c r="C75" i="17"/>
  <c r="C76" i="17"/>
  <c r="C77" i="17"/>
  <c r="C78" i="17"/>
  <c r="C82" i="17"/>
  <c r="C85" i="17"/>
  <c r="C86" i="17"/>
  <c r="C89" i="17"/>
  <c r="C90" i="17"/>
  <c r="C80" i="17"/>
  <c r="C103" i="17"/>
  <c r="C92" i="17"/>
  <c r="C109" i="17"/>
  <c r="C93" i="17"/>
  <c r="C94" i="17"/>
  <c r="C95" i="17"/>
  <c r="C96" i="17"/>
  <c r="C97" i="17"/>
  <c r="C98" i="17"/>
  <c r="C99" i="17"/>
  <c r="C100" i="17"/>
  <c r="C102" i="17"/>
  <c r="C105" i="17"/>
  <c r="C106" i="17"/>
  <c r="C107" i="17"/>
  <c r="C108" i="17"/>
  <c r="C110" i="17"/>
  <c r="C111" i="17"/>
  <c r="C11" i="17"/>
  <c r="C30" i="17"/>
  <c r="C79" i="17"/>
  <c r="C69" i="17"/>
  <c r="C39" i="17"/>
  <c r="C47" i="17"/>
  <c r="C33" i="17"/>
  <c r="C87" i="17"/>
  <c r="C71" i="17"/>
  <c r="C88" i="17"/>
  <c r="C2" i="17"/>
  <c r="B4" i="16" l="1"/>
  <c r="B5" i="16"/>
  <c r="B6" i="16"/>
  <c r="B7" i="16"/>
  <c r="B9" i="16"/>
  <c r="B10" i="16"/>
  <c r="B8" i="16"/>
  <c r="B2" i="16"/>
  <c r="B11" i="16"/>
  <c r="B12" i="16"/>
  <c r="B13" i="16"/>
  <c r="B14" i="16"/>
  <c r="B15" i="16"/>
  <c r="B3" i="16"/>
  <c r="B4" i="14" l="1" a="1"/>
  <c r="B4" i="14" s="1"/>
  <c r="B6" i="14" a="1"/>
  <c r="H6" i="14" s="1"/>
  <c r="B8" i="14" a="1"/>
  <c r="E8" i="14" s="1"/>
  <c r="B10" i="14" a="1"/>
  <c r="G10" i="14" s="1"/>
  <c r="B12" i="14" a="1"/>
  <c r="G12" i="14" s="1"/>
  <c r="B14" i="14" a="1"/>
  <c r="B14" i="14" s="1"/>
  <c r="B17" i="14"/>
  <c r="C17" i="14"/>
  <c r="F6" i="14" l="1"/>
  <c r="B6" i="14"/>
  <c r="D6" i="14"/>
  <c r="C6" i="14"/>
  <c r="F12" i="14"/>
  <c r="D12" i="14"/>
  <c r="E6" i="14"/>
  <c r="G6" i="14"/>
  <c r="H4" i="14"/>
  <c r="H3" i="14" s="1"/>
  <c r="B22" i="14" a="1"/>
  <c r="E10" i="14"/>
  <c r="B10" i="14"/>
  <c r="C4" i="14"/>
  <c r="C3" i="14" s="1"/>
  <c r="D4" i="14"/>
  <c r="D3" i="14" s="1"/>
  <c r="F10" i="14"/>
  <c r="F4" i="14"/>
  <c r="F3" i="14" s="1"/>
  <c r="E4" i="14"/>
  <c r="E3" i="14" s="1"/>
  <c r="C8" i="14"/>
  <c r="F8" i="14"/>
  <c r="G8" i="14"/>
  <c r="B28" i="14" a="1"/>
  <c r="B28" i="14" s="1"/>
  <c r="B20" i="14" a="1"/>
  <c r="B20" i="14" s="1"/>
  <c r="B19" i="14" s="1"/>
  <c r="B30" i="14" a="1"/>
  <c r="C30" i="14" s="1"/>
  <c r="B26" i="14" a="1"/>
  <c r="B26" i="14" s="1"/>
  <c r="B12" i="14"/>
  <c r="C10" i="14"/>
  <c r="H8" i="14"/>
  <c r="C12" i="14"/>
  <c r="C14" i="14"/>
  <c r="E12" i="14"/>
  <c r="B24" i="14" a="1"/>
  <c r="F24" i="14" s="1"/>
  <c r="H10" i="14"/>
  <c r="D10" i="14"/>
  <c r="H12" i="14"/>
  <c r="D8" i="14"/>
  <c r="B8" i="14"/>
  <c r="G4" i="14"/>
  <c r="G3" i="14" s="1"/>
  <c r="B22" i="14"/>
  <c r="C33" i="14"/>
  <c r="F22" i="14"/>
  <c r="C22" i="14"/>
  <c r="D22" i="14"/>
  <c r="G22" i="14"/>
  <c r="H22" i="14"/>
  <c r="B33" i="14"/>
  <c r="E22" i="14"/>
  <c r="B49" i="14" l="1"/>
  <c r="G20" i="14"/>
  <c r="G19" i="14" s="1"/>
  <c r="F20" i="14"/>
  <c r="F19" i="14" s="1"/>
  <c r="D20" i="14"/>
  <c r="D19" i="14" s="1"/>
  <c r="D26" i="14"/>
  <c r="B30" i="14"/>
  <c r="H20" i="14"/>
  <c r="H19" i="14" s="1"/>
  <c r="H26" i="14"/>
  <c r="C20" i="14"/>
  <c r="C19" i="14" s="1"/>
  <c r="E20" i="14"/>
  <c r="E19" i="14" s="1"/>
  <c r="B24" i="14"/>
  <c r="C26" i="14"/>
  <c r="E26" i="14"/>
  <c r="G26" i="14"/>
  <c r="E28" i="14"/>
  <c r="F28" i="14"/>
  <c r="G28" i="14"/>
  <c r="F26" i="14"/>
  <c r="H28" i="14"/>
  <c r="D28" i="14"/>
  <c r="C28" i="14"/>
  <c r="C24" i="14"/>
  <c r="D24" i="14"/>
  <c r="E24" i="14"/>
  <c r="B40" i="14" a="1"/>
  <c r="B40" i="14" s="1"/>
  <c r="B46" i="14" a="1"/>
  <c r="C46" i="14" s="1"/>
  <c r="B42" i="14" a="1"/>
  <c r="H42" i="14" s="1"/>
  <c r="B38" i="14" a="1"/>
  <c r="D38" i="14" s="1"/>
  <c r="B36" i="14" a="1"/>
  <c r="G36" i="14" s="1"/>
  <c r="G35" i="14" s="1"/>
  <c r="B44" i="14" a="1"/>
  <c r="H44" i="14" s="1"/>
  <c r="G24" i="14"/>
  <c r="H24" i="14"/>
  <c r="C49" i="14"/>
  <c r="B62" i="14" s="1" a="1"/>
  <c r="G40" i="14" l="1"/>
  <c r="C40" i="14"/>
  <c r="E44" i="14"/>
  <c r="B46" i="14"/>
  <c r="D44" i="14"/>
  <c r="F40" i="14"/>
  <c r="B44" i="14"/>
  <c r="E40" i="14"/>
  <c r="H38" i="14"/>
  <c r="B38" i="14"/>
  <c r="B42" i="14"/>
  <c r="F42" i="14"/>
  <c r="B36" i="14"/>
  <c r="B35" i="14" s="1"/>
  <c r="F36" i="14"/>
  <c r="F35" i="14" s="1"/>
  <c r="E36" i="14"/>
  <c r="E35" i="14" s="1"/>
  <c r="C36" i="14"/>
  <c r="C35" i="14" s="1"/>
  <c r="H40" i="14"/>
  <c r="E38" i="14"/>
  <c r="B60" i="14" a="1"/>
  <c r="E60" i="14" s="1"/>
  <c r="B65" i="14"/>
  <c r="D40" i="14"/>
  <c r="D36" i="14"/>
  <c r="D35" i="14" s="1"/>
  <c r="D42" i="14"/>
  <c r="C42" i="14"/>
  <c r="E42" i="14"/>
  <c r="G42" i="14"/>
  <c r="B58" i="14" a="1"/>
  <c r="D58" i="14" s="1"/>
  <c r="B52" i="14" a="1"/>
  <c r="G52" i="14" s="1"/>
  <c r="G51" i="14" s="1"/>
  <c r="G38" i="14"/>
  <c r="C38" i="14"/>
  <c r="H36" i="14"/>
  <c r="H35" i="14" s="1"/>
  <c r="F38" i="14"/>
  <c r="C44" i="14"/>
  <c r="F44" i="14"/>
  <c r="G44" i="14"/>
  <c r="B56" i="14" a="1"/>
  <c r="H56" i="14" s="1"/>
  <c r="B54" i="14" a="1"/>
  <c r="B54" i="14" s="1"/>
  <c r="C62" i="14"/>
  <c r="C65" i="14"/>
  <c r="H60" i="14"/>
  <c r="B62" i="14"/>
  <c r="E58" i="14" l="1"/>
  <c r="C52" i="14"/>
  <c r="C51" i="14" s="1"/>
  <c r="G54" i="14"/>
  <c r="F54" i="14"/>
  <c r="C81" i="14"/>
  <c r="H54" i="14"/>
  <c r="G56" i="14"/>
  <c r="D54" i="14"/>
  <c r="B81" i="14"/>
  <c r="B56" i="14"/>
  <c r="B52" i="14"/>
  <c r="B51" i="14" s="1"/>
  <c r="F52" i="14"/>
  <c r="F51" i="14" s="1"/>
  <c r="C56" i="14"/>
  <c r="D56" i="14"/>
  <c r="H58" i="14"/>
  <c r="H52" i="14"/>
  <c r="H51" i="14" s="1"/>
  <c r="E52" i="14"/>
  <c r="E51" i="14" s="1"/>
  <c r="E54" i="14"/>
  <c r="F56" i="14"/>
  <c r="D52" i="14"/>
  <c r="D51" i="14" s="1"/>
  <c r="E56" i="14"/>
  <c r="C58" i="14"/>
  <c r="G58" i="14"/>
  <c r="B58" i="14"/>
  <c r="F60" i="14"/>
  <c r="B60" i="14"/>
  <c r="C60" i="14"/>
  <c r="F58" i="14"/>
  <c r="D60" i="14"/>
  <c r="G60" i="14"/>
  <c r="C54" i="14"/>
  <c r="B72" i="14" a="1"/>
  <c r="E72" i="14" s="1"/>
  <c r="B78" i="14" a="1"/>
  <c r="C78" i="14" s="1"/>
  <c r="B74" i="14" a="1"/>
  <c r="E74" i="14" s="1"/>
  <c r="B70" i="14" a="1"/>
  <c r="E70" i="14" s="1"/>
  <c r="B76" i="14" a="1"/>
  <c r="F76" i="14" s="1"/>
  <c r="B68" i="14" a="1"/>
  <c r="B68" i="14" s="1"/>
  <c r="B67" i="14" s="1"/>
  <c r="B86" i="14" l="1" a="1"/>
  <c r="F86" i="14" s="1"/>
  <c r="B94" i="14" a="1"/>
  <c r="B92" i="14" a="1"/>
  <c r="E92" i="14" s="1"/>
  <c r="B76" i="14"/>
  <c r="D72" i="14"/>
  <c r="C70" i="14"/>
  <c r="H70" i="14"/>
  <c r="B70" i="14"/>
  <c r="F72" i="14"/>
  <c r="B84" i="14" a="1"/>
  <c r="B90" i="14" a="1"/>
  <c r="D90" i="14" s="1"/>
  <c r="G70" i="14"/>
  <c r="C97" i="14"/>
  <c r="B97" i="14"/>
  <c r="F70" i="14"/>
  <c r="D70" i="14"/>
  <c r="B88" i="14" a="1"/>
  <c r="C88" i="14" s="1"/>
  <c r="C86" i="14"/>
  <c r="H72" i="14"/>
  <c r="E86" i="14"/>
  <c r="B78" i="14"/>
  <c r="D74" i="14"/>
  <c r="H68" i="14"/>
  <c r="H67" i="14" s="1"/>
  <c r="G76" i="14"/>
  <c r="D76" i="14"/>
  <c r="C72" i="14"/>
  <c r="G72" i="14"/>
  <c r="B72" i="14"/>
  <c r="G74" i="14"/>
  <c r="B74" i="14"/>
  <c r="C74" i="14"/>
  <c r="F68" i="14"/>
  <c r="F67" i="14" s="1"/>
  <c r="E68" i="14"/>
  <c r="E67" i="14" s="1"/>
  <c r="C68" i="14"/>
  <c r="C67" i="14" s="1"/>
  <c r="H76" i="14"/>
  <c r="G68" i="14"/>
  <c r="G67" i="14" s="1"/>
  <c r="H74" i="14"/>
  <c r="C76" i="14"/>
  <c r="F74" i="14"/>
  <c r="D68" i="14"/>
  <c r="D67" i="14" s="1"/>
  <c r="E76" i="14"/>
  <c r="D86" i="14" l="1"/>
  <c r="H86" i="14"/>
  <c r="B86" i="14"/>
  <c r="G86" i="14"/>
  <c r="B110" i="14" a="1"/>
  <c r="C110" i="14" s="1"/>
  <c r="C92" i="14"/>
  <c r="B92" i="14"/>
  <c r="F92" i="14"/>
  <c r="B104" i="14" a="1"/>
  <c r="D104" i="14" s="1"/>
  <c r="G90" i="14"/>
  <c r="C113" i="14"/>
  <c r="C90" i="14"/>
  <c r="H92" i="14"/>
  <c r="B106" i="14" a="1"/>
  <c r="H106" i="14" s="1"/>
  <c r="G92" i="14"/>
  <c r="D92" i="14"/>
  <c r="B94" i="14"/>
  <c r="C94" i="14"/>
  <c r="C84" i="14"/>
  <c r="C83" i="14" s="1"/>
  <c r="B84" i="14"/>
  <c r="B83" i="14" s="1"/>
  <c r="B102" i="14" a="1"/>
  <c r="B100" i="14" a="1"/>
  <c r="E84" i="14"/>
  <c r="E83" i="14" s="1"/>
  <c r="B113" i="14"/>
  <c r="B108" i="14" a="1"/>
  <c r="H108" i="14" s="1"/>
  <c r="H84" i="14"/>
  <c r="H83" i="14" s="1"/>
  <c r="F84" i="14"/>
  <c r="F83" i="14" s="1"/>
  <c r="G84" i="14"/>
  <c r="G83" i="14" s="1"/>
  <c r="D84" i="14"/>
  <c r="D83" i="14" s="1"/>
  <c r="E88" i="14"/>
  <c r="H88" i="14"/>
  <c r="F88" i="14"/>
  <c r="G88" i="14"/>
  <c r="D88" i="14"/>
  <c r="B88" i="14"/>
  <c r="B90" i="14"/>
  <c r="F90" i="14"/>
  <c r="H90" i="14"/>
  <c r="E90" i="14"/>
  <c r="F104" i="14"/>
  <c r="G104" i="14"/>
  <c r="B104" i="14" l="1"/>
  <c r="B110" i="14"/>
  <c r="B116" i="14" a="1"/>
  <c r="G116" i="14" s="1"/>
  <c r="G115" i="14" s="1"/>
  <c r="B126" i="14" a="1"/>
  <c r="B126" i="14" s="1"/>
  <c r="B120" i="14" a="1"/>
  <c r="E120" i="14" s="1"/>
  <c r="B118" i="14" a="1"/>
  <c r="B118" i="14" s="1"/>
  <c r="D106" i="14"/>
  <c r="C104" i="14"/>
  <c r="C129" i="14"/>
  <c r="E104" i="14"/>
  <c r="H104" i="14"/>
  <c r="F106" i="14"/>
  <c r="G106" i="14"/>
  <c r="C106" i="14"/>
  <c r="B108" i="14"/>
  <c r="D108" i="14"/>
  <c r="F108" i="14"/>
  <c r="C108" i="14"/>
  <c r="C116" i="14"/>
  <c r="C115" i="14" s="1"/>
  <c r="H116" i="14"/>
  <c r="H115" i="14" s="1"/>
  <c r="E116" i="14"/>
  <c r="E115" i="14" s="1"/>
  <c r="F116" i="14"/>
  <c r="F115" i="14" s="1"/>
  <c r="B116" i="14"/>
  <c r="B115" i="14" s="1"/>
  <c r="B129" i="14"/>
  <c r="B136" i="14" s="1" a="1"/>
  <c r="B124" i="14" a="1"/>
  <c r="E124" i="14" s="1"/>
  <c r="B122" i="14" a="1"/>
  <c r="B122" i="14" s="1"/>
  <c r="B106" i="14"/>
  <c r="E106" i="14"/>
  <c r="E102" i="14"/>
  <c r="G102" i="14"/>
  <c r="F102" i="14"/>
  <c r="B102" i="14"/>
  <c r="H102" i="14"/>
  <c r="D102" i="14"/>
  <c r="C102" i="14"/>
  <c r="G100" i="14"/>
  <c r="G99" i="14" s="1"/>
  <c r="E100" i="14"/>
  <c r="E99" i="14" s="1"/>
  <c r="C100" i="14"/>
  <c r="C99" i="14" s="1"/>
  <c r="B100" i="14"/>
  <c r="B99" i="14" s="1"/>
  <c r="H100" i="14"/>
  <c r="H99" i="14" s="1"/>
  <c r="D100" i="14"/>
  <c r="D99" i="14" s="1"/>
  <c r="F100" i="14"/>
  <c r="F99" i="14" s="1"/>
  <c r="E108" i="14"/>
  <c r="G108" i="14"/>
  <c r="D116" i="14"/>
  <c r="D115" i="14" s="1"/>
  <c r="H118" i="14"/>
  <c r="G120" i="14"/>
  <c r="C118" i="14"/>
  <c r="B120" i="14" l="1"/>
  <c r="B140" i="14" a="1"/>
  <c r="G140" i="14" s="1"/>
  <c r="B138" i="14" a="1"/>
  <c r="E138" i="14" s="1"/>
  <c r="D120" i="14"/>
  <c r="F120" i="14"/>
  <c r="B142" i="14" a="1"/>
  <c r="B142" i="14" s="1"/>
  <c r="C120" i="14"/>
  <c r="B132" i="14" a="1"/>
  <c r="F132" i="14" s="1"/>
  <c r="F131" i="14" s="1"/>
  <c r="C126" i="14"/>
  <c r="H120" i="14"/>
  <c r="E118" i="14"/>
  <c r="G118" i="14"/>
  <c r="D118" i="14"/>
  <c r="F118" i="14"/>
  <c r="C122" i="14"/>
  <c r="D122" i="14"/>
  <c r="B136" i="14"/>
  <c r="E136" i="14"/>
  <c r="B134" i="14" a="1"/>
  <c r="F134" i="14" s="1"/>
  <c r="G122" i="14"/>
  <c r="H122" i="14"/>
  <c r="H124" i="14"/>
  <c r="G124" i="14"/>
  <c r="B124" i="14"/>
  <c r="E122" i="14"/>
  <c r="D124" i="14"/>
  <c r="F124" i="14"/>
  <c r="F122" i="14"/>
  <c r="C124" i="14"/>
  <c r="D136" i="14"/>
  <c r="D138" i="14"/>
  <c r="F138" i="14"/>
  <c r="C136" i="14"/>
  <c r="H136" i="14"/>
  <c r="F136" i="14"/>
  <c r="G136" i="14"/>
  <c r="C140" i="14"/>
  <c r="F140" i="14"/>
  <c r="B140" i="14"/>
  <c r="H138" i="14" l="1"/>
  <c r="E140" i="14"/>
  <c r="D140" i="14"/>
  <c r="G138" i="14"/>
  <c r="C132" i="14"/>
  <c r="C131" i="14" s="1"/>
  <c r="E132" i="14"/>
  <c r="E131" i="14" s="1"/>
  <c r="B138" i="14"/>
  <c r="G132" i="14"/>
  <c r="G131" i="14" s="1"/>
  <c r="H134" i="14"/>
  <c r="E134" i="14"/>
  <c r="B132" i="14"/>
  <c r="B131" i="14" s="1"/>
  <c r="H140" i="14"/>
  <c r="D132" i="14"/>
  <c r="D131" i="14" s="1"/>
  <c r="C138" i="14"/>
  <c r="H132" i="14"/>
  <c r="H131" i="14" s="1"/>
  <c r="C142" i="14"/>
  <c r="D134" i="14"/>
  <c r="G134" i="14"/>
  <c r="C134" i="14"/>
  <c r="B134" i="14"/>
</calcChain>
</file>

<file path=xl/sharedStrings.xml><?xml version="1.0" encoding="utf-8"?>
<sst xmlns="http://schemas.openxmlformats.org/spreadsheetml/2006/main" count="745" uniqueCount="257">
  <si>
    <t>Notes:</t>
  </si>
  <si>
    <t>MONDAY</t>
  </si>
  <si>
    <t>TIP: Type the starting year in cell B1, and select the starting month in cell C1. The calendar will update automatically.</t>
  </si>
  <si>
    <t>September</t>
  </si>
  <si>
    <t>St Johns C vs Mens B (away 7.30pm)
St Johns B vs Ladies 6 (away 7.30pm)</t>
  </si>
  <si>
    <t>Mixed A vs St johns D (home 8pm)</t>
  </si>
  <si>
    <t>Mixed B vs St johns E (home)</t>
  </si>
  <si>
    <t>Half Term</t>
  </si>
  <si>
    <t xml:space="preserve">No Court Availability </t>
  </si>
  <si>
    <t>Mixed A vs Sevenoaks B (home)</t>
  </si>
  <si>
    <t>Sevenoaks B vs Mens B (away 8.15pm)
Sevenoaks vs Ladies 4s (away 8.15pm)</t>
  </si>
  <si>
    <t>Trident D vs Mixed A (away 8pm)</t>
  </si>
  <si>
    <t>Trident E vs Mixed B (away 8pm)</t>
  </si>
  <si>
    <t>Trident F vs Mixed C (away 7pm)</t>
  </si>
  <si>
    <t>Trident F vs Mixed C (away 8pm</t>
  </si>
  <si>
    <t>Trident C vs Mens A (away 8pm)</t>
  </si>
  <si>
    <t>Trident D vs Mens C (away 8pm)</t>
  </si>
  <si>
    <t>Trident A vs Ladies 6 (away 8pm)</t>
  </si>
  <si>
    <t>Trident B vs Ladies 6s (away 8pm)</t>
  </si>
  <si>
    <t>Trident vs Ladies 4s (away 7pm)</t>
  </si>
  <si>
    <t>Trident vs Mens 4s (away 7pm)</t>
  </si>
  <si>
    <t>Trident vs Masters A (away 8pm)</t>
  </si>
  <si>
    <t>Date</t>
  </si>
  <si>
    <t>League</t>
  </si>
  <si>
    <t>Matches</t>
  </si>
  <si>
    <t>Day</t>
  </si>
  <si>
    <t>Felbridge vs Masters B (away 7:30pm)</t>
  </si>
  <si>
    <t>Felbridge vs Edenbridge Men (away 7:30pm 1 court)</t>
  </si>
  <si>
    <t>AIT C vs Mixed B (away 7.35pm)</t>
  </si>
  <si>
    <t>AIT vs Ladies 4s (away 7.35pm)</t>
  </si>
  <si>
    <t>St Johns D vs Mens B (away 7.30pm)
Langton Green vs Mens 4s (away 7.30pm)</t>
  </si>
  <si>
    <t>St Johns D vs Mixed A (away 7.30pm)
Sevenoaks vs Masters A (away 8.15pm)
Mens 4s vs Langton Green (home)</t>
  </si>
  <si>
    <t>St Johns E vs Mixed B (away 7.30pm)
Mens C vs AIT D (home)
Ladies 4s vs Langton Green (home)</t>
  </si>
  <si>
    <t>Mens B vs St Johns C (home)
Ladies 6s vs Trident B (home)
Mixed C vs Langton Green (home)</t>
  </si>
  <si>
    <t>St Johns E vs Mens C (away 7.30pm)
Mens A vs Felbridge (home)
Ladies 4s vs Felbridge (home)
Masters B vs Langton Green (home)</t>
  </si>
  <si>
    <t>Chelwood Gate vs Masters B (away 7pm)</t>
  </si>
  <si>
    <t>St Johns B vs Mens A (away 7.30pm)
St Johns A vs Ladies 6 (away 7.30pm)
Mens C vs Sevenoaks C (home)
Masters B vs Chelwood gate (home)</t>
  </si>
  <si>
    <t>Tatsfield vs Edenbridge Combi (away)</t>
  </si>
  <si>
    <t>Mens A vs Trident C (home)
Ladies 6s vs Trident A (home)
Edenbridge Combi vs Tatsfield (home)</t>
  </si>
  <si>
    <t>AIT vs Ladies 6s (away 8.05pm)
Chaldon vs Edenbridge Men (away 7.30pm)</t>
  </si>
  <si>
    <t>Oakwood vs Edenbridge Mens (away 7.30pm)</t>
  </si>
  <si>
    <t>Edenbridge Combi vs St Piers (home)
Edenbridge Mens vs Oakwood (home)</t>
  </si>
  <si>
    <t>Wadhurst vs Ladies 4s (away 7.30pm)</t>
  </si>
  <si>
    <t>Wadhurst vs Mixed C (away 7pm)</t>
  </si>
  <si>
    <t>Mixed C vs Wadhurst (home)</t>
  </si>
  <si>
    <t>Wadhurst B vs Masters B (away 7.30pm)</t>
  </si>
  <si>
    <t>Wadhurst A vs Masters A (away 7.30pm)</t>
  </si>
  <si>
    <t>Time</t>
  </si>
  <si>
    <t>Venue</t>
  </si>
  <si>
    <t>Team</t>
  </si>
  <si>
    <t>8.15pm</t>
  </si>
  <si>
    <t>St Piers vs Edenbridge Mens (away 8pm)</t>
  </si>
  <si>
    <t>Mens A</t>
  </si>
  <si>
    <t>Trident C vs Angel A (away 8pm)</t>
  </si>
  <si>
    <t>St Johns B vs Angel A (away 7.30pm)</t>
  </si>
  <si>
    <t>AIT B vs Angel A (away 7.35pm)</t>
  </si>
  <si>
    <t>Angel A vs Sevenoaks A (home)</t>
  </si>
  <si>
    <t>Sevenoaks A vs Angel A (away 8.15pm)</t>
  </si>
  <si>
    <t>Angel A vs Felbridge (home)</t>
  </si>
  <si>
    <t>Angel A vs AIT B (home)</t>
  </si>
  <si>
    <t>Angel A vs St Johns B (home)</t>
  </si>
  <si>
    <t>Felbridge vs Angel A (away 8pm)</t>
  </si>
  <si>
    <t>Angel A vs Trident C (home)</t>
  </si>
  <si>
    <t>Men's 6s Upper First</t>
  </si>
  <si>
    <t>8pm</t>
  </si>
  <si>
    <t>7.30pm</t>
  </si>
  <si>
    <t>7.35pm</t>
  </si>
  <si>
    <t>Angel Centre</t>
  </si>
  <si>
    <t>Mens B</t>
  </si>
  <si>
    <t>Sevenoaks B vs Angel B (away 8.15pm)</t>
  </si>
  <si>
    <t>St Johns C vs Angel B (away 7.30pm)</t>
  </si>
  <si>
    <t>St Johns D vs Angel B (away 7.30pm)</t>
  </si>
  <si>
    <t>AIT C vs Angel B (away 7.35pm)</t>
  </si>
  <si>
    <t>Angel B vs Sevenoaks B (home)</t>
  </si>
  <si>
    <t>Angel B vs AIT C (home)</t>
  </si>
  <si>
    <t>Angel B vs St Johns D (home)</t>
  </si>
  <si>
    <t>Angel B vs St Johns C (home)</t>
  </si>
  <si>
    <t>Men's 6s Lower First</t>
  </si>
  <si>
    <t>Mens C</t>
  </si>
  <si>
    <t>Men's 6s Div 2</t>
  </si>
  <si>
    <t>Angel C vs St Johns E (home)</t>
  </si>
  <si>
    <t>Angel C vs Sevenoaks C (home)</t>
  </si>
  <si>
    <t>Sevenoaks C vs Angel C (away 8.15pm)</t>
  </si>
  <si>
    <t>AIT D vs Angel C (away 7.35pm)</t>
  </si>
  <si>
    <t>St Johns E vs Angel C (away 7.30pm)</t>
  </si>
  <si>
    <t>Trident D vs Angel C (away 8pm)</t>
  </si>
  <si>
    <t>Angel C vs Trident D (home)</t>
  </si>
  <si>
    <t>Angel C vs AIT D (home)</t>
  </si>
  <si>
    <t>Mixed B vs Trident E (home)
Edenbridge Mens vs St Piers (home)
Ladies 4s vs Sevenoaks (home)</t>
  </si>
  <si>
    <t>Ladies 4s</t>
  </si>
  <si>
    <t>Ladies' 4s Premier</t>
  </si>
  <si>
    <t>Sevenoaks vs Angel (away 8.15pm)</t>
  </si>
  <si>
    <t>Angel vs AIT (home)</t>
  </si>
  <si>
    <t>Angel vs Trident (home)</t>
  </si>
  <si>
    <t>Wadhurst vs Angel (away 7.30pm)</t>
  </si>
  <si>
    <t>Trident vs Angel (away 7pm)</t>
  </si>
  <si>
    <t>Langton Green vs Angel (away 7.30pm)</t>
  </si>
  <si>
    <t>AIT vs Angel (away 7.35pm)</t>
  </si>
  <si>
    <t>Angel vs Felbridge (home)</t>
  </si>
  <si>
    <t>Angel vs Wadhurst (home)</t>
  </si>
  <si>
    <t>Angel vs Sevenoaks (home)</t>
  </si>
  <si>
    <t>Angel vs Langton Green (home)</t>
  </si>
  <si>
    <t>Felbridge vs Angel (away 8pm)</t>
  </si>
  <si>
    <t>7pm</t>
  </si>
  <si>
    <t>Ladies 6s</t>
  </si>
  <si>
    <t>Ladies' 6s Premier</t>
  </si>
  <si>
    <t>AIT vs Angel (away 8.05pm)</t>
  </si>
  <si>
    <t>St Johns A vs Angel (away 7.30pm)</t>
  </si>
  <si>
    <t>St Johns B vs Angel (away 7.30pm)</t>
  </si>
  <si>
    <t>Trident A vs Angel (away 8pm)</t>
  </si>
  <si>
    <t>Trident B vs Angel (away 8pm)</t>
  </si>
  <si>
    <t>Angel vs St Johns A (home)</t>
  </si>
  <si>
    <t>Angel vs Trident B (home)</t>
  </si>
  <si>
    <t>Angel vs Trident A (home)</t>
  </si>
  <si>
    <t>8.05pm</t>
  </si>
  <si>
    <t>Mixed Lower First</t>
  </si>
  <si>
    <t>Mixed A</t>
  </si>
  <si>
    <t>Trident D vs Angel A (away 8pm)</t>
  </si>
  <si>
    <t>Angel A vs St johns D (home 8pm)</t>
  </si>
  <si>
    <t>Angel A vs Sevenoaks B (home)</t>
  </si>
  <si>
    <t>St Johns D vs Angel A (away 7.30pm)</t>
  </si>
  <si>
    <t>Sevenoaks B vs Angel A (away 8.15pm)</t>
  </si>
  <si>
    <t>Angel A vs Trident D (home)</t>
  </si>
  <si>
    <t>Mixed B</t>
  </si>
  <si>
    <t>Mixed Div 2</t>
  </si>
  <si>
    <t>Trident E vs Angel B (away 8pm)</t>
  </si>
  <si>
    <t>St Johns E vs Angel B (away 7.30pm)</t>
  </si>
  <si>
    <t>Angel B vs Trident E (home)</t>
  </si>
  <si>
    <t>Angel B vs St johns E (home)</t>
  </si>
  <si>
    <t>Mixed C</t>
  </si>
  <si>
    <t>Mixed Div 3</t>
  </si>
  <si>
    <t>Angel C vs Wadhurst (home)</t>
  </si>
  <si>
    <t>Wadhurst vs Angel C (away 7pm)</t>
  </si>
  <si>
    <t>Trident F vs Angel C (away 7pm)</t>
  </si>
  <si>
    <t>Angel C vs Langton Green (home)</t>
  </si>
  <si>
    <t>Angel C vs Trident F (home)</t>
  </si>
  <si>
    <t>Masters A</t>
  </si>
  <si>
    <t>Masters' 50+ Premier</t>
  </si>
  <si>
    <t>Trident vs Angel A (away 8pm)</t>
  </si>
  <si>
    <t>Angel A vs Trident (home)</t>
  </si>
  <si>
    <t>Wadhurst A vs Angel A (away 7.30pm)</t>
  </si>
  <si>
    <t>Sevenoaks vs Angel A (away 8.15pm)</t>
  </si>
  <si>
    <t>Angel A vs Sevenoaks (home)</t>
  </si>
  <si>
    <t>Masters B</t>
  </si>
  <si>
    <t>Masters' 50+ Upper First</t>
  </si>
  <si>
    <t>Angel B vs Felbridge (home)</t>
  </si>
  <si>
    <t>Angel B vs Chelwood gate (home)</t>
  </si>
  <si>
    <t>Wadhurst B vs Angel B (away 7.30pm)</t>
  </si>
  <si>
    <t>Angel B vs Wadhurst B (home)</t>
  </si>
  <si>
    <t>Felbridge vs Angel B (away 7:30pm)</t>
  </si>
  <si>
    <t>Angel B vs Langton Green (home)</t>
  </si>
  <si>
    <t>Langton Green vs Angel B (away 7.30pm)</t>
  </si>
  <si>
    <t>Mens 4s</t>
  </si>
  <si>
    <t>Men's 4s Upper First</t>
  </si>
  <si>
    <t>Trident vs Angel (away 8pm)</t>
  </si>
  <si>
    <t xml:space="preserve">Mascalls Academy TN12 6LT </t>
  </si>
  <si>
    <t>Michael Hall School RH18 5JA</t>
  </si>
  <si>
    <t>East Grinstead Sports Club RH19 4JU</t>
  </si>
  <si>
    <t>The Village Hall Recreation Ground TN3 0JJ</t>
  </si>
  <si>
    <t>Weald of Kent Grammar School Sevenoaks Kent, TN13 3SL</t>
  </si>
  <si>
    <t xml:space="preserve">Tunbridge Wells Sports Centre TN4 9TX   </t>
  </si>
  <si>
    <t>Holmewood House School TN3 0EB</t>
  </si>
  <si>
    <t>Commemoration Hall, Wadhurst, TN5 6AP</t>
  </si>
  <si>
    <t>Ladies 6s vs St johns B (home)</t>
  </si>
  <si>
    <t>Angel vs St johns B (home)</t>
  </si>
  <si>
    <t>Mixed B vs Hilden Grange (home)</t>
  </si>
  <si>
    <t>Masters A vs Wadhurst A (home)</t>
  </si>
  <si>
    <t>Angel A vs Wadhurst A (home)</t>
  </si>
  <si>
    <t>Edenbridge Mens vs Chaldon (home)
Mens 4s vs Trident (home)
Mixed B vs AIT C (home)</t>
  </si>
  <si>
    <t>Chelwood Gate vs Angel B (away 7pm - must arrive with 2 pairs prompt to finish for 9pm)</t>
  </si>
  <si>
    <t>Hilden Grange vs Angel B (away 8pm)</t>
  </si>
  <si>
    <t>Angel B vs Hilden Grange (home)</t>
  </si>
  <si>
    <t xml:space="preserve">Masters B vs Felbridge (home)
Ladies 4s vs AIT (home)
</t>
  </si>
  <si>
    <t>Mens B vs St Johns D (home)
Mixed C vs Langton Green (home)
Hildenborough B vs Mixed A (away 8pm)</t>
  </si>
  <si>
    <t>Mixed A vs Hildenborough B (home)</t>
  </si>
  <si>
    <t>Langton Green vs Ladies 4s (away 7.30pm)
Mixed C vs Wadhurst (home)
Masters B vs Wadhurst B (home)
Hildenborough C vs Mens A (away 8pm)</t>
  </si>
  <si>
    <t>Mens A vs Hildenborough C (home)</t>
  </si>
  <si>
    <t>Mens A vs Sevenoaks A (home)
Edenbridge Combi vs Felbridge (home)
Mens 4s vs Langton Green (home)
Hildenborough D vs Mens C (away 8pm)</t>
  </si>
  <si>
    <t>Masters A vs Sevenoaks (home)
Mens A vs AIT B (home)
Mens C vs Hildenborough D (home)</t>
  </si>
  <si>
    <t>Ladies 6s vs Hildenborough (home)</t>
  </si>
  <si>
    <t>Walthamstow Hall Holly Bush Lane TN13 3UL</t>
  </si>
  <si>
    <t>Hildenborough B vs Angel A (away 8pm)</t>
  </si>
  <si>
    <t>Angel A vs Hildenborough B (home)</t>
  </si>
  <si>
    <t>Hildenborough C vs Angel A (away 8pm)</t>
  </si>
  <si>
    <t>Angel A vs Hildenborough C (home)</t>
  </si>
  <si>
    <t>Hildenborough D vs Angel C (away 8pm)</t>
  </si>
  <si>
    <t>Angel C vs Hildenborough D (home)</t>
  </si>
  <si>
    <t>Hildenborough vs Angel (away 8pm)</t>
  </si>
  <si>
    <t>Angel vs Hildenborough (home)</t>
  </si>
  <si>
    <t>Chaldon Village Hall, 95 Rook Lane. Chaldon CR3 5BN</t>
  </si>
  <si>
    <t>Mens C vs St Johns E (home)
Ladies 4s vs Trident (home)
Mens 4s vs Trident (home)
Hilden Grange vs Mixed B (away 8pm)</t>
  </si>
  <si>
    <t>Mens C vs Trident D (home)</t>
  </si>
  <si>
    <t>Trident F vs Angel C (away 8pm)</t>
  </si>
  <si>
    <t>Mixed C vs Trident F (home)</t>
  </si>
  <si>
    <t>Mixed A vs Trident D (home)
Langton Green vs Masters B (away 7.30pm)</t>
  </si>
  <si>
    <t xml:space="preserve">Trident vs Mens 4s (away 8pm)
</t>
  </si>
  <si>
    <t>AIT C vs Mens B (away 7.35pm)</t>
  </si>
  <si>
    <t>AIT C vs Angel B (away 8.05pm)</t>
  </si>
  <si>
    <t>Subs Issues Potentially</t>
  </si>
  <si>
    <t xml:space="preserve"> </t>
  </si>
  <si>
    <t>Paddock Wood vs Mens 4s (away 8pm)</t>
  </si>
  <si>
    <t>Mens B vs Sevenoaks B (home)
Ladies 6s vs AIT (home)
Mens 4s vs Paddock Wood (home)</t>
  </si>
  <si>
    <t>Mixed C vs Trident F (home)
Felbridge vs Mens A (away 8pm)
Felbridge vs Ladies 4s (away 8pm)
Mens 4s vs Paddock Wood (home)</t>
  </si>
  <si>
    <t>Paddock Wood vs Angel (away 8pm)</t>
  </si>
  <si>
    <t>Angel vs Paddock Wood (home)</t>
  </si>
  <si>
    <t>Putlands Sports &amp; Leisure Centre TN12 6NZ</t>
  </si>
  <si>
    <t>Mixed B vs Mixed C (home 8pm) - composite cup</t>
  </si>
  <si>
    <t>Composite B</t>
  </si>
  <si>
    <t>Mixed B vs Mixed C (home)</t>
  </si>
  <si>
    <t>Edenbridge Mens</t>
  </si>
  <si>
    <t>St Piers vs Angel Mens (away 8pm)</t>
  </si>
  <si>
    <t>Lingfield College, St Piers Lane, Lingfield, RH7 6PH</t>
  </si>
  <si>
    <t>Oakwood vs Angel Mens (away 7.30pm)</t>
  </si>
  <si>
    <t>Oakwood School Sports Hall, Smallfield Road Entrance, Horley, Surrey RH6 9AU</t>
  </si>
  <si>
    <t>Chaldon vs Angel Mens (away 7.30pm)</t>
  </si>
  <si>
    <t>Edenbridge Combi</t>
  </si>
  <si>
    <t>Felbridge vs Angel Combi (away 7.30pm 1 court)</t>
  </si>
  <si>
    <t xml:space="preserve">East Grinstead Sports Club, Saint Hill Road, East Grinstead RH19 4JU </t>
  </si>
  <si>
    <t>Angel Combi vs Felbridge (home)</t>
  </si>
  <si>
    <t>Angel Mens vs Felbridge (home)</t>
  </si>
  <si>
    <t>Felbridge vs Angel Mens (away 7:30pm 1 court)</t>
  </si>
  <si>
    <t>Angel Mens vs Chaldon (home)</t>
  </si>
  <si>
    <t>St Piers vs Angel Combi (away 8pm)</t>
  </si>
  <si>
    <t>Tatsfield vs Angel Combi (away)</t>
  </si>
  <si>
    <t>The Village Hall, Westmore Green, Tatsfield TN16 2AG</t>
  </si>
  <si>
    <t>Angel Mens vs St Piers (home)</t>
  </si>
  <si>
    <t>Angel Combi vs Tatsfield (home)</t>
  </si>
  <si>
    <t>Angel Combi vs St Piers (home)</t>
  </si>
  <si>
    <t>Angel Mens vs Oakwood (home)</t>
  </si>
  <si>
    <t>Felbridge vs Edenbridge Combi (away 7.30pm 1 court)
AIT D vs Mens C (away 7.35pm)</t>
  </si>
  <si>
    <t>AIT B vs Mens A (away 7.35pm)</t>
  </si>
  <si>
    <t xml:space="preserve">Mens A vs St Johns B (home)
Ladies 6 vs St Johns A (home)
</t>
  </si>
  <si>
    <t>Sevenoaks A vs Mens A (away 8.15pm)
Sevenoaks C vs Mens C (away 8.15pm)
Masters A vs Trident (home)
Edenbridge Mens vs Felbridge (home)
Edenbridge Ladies vs St Piers (home)</t>
  </si>
  <si>
    <t>Edenbridge Ladies vs Angel (Friendly away 8pm St Piers)</t>
  </si>
  <si>
    <t>Geoff Brown Cup</t>
  </si>
  <si>
    <t>Mens B vs AIT C (home)
Langton Green vs Mixed C (away 7pm)
Ladies 4s vs Wadhurst (home)</t>
  </si>
  <si>
    <t>Langton Green vs Angel C (away 7pm)</t>
  </si>
  <si>
    <t>Langton Green vs Mixed C (away 7pm) 
St Piers vs Edenbridge Combi (away 8pm)
Sevenoaks B vs Mixed A (away 8.15pm)</t>
  </si>
  <si>
    <t xml:space="preserve">Langton Green vs Angel C (away 7pm) </t>
  </si>
  <si>
    <t>Langton Green vs Mens 4s (away 7.30pm)
Hildenborough vs Ladies 6s (away 8pm)
Peter Welch Cup - St Piers vs Edenbridge Combi (away 8pm)</t>
  </si>
  <si>
    <t>Geoff Brown Cup - Felbridge vs Edenbridge Combi (away 7.30pm)</t>
  </si>
  <si>
    <t>Peter Welch Cup</t>
  </si>
  <si>
    <t>Division</t>
  </si>
  <si>
    <t>away</t>
  </si>
  <si>
    <t>home</t>
  </si>
  <si>
    <t xml:space="preserve">Month </t>
  </si>
  <si>
    <t xml:space="preserve">Day </t>
  </si>
  <si>
    <t>DATE</t>
  </si>
  <si>
    <t>Number from date</t>
  </si>
  <si>
    <t>Year</t>
  </si>
  <si>
    <t>TEAM PLAYING</t>
  </si>
  <si>
    <t>OPPOSITION</t>
  </si>
  <si>
    <t>VENUE</t>
  </si>
  <si>
    <t>START TIME</t>
  </si>
  <si>
    <t>Data row</t>
  </si>
  <si>
    <t>Hilden Grange School TN10 3BX</t>
  </si>
  <si>
    <t>Mixed C vs Mixed B (home)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</si>
</sst>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dd"/>
    <numFmt numFmtId="166" formatCode="[$-F800]dddd\,\ mmmm\ dd\,\ yyyy"/>
  </numFmts>
  <fonts count="20" x14ac:knownFonts="1">
    <font>
      <sz val="9"/>
      <name val="Trebuchet MS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28"/>
      <color theme="1" tint="0.34998626667073579"/>
      <name val="Arial"/>
      <family val="2"/>
      <scheme val="minor"/>
    </font>
    <font>
      <sz val="10"/>
      <color indexed="63"/>
      <name val="Arial"/>
      <family val="2"/>
      <scheme val="minor"/>
    </font>
    <font>
      <sz val="9"/>
      <name val="Trebuchet MS"/>
      <family val="2"/>
      <scheme val="major"/>
    </font>
    <font>
      <b/>
      <sz val="8"/>
      <color theme="0"/>
      <name val="Arial"/>
      <family val="2"/>
      <scheme val="minor"/>
    </font>
    <font>
      <sz val="9"/>
      <color theme="1"/>
      <name val="Trebuchet MS"/>
      <family val="2"/>
      <scheme val="major"/>
    </font>
    <font>
      <sz val="16"/>
      <color theme="1" tint="0.499984740745262"/>
      <name val="Trebuchet MS"/>
      <family val="2"/>
      <scheme val="major"/>
    </font>
    <font>
      <sz val="36"/>
      <color theme="4"/>
      <name val="Trebuchet MS"/>
      <family val="2"/>
      <scheme val="major"/>
    </font>
    <font>
      <sz val="1"/>
      <color theme="0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9"/>
      <color theme="1" tint="0.34998626667073579"/>
      <name val="Arial"/>
      <family val="2"/>
      <scheme val="minor"/>
    </font>
    <font>
      <b/>
      <sz val="8"/>
      <color theme="1" tint="0.34998626667073579"/>
      <name val="Arial"/>
      <family val="2"/>
      <scheme val="minor"/>
    </font>
    <font>
      <b/>
      <sz val="11"/>
      <name val="Tahoma"/>
      <family val="2"/>
    </font>
    <font>
      <b/>
      <sz val="10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  <xf numFmtId="0" fontId="13" fillId="7" borderId="0">
      <alignment horizontal="center"/>
    </xf>
    <xf numFmtId="164" fontId="14" fillId="2" borderId="0" applyNumberFormat="0" applyFill="0" applyBorder="0">
      <alignment wrapText="1"/>
    </xf>
  </cellStyleXfs>
  <cellXfs count="55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6" xfId="7" applyFill="1" applyBorder="1">
      <alignment horizontal="left" vertical="top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1" fillId="0" borderId="0" xfId="10" applyAlignment="1"/>
    <xf numFmtId="0" fontId="13" fillId="7" borderId="0" xfId="13">
      <alignment horizontal="center"/>
    </xf>
    <xf numFmtId="0" fontId="13" fillId="7" borderId="0" xfId="13" applyAlignment="1">
      <alignment horizontal="center"/>
    </xf>
    <xf numFmtId="164" fontId="11" fillId="2" borderId="0" xfId="10" applyNumberFormat="1" applyFill="1" applyBorder="1">
      <alignment horizontal="left" indent="7"/>
    </xf>
    <xf numFmtId="0" fontId="8" fillId="6" borderId="3" xfId="5" applyAlignment="1">
      <alignment horizontal="left" vertical="center" indent="1"/>
    </xf>
    <xf numFmtId="0" fontId="8" fillId="7" borderId="3" xfId="12" applyAlignment="1">
      <alignment horizontal="left" vertical="center" indent="1"/>
    </xf>
    <xf numFmtId="0" fontId="11" fillId="0" borderId="0" xfId="10" applyAlignment="1">
      <alignment horizontal="left" indent="1"/>
    </xf>
    <xf numFmtId="0" fontId="14" fillId="2" borderId="0" xfId="14" applyNumberFormat="1" applyFill="1">
      <alignment wrapText="1"/>
    </xf>
    <xf numFmtId="0" fontId="0" fillId="2" borderId="0" xfId="0" applyFill="1" applyBorder="1">
      <alignment horizontal="left" indent="1"/>
    </xf>
    <xf numFmtId="165" fontId="9" fillId="0" borderId="0" xfId="7" applyFill="1" applyBorder="1">
      <alignment horizontal="left" vertical="top" wrapText="1" indent="1"/>
    </xf>
    <xf numFmtId="165" fontId="9" fillId="0" borderId="0" xfId="8" applyBorder="1">
      <alignment horizontal="left" vertical="top" wrapText="1" indent="1"/>
    </xf>
    <xf numFmtId="0" fontId="0" fillId="0" borderId="0" xfId="0" applyBorder="1">
      <alignment horizontal="left" indent="1"/>
    </xf>
    <xf numFmtId="165" fontId="9" fillId="8" borderId="7" xfId="7" applyFill="1">
      <alignment horizontal="left" vertical="top" wrapText="1" indent="1"/>
    </xf>
    <xf numFmtId="165" fontId="9" fillId="9" borderId="7" xfId="7" applyFill="1">
      <alignment horizontal="left" vertical="top" wrapText="1" indent="1"/>
    </xf>
    <xf numFmtId="0" fontId="0" fillId="10" borderId="0" xfId="0" applyFill="1">
      <alignment horizontal="left" indent="1"/>
    </xf>
    <xf numFmtId="0" fontId="0" fillId="10" borderId="10" xfId="0" applyFill="1" applyBorder="1">
      <alignment horizontal="left" indent="1"/>
    </xf>
    <xf numFmtId="14" fontId="0" fillId="10" borderId="10" xfId="0" applyNumberFormat="1" applyFill="1" applyBorder="1">
      <alignment horizontal="left" indent="1"/>
    </xf>
    <xf numFmtId="0" fontId="0" fillId="11" borderId="0" xfId="0" applyFill="1">
      <alignment horizontal="left" indent="1"/>
    </xf>
    <xf numFmtId="0" fontId="0" fillId="10" borderId="10" xfId="0" applyFill="1" applyBorder="1" applyAlignment="1">
      <alignment horizontal="left" wrapText="1" indent="1"/>
    </xf>
    <xf numFmtId="165" fontId="9" fillId="10" borderId="10" xfId="7" applyFill="1" applyBorder="1">
      <alignment horizontal="left" vertical="top" wrapText="1" indent="1"/>
    </xf>
    <xf numFmtId="0" fontId="2" fillId="12" borderId="0" xfId="0" applyFont="1" applyFill="1">
      <alignment horizontal="left" indent="1"/>
    </xf>
    <xf numFmtId="165" fontId="9" fillId="12" borderId="7" xfId="7" applyFill="1">
      <alignment horizontal="left" vertical="top" wrapText="1" indent="1"/>
    </xf>
    <xf numFmtId="165" fontId="9" fillId="10" borderId="7" xfId="7" applyFill="1">
      <alignment horizontal="left" vertical="top" wrapText="1" indent="1"/>
    </xf>
    <xf numFmtId="14" fontId="0" fillId="13" borderId="10" xfId="0" applyNumberFormat="1" applyFill="1" applyBorder="1">
      <alignment horizontal="left" indent="1"/>
    </xf>
    <xf numFmtId="0" fontId="0" fillId="13" borderId="10" xfId="0" applyFill="1" applyBorder="1">
      <alignment horizontal="left" indent="1"/>
    </xf>
    <xf numFmtId="0" fontId="0" fillId="13" borderId="10" xfId="0" applyFill="1" applyBorder="1" applyAlignment="1">
      <alignment horizontal="left" wrapText="1" indent="1"/>
    </xf>
    <xf numFmtId="0" fontId="2" fillId="0" borderId="0" xfId="0" applyFont="1" applyFill="1" applyBorder="1">
      <alignment horizontal="left" indent="1"/>
    </xf>
    <xf numFmtId="14" fontId="0" fillId="14" borderId="10" xfId="0" applyNumberFormat="1" applyFill="1" applyBorder="1">
      <alignment horizontal="left" indent="1"/>
    </xf>
    <xf numFmtId="0" fontId="0" fillId="14" borderId="10" xfId="0" applyFill="1" applyBorder="1">
      <alignment horizontal="left" indent="1"/>
    </xf>
    <xf numFmtId="165" fontId="9" fillId="14" borderId="10" xfId="7" applyFill="1" applyBorder="1">
      <alignment horizontal="left" vertical="top" wrapText="1" indent="1"/>
    </xf>
    <xf numFmtId="0" fontId="0" fillId="14" borderId="10" xfId="0" applyFill="1" applyBorder="1" applyAlignment="1">
      <alignment horizontal="left" wrapText="1" indent="1"/>
    </xf>
    <xf numFmtId="14" fontId="0" fillId="15" borderId="10" xfId="0" applyNumberFormat="1" applyFill="1" applyBorder="1">
      <alignment horizontal="left" indent="1"/>
    </xf>
    <xf numFmtId="0" fontId="0" fillId="15" borderId="10" xfId="0" applyFill="1" applyBorder="1">
      <alignment horizontal="left" indent="1"/>
    </xf>
    <xf numFmtId="0" fontId="16" fillId="10" borderId="10" xfId="0" applyFont="1" applyFill="1" applyBorder="1" applyAlignment="1"/>
    <xf numFmtId="0" fontId="17" fillId="10" borderId="10" xfId="0" applyFont="1" applyFill="1" applyBorder="1" applyAlignment="1">
      <alignment vertical="center" wrapText="1"/>
    </xf>
    <xf numFmtId="0" fontId="18" fillId="0" borderId="0" xfId="0" applyFont="1" applyAlignment="1"/>
    <xf numFmtId="0" fontId="18" fillId="0" borderId="10" xfId="0" applyFont="1" applyBorder="1" applyAlignment="1"/>
    <xf numFmtId="0" fontId="19" fillId="16" borderId="10" xfId="0" applyFont="1" applyFill="1" applyBorder="1" applyAlignment="1">
      <alignment vertical="center" wrapText="1"/>
    </xf>
    <xf numFmtId="14" fontId="19" fillId="16" borderId="10" xfId="0" applyNumberFormat="1" applyFont="1" applyFill="1" applyBorder="1" applyAlignment="1">
      <alignment vertical="center" wrapText="1"/>
    </xf>
    <xf numFmtId="166" fontId="19" fillId="16" borderId="10" xfId="0" applyNumberFormat="1" applyFont="1" applyFill="1" applyBorder="1" applyAlignment="1">
      <alignment vertical="center" wrapText="1"/>
    </xf>
    <xf numFmtId="165" fontId="0" fillId="0" borderId="9" xfId="9" applyFont="1" applyBorder="1">
      <alignment horizontal="left" vertical="center" wrapText="1" indent="1"/>
    </xf>
    <xf numFmtId="165" fontId="7" fillId="0" borderId="9" xfId="9" applyBorder="1">
      <alignment horizontal="left" vertical="center" wrapText="1" indent="1"/>
    </xf>
    <xf numFmtId="165" fontId="9" fillId="0" borderId="0" xfId="8">
      <alignment horizontal="left" vertical="top" wrapText="1" indent="1"/>
    </xf>
    <xf numFmtId="0" fontId="15" fillId="2" borderId="0" xfId="14" applyNumberFormat="1" applyFont="1" applyFill="1" applyAlignment="1">
      <alignment vertical="center" wrapText="1"/>
    </xf>
  </cellXfs>
  <cellStyles count="15">
    <cellStyle name="40% - Accent1" xfId="1" builtinId="31" customBuiltin="1"/>
    <cellStyle name="Accent1" xfId="3" builtinId="29" customBuiltin="1"/>
    <cellStyle name="Accent5" xfId="4" builtinId="45" customBuiltin="1"/>
    <cellStyle name="Day" xfId="6" xr:uid="{00000000-0005-0000-0000-000003000000}"/>
    <cellStyle name="Day Detail" xfId="7" xr:uid="{00000000-0005-0000-0000-000004000000}"/>
    <cellStyle name="Day Header 1" xfId="5" xr:uid="{00000000-0005-0000-0000-000005000000}"/>
    <cellStyle name="Day Header 2" xfId="12" xr:uid="{00000000-0005-0000-0000-000006000000}"/>
    <cellStyle name="Heading 1" xfId="2" builtinId="16" customBuiltin="1"/>
    <cellStyle name="Hidden" xfId="11" xr:uid="{00000000-0005-0000-0000-000008000000}"/>
    <cellStyle name="Month" xfId="10" xr:uid="{00000000-0005-0000-0000-000009000000}"/>
    <cellStyle name="Normal" xfId="0" builtinId="0" customBuiltin="1"/>
    <cellStyle name="Notes" xfId="8" xr:uid="{00000000-0005-0000-0000-00000B000000}"/>
    <cellStyle name="Notes Header" xfId="9" xr:uid="{00000000-0005-0000-0000-00000C000000}"/>
    <cellStyle name="Tip" xfId="14" xr:uid="{00000000-0005-0000-0000-00000D000000}"/>
    <cellStyle name="Year" xfId="13" xr:uid="{00000000-0005-0000-0000-00000E000000}"/>
  </cellStyles>
  <dxfs count="9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Academic calendar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K144"/>
  <sheetViews>
    <sheetView showGridLines="0" zoomScaleNormal="100" workbookViewId="0">
      <selection activeCell="J8" sqref="J8:P144"/>
    </sheetView>
  </sheetViews>
  <sheetFormatPr defaultColWidth="9" defaultRowHeight="13.6" x14ac:dyDescent="0.3"/>
  <cols>
    <col min="1" max="1" width="2.7109375" style="1" customWidth="1"/>
    <col min="2" max="8" width="28.7109375" customWidth="1"/>
  </cols>
  <sheetData>
    <row r="1" spans="1:11" s="1" customFormat="1" ht="46.2" x14ac:dyDescent="0.75">
      <c r="B1" s="13">
        <v>2019</v>
      </c>
      <c r="C1" s="17" t="s">
        <v>3</v>
      </c>
      <c r="D1" s="11"/>
      <c r="E1" s="18"/>
      <c r="F1" s="18"/>
      <c r="G1" s="54" t="s">
        <v>2</v>
      </c>
      <c r="H1" s="54"/>
      <c r="J1" s="24"/>
      <c r="K1" s="3" t="s">
        <v>7</v>
      </c>
    </row>
    <row r="2" spans="1:11" s="1" customFormat="1" ht="46.2" x14ac:dyDescent="0.75">
      <c r="B2" s="10"/>
      <c r="C2"/>
      <c r="D2" s="4"/>
      <c r="E2" s="4"/>
      <c r="F2" s="4"/>
      <c r="G2" s="4"/>
      <c r="J2" s="23"/>
      <c r="K2" s="3" t="s">
        <v>8</v>
      </c>
    </row>
    <row r="3" spans="1:11" s="3" customFormat="1" ht="14.95" x14ac:dyDescent="0.3">
      <c r="A3" s="2"/>
      <c r="B3" s="15" t="s">
        <v>1</v>
      </c>
      <c r="C3" s="16" t="str">
        <f>UPPER(TEXT(C4,"dddd"))</f>
        <v>TUESDAY</v>
      </c>
      <c r="D3" s="15" t="str">
        <f t="shared" ref="D3:H3" si="0">UPPER(TEXT(D4,"dddd"))</f>
        <v>WEDNESDAY</v>
      </c>
      <c r="E3" s="16" t="str">
        <f t="shared" si="0"/>
        <v>THURSDAY</v>
      </c>
      <c r="F3" s="15" t="str">
        <f t="shared" si="0"/>
        <v>FRIDAY</v>
      </c>
      <c r="G3" s="16" t="str">
        <f t="shared" si="0"/>
        <v>SATURDAY</v>
      </c>
      <c r="H3" s="15" t="str">
        <f t="shared" si="0"/>
        <v>SUNDAY</v>
      </c>
      <c r="J3" s="31"/>
      <c r="K3" s="3" t="s">
        <v>198</v>
      </c>
    </row>
    <row r="4" spans="1:11" ht="21.1" x14ac:dyDescent="0.3">
      <c r="B4" s="5">
        <f t="array" ref="B4:H4">Days+1+DATE(Calendar1Year,Calendar1MonthOption,1)-WEEKDAY(DATE(Calendar1Year,Calendar1MonthOption,1),WeekdayOption)</f>
        <v>43703</v>
      </c>
      <c r="C4" s="5">
        <v>43704</v>
      </c>
      <c r="D4" s="5">
        <v>43705</v>
      </c>
      <c r="E4" s="5">
        <v>43706</v>
      </c>
      <c r="F4" s="5">
        <v>43707</v>
      </c>
      <c r="G4" s="5">
        <v>43708</v>
      </c>
      <c r="H4" s="7">
        <v>43709</v>
      </c>
      <c r="K4" s="37" t="s">
        <v>199</v>
      </c>
    </row>
    <row r="5" spans="1:11" x14ac:dyDescent="0.3">
      <c r="B5" s="6"/>
      <c r="C5" s="6"/>
      <c r="D5" s="6"/>
      <c r="E5" s="6"/>
      <c r="F5" s="6"/>
      <c r="G5" s="6"/>
      <c r="H5" s="8"/>
    </row>
    <row r="6" spans="1:11" ht="21.1" x14ac:dyDescent="0.3">
      <c r="B6" s="5">
        <f t="array" ref="B6:H6">Days+8+DATE(Calendar1Year,Calendar1MonthOption,1)-WEEKDAY(DATE(Calendar1Year,Calendar1MonthOption,1),WeekdayOption)</f>
        <v>43710</v>
      </c>
      <c r="C6" s="5">
        <v>43711</v>
      </c>
      <c r="D6" s="5">
        <v>43712</v>
      </c>
      <c r="E6" s="5">
        <v>43713</v>
      </c>
      <c r="F6" s="5">
        <v>43714</v>
      </c>
      <c r="G6" s="5">
        <v>43715</v>
      </c>
      <c r="H6" s="7">
        <v>43716</v>
      </c>
    </row>
    <row r="7" spans="1:11" x14ac:dyDescent="0.3">
      <c r="B7" s="6"/>
      <c r="C7" s="6"/>
      <c r="D7" s="6"/>
      <c r="E7" s="6"/>
      <c r="F7" s="6"/>
      <c r="G7" s="6"/>
      <c r="H7" s="8"/>
    </row>
    <row r="8" spans="1:11" ht="21.1" x14ac:dyDescent="0.3">
      <c r="B8" s="5">
        <f t="array" ref="B8:H8">Days+15+DATE(Calendar1Year,Calendar1MonthOption,1)-WEEKDAY(DATE(Calendar1Year,Calendar1MonthOption,1),WeekdayOption)</f>
        <v>43717</v>
      </c>
      <c r="C8" s="5">
        <v>43718</v>
      </c>
      <c r="D8" s="5">
        <v>43719</v>
      </c>
      <c r="E8" s="5">
        <v>43720</v>
      </c>
      <c r="F8" s="5">
        <v>43721</v>
      </c>
      <c r="G8" s="5">
        <v>43722</v>
      </c>
      <c r="H8" s="7">
        <v>43723</v>
      </c>
    </row>
    <row r="9" spans="1:11" x14ac:dyDescent="0.3">
      <c r="B9" s="6"/>
      <c r="C9" s="6"/>
      <c r="D9" s="6"/>
      <c r="E9" s="6"/>
      <c r="F9" s="6"/>
      <c r="G9" s="6"/>
      <c r="H9" s="8"/>
    </row>
    <row r="10" spans="1:11" ht="21.1" x14ac:dyDescent="0.3">
      <c r="B10" s="5">
        <f t="array" ref="B10:H10">Days+22+DATE(Calendar1Year,Calendar1MonthOption,1)-WEEKDAY(DATE(Calendar1Year,Calendar1MonthOption,1),WeekdayOption)</f>
        <v>43724</v>
      </c>
      <c r="C10" s="5">
        <v>43725</v>
      </c>
      <c r="D10" s="5">
        <v>43726</v>
      </c>
      <c r="E10" s="5">
        <v>43727</v>
      </c>
      <c r="F10" s="5">
        <v>43728</v>
      </c>
      <c r="G10" s="5">
        <v>43729</v>
      </c>
      <c r="H10" s="7">
        <v>43730</v>
      </c>
    </row>
    <row r="11" spans="1:11" x14ac:dyDescent="0.3">
      <c r="B11" s="6"/>
      <c r="C11" s="6"/>
      <c r="D11" s="6"/>
      <c r="E11" s="6"/>
      <c r="F11" s="6"/>
      <c r="G11" s="6"/>
      <c r="H11" s="8"/>
    </row>
    <row r="12" spans="1:11" ht="21.1" x14ac:dyDescent="0.3">
      <c r="B12" s="5">
        <f t="array" ref="B12:H12">Days+29+DATE(Calendar1Year,Calendar1MonthOption,1)-WEEKDAY(DATE(Calendar1Year,Calendar1MonthOption,1),WeekdayOption)</f>
        <v>43731</v>
      </c>
      <c r="C12" s="5">
        <v>43732</v>
      </c>
      <c r="D12" s="5">
        <v>43733</v>
      </c>
      <c r="E12" s="5">
        <v>43734</v>
      </c>
      <c r="F12" s="5">
        <v>43735</v>
      </c>
      <c r="G12" s="5">
        <v>43736</v>
      </c>
      <c r="H12" s="7">
        <v>43737</v>
      </c>
    </row>
    <row r="13" spans="1:11" ht="51.8" customHeight="1" x14ac:dyDescent="0.3">
      <c r="B13" s="6"/>
      <c r="C13" s="6"/>
      <c r="D13" s="6"/>
      <c r="E13" s="6"/>
      <c r="F13" s="6" t="s">
        <v>51</v>
      </c>
      <c r="G13" s="6"/>
      <c r="H13" s="9"/>
      <c r="I13" s="28"/>
    </row>
    <row r="14" spans="1:11" ht="21.1" x14ac:dyDescent="0.3">
      <c r="B14" s="5">
        <f t="array" ref="B14:C14">Days+36+DATE(Calendar1Year,Calendar1MonthOption,1)-WEEKDAY(DATE(Calendar1Year,Calendar1MonthOption,1),WeekdayOption)</f>
        <v>43738</v>
      </c>
      <c r="C14" s="5">
        <v>43739</v>
      </c>
      <c r="D14" s="51" t="s">
        <v>0</v>
      </c>
      <c r="E14" s="52"/>
      <c r="F14" s="52"/>
      <c r="G14" s="52"/>
      <c r="H14" s="52"/>
    </row>
    <row r="15" spans="1:11" x14ac:dyDescent="0.3">
      <c r="B15" s="6"/>
      <c r="C15" s="6"/>
      <c r="D15" s="53"/>
      <c r="E15" s="53"/>
      <c r="F15" s="53"/>
      <c r="G15" s="53"/>
      <c r="H15" s="53"/>
    </row>
    <row r="16" spans="1:11" s="22" customFormat="1" x14ac:dyDescent="0.3">
      <c r="A16" s="19"/>
      <c r="B16" s="20"/>
      <c r="C16" s="20"/>
      <c r="D16" s="21"/>
      <c r="E16" s="21"/>
      <c r="F16" s="21"/>
      <c r="G16" s="21"/>
      <c r="H16" s="21"/>
    </row>
    <row r="17" spans="1:9" s="1" customFormat="1" ht="46.2" x14ac:dyDescent="0.75">
      <c r="B17" s="12">
        <f>YEAR(DATE(Calendar1Year,Calendar1MonthOption+1,1))</f>
        <v>2019</v>
      </c>
      <c r="C17" s="17" t="str">
        <f>TEXT(DATE(Calendar1Year,Calendar1MonthOption+1,1),"mmmm")</f>
        <v>October</v>
      </c>
      <c r="D17" s="14"/>
      <c r="E17" s="4"/>
      <c r="F17" s="4"/>
      <c r="G17" s="4"/>
    </row>
    <row r="18" spans="1:9" s="1" customFormat="1" ht="46.2" x14ac:dyDescent="0.75">
      <c r="B18" s="10"/>
      <c r="C18"/>
      <c r="D18" s="4"/>
      <c r="E18" s="4"/>
      <c r="F18" s="4"/>
      <c r="G18" s="4"/>
    </row>
    <row r="19" spans="1:9" s="3" customFormat="1" ht="14.95" x14ac:dyDescent="0.3">
      <c r="A19" s="2"/>
      <c r="B19" s="15" t="str">
        <f>UPPER(TEXT(B20,"dddd"))</f>
        <v>MONDAY</v>
      </c>
      <c r="C19" s="16" t="str">
        <f t="shared" ref="C19:H19" si="1">UPPER(TEXT(C20,"dddd"))</f>
        <v>TUESDAY</v>
      </c>
      <c r="D19" s="15" t="str">
        <f t="shared" si="1"/>
        <v>WEDNESDAY</v>
      </c>
      <c r="E19" s="16" t="str">
        <f t="shared" si="1"/>
        <v>THURSDAY</v>
      </c>
      <c r="F19" s="15" t="str">
        <f t="shared" si="1"/>
        <v>FRIDAY</v>
      </c>
      <c r="G19" s="16" t="str">
        <f t="shared" si="1"/>
        <v>SATURDAY</v>
      </c>
      <c r="H19" s="15" t="str">
        <f t="shared" si="1"/>
        <v>SUNDAY</v>
      </c>
    </row>
    <row r="20" spans="1:9" ht="21.1" x14ac:dyDescent="0.3">
      <c r="B20" s="5">
        <f t="array" ref="B20:H20">Days+1+DATE(Calendar2Year,Calendar2MonthOption,1)-WEEKDAY(DATE(Calendar2Year,Calendar2MonthOption,1),WeekdayOption)</f>
        <v>43738</v>
      </c>
      <c r="C20" s="5">
        <v>43739</v>
      </c>
      <c r="D20" s="5">
        <v>43740</v>
      </c>
      <c r="E20" s="5">
        <v>43741</v>
      </c>
      <c r="F20" s="5">
        <v>43742</v>
      </c>
      <c r="G20" s="5">
        <v>43743</v>
      </c>
      <c r="H20" s="7">
        <v>43744</v>
      </c>
    </row>
    <row r="21" spans="1:9" ht="54.35" x14ac:dyDescent="0.3">
      <c r="B21" s="6"/>
      <c r="C21" s="6"/>
      <c r="D21" s="6"/>
      <c r="E21" s="6"/>
      <c r="F21" s="6" t="s">
        <v>10</v>
      </c>
      <c r="G21" s="6"/>
      <c r="H21" s="8"/>
    </row>
    <row r="22" spans="1:9" ht="21.1" x14ac:dyDescent="0.3">
      <c r="B22" s="5">
        <f t="array" ref="B22:H22">Days+8+DATE(Calendar2Year,Calendar2MonthOption,1)-WEEKDAY(DATE(Calendar2Year,Calendar2MonthOption,1),WeekdayOption)</f>
        <v>43745</v>
      </c>
      <c r="C22" s="5">
        <v>43746</v>
      </c>
      <c r="D22" s="5">
        <v>43747</v>
      </c>
      <c r="E22" s="5">
        <v>43748</v>
      </c>
      <c r="F22" s="5">
        <v>43749</v>
      </c>
      <c r="G22" s="5">
        <v>43750</v>
      </c>
      <c r="H22" s="7">
        <v>43751</v>
      </c>
    </row>
    <row r="23" spans="1:9" ht="40.75" x14ac:dyDescent="0.3">
      <c r="B23" s="6" t="s">
        <v>11</v>
      </c>
      <c r="C23" s="6"/>
      <c r="D23" s="6" t="s">
        <v>40</v>
      </c>
      <c r="E23" s="6"/>
      <c r="F23" s="6" t="s">
        <v>172</v>
      </c>
      <c r="G23" s="6"/>
      <c r="H23" s="8"/>
      <c r="I23" s="28"/>
    </row>
    <row r="24" spans="1:9" ht="21.1" x14ac:dyDescent="0.3">
      <c r="B24" s="5">
        <f t="array" ref="B24:H24">Days+15+DATE(Calendar2Year,Calendar2MonthOption,1)-WEEKDAY(DATE(Calendar2Year,Calendar2MonthOption,1),WeekdayOption)</f>
        <v>43752</v>
      </c>
      <c r="C24" s="5">
        <v>43753</v>
      </c>
      <c r="D24" s="5">
        <v>43754</v>
      </c>
      <c r="E24" s="5">
        <v>43755</v>
      </c>
      <c r="F24" s="5">
        <v>43756</v>
      </c>
      <c r="G24" s="5">
        <v>43757</v>
      </c>
      <c r="H24" s="7">
        <v>43758</v>
      </c>
    </row>
    <row r="25" spans="1:9" ht="67.95" x14ac:dyDescent="0.3">
      <c r="B25" s="6"/>
      <c r="C25" s="6"/>
      <c r="D25" s="6"/>
      <c r="E25" s="6" t="s">
        <v>39</v>
      </c>
      <c r="F25" s="32" t="s">
        <v>190</v>
      </c>
      <c r="G25" s="6"/>
      <c r="H25" s="8"/>
    </row>
    <row r="26" spans="1:9" ht="21.1" x14ac:dyDescent="0.3">
      <c r="B26" s="5">
        <f t="array" ref="B26:H26">Days+22+DATE(Calendar2Year,Calendar2MonthOption,1)-WEEKDAY(DATE(Calendar2Year,Calendar2MonthOption,1),WeekdayOption)</f>
        <v>43759</v>
      </c>
      <c r="C26" s="5">
        <v>43760</v>
      </c>
      <c r="D26" s="5">
        <v>43761</v>
      </c>
      <c r="E26" s="5">
        <v>43762</v>
      </c>
      <c r="F26" s="5">
        <v>43763</v>
      </c>
      <c r="G26" s="5">
        <v>43764</v>
      </c>
      <c r="H26" s="7">
        <v>43765</v>
      </c>
    </row>
    <row r="27" spans="1:9" ht="27.2" x14ac:dyDescent="0.3">
      <c r="B27" s="24"/>
      <c r="C27" s="24"/>
      <c r="D27" s="24"/>
      <c r="E27" s="24" t="s">
        <v>42</v>
      </c>
      <c r="F27" s="24"/>
      <c r="G27" s="24"/>
      <c r="H27" s="8" t="s">
        <v>20</v>
      </c>
      <c r="I27" s="28"/>
    </row>
    <row r="28" spans="1:9" ht="21.1" x14ac:dyDescent="0.3">
      <c r="B28" s="5">
        <f t="array" ref="B28:H28">Days+29+DATE(Calendar2Year,Calendar2MonthOption,1)-WEEKDAY(DATE(Calendar2Year,Calendar2MonthOption,1),WeekdayOption)</f>
        <v>43766</v>
      </c>
      <c r="C28" s="5">
        <v>43767</v>
      </c>
      <c r="D28" s="5">
        <v>43768</v>
      </c>
      <c r="E28" s="5">
        <v>43769</v>
      </c>
      <c r="F28" s="5">
        <v>43770</v>
      </c>
      <c r="G28" s="5">
        <v>43771</v>
      </c>
      <c r="H28" s="7">
        <v>43772</v>
      </c>
    </row>
    <row r="29" spans="1:9" x14ac:dyDescent="0.3">
      <c r="B29" s="6"/>
      <c r="C29" s="6"/>
      <c r="D29" s="6" t="s">
        <v>44</v>
      </c>
      <c r="E29" s="6"/>
      <c r="F29" s="6"/>
      <c r="G29" s="6"/>
      <c r="H29" s="9"/>
    </row>
    <row r="30" spans="1:9" ht="21.1" x14ac:dyDescent="0.3">
      <c r="B30" s="5">
        <f t="array" ref="B30:C30">Days+36+DATE(Calendar2Year,Calendar2MonthOption,1)-WEEKDAY(DATE(Calendar2Year,Calendar2MonthOption,1),WeekdayOption)</f>
        <v>43773</v>
      </c>
      <c r="C30" s="5">
        <v>43774</v>
      </c>
      <c r="D30" s="51" t="s">
        <v>0</v>
      </c>
      <c r="E30" s="52"/>
      <c r="F30" s="52"/>
      <c r="G30" s="52"/>
      <c r="H30" s="52"/>
    </row>
    <row r="31" spans="1:9" x14ac:dyDescent="0.3">
      <c r="B31" s="6"/>
      <c r="C31" s="6"/>
      <c r="D31" s="53"/>
      <c r="E31" s="53"/>
      <c r="F31" s="53"/>
      <c r="G31" s="53"/>
      <c r="H31" s="53"/>
    </row>
    <row r="32" spans="1:9" s="22" customFormat="1" x14ac:dyDescent="0.3">
      <c r="A32" s="19"/>
      <c r="B32" s="20"/>
      <c r="C32" s="20"/>
      <c r="D32" s="21"/>
      <c r="E32" s="21"/>
      <c r="F32" s="21"/>
      <c r="G32" s="21"/>
      <c r="H32" s="21"/>
    </row>
    <row r="33" spans="1:9" s="1" customFormat="1" ht="46.2" x14ac:dyDescent="0.75">
      <c r="B33" s="12">
        <f>YEAR(DATE(Calendar2Year,Calendar2MonthOption+1,1))</f>
        <v>2019</v>
      </c>
      <c r="C33" s="17" t="str">
        <f>TEXT(DATE(Calendar2Year,Calendar2MonthOption+1,1),"mmmm")</f>
        <v>November</v>
      </c>
      <c r="D33" s="4"/>
      <c r="E33" s="4"/>
      <c r="F33" s="4"/>
      <c r="G33" s="4"/>
    </row>
    <row r="34" spans="1:9" s="1" customFormat="1" ht="46.2" x14ac:dyDescent="0.75">
      <c r="B34" s="10"/>
      <c r="C34"/>
      <c r="D34" s="4"/>
      <c r="E34" s="4"/>
      <c r="F34" s="4"/>
      <c r="G34" s="4"/>
    </row>
    <row r="35" spans="1:9" s="3" customFormat="1" ht="14.95" x14ac:dyDescent="0.3">
      <c r="A35" s="2"/>
      <c r="B35" s="15" t="str">
        <f>UPPER(TEXT(B36,"dddd"))</f>
        <v>MONDAY</v>
      </c>
      <c r="C35" s="16" t="str">
        <f t="shared" ref="C35" si="2">UPPER(TEXT(C36,"dddd"))</f>
        <v>TUESDAY</v>
      </c>
      <c r="D35" s="15" t="str">
        <f t="shared" ref="D35" si="3">UPPER(TEXT(D36,"dddd"))</f>
        <v>WEDNESDAY</v>
      </c>
      <c r="E35" s="16" t="str">
        <f t="shared" ref="E35" si="4">UPPER(TEXT(E36,"dddd"))</f>
        <v>THURSDAY</v>
      </c>
      <c r="F35" s="15" t="str">
        <f t="shared" ref="F35" si="5">UPPER(TEXT(F36,"dddd"))</f>
        <v>FRIDAY</v>
      </c>
      <c r="G35" s="16" t="str">
        <f t="shared" ref="G35" si="6">UPPER(TEXT(G36,"dddd"))</f>
        <v>SATURDAY</v>
      </c>
      <c r="H35" s="15" t="str">
        <f t="shared" ref="H35" si="7">UPPER(TEXT(H36,"dddd"))</f>
        <v>SUNDAY</v>
      </c>
    </row>
    <row r="36" spans="1:9" ht="21.1" x14ac:dyDescent="0.3">
      <c r="B36" s="5">
        <f t="array" ref="B36:H36">Days+1+DATE(Calendar3Year,Calendar3MonthOption,1)-WEEKDAY(DATE(Calendar3Year,Calendar3MonthOption,1),WeekdayOption)</f>
        <v>43766</v>
      </c>
      <c r="C36" s="5">
        <v>43767</v>
      </c>
      <c r="D36" s="5">
        <v>43768</v>
      </c>
      <c r="E36" s="5">
        <v>43769</v>
      </c>
      <c r="F36" s="5">
        <v>43770</v>
      </c>
      <c r="G36" s="5">
        <v>43771</v>
      </c>
      <c r="H36" s="7">
        <v>43772</v>
      </c>
    </row>
    <row r="37" spans="1:9" ht="108.7" x14ac:dyDescent="0.3">
      <c r="B37" s="6"/>
      <c r="C37" s="6"/>
      <c r="D37" s="6"/>
      <c r="E37" s="6"/>
      <c r="F37" s="6" t="s">
        <v>36</v>
      </c>
      <c r="G37" s="6"/>
      <c r="H37" s="8" t="s">
        <v>19</v>
      </c>
    </row>
    <row r="38" spans="1:9" ht="21.1" x14ac:dyDescent="0.3">
      <c r="B38" s="5">
        <f t="array" ref="B38:H38">Days+8+DATE(Calendar3Year,Calendar3MonthOption,1)-WEEKDAY(DATE(Calendar3Year,Calendar3MonthOption,1),WeekdayOption)</f>
        <v>43773</v>
      </c>
      <c r="C38" s="5">
        <v>43774</v>
      </c>
      <c r="D38" s="5">
        <v>43775</v>
      </c>
      <c r="E38" s="5">
        <v>43776</v>
      </c>
      <c r="F38" s="5">
        <v>43777</v>
      </c>
      <c r="G38" s="5">
        <v>43778</v>
      </c>
      <c r="H38" s="7">
        <v>43779</v>
      </c>
    </row>
    <row r="39" spans="1:9" ht="67.95" x14ac:dyDescent="0.3">
      <c r="B39" s="6" t="s">
        <v>229</v>
      </c>
      <c r="C39" s="6"/>
      <c r="D39" s="6" t="s">
        <v>45</v>
      </c>
      <c r="E39" s="6"/>
      <c r="F39" s="6" t="s">
        <v>4</v>
      </c>
      <c r="G39" s="6"/>
      <c r="H39" s="8"/>
      <c r="I39" s="28"/>
    </row>
    <row r="40" spans="1:9" ht="21.1" x14ac:dyDescent="0.3">
      <c r="B40" s="5">
        <f t="array" ref="B40:H40">Days+15+DATE(Calendar3Year,Calendar3MonthOption,1)-WEEKDAY(DATE(Calendar3Year,Calendar3MonthOption,1),WeekdayOption)</f>
        <v>43780</v>
      </c>
      <c r="C40" s="5">
        <v>43781</v>
      </c>
      <c r="D40" s="5">
        <v>43782</v>
      </c>
      <c r="E40" s="5">
        <v>43783</v>
      </c>
      <c r="F40" s="5">
        <v>43784</v>
      </c>
      <c r="G40" s="5">
        <v>43785</v>
      </c>
      <c r="H40" s="7">
        <v>43786</v>
      </c>
    </row>
    <row r="41" spans="1:9" ht="54.35" x14ac:dyDescent="0.3">
      <c r="B41" s="6" t="s">
        <v>12</v>
      </c>
      <c r="C41" s="6"/>
      <c r="D41" s="6" t="s">
        <v>5</v>
      </c>
      <c r="E41" s="6" t="s">
        <v>43</v>
      </c>
      <c r="F41" s="23" t="s">
        <v>30</v>
      </c>
      <c r="G41" s="6"/>
      <c r="H41" s="8"/>
    </row>
    <row r="42" spans="1:9" ht="21.1" x14ac:dyDescent="0.3">
      <c r="B42" s="5">
        <f t="array" ref="B42:H42">Days+22+DATE(Calendar3Year,Calendar3MonthOption,1)-WEEKDAY(DATE(Calendar3Year,Calendar3MonthOption,1),WeekdayOption)</f>
        <v>43787</v>
      </c>
      <c r="C42" s="5">
        <v>43788</v>
      </c>
      <c r="D42" s="5">
        <v>43789</v>
      </c>
      <c r="E42" s="5">
        <v>43790</v>
      </c>
      <c r="F42" s="5">
        <v>43791</v>
      </c>
      <c r="G42" s="5">
        <v>43792</v>
      </c>
      <c r="H42" s="7">
        <v>43793</v>
      </c>
    </row>
    <row r="43" spans="1:9" ht="108.7" x14ac:dyDescent="0.3">
      <c r="B43" s="6" t="s">
        <v>21</v>
      </c>
      <c r="C43" s="6"/>
      <c r="D43" s="6" t="s">
        <v>165</v>
      </c>
      <c r="E43" s="6"/>
      <c r="F43" s="32" t="s">
        <v>177</v>
      </c>
      <c r="G43" s="6"/>
      <c r="H43" s="8" t="s">
        <v>13</v>
      </c>
      <c r="I43" s="28"/>
    </row>
    <row r="44" spans="1:9" ht="21.1" x14ac:dyDescent="0.3">
      <c r="B44" s="5">
        <f t="array" ref="B44:H44">Days+29+DATE(Calendar3Year,Calendar3MonthOption,1)-WEEKDAY(DATE(Calendar3Year,Calendar3MonthOption,1),WeekdayOption)</f>
        <v>43794</v>
      </c>
      <c r="C44" s="5">
        <v>43795</v>
      </c>
      <c r="D44" s="5">
        <v>43796</v>
      </c>
      <c r="E44" s="5">
        <v>43797</v>
      </c>
      <c r="F44" s="5">
        <v>43798</v>
      </c>
      <c r="G44" s="5">
        <v>43799</v>
      </c>
      <c r="H44" s="7">
        <v>43800</v>
      </c>
    </row>
    <row r="45" spans="1:9" ht="95.1" x14ac:dyDescent="0.3">
      <c r="B45" s="6" t="s">
        <v>28</v>
      </c>
      <c r="C45" s="6"/>
      <c r="D45" s="6" t="s">
        <v>240</v>
      </c>
      <c r="E45" s="6"/>
      <c r="F45" s="33" t="s">
        <v>175</v>
      </c>
      <c r="G45" s="6"/>
      <c r="H45" s="9"/>
    </row>
    <row r="46" spans="1:9" ht="21.1" x14ac:dyDescent="0.3">
      <c r="B46" s="5">
        <f t="array" ref="B46:C46">Days+36+DATE(Calendar3Year,Calendar3MonthOption,1)-WEEKDAY(DATE(Calendar3Year,Calendar3MonthOption,1),WeekdayOption)</f>
        <v>43801</v>
      </c>
      <c r="C46" s="5">
        <v>43802</v>
      </c>
      <c r="D46" s="51" t="s">
        <v>0</v>
      </c>
      <c r="E46" s="52"/>
      <c r="F46" s="52"/>
      <c r="G46" s="52"/>
      <c r="H46" s="52"/>
    </row>
    <row r="47" spans="1:9" x14ac:dyDescent="0.3">
      <c r="B47" s="6"/>
      <c r="C47" s="6"/>
      <c r="D47" s="53"/>
      <c r="E47" s="53"/>
      <c r="F47" s="53"/>
      <c r="G47" s="53"/>
      <c r="H47" s="53"/>
    </row>
    <row r="48" spans="1:9" s="22" customFormat="1" x14ac:dyDescent="0.3">
      <c r="A48" s="19"/>
      <c r="B48" s="20"/>
      <c r="C48" s="20"/>
      <c r="D48" s="21"/>
      <c r="E48" s="21"/>
      <c r="F48" s="21"/>
      <c r="G48" s="21"/>
      <c r="H48" s="21"/>
    </row>
    <row r="49" spans="1:9" s="1" customFormat="1" ht="46.2" x14ac:dyDescent="0.75">
      <c r="B49" s="12">
        <f>YEAR(DATE(Calendar3Year,Calendar3MonthOption+1,1))</f>
        <v>2019</v>
      </c>
      <c r="C49" s="17" t="str">
        <f>TEXT(DATE(Calendar3Year,Calendar3MonthOption+1,1),"mmmm")</f>
        <v>December</v>
      </c>
      <c r="D49" s="4"/>
      <c r="E49" s="4"/>
      <c r="F49" s="4"/>
      <c r="G49" s="4"/>
    </row>
    <row r="50" spans="1:9" s="1" customFormat="1" ht="46.2" x14ac:dyDescent="0.75">
      <c r="B50" s="10"/>
      <c r="C50"/>
      <c r="D50" s="4"/>
      <c r="E50" s="4"/>
      <c r="F50" s="4"/>
      <c r="G50" s="4"/>
    </row>
    <row r="51" spans="1:9" s="3" customFormat="1" ht="14.95" x14ac:dyDescent="0.3">
      <c r="A51" s="2"/>
      <c r="B51" s="15" t="str">
        <f>UPPER(TEXT(B52,"dddd"))</f>
        <v>MONDAY</v>
      </c>
      <c r="C51" s="16" t="str">
        <f t="shared" ref="C51" si="8">UPPER(TEXT(C52,"dddd"))</f>
        <v>TUESDAY</v>
      </c>
      <c r="D51" s="15" t="str">
        <f t="shared" ref="D51" si="9">UPPER(TEXT(D52,"dddd"))</f>
        <v>WEDNESDAY</v>
      </c>
      <c r="E51" s="16" t="str">
        <f t="shared" ref="E51" si="10">UPPER(TEXT(E52,"dddd"))</f>
        <v>THURSDAY</v>
      </c>
      <c r="F51" s="15" t="str">
        <f t="shared" ref="F51" si="11">UPPER(TEXT(F52,"dddd"))</f>
        <v>FRIDAY</v>
      </c>
      <c r="G51" s="16" t="str">
        <f t="shared" ref="G51" si="12">UPPER(TEXT(G52,"dddd"))</f>
        <v>SATURDAY</v>
      </c>
      <c r="H51" s="15" t="str">
        <f t="shared" ref="H51" si="13">UPPER(TEXT(H52,"dddd"))</f>
        <v>SUNDAY</v>
      </c>
    </row>
    <row r="52" spans="1:9" ht="21.1" x14ac:dyDescent="0.3">
      <c r="B52" s="5">
        <f t="array" ref="B52:H52">Days+1+DATE(Calendar4Year,Calendar4MonthOption,1)-WEEKDAY(DATE(Calendar4Year,Calendar4MonthOption,1),WeekdayOption)</f>
        <v>43794</v>
      </c>
      <c r="C52" s="5">
        <v>43795</v>
      </c>
      <c r="D52" s="5">
        <v>43796</v>
      </c>
      <c r="E52" s="5">
        <v>43797</v>
      </c>
      <c r="F52" s="5">
        <v>43798</v>
      </c>
      <c r="G52" s="5">
        <v>43799</v>
      </c>
      <c r="H52" s="7">
        <v>43800</v>
      </c>
    </row>
    <row r="53" spans="1:9" x14ac:dyDescent="0.3">
      <c r="B53" s="6"/>
      <c r="C53" s="6"/>
      <c r="D53" s="6"/>
      <c r="E53" s="6"/>
      <c r="F53" s="6"/>
      <c r="G53" s="6"/>
      <c r="H53" s="8"/>
    </row>
    <row r="54" spans="1:9" ht="21.1" x14ac:dyDescent="0.3">
      <c r="B54" s="5">
        <f t="array" ref="B54:H54">Days+8+DATE(Calendar4Year,Calendar4MonthOption,1)-WEEKDAY(DATE(Calendar4Year,Calendar4MonthOption,1),WeekdayOption)</f>
        <v>43801</v>
      </c>
      <c r="C54" s="5">
        <v>43802</v>
      </c>
      <c r="D54" s="5">
        <v>43803</v>
      </c>
      <c r="E54" s="5">
        <v>43804</v>
      </c>
      <c r="F54" s="5">
        <v>43805</v>
      </c>
      <c r="G54" s="5">
        <v>43806</v>
      </c>
      <c r="H54" s="7">
        <v>43807</v>
      </c>
    </row>
    <row r="55" spans="1:9" ht="122.3" x14ac:dyDescent="0.3">
      <c r="B55" s="6" t="s">
        <v>195</v>
      </c>
      <c r="C55" s="6"/>
      <c r="D55" s="6" t="s">
        <v>9</v>
      </c>
      <c r="E55" s="6" t="s">
        <v>196</v>
      </c>
      <c r="F55" s="32" t="s">
        <v>232</v>
      </c>
      <c r="G55" s="6"/>
      <c r="H55" s="8"/>
      <c r="I55" s="28"/>
    </row>
    <row r="56" spans="1:9" ht="21.1" x14ac:dyDescent="0.3">
      <c r="B56" s="5">
        <f t="array" ref="B56:H56">Days+15+DATE(Calendar4Year,Calendar4MonthOption,1)-WEEKDAY(DATE(Calendar4Year,Calendar4MonthOption,1),WeekdayOption)</f>
        <v>43808</v>
      </c>
      <c r="C56" s="5">
        <v>43809</v>
      </c>
      <c r="D56" s="5">
        <v>43810</v>
      </c>
      <c r="E56" s="5">
        <v>43811</v>
      </c>
      <c r="F56" s="5">
        <v>43812</v>
      </c>
      <c r="G56" s="5">
        <v>43813</v>
      </c>
      <c r="H56" s="7">
        <v>43814</v>
      </c>
    </row>
    <row r="57" spans="1:9" ht="67.95" x14ac:dyDescent="0.3">
      <c r="B57" s="6" t="s">
        <v>230</v>
      </c>
      <c r="C57" s="6"/>
      <c r="D57" s="6" t="s">
        <v>176</v>
      </c>
      <c r="E57" s="6"/>
      <c r="F57" s="33" t="s">
        <v>201</v>
      </c>
      <c r="G57" s="6"/>
      <c r="H57" s="8"/>
    </row>
    <row r="58" spans="1:9" ht="21.1" x14ac:dyDescent="0.3">
      <c r="B58" s="5">
        <f t="array" ref="B58:H58">Days+22+DATE(Calendar4Year,Calendar4MonthOption,1)-WEEKDAY(DATE(Calendar4Year,Calendar4MonthOption,1),WeekdayOption)</f>
        <v>43815</v>
      </c>
      <c r="C58" s="5">
        <v>43816</v>
      </c>
      <c r="D58" s="5">
        <v>43817</v>
      </c>
      <c r="E58" s="5">
        <v>43818</v>
      </c>
      <c r="F58" s="5">
        <v>43819</v>
      </c>
      <c r="G58" s="5">
        <v>43820</v>
      </c>
      <c r="H58" s="7">
        <v>43821</v>
      </c>
    </row>
    <row r="59" spans="1:9" ht="27.2" x14ac:dyDescent="0.3">
      <c r="B59" s="6" t="s">
        <v>29</v>
      </c>
      <c r="C59" s="6"/>
      <c r="D59" s="6" t="s">
        <v>26</v>
      </c>
      <c r="E59" s="24" t="s">
        <v>46</v>
      </c>
      <c r="F59" s="24"/>
      <c r="G59" s="24"/>
      <c r="H59" s="24"/>
      <c r="I59" s="28"/>
    </row>
    <row r="60" spans="1:9" ht="21.1" x14ac:dyDescent="0.3">
      <c r="B60" s="5">
        <f t="array" ref="B60:H60">Days+29+DATE(Calendar4Year,Calendar4MonthOption,1)-WEEKDAY(DATE(Calendar4Year,Calendar4MonthOption,1),WeekdayOption)</f>
        <v>43822</v>
      </c>
      <c r="C60" s="5">
        <v>43823</v>
      </c>
      <c r="D60" s="5">
        <v>43824</v>
      </c>
      <c r="E60" s="5">
        <v>43825</v>
      </c>
      <c r="F60" s="5">
        <v>43826</v>
      </c>
      <c r="G60" s="5">
        <v>43827</v>
      </c>
      <c r="H60" s="7">
        <v>43828</v>
      </c>
    </row>
    <row r="61" spans="1:9" x14ac:dyDescent="0.3">
      <c r="B61" s="24"/>
      <c r="C61" s="24"/>
      <c r="D61" s="24"/>
      <c r="E61" s="24"/>
      <c r="F61" s="24"/>
      <c r="G61" s="24"/>
      <c r="H61" s="24"/>
    </row>
    <row r="62" spans="1:9" ht="21.1" x14ac:dyDescent="0.3">
      <c r="B62" s="5">
        <f t="array" ref="B62:C62">Days+36+DATE(Calendar4Year,Calendar4MonthOption,1)-WEEKDAY(DATE(Calendar4Year,Calendar4MonthOption,1),WeekdayOption)</f>
        <v>43829</v>
      </c>
      <c r="C62" s="5">
        <v>43830</v>
      </c>
      <c r="D62" s="51" t="s">
        <v>0</v>
      </c>
      <c r="E62" s="52"/>
      <c r="F62" s="52"/>
      <c r="G62" s="52"/>
      <c r="H62" s="52"/>
    </row>
    <row r="63" spans="1:9" x14ac:dyDescent="0.3">
      <c r="B63" s="24"/>
      <c r="C63" s="6"/>
      <c r="D63" s="53"/>
      <c r="E63" s="53"/>
      <c r="F63" s="53"/>
      <c r="G63" s="53"/>
      <c r="H63" s="53"/>
    </row>
    <row r="64" spans="1:9" s="22" customFormat="1" x14ac:dyDescent="0.3">
      <c r="A64" s="19"/>
      <c r="B64" s="20"/>
      <c r="C64" s="20"/>
      <c r="D64" s="21"/>
      <c r="E64" s="21"/>
      <c r="F64" s="21"/>
      <c r="G64" s="21"/>
      <c r="H64" s="21"/>
    </row>
    <row r="65" spans="1:9" s="1" customFormat="1" ht="46.2" x14ac:dyDescent="0.75">
      <c r="B65" s="12">
        <f>YEAR(DATE(Calendar4Year,Calendar4MonthOption+1,1))</f>
        <v>2020</v>
      </c>
      <c r="C65" s="17" t="str">
        <f>TEXT(DATE(Calendar4Year,Calendar4MonthOption+1,1),"mmmm")</f>
        <v>January</v>
      </c>
      <c r="D65" s="4"/>
      <c r="E65" s="4"/>
      <c r="F65" s="4"/>
      <c r="G65" s="4"/>
    </row>
    <row r="66" spans="1:9" s="1" customFormat="1" ht="46.2" x14ac:dyDescent="0.75">
      <c r="B66" s="10"/>
      <c r="C66"/>
      <c r="D66" s="4"/>
      <c r="E66" s="4"/>
      <c r="F66" s="4"/>
      <c r="G66" s="4"/>
    </row>
    <row r="67" spans="1:9" s="3" customFormat="1" ht="14.95" x14ac:dyDescent="0.3">
      <c r="A67" s="2"/>
      <c r="B67" s="15" t="str">
        <f>UPPER(TEXT(B68,"dddd"))</f>
        <v>MONDAY</v>
      </c>
      <c r="C67" s="16" t="str">
        <f t="shared" ref="C67" si="14">UPPER(TEXT(C68,"dddd"))</f>
        <v>TUESDAY</v>
      </c>
      <c r="D67" s="15" t="str">
        <f t="shared" ref="D67" si="15">UPPER(TEXT(D68,"dddd"))</f>
        <v>WEDNESDAY</v>
      </c>
      <c r="E67" s="16" t="str">
        <f t="shared" ref="E67" si="16">UPPER(TEXT(E68,"dddd"))</f>
        <v>THURSDAY</v>
      </c>
      <c r="F67" s="15" t="str">
        <f t="shared" ref="F67" si="17">UPPER(TEXT(F68,"dddd"))</f>
        <v>FRIDAY</v>
      </c>
      <c r="G67" s="16" t="str">
        <f t="shared" ref="G67" si="18">UPPER(TEXT(G68,"dddd"))</f>
        <v>SATURDAY</v>
      </c>
      <c r="H67" s="15" t="str">
        <f t="shared" ref="H67" si="19">UPPER(TEXT(H68,"dddd"))</f>
        <v>SUNDAY</v>
      </c>
    </row>
    <row r="68" spans="1:9" ht="21.1" x14ac:dyDescent="0.3">
      <c r="B68" s="5">
        <f t="array" ref="B68:H68">Days+1+DATE(Calendar5Year,Calendar5MonthOption,1)-WEEKDAY(DATE(Calendar5Year,Calendar5MonthOption,1),WeekdayOption)</f>
        <v>43829</v>
      </c>
      <c r="C68" s="5">
        <v>43830</v>
      </c>
      <c r="D68" s="5">
        <v>43831</v>
      </c>
      <c r="E68" s="5">
        <v>43832</v>
      </c>
      <c r="F68" s="5">
        <v>43833</v>
      </c>
      <c r="G68" s="5">
        <v>43834</v>
      </c>
      <c r="H68" s="7">
        <v>43835</v>
      </c>
    </row>
    <row r="69" spans="1:9" ht="81.55" x14ac:dyDescent="0.3">
      <c r="B69" s="6"/>
      <c r="C69" s="24"/>
      <c r="D69" s="24"/>
      <c r="E69" s="24"/>
      <c r="F69" s="32" t="s">
        <v>34</v>
      </c>
      <c r="G69" s="6"/>
      <c r="H69" s="8" t="s">
        <v>17</v>
      </c>
      <c r="I69" s="28"/>
    </row>
    <row r="70" spans="1:9" ht="21.1" x14ac:dyDescent="0.3">
      <c r="B70" s="5">
        <f t="array" ref="B70:H70">Days+8+DATE(Calendar5Year,Calendar5MonthOption,1)-WEEKDAY(DATE(Calendar5Year,Calendar5MonthOption,1),WeekdayOption)</f>
        <v>43836</v>
      </c>
      <c r="C70" s="5">
        <v>43837</v>
      </c>
      <c r="D70" s="5">
        <v>43838</v>
      </c>
      <c r="E70" s="5">
        <v>43839</v>
      </c>
      <c r="F70" s="5">
        <v>43840</v>
      </c>
      <c r="G70" s="5">
        <v>43841</v>
      </c>
      <c r="H70" s="7">
        <v>43842</v>
      </c>
    </row>
    <row r="71" spans="1:9" ht="81.55" x14ac:dyDescent="0.3">
      <c r="B71" s="6" t="s">
        <v>15</v>
      </c>
      <c r="C71" s="6"/>
      <c r="D71" s="6"/>
      <c r="E71" s="6"/>
      <c r="F71" s="6" t="s">
        <v>31</v>
      </c>
      <c r="G71" s="6"/>
      <c r="H71" s="8" t="s">
        <v>35</v>
      </c>
    </row>
    <row r="72" spans="1:9" ht="21.1" x14ac:dyDescent="0.3">
      <c r="B72" s="5">
        <f t="array" ref="B72:H72">Days+15+DATE(Calendar5Year,Calendar5MonthOption,1)-WEEKDAY(DATE(Calendar5Year,Calendar5MonthOption,1),WeekdayOption)</f>
        <v>43843</v>
      </c>
      <c r="C72" s="5">
        <v>43844</v>
      </c>
      <c r="D72" s="5">
        <v>43845</v>
      </c>
      <c r="E72" s="5">
        <v>43846</v>
      </c>
      <c r="F72" s="5">
        <v>43847</v>
      </c>
      <c r="G72" s="5">
        <v>43848</v>
      </c>
      <c r="H72" s="7">
        <v>43849</v>
      </c>
    </row>
    <row r="73" spans="1:9" ht="54.35" x14ac:dyDescent="0.3">
      <c r="B73" s="6" t="s">
        <v>200</v>
      </c>
      <c r="C73" s="6"/>
      <c r="D73" s="6"/>
      <c r="E73" s="6"/>
      <c r="F73" s="6" t="s">
        <v>235</v>
      </c>
      <c r="G73" s="6"/>
      <c r="H73" s="8"/>
      <c r="I73" s="28"/>
    </row>
    <row r="74" spans="1:9" ht="21.1" x14ac:dyDescent="0.3">
      <c r="B74" s="5">
        <f t="array" ref="B74:H74">Days+22+DATE(Calendar5Year,Calendar5MonthOption,1)-WEEKDAY(DATE(Calendar5Year,Calendar5MonthOption,1),WeekdayOption)</f>
        <v>43850</v>
      </c>
      <c r="C74" s="5">
        <v>43851</v>
      </c>
      <c r="D74" s="5">
        <v>43852</v>
      </c>
      <c r="E74" s="5">
        <v>43853</v>
      </c>
      <c r="F74" s="5">
        <v>43854</v>
      </c>
      <c r="G74" s="5">
        <v>43855</v>
      </c>
      <c r="H74" s="7">
        <v>43856</v>
      </c>
    </row>
    <row r="75" spans="1:9" ht="81.55" x14ac:dyDescent="0.3">
      <c r="B75" s="6" t="s">
        <v>16</v>
      </c>
      <c r="C75" s="6"/>
      <c r="D75" s="6" t="s">
        <v>174</v>
      </c>
      <c r="E75" s="6"/>
      <c r="F75" s="33" t="s">
        <v>239</v>
      </c>
      <c r="G75" s="6"/>
      <c r="H75" s="8" t="s">
        <v>18</v>
      </c>
    </row>
    <row r="76" spans="1:9" ht="21.1" x14ac:dyDescent="0.3">
      <c r="B76" s="5">
        <f t="array" ref="B76:H76">Days+29+DATE(Calendar5Year,Calendar5MonthOption,1)-WEEKDAY(DATE(Calendar5Year,Calendar5MonthOption,1),WeekdayOption)</f>
        <v>43857</v>
      </c>
      <c r="C76" s="5">
        <v>43858</v>
      </c>
      <c r="D76" s="5">
        <v>43859</v>
      </c>
      <c r="E76" s="5">
        <v>43860</v>
      </c>
      <c r="F76" s="5">
        <v>43861</v>
      </c>
      <c r="G76" s="5">
        <v>43862</v>
      </c>
      <c r="H76" s="7">
        <v>43863</v>
      </c>
    </row>
    <row r="77" spans="1:9" ht="54.35" x14ac:dyDescent="0.3">
      <c r="B77" s="6" t="s">
        <v>27</v>
      </c>
      <c r="C77" s="6"/>
      <c r="D77" s="6" t="s">
        <v>166</v>
      </c>
      <c r="E77" s="6"/>
      <c r="F77" s="6" t="s">
        <v>168</v>
      </c>
      <c r="G77" s="6"/>
      <c r="H77" s="9"/>
      <c r="I77" s="28"/>
    </row>
    <row r="78" spans="1:9" ht="21.1" x14ac:dyDescent="0.3">
      <c r="B78" s="5">
        <f t="array" ref="B78:C78">Days+36+DATE(Calendar5Year,Calendar5MonthOption,1)-WEEKDAY(DATE(Calendar5Year,Calendar5MonthOption,1),WeekdayOption)</f>
        <v>43864</v>
      </c>
      <c r="C78" s="5">
        <v>43865</v>
      </c>
      <c r="D78" s="51" t="s">
        <v>0</v>
      </c>
      <c r="E78" s="52"/>
      <c r="F78" s="52"/>
      <c r="G78" s="52"/>
      <c r="H78" s="52"/>
    </row>
    <row r="79" spans="1:9" x14ac:dyDescent="0.3">
      <c r="B79" s="6"/>
      <c r="C79" s="6"/>
      <c r="D79" s="53"/>
      <c r="E79" s="53"/>
      <c r="F79" s="53"/>
      <c r="G79" s="53"/>
      <c r="H79" s="53"/>
    </row>
    <row r="80" spans="1:9" s="22" customFormat="1" x14ac:dyDescent="0.3">
      <c r="A80" s="19"/>
      <c r="B80" s="20"/>
      <c r="C80" s="20"/>
      <c r="D80" s="21"/>
      <c r="E80" s="21"/>
      <c r="F80" s="21"/>
      <c r="G80" s="21"/>
      <c r="H80" s="21"/>
    </row>
    <row r="81" spans="1:9" s="1" customFormat="1" ht="46.2" x14ac:dyDescent="0.75">
      <c r="B81" s="12">
        <f>YEAR(DATE(Calendar5Year,Calendar5MonthOption+1,1))</f>
        <v>2020</v>
      </c>
      <c r="C81" s="17" t="str">
        <f>TEXT(DATE(Calendar5Year,Calendar5MonthOption+1,1),"mmmm")</f>
        <v>February</v>
      </c>
      <c r="D81" s="4"/>
      <c r="E81" s="4"/>
      <c r="F81" s="4"/>
      <c r="G81" s="4"/>
    </row>
    <row r="82" spans="1:9" s="1" customFormat="1" ht="46.2" x14ac:dyDescent="0.75">
      <c r="B82" s="10"/>
      <c r="C82"/>
      <c r="D82" s="4"/>
      <c r="E82" s="4"/>
      <c r="F82" s="4"/>
      <c r="G82" s="4"/>
    </row>
    <row r="83" spans="1:9" s="3" customFormat="1" ht="14.95" x14ac:dyDescent="0.3">
      <c r="A83" s="2"/>
      <c r="B83" s="15" t="str">
        <f>UPPER(TEXT(B84,"dddd"))</f>
        <v>MONDAY</v>
      </c>
      <c r="C83" s="16" t="str">
        <f t="shared" ref="C83" si="20">UPPER(TEXT(C84,"dddd"))</f>
        <v>TUESDAY</v>
      </c>
      <c r="D83" s="15" t="str">
        <f t="shared" ref="D83" si="21">UPPER(TEXT(D84,"dddd"))</f>
        <v>WEDNESDAY</v>
      </c>
      <c r="E83" s="16" t="str">
        <f t="shared" ref="E83" si="22">UPPER(TEXT(E84,"dddd"))</f>
        <v>THURSDAY</v>
      </c>
      <c r="F83" s="15" t="str">
        <f t="shared" ref="F83" si="23">UPPER(TEXT(F84,"dddd"))</f>
        <v>FRIDAY</v>
      </c>
      <c r="G83" s="16" t="str">
        <f t="shared" ref="G83" si="24">UPPER(TEXT(G84,"dddd"))</f>
        <v>SATURDAY</v>
      </c>
      <c r="H83" s="15" t="str">
        <f t="shared" ref="H83" si="25">UPPER(TEXT(H84,"dddd"))</f>
        <v>SUNDAY</v>
      </c>
    </row>
    <row r="84" spans="1:9" ht="21.1" x14ac:dyDescent="0.3">
      <c r="B84" s="5">
        <f t="array" ref="B84:H84">Days+1+DATE(Calendar6Year,Calendar6MonthOption,1)-WEEKDAY(DATE(Calendar6Year,Calendar6MonthOption,1),WeekdayOption)</f>
        <v>43857</v>
      </c>
      <c r="C84" s="5">
        <v>43858</v>
      </c>
      <c r="D84" s="5">
        <v>43859</v>
      </c>
      <c r="E84" s="5">
        <v>43860</v>
      </c>
      <c r="F84" s="5">
        <v>43861</v>
      </c>
      <c r="G84" s="5">
        <v>43862</v>
      </c>
      <c r="H84" s="7">
        <v>43863</v>
      </c>
    </row>
    <row r="85" spans="1:9" x14ac:dyDescent="0.3">
      <c r="B85" s="6"/>
      <c r="C85" s="6"/>
      <c r="D85" s="6"/>
      <c r="E85" s="6"/>
      <c r="F85" s="6"/>
      <c r="G85" s="6"/>
      <c r="H85" s="8"/>
    </row>
    <row r="86" spans="1:9" ht="21.1" x14ac:dyDescent="0.3">
      <c r="B86" s="5">
        <f t="array" ref="B86:H86">Days+8+DATE(Calendar6Year,Calendar6MonthOption,1)-WEEKDAY(DATE(Calendar6Year,Calendar6MonthOption,1),WeekdayOption)</f>
        <v>43864</v>
      </c>
      <c r="C86" s="5">
        <v>43865</v>
      </c>
      <c r="D86" s="5">
        <v>43866</v>
      </c>
      <c r="E86" s="5">
        <v>43867</v>
      </c>
      <c r="F86" s="5">
        <v>43868</v>
      </c>
      <c r="G86" s="5">
        <v>43869</v>
      </c>
      <c r="H86" s="7">
        <v>43870</v>
      </c>
    </row>
    <row r="87" spans="1:9" ht="67.95" x14ac:dyDescent="0.3">
      <c r="B87" s="6"/>
      <c r="C87" s="6"/>
      <c r="D87" s="6" t="s">
        <v>43</v>
      </c>
      <c r="E87" s="6"/>
      <c r="F87" s="6" t="s">
        <v>173</v>
      </c>
      <c r="G87" s="6"/>
      <c r="H87" s="8"/>
    </row>
    <row r="88" spans="1:9" ht="21.1" x14ac:dyDescent="0.3">
      <c r="B88" s="5">
        <f t="array" ref="B88:H88">Days+15+DATE(Calendar6Year,Calendar6MonthOption,1)-WEEKDAY(DATE(Calendar6Year,Calendar6MonthOption,1),WeekdayOption)</f>
        <v>43871</v>
      </c>
      <c r="C88" s="5">
        <v>43872</v>
      </c>
      <c r="D88" s="5">
        <v>43873</v>
      </c>
      <c r="E88" s="5">
        <v>43874</v>
      </c>
      <c r="F88" s="5">
        <v>43875</v>
      </c>
      <c r="G88" s="5">
        <v>43876</v>
      </c>
      <c r="H88" s="7">
        <v>43877</v>
      </c>
    </row>
    <row r="89" spans="1:9" ht="81.55" x14ac:dyDescent="0.3">
      <c r="B89" s="6"/>
      <c r="C89" s="6"/>
      <c r="D89" s="6" t="s">
        <v>191</v>
      </c>
      <c r="E89" s="6"/>
      <c r="F89" s="23" t="s">
        <v>237</v>
      </c>
      <c r="G89" s="6"/>
      <c r="H89" s="8"/>
      <c r="I89" s="28"/>
    </row>
    <row r="90" spans="1:9" ht="21.1" x14ac:dyDescent="0.3">
      <c r="B90" s="5">
        <f t="array" ref="B90:H90">Days+22+DATE(Calendar6Year,Calendar6MonthOption,1)-WEEKDAY(DATE(Calendar6Year,Calendar6MonthOption,1),WeekdayOption)</f>
        <v>43878</v>
      </c>
      <c r="C90" s="5">
        <v>43879</v>
      </c>
      <c r="D90" s="5">
        <v>43880</v>
      </c>
      <c r="E90" s="5">
        <v>43881</v>
      </c>
      <c r="F90" s="5">
        <v>43882</v>
      </c>
      <c r="G90" s="5">
        <v>43883</v>
      </c>
      <c r="H90" s="7">
        <v>43884</v>
      </c>
    </row>
    <row r="91" spans="1:9" x14ac:dyDescent="0.3">
      <c r="B91" s="24"/>
      <c r="C91" s="24"/>
      <c r="D91" s="24"/>
      <c r="E91" s="24"/>
      <c r="F91" s="24"/>
      <c r="G91" s="6"/>
      <c r="H91" s="8"/>
    </row>
    <row r="92" spans="1:9" ht="21.1" x14ac:dyDescent="0.3">
      <c r="B92" s="5">
        <f t="array" ref="B92:H92">Days+29+DATE(Calendar6Year,Calendar6MonthOption,1)-WEEKDAY(DATE(Calendar6Year,Calendar6MonthOption,1),WeekdayOption)</f>
        <v>43885</v>
      </c>
      <c r="C92" s="5">
        <v>43886</v>
      </c>
      <c r="D92" s="5">
        <v>43887</v>
      </c>
      <c r="E92" s="5">
        <v>43888</v>
      </c>
      <c r="F92" s="5">
        <v>43889</v>
      </c>
      <c r="G92" s="5">
        <v>43890</v>
      </c>
      <c r="H92" s="7">
        <v>43891</v>
      </c>
    </row>
    <row r="93" spans="1:9" ht="67.95" x14ac:dyDescent="0.3">
      <c r="B93" s="6"/>
      <c r="C93" s="6"/>
      <c r="D93" s="6" t="s">
        <v>206</v>
      </c>
      <c r="E93" s="6"/>
      <c r="F93" s="6" t="s">
        <v>178</v>
      </c>
      <c r="G93" s="6"/>
      <c r="H93" s="9"/>
      <c r="I93" s="28"/>
    </row>
    <row r="94" spans="1:9" ht="21.1" x14ac:dyDescent="0.3">
      <c r="B94" s="5">
        <f t="array" ref="B94:C94">Days+36+DATE(Calendar6Year,Calendar6MonthOption,1)-WEEKDAY(DATE(Calendar6Year,Calendar6MonthOption,1),WeekdayOption)</f>
        <v>43892</v>
      </c>
      <c r="C94" s="5">
        <v>43893</v>
      </c>
      <c r="D94" s="51" t="s">
        <v>0</v>
      </c>
      <c r="E94" s="52"/>
      <c r="F94" s="52"/>
      <c r="G94" s="52"/>
      <c r="H94" s="52"/>
    </row>
    <row r="95" spans="1:9" x14ac:dyDescent="0.3">
      <c r="B95" s="6"/>
      <c r="C95" s="6"/>
      <c r="D95" s="53"/>
      <c r="E95" s="53"/>
      <c r="F95" s="53"/>
      <c r="G95" s="53"/>
      <c r="H95" s="53"/>
    </row>
    <row r="96" spans="1:9" s="22" customFormat="1" x14ac:dyDescent="0.3">
      <c r="A96" s="19"/>
      <c r="B96" s="20"/>
      <c r="C96" s="20"/>
      <c r="D96" s="21"/>
      <c r="E96" s="21"/>
      <c r="F96" s="21"/>
      <c r="G96" s="21"/>
      <c r="H96" s="21"/>
    </row>
    <row r="97" spans="1:9" s="1" customFormat="1" ht="46.2" x14ac:dyDescent="0.75">
      <c r="B97" s="12">
        <f>YEAR(DATE(Calendar6Year,Calendar6MonthOption+1,1))</f>
        <v>2020</v>
      </c>
      <c r="C97" s="17" t="str">
        <f>TEXT(DATE(Calendar6Year,Calendar6MonthOption+1,1),"mmmm")</f>
        <v>March</v>
      </c>
      <c r="D97" s="4"/>
      <c r="E97" s="4"/>
      <c r="F97" s="4"/>
      <c r="G97" s="4"/>
    </row>
    <row r="98" spans="1:9" s="1" customFormat="1" ht="46.2" x14ac:dyDescent="0.75">
      <c r="B98" s="10"/>
      <c r="C98"/>
      <c r="D98" s="4"/>
      <c r="E98" s="4"/>
      <c r="F98" s="4"/>
      <c r="G98" s="4"/>
    </row>
    <row r="99" spans="1:9" s="3" customFormat="1" ht="14.95" x14ac:dyDescent="0.3">
      <c r="A99" s="2"/>
      <c r="B99" s="15" t="str">
        <f>UPPER(TEXT(B100,"dddd"))</f>
        <v>MONDAY</v>
      </c>
      <c r="C99" s="16" t="str">
        <f t="shared" ref="C99" si="26">UPPER(TEXT(C100,"dddd"))</f>
        <v>TUESDAY</v>
      </c>
      <c r="D99" s="15" t="str">
        <f t="shared" ref="D99" si="27">UPPER(TEXT(D100,"dddd"))</f>
        <v>WEDNESDAY</v>
      </c>
      <c r="E99" s="16" t="str">
        <f t="shared" ref="E99" si="28">UPPER(TEXT(E100,"dddd"))</f>
        <v>THURSDAY</v>
      </c>
      <c r="F99" s="15" t="str">
        <f t="shared" ref="F99" si="29">UPPER(TEXT(F100,"dddd"))</f>
        <v>FRIDAY</v>
      </c>
      <c r="G99" s="16" t="str">
        <f t="shared" ref="G99" si="30">UPPER(TEXT(G100,"dddd"))</f>
        <v>SATURDAY</v>
      </c>
      <c r="H99" s="15" t="str">
        <f t="shared" ref="H99" si="31">UPPER(TEXT(H100,"dddd"))</f>
        <v>SUNDAY</v>
      </c>
    </row>
    <row r="100" spans="1:9" ht="21.1" x14ac:dyDescent="0.3">
      <c r="B100" s="5">
        <f t="array" ref="B100:H100">Days+1+DATE(Calendar7Year,Calendar7MonthOption,1)-WEEKDAY(DATE(Calendar7Year,Calendar7MonthOption,1),WeekdayOption)</f>
        <v>43885</v>
      </c>
      <c r="C100" s="5">
        <v>43886</v>
      </c>
      <c r="D100" s="5">
        <v>43887</v>
      </c>
      <c r="E100" s="5">
        <v>43888</v>
      </c>
      <c r="F100" s="5">
        <v>43889</v>
      </c>
      <c r="G100" s="5">
        <v>43890</v>
      </c>
      <c r="H100" s="7">
        <v>43891</v>
      </c>
    </row>
    <row r="101" spans="1:9" x14ac:dyDescent="0.3">
      <c r="B101" s="6"/>
      <c r="C101" s="6"/>
      <c r="D101" s="6"/>
      <c r="E101" s="6"/>
      <c r="F101" s="6"/>
      <c r="G101" s="6"/>
      <c r="H101" s="8"/>
    </row>
    <row r="102" spans="1:9" ht="21.1" x14ac:dyDescent="0.3">
      <c r="B102" s="5">
        <f t="array" ref="B102:H102">Days+8+DATE(Calendar7Year,Calendar7MonthOption,1)-WEEKDAY(DATE(Calendar7Year,Calendar7MonthOption,1),WeekdayOption)</f>
        <v>43892</v>
      </c>
      <c r="C102" s="5">
        <v>43893</v>
      </c>
      <c r="D102" s="5">
        <v>43894</v>
      </c>
      <c r="E102" s="5">
        <v>43895</v>
      </c>
      <c r="F102" s="5">
        <v>43896</v>
      </c>
      <c r="G102" s="5">
        <v>43897</v>
      </c>
      <c r="H102" s="7">
        <v>43898</v>
      </c>
    </row>
    <row r="103" spans="1:9" ht="40.75" x14ac:dyDescent="0.3">
      <c r="B103" s="6"/>
      <c r="C103" s="6"/>
      <c r="D103" s="6" t="s">
        <v>179</v>
      </c>
      <c r="E103" s="6"/>
      <c r="F103" s="6" t="s">
        <v>231</v>
      </c>
      <c r="G103" s="6"/>
      <c r="H103" s="8"/>
    </row>
    <row r="104" spans="1:9" ht="21.1" x14ac:dyDescent="0.3">
      <c r="B104" s="5">
        <f t="array" ref="B104:H104">Days+15+DATE(Calendar7Year,Calendar7MonthOption,1)-WEEKDAY(DATE(Calendar7Year,Calendar7MonthOption,1),WeekdayOption)</f>
        <v>43899</v>
      </c>
      <c r="C104" s="5">
        <v>43900</v>
      </c>
      <c r="D104" s="5">
        <v>43901</v>
      </c>
      <c r="E104" s="5">
        <v>43902</v>
      </c>
      <c r="F104" s="5">
        <v>43903</v>
      </c>
      <c r="G104" s="5">
        <v>43904</v>
      </c>
      <c r="H104" s="7">
        <v>43905</v>
      </c>
    </row>
    <row r="105" spans="1:9" ht="40.75" x14ac:dyDescent="0.3">
      <c r="B105" s="6" t="s">
        <v>200</v>
      </c>
      <c r="C105" s="6"/>
      <c r="D105" s="6"/>
      <c r="E105" s="6"/>
      <c r="F105" s="6" t="s">
        <v>194</v>
      </c>
      <c r="G105" s="6"/>
      <c r="H105" s="8"/>
      <c r="I105" s="28"/>
    </row>
    <row r="106" spans="1:9" ht="21.1" x14ac:dyDescent="0.3">
      <c r="B106" s="5">
        <f t="array" ref="B106:H106">Days+22+DATE(Calendar7Year,Calendar7MonthOption,1)-WEEKDAY(DATE(Calendar7Year,Calendar7MonthOption,1),WeekdayOption)</f>
        <v>43906</v>
      </c>
      <c r="C106" s="5">
        <v>43907</v>
      </c>
      <c r="D106" s="5">
        <v>43908</v>
      </c>
      <c r="E106" s="5">
        <v>43909</v>
      </c>
      <c r="F106" s="5">
        <v>43910</v>
      </c>
      <c r="G106" s="5">
        <v>43911</v>
      </c>
      <c r="H106" s="7">
        <v>43912</v>
      </c>
    </row>
    <row r="107" spans="1:9" ht="67.95" x14ac:dyDescent="0.3">
      <c r="B107" s="6"/>
      <c r="C107" s="6" t="s">
        <v>37</v>
      </c>
      <c r="D107" s="6"/>
      <c r="E107" s="6"/>
      <c r="F107" s="6" t="s">
        <v>32</v>
      </c>
      <c r="G107" s="6"/>
      <c r="H107" s="8"/>
    </row>
    <row r="108" spans="1:9" ht="21.1" x14ac:dyDescent="0.3">
      <c r="B108" s="5">
        <f t="array" ref="B108:H108">Days+29+DATE(Calendar7Year,Calendar7MonthOption,1)-WEEKDAY(DATE(Calendar7Year,Calendar7MonthOption,1),WeekdayOption)</f>
        <v>43913</v>
      </c>
      <c r="C108" s="5">
        <v>43914</v>
      </c>
      <c r="D108" s="5">
        <v>43915</v>
      </c>
      <c r="E108" s="5">
        <v>43916</v>
      </c>
      <c r="F108" s="5">
        <v>43917</v>
      </c>
      <c r="G108" s="5">
        <v>43918</v>
      </c>
      <c r="H108" s="7">
        <v>43919</v>
      </c>
    </row>
    <row r="109" spans="1:9" ht="54.35" x14ac:dyDescent="0.3">
      <c r="B109" s="6"/>
      <c r="C109" s="6"/>
      <c r="D109" s="6" t="s">
        <v>163</v>
      </c>
      <c r="E109" s="6"/>
      <c r="F109" s="6" t="s">
        <v>33</v>
      </c>
      <c r="G109" s="6"/>
      <c r="H109" s="9"/>
      <c r="I109" s="28"/>
    </row>
    <row r="110" spans="1:9" ht="21.1" x14ac:dyDescent="0.3">
      <c r="B110" s="5">
        <f t="array" ref="B110:C110">Days+36+DATE(Calendar7Year,Calendar7MonthOption,1)-WEEKDAY(DATE(Calendar7Year,Calendar7MonthOption,1),WeekdayOption)</f>
        <v>43920</v>
      </c>
      <c r="C110" s="5">
        <v>43921</v>
      </c>
      <c r="D110" s="51" t="s">
        <v>0</v>
      </c>
      <c r="E110" s="52"/>
      <c r="F110" s="52"/>
      <c r="G110" s="52"/>
      <c r="H110" s="52"/>
    </row>
    <row r="111" spans="1:9" x14ac:dyDescent="0.3">
      <c r="B111" s="6"/>
      <c r="C111" s="6"/>
      <c r="D111" s="53"/>
      <c r="E111" s="53"/>
      <c r="F111" s="53"/>
      <c r="G111" s="53"/>
      <c r="H111" s="53"/>
    </row>
    <row r="112" spans="1:9" s="22" customFormat="1" x14ac:dyDescent="0.3">
      <c r="A112" s="19"/>
      <c r="B112" s="20"/>
      <c r="C112" s="20"/>
      <c r="D112" s="21"/>
      <c r="E112" s="21"/>
      <c r="F112" s="21"/>
      <c r="G112" s="21"/>
      <c r="H112" s="21"/>
    </row>
    <row r="113" spans="1:9" s="1" customFormat="1" ht="46.2" x14ac:dyDescent="0.75">
      <c r="B113" s="12">
        <f>YEAR(DATE(Calendar7Year,Calendar7MonthOption+1,1))</f>
        <v>2020</v>
      </c>
      <c r="C113" s="17" t="str">
        <f>TEXT(DATE(Calendar7Year,Calendar7MonthOption+1,1),"mmmm")</f>
        <v>April</v>
      </c>
      <c r="D113" s="4"/>
      <c r="E113" s="4"/>
      <c r="F113" s="4"/>
      <c r="G113" s="4"/>
    </row>
    <row r="114" spans="1:9" s="1" customFormat="1" ht="46.2" x14ac:dyDescent="0.75">
      <c r="B114" s="10"/>
      <c r="C114"/>
      <c r="D114" s="4"/>
      <c r="E114" s="4"/>
      <c r="F114" s="4"/>
      <c r="G114" s="4"/>
    </row>
    <row r="115" spans="1:9" s="3" customFormat="1" ht="14.95" x14ac:dyDescent="0.3">
      <c r="A115" s="2"/>
      <c r="B115" s="15" t="str">
        <f>UPPER(TEXT(B116,"dddd"))</f>
        <v>MONDAY</v>
      </c>
      <c r="C115" s="16" t="str">
        <f t="shared" ref="C115" si="32">UPPER(TEXT(C116,"dddd"))</f>
        <v>TUESDAY</v>
      </c>
      <c r="D115" s="15" t="str">
        <f t="shared" ref="D115" si="33">UPPER(TEXT(D116,"dddd"))</f>
        <v>WEDNESDAY</v>
      </c>
      <c r="E115" s="16" t="str">
        <f t="shared" ref="E115" si="34">UPPER(TEXT(E116,"dddd"))</f>
        <v>THURSDAY</v>
      </c>
      <c r="F115" s="15" t="str">
        <f t="shared" ref="F115" si="35">UPPER(TEXT(F116,"dddd"))</f>
        <v>FRIDAY</v>
      </c>
      <c r="G115" s="16" t="str">
        <f t="shared" ref="G115" si="36">UPPER(TEXT(G116,"dddd"))</f>
        <v>SATURDAY</v>
      </c>
      <c r="H115" s="15" t="str">
        <f t="shared" ref="H115" si="37">UPPER(TEXT(H116,"dddd"))</f>
        <v>SUNDAY</v>
      </c>
    </row>
    <row r="116" spans="1:9" ht="21.1" x14ac:dyDescent="0.3">
      <c r="B116" s="5">
        <f t="array" ref="B116:H116">Days+1+DATE(Calendar8Year,Calendar8MonthOption,1)-WEEKDAY(DATE(Calendar8Year,Calendar8MonthOption,1),WeekdayOption)</f>
        <v>43920</v>
      </c>
      <c r="C116" s="5">
        <v>43921</v>
      </c>
      <c r="D116" s="5">
        <v>43922</v>
      </c>
      <c r="E116" s="5">
        <v>43923</v>
      </c>
      <c r="F116" s="5">
        <v>43924</v>
      </c>
      <c r="G116" s="5">
        <v>43925</v>
      </c>
      <c r="H116" s="7">
        <v>43926</v>
      </c>
    </row>
    <row r="117" spans="1:9" x14ac:dyDescent="0.3">
      <c r="B117" s="6"/>
      <c r="C117" s="6"/>
      <c r="D117" s="6"/>
      <c r="E117" s="24"/>
      <c r="F117" s="24"/>
      <c r="G117" s="24"/>
      <c r="H117" s="24"/>
    </row>
    <row r="118" spans="1:9" ht="21.1" x14ac:dyDescent="0.3">
      <c r="B118" s="5">
        <f t="array" ref="B118:H118">Days+8+DATE(Calendar8Year,Calendar8MonthOption,1)-WEEKDAY(DATE(Calendar8Year,Calendar8MonthOption,1),WeekdayOption)</f>
        <v>43927</v>
      </c>
      <c r="C118" s="5">
        <v>43928</v>
      </c>
      <c r="D118" s="5">
        <v>43929</v>
      </c>
      <c r="E118" s="5">
        <v>43930</v>
      </c>
      <c r="F118" s="5">
        <v>43931</v>
      </c>
      <c r="G118" s="5">
        <v>43932</v>
      </c>
      <c r="H118" s="7">
        <v>43933</v>
      </c>
    </row>
    <row r="119" spans="1:9" x14ac:dyDescent="0.3">
      <c r="B119" s="24"/>
      <c r="C119" s="24"/>
      <c r="D119" s="24"/>
      <c r="E119" s="24"/>
      <c r="F119" s="24"/>
      <c r="G119" s="24"/>
      <c r="H119" s="24"/>
      <c r="I119" s="28"/>
    </row>
    <row r="120" spans="1:9" ht="21.1" x14ac:dyDescent="0.3">
      <c r="B120" s="5">
        <f t="array" ref="B120:H120">Days+15+DATE(Calendar8Year,Calendar8MonthOption,1)-WEEKDAY(DATE(Calendar8Year,Calendar8MonthOption,1),WeekdayOption)</f>
        <v>43934</v>
      </c>
      <c r="C120" s="5">
        <v>43935</v>
      </c>
      <c r="D120" s="5">
        <v>43936</v>
      </c>
      <c r="E120" s="5">
        <v>43937</v>
      </c>
      <c r="F120" s="5">
        <v>43938</v>
      </c>
      <c r="G120" s="5">
        <v>43939</v>
      </c>
      <c r="H120" s="7">
        <v>43940</v>
      </c>
    </row>
    <row r="121" spans="1:9" ht="67.95" x14ac:dyDescent="0.3">
      <c r="B121" s="24"/>
      <c r="C121" s="24"/>
      <c r="D121" s="24"/>
      <c r="E121" s="6" t="s">
        <v>233</v>
      </c>
      <c r="F121" s="6" t="s">
        <v>88</v>
      </c>
      <c r="G121" s="6"/>
      <c r="H121" s="8"/>
    </row>
    <row r="122" spans="1:9" ht="21.1" x14ac:dyDescent="0.3">
      <c r="B122" s="5">
        <f t="array" ref="B122:H122">Days+22+DATE(Calendar8Year,Calendar8MonthOption,1)-WEEKDAY(DATE(Calendar8Year,Calendar8MonthOption,1),WeekdayOption)</f>
        <v>43941</v>
      </c>
      <c r="C122" s="5">
        <v>43942</v>
      </c>
      <c r="D122" s="5">
        <v>43943</v>
      </c>
      <c r="E122" s="5">
        <v>43944</v>
      </c>
      <c r="F122" s="5">
        <v>43945</v>
      </c>
      <c r="G122" s="5">
        <v>43946</v>
      </c>
      <c r="H122" s="7">
        <v>43947</v>
      </c>
    </row>
    <row r="123" spans="1:9" ht="95.1" x14ac:dyDescent="0.3">
      <c r="B123" s="6" t="s">
        <v>14</v>
      </c>
      <c r="C123" s="6"/>
      <c r="D123" s="6"/>
      <c r="E123" s="6"/>
      <c r="F123" s="6" t="s">
        <v>202</v>
      </c>
      <c r="G123" s="6"/>
      <c r="H123" s="8"/>
      <c r="I123" s="28"/>
    </row>
    <row r="124" spans="1:9" ht="21.1" x14ac:dyDescent="0.3">
      <c r="B124" s="5">
        <f t="array" ref="B124:H124">Days+29+DATE(Calendar8Year,Calendar8MonthOption,1)-WEEKDAY(DATE(Calendar8Year,Calendar8MonthOption,1),WeekdayOption)</f>
        <v>43948</v>
      </c>
      <c r="C124" s="5">
        <v>43949</v>
      </c>
      <c r="D124" s="5">
        <v>43950</v>
      </c>
      <c r="E124" s="5">
        <v>43951</v>
      </c>
      <c r="F124" s="5">
        <v>43952</v>
      </c>
      <c r="G124" s="5">
        <v>43953</v>
      </c>
      <c r="H124" s="7">
        <v>43954</v>
      </c>
    </row>
    <row r="125" spans="1:9" x14ac:dyDescent="0.3">
      <c r="B125" s="6"/>
      <c r="C125" s="6"/>
      <c r="D125" s="6"/>
      <c r="E125" s="6"/>
      <c r="F125" s="6"/>
      <c r="G125" s="6"/>
      <c r="H125" s="9"/>
    </row>
    <row r="126" spans="1:9" ht="21.1" x14ac:dyDescent="0.3">
      <c r="B126" s="5">
        <f t="array" ref="B126:C126">Days+36+DATE(Calendar8Year,Calendar8MonthOption,1)-WEEKDAY(DATE(Calendar8Year,Calendar8MonthOption,1),WeekdayOption)</f>
        <v>43955</v>
      </c>
      <c r="C126" s="5">
        <v>43956</v>
      </c>
      <c r="D126" s="51" t="s">
        <v>0</v>
      </c>
      <c r="E126" s="52"/>
      <c r="F126" s="52"/>
      <c r="G126" s="52"/>
      <c r="H126" s="52"/>
    </row>
    <row r="127" spans="1:9" x14ac:dyDescent="0.3">
      <c r="B127" s="6"/>
      <c r="C127" s="6"/>
      <c r="D127" s="53"/>
      <c r="E127" s="53"/>
      <c r="F127" s="53"/>
      <c r="G127" s="53"/>
      <c r="H127" s="53"/>
    </row>
    <row r="128" spans="1:9" s="22" customFormat="1" x14ac:dyDescent="0.3">
      <c r="A128" s="19"/>
      <c r="B128" s="20"/>
      <c r="C128" s="20"/>
      <c r="D128" s="21"/>
      <c r="E128" s="21"/>
      <c r="F128" s="21"/>
      <c r="G128" s="21"/>
      <c r="H128" s="21"/>
    </row>
    <row r="129" spans="1:9" s="1" customFormat="1" ht="46.2" x14ac:dyDescent="0.75">
      <c r="B129" s="12">
        <f>YEAR(DATE(Calendar8Year,Calendar8MonthOption+1,1))</f>
        <v>2020</v>
      </c>
      <c r="C129" s="17" t="str">
        <f>TEXT(DATE(Calendar8Year,Calendar8MonthOption+1,1),"mmmm")</f>
        <v>May</v>
      </c>
      <c r="D129" s="4"/>
      <c r="E129" s="4"/>
      <c r="F129" s="4"/>
      <c r="G129" s="4"/>
    </row>
    <row r="130" spans="1:9" s="1" customFormat="1" ht="46.2" x14ac:dyDescent="0.75">
      <c r="B130" s="10"/>
      <c r="C130"/>
      <c r="D130" s="4"/>
      <c r="E130" s="4"/>
      <c r="F130" s="4"/>
      <c r="G130" s="4"/>
    </row>
    <row r="131" spans="1:9" s="3" customFormat="1" ht="14.95" x14ac:dyDescent="0.3">
      <c r="A131" s="2"/>
      <c r="B131" s="15" t="str">
        <f>UPPER(TEXT(B132,"dddd"))</f>
        <v>MONDAY</v>
      </c>
      <c r="C131" s="16" t="str">
        <f t="shared" ref="C131" si="38">UPPER(TEXT(C132,"dddd"))</f>
        <v>TUESDAY</v>
      </c>
      <c r="D131" s="15" t="str">
        <f t="shared" ref="D131" si="39">UPPER(TEXT(D132,"dddd"))</f>
        <v>WEDNESDAY</v>
      </c>
      <c r="E131" s="16" t="str">
        <f t="shared" ref="E131" si="40">UPPER(TEXT(E132,"dddd"))</f>
        <v>THURSDAY</v>
      </c>
      <c r="F131" s="15" t="str">
        <f t="shared" ref="F131" si="41">UPPER(TEXT(F132,"dddd"))</f>
        <v>FRIDAY</v>
      </c>
      <c r="G131" s="16" t="str">
        <f t="shared" ref="G131" si="42">UPPER(TEXT(G132,"dddd"))</f>
        <v>SATURDAY</v>
      </c>
      <c r="H131" s="15" t="str">
        <f t="shared" ref="H131" si="43">UPPER(TEXT(H132,"dddd"))</f>
        <v>SUNDAY</v>
      </c>
    </row>
    <row r="132" spans="1:9" ht="21.1" x14ac:dyDescent="0.3">
      <c r="B132" s="5">
        <f t="array" ref="B132:H132">Days+1+DATE(Calendar9Year,Calendar9MonthOption,1)-WEEKDAY(DATE(Calendar9Year,Calendar9MonthOption,1),WeekdayOption)</f>
        <v>43948</v>
      </c>
      <c r="C132" s="5">
        <v>43949</v>
      </c>
      <c r="D132" s="5">
        <v>43950</v>
      </c>
      <c r="E132" s="5">
        <v>43951</v>
      </c>
      <c r="F132" s="5">
        <v>43952</v>
      </c>
      <c r="G132" s="5">
        <v>43953</v>
      </c>
      <c r="H132" s="7">
        <v>43954</v>
      </c>
    </row>
    <row r="133" spans="1:9" x14ac:dyDescent="0.3">
      <c r="B133" s="6"/>
      <c r="C133" s="6"/>
      <c r="D133" s="6"/>
      <c r="E133" s="6"/>
      <c r="F133" s="6" t="s">
        <v>6</v>
      </c>
      <c r="G133" s="6"/>
      <c r="H133" s="8"/>
    </row>
    <row r="134" spans="1:9" ht="21.1" x14ac:dyDescent="0.3">
      <c r="B134" s="5">
        <f t="array" ref="B134:H134">Days+8+DATE(Calendar9Year,Calendar9MonthOption,1)-WEEKDAY(DATE(Calendar9Year,Calendar9MonthOption,1),WeekdayOption)</f>
        <v>43955</v>
      </c>
      <c r="C134" s="5">
        <v>43956</v>
      </c>
      <c r="D134" s="5">
        <v>43957</v>
      </c>
      <c r="E134" s="5">
        <v>43958</v>
      </c>
      <c r="F134" s="5">
        <v>43959</v>
      </c>
      <c r="G134" s="5">
        <v>43960</v>
      </c>
      <c r="H134" s="7">
        <v>43961</v>
      </c>
    </row>
    <row r="135" spans="1:9" x14ac:dyDescent="0.3">
      <c r="B135" s="24"/>
      <c r="C135" s="6"/>
      <c r="D135" s="6"/>
      <c r="E135" s="6"/>
      <c r="F135" s="6"/>
      <c r="G135" s="6"/>
      <c r="H135" s="8"/>
      <c r="I135" s="28"/>
    </row>
    <row r="136" spans="1:9" ht="21.1" x14ac:dyDescent="0.3">
      <c r="B136" s="5">
        <f t="array" ref="B136:H136">Days+15+DATE(Calendar9Year,Calendar9MonthOption,1)-WEEKDAY(DATE(Calendar9Year,Calendar9MonthOption,1),WeekdayOption)</f>
        <v>43962</v>
      </c>
      <c r="C136" s="5">
        <v>43963</v>
      </c>
      <c r="D136" s="5">
        <v>43964</v>
      </c>
      <c r="E136" s="5">
        <v>43965</v>
      </c>
      <c r="F136" s="5">
        <v>43966</v>
      </c>
      <c r="G136" s="5">
        <v>43967</v>
      </c>
      <c r="H136" s="7">
        <v>43968</v>
      </c>
    </row>
    <row r="137" spans="1:9" ht="54.35" x14ac:dyDescent="0.3">
      <c r="B137" s="6"/>
      <c r="C137" s="6"/>
      <c r="D137" s="6" t="s">
        <v>193</v>
      </c>
      <c r="E137" s="6"/>
      <c r="F137" s="6" t="s">
        <v>38</v>
      </c>
      <c r="G137" s="6"/>
      <c r="H137" s="8"/>
    </row>
    <row r="138" spans="1:9" ht="21.1" x14ac:dyDescent="0.3">
      <c r="B138" s="5">
        <f t="array" ref="B138:H138">Days+22+DATE(Calendar9Year,Calendar9MonthOption,1)-WEEKDAY(DATE(Calendar9Year,Calendar9MonthOption,1),WeekdayOption)</f>
        <v>43969</v>
      </c>
      <c r="C138" s="5">
        <v>43970</v>
      </c>
      <c r="D138" s="5">
        <v>43971</v>
      </c>
      <c r="E138" s="5">
        <v>43972</v>
      </c>
      <c r="F138" s="5">
        <v>43973</v>
      </c>
      <c r="G138" s="5">
        <v>43974</v>
      </c>
      <c r="H138" s="7">
        <v>43975</v>
      </c>
    </row>
    <row r="139" spans="1:9" ht="54.35" x14ac:dyDescent="0.3">
      <c r="B139" s="6"/>
      <c r="C139" s="6"/>
      <c r="D139" s="6"/>
      <c r="E139" s="6"/>
      <c r="F139" s="6" t="s">
        <v>41</v>
      </c>
      <c r="G139" s="6"/>
      <c r="H139" s="8"/>
      <c r="I139" s="28"/>
    </row>
    <row r="140" spans="1:9" ht="21.1" x14ac:dyDescent="0.3">
      <c r="B140" s="5">
        <f t="array" ref="B140:H140">Days+29+DATE(Calendar9Year,Calendar9MonthOption,1)-WEEKDAY(DATE(Calendar9Year,Calendar9MonthOption,1),WeekdayOption)</f>
        <v>43976</v>
      </c>
      <c r="C140" s="5">
        <v>43977</v>
      </c>
      <c r="D140" s="5">
        <v>43978</v>
      </c>
      <c r="E140" s="5">
        <v>43979</v>
      </c>
      <c r="F140" s="5">
        <v>43980</v>
      </c>
      <c r="G140" s="5">
        <v>43981</v>
      </c>
      <c r="H140" s="7">
        <v>43982</v>
      </c>
    </row>
    <row r="141" spans="1:9" x14ac:dyDescent="0.3">
      <c r="B141" s="24"/>
      <c r="C141" s="24"/>
      <c r="D141" s="24"/>
      <c r="E141" s="24"/>
      <c r="F141" s="24"/>
      <c r="G141" s="6"/>
      <c r="H141" s="9"/>
    </row>
    <row r="142" spans="1:9" ht="21.1" x14ac:dyDescent="0.3">
      <c r="B142" s="5">
        <f t="array" ref="B142:C142">Days+36+DATE(Calendar9Year,Calendar9MonthOption,1)-WEEKDAY(DATE(Calendar9Year,Calendar9MonthOption,1),WeekdayOption)</f>
        <v>43983</v>
      </c>
      <c r="C142" s="5">
        <v>43984</v>
      </c>
      <c r="D142" s="51" t="s">
        <v>0</v>
      </c>
      <c r="E142" s="52"/>
      <c r="F142" s="52"/>
      <c r="G142" s="52"/>
      <c r="H142" s="52"/>
    </row>
    <row r="143" spans="1:9" x14ac:dyDescent="0.3">
      <c r="B143" s="6"/>
      <c r="C143" s="6"/>
      <c r="D143" s="53"/>
      <c r="E143" s="53"/>
      <c r="F143" s="53"/>
      <c r="G143" s="53"/>
      <c r="H143" s="53"/>
    </row>
    <row r="144" spans="1:9" s="22" customFormat="1" x14ac:dyDescent="0.3">
      <c r="A144" s="19"/>
      <c r="B144" s="20"/>
      <c r="C144" s="20"/>
      <c r="D144" s="21"/>
      <c r="E144" s="21"/>
      <c r="F144" s="21"/>
      <c r="G144" s="21"/>
      <c r="H144" s="21"/>
    </row>
  </sheetData>
  <mergeCells count="19">
    <mergeCell ref="G1:H1"/>
    <mergeCell ref="D14:H14"/>
    <mergeCell ref="D30:H30"/>
    <mergeCell ref="D15:H15"/>
    <mergeCell ref="D31:H31"/>
    <mergeCell ref="D46:H46"/>
    <mergeCell ref="D94:H94"/>
    <mergeCell ref="D47:H47"/>
    <mergeCell ref="D63:H63"/>
    <mergeCell ref="D79:H79"/>
    <mergeCell ref="D62:H62"/>
    <mergeCell ref="D78:H78"/>
    <mergeCell ref="D110:H110"/>
    <mergeCell ref="D95:H95"/>
    <mergeCell ref="D143:H143"/>
    <mergeCell ref="D126:H126"/>
    <mergeCell ref="D142:H142"/>
    <mergeCell ref="D111:H111"/>
    <mergeCell ref="D127:H127"/>
  </mergeCells>
  <phoneticPr fontId="1" type="noConversion"/>
  <conditionalFormatting sqref="B4:H4 B6:H6 B8:H8 B10:H10 B12:H12 B14:C14">
    <cfRule type="expression" dxfId="8" priority="38">
      <formula>MONTH(B4)&lt;&gt;Calendar1MonthOption</formula>
    </cfRule>
  </conditionalFormatting>
  <conditionalFormatting sqref="B20:H20 B22:H22 B24:H24 B26:H26 B28:H28 B30:C30">
    <cfRule type="expression" dxfId="7" priority="27">
      <formula>MONTH(B20)&lt;&gt;Calendar2MonthOption</formula>
    </cfRule>
  </conditionalFormatting>
  <conditionalFormatting sqref="B36:H36 B38:H38 B40:H40 B42:H42 B44:H44 B46:C46">
    <cfRule type="expression" dxfId="6" priority="25">
      <formula>MONTH(B36)&lt;&gt;Calendar3MonthOption</formula>
    </cfRule>
  </conditionalFormatting>
  <conditionalFormatting sqref="B52:H52 B54:H54 B56:H56 B58:H58 B60:H60 B62:C62">
    <cfRule type="expression" dxfId="5" priority="23">
      <formula>MONTH(B52)&lt;&gt;Calendar4MonthOption</formula>
    </cfRule>
  </conditionalFormatting>
  <conditionalFormatting sqref="B68:H68 B70:H70 B72:H72 B74:H74 B76:H76 B78:C78">
    <cfRule type="expression" dxfId="4" priority="21">
      <formula>MONTH(B68)&lt;&gt;Calendar5MonthOption</formula>
    </cfRule>
  </conditionalFormatting>
  <conditionalFormatting sqref="B84:H84 B86:H86 B88:H88 B90:H90 B92:H92 B94:C94">
    <cfRule type="expression" dxfId="3" priority="19">
      <formula>MONTH(B84)&lt;&gt;Calendar6MonthOption</formula>
    </cfRule>
  </conditionalFormatting>
  <conditionalFormatting sqref="B100:H100 B102:H102 B104:H104 B106:H106 B108:H108 B110:C110">
    <cfRule type="expression" dxfId="2" priority="17">
      <formula>MONTH(B100)&lt;&gt;Calendar7MonthOption</formula>
    </cfRule>
  </conditionalFormatting>
  <conditionalFormatting sqref="B116:H116 B118:H118 B120:H120 B122:H122 B124:H124 B126:C126">
    <cfRule type="expression" dxfId="1" priority="15">
      <formula>MONTH(B116)&lt;&gt;Calendar8MonthOption</formula>
    </cfRule>
  </conditionalFormatting>
  <conditionalFormatting sqref="B132:H132 B134:H134 B136:H136 B138:H138 B140:H140 B142:C142">
    <cfRule type="expression" dxfId="0" priority="13">
      <formula>MONTH(B132)&lt;&gt;Calendar9MonthOption</formula>
    </cfRule>
  </conditionalFormatting>
  <dataValidations count="2">
    <dataValidation type="list" allowBlank="1" showInputMessage="1" showErrorMessage="1" sqref="B3" xr:uid="{00000000-0002-0000-0000-000000000000}">
      <formula1>"SUNDAY,MONDAY,TUESDAY,WEDNESDAY,THURSDAY,FRIDAY,SATURDAY"</formula1>
    </dataValidation>
    <dataValidation type="list" allowBlank="1" showInputMessage="1" showErrorMessage="1" sqref="C1" xr:uid="{00000000-0002-0000-0000-000001000000}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8" manualBreakCount="8">
    <brk id="16" max="8" man="1"/>
    <brk id="32" max="8" man="1"/>
    <brk id="48" max="8" man="1"/>
    <brk id="64" max="8" man="1"/>
    <brk id="80" max="8" man="1"/>
    <brk id="96" max="8" man="1"/>
    <brk id="112" max="8" man="1"/>
    <brk id="128" max="8" man="1"/>
  </rowBreaks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E895-15FC-4745-940A-EF689D21B61B}">
  <dimension ref="A1:T111"/>
  <sheetViews>
    <sheetView tabSelected="1" topLeftCell="A4" workbookViewId="0">
      <selection activeCell="E24" sqref="E24"/>
    </sheetView>
  </sheetViews>
  <sheetFormatPr defaultColWidth="9.28515625" defaultRowHeight="21.1" customHeight="1" x14ac:dyDescent="0.3"/>
  <cols>
    <col min="1" max="1" width="23.42578125" style="25" bestFit="1" customWidth="1"/>
    <col min="2" max="2" width="12.7109375" style="25" bestFit="1" customWidth="1"/>
    <col min="3" max="3" width="12.140625" style="25" bestFit="1" customWidth="1"/>
    <col min="4" max="4" width="11" style="25" bestFit="1" customWidth="1"/>
    <col min="5" max="5" width="80.28515625" style="25" bestFit="1" customWidth="1"/>
    <col min="6" max="6" width="9.42578125" style="25" bestFit="1" customWidth="1"/>
    <col min="7" max="7" width="13.28515625" style="25" bestFit="1" customWidth="1"/>
    <col min="8" max="8" width="65" style="25" bestFit="1" customWidth="1"/>
    <col min="9" max="9" width="9" style="25" bestFit="1" customWidth="1"/>
    <col min="10" max="10" width="11.7109375" style="25" bestFit="1" customWidth="1"/>
    <col min="11" max="11" width="12" style="25" bestFit="1" customWidth="1"/>
    <col min="12" max="12" width="6.85546875" style="25" bestFit="1" customWidth="1"/>
    <col min="13" max="13" width="20.85546875" style="25" bestFit="1" customWidth="1"/>
    <col min="14" max="14" width="6.42578125" style="25" bestFit="1" customWidth="1"/>
    <col min="15" max="15" width="19.28515625" style="25" bestFit="1" customWidth="1"/>
    <col min="16" max="16" width="18" style="25" bestFit="1" customWidth="1"/>
    <col min="17" max="17" width="15.85546875" style="25" bestFit="1" customWidth="1"/>
    <col min="18" max="18" width="58.28515625" style="25" bestFit="1" customWidth="1"/>
    <col min="19" max="19" width="14.42578125" style="25" bestFit="1" customWidth="1"/>
    <col min="20" max="20" width="244.85546875" style="25" bestFit="1" customWidth="1"/>
    <col min="21" max="16384" width="9.28515625" style="25"/>
  </cols>
  <sheetData>
    <row r="1" spans="1:20" ht="21.1" customHeight="1" x14ac:dyDescent="0.3">
      <c r="A1" t="s">
        <v>242</v>
      </c>
      <c r="B1" s="26" t="s">
        <v>22</v>
      </c>
      <c r="C1" s="26" t="s">
        <v>25</v>
      </c>
      <c r="D1" s="26" t="s">
        <v>49</v>
      </c>
      <c r="E1" s="26" t="s">
        <v>24</v>
      </c>
      <c r="F1" t="s">
        <v>243</v>
      </c>
      <c r="G1" t="s">
        <v>244</v>
      </c>
      <c r="H1" s="26" t="s">
        <v>48</v>
      </c>
      <c r="I1" s="26" t="s">
        <v>47</v>
      </c>
      <c r="J1" s="44" t="s">
        <v>245</v>
      </c>
      <c r="K1" s="44" t="s">
        <v>246</v>
      </c>
      <c r="L1" s="45" t="s">
        <v>247</v>
      </c>
      <c r="M1" s="45" t="s">
        <v>248</v>
      </c>
      <c r="N1" s="45" t="s">
        <v>249</v>
      </c>
      <c r="O1" s="45" t="s">
        <v>22</v>
      </c>
      <c r="P1" s="45" t="s">
        <v>250</v>
      </c>
      <c r="Q1" s="45" t="s">
        <v>251</v>
      </c>
      <c r="R1" s="45" t="s">
        <v>252</v>
      </c>
      <c r="S1" s="45" t="s">
        <v>253</v>
      </c>
      <c r="T1" s="46" t="s">
        <v>254</v>
      </c>
    </row>
    <row r="2" spans="1:20" ht="21.1" customHeight="1" x14ac:dyDescent="0.3">
      <c r="A2" s="26" t="s">
        <v>77</v>
      </c>
      <c r="B2" s="27">
        <v>43742</v>
      </c>
      <c r="C2" s="26" t="str">
        <f>TEXT(B2,"DDDD")</f>
        <v>Friday</v>
      </c>
      <c r="D2" s="26" t="s">
        <v>68</v>
      </c>
      <c r="E2" s="30" t="s">
        <v>69</v>
      </c>
      <c r="F2" t="str">
        <f>TRIM(MID(E2,2+FIND("vs",E2)+1,FIND("(",E2,2+FIND("vs",E2))-FIND("vs",E2)-3))</f>
        <v>Angel B</v>
      </c>
      <c r="G2" t="str">
        <f>TRIM(LEFT(E2,FIND("vs",E2)-1))</f>
        <v>Sevenoaks B</v>
      </c>
      <c r="H2" s="29" t="s">
        <v>159</v>
      </c>
      <c r="I2" s="26" t="s">
        <v>50</v>
      </c>
      <c r="J2" s="47" t="str">
        <f>TEXT(B2,"MMMM")</f>
        <v>October</v>
      </c>
      <c r="K2" s="48" t="str">
        <f>TEXT(B2,"dddd")</f>
        <v>Friday</v>
      </c>
      <c r="L2" s="49" t="str">
        <f>DAY(B2)&amp;LOOKUP(DAY(B2),{1,2,3,4,21,22,23,24,31;"st","nd","rd","th","st","nd","rd","th","st"})</f>
        <v>4th</v>
      </c>
      <c r="M2" s="48">
        <f>DAY(B2)</f>
        <v>4</v>
      </c>
      <c r="N2" s="48">
        <f>YEAR(B2)</f>
        <v>2019</v>
      </c>
      <c r="O2" s="50">
        <f>B2</f>
        <v>43742</v>
      </c>
      <c r="P2" s="49" t="str">
        <f>TRIM(D2)</f>
        <v>Mens B</v>
      </c>
      <c r="Q2" s="48" t="str">
        <f>IF(LEFT(F2,5)="Angel",G2,F2)</f>
        <v>Sevenoaks B</v>
      </c>
      <c r="R2" s="48" t="str">
        <f>H2</f>
        <v>Weald of Kent Grammar School Sevenoaks Kent, TN13 3SL</v>
      </c>
      <c r="S2" s="48" t="str">
        <f>SUBSTITUTE(I2,"pm","")</f>
        <v>8.15</v>
      </c>
      <c r="T2" s="46" t="str">
        <f>CONCATENATE("data.push([",CHAR(34),TRIM(J2),CHAR(34),", ",CHAR(34),TRIM(K2),CHAR(34),", ",CHAR(34),TRIM(L2),CHAR(34),", ",CHAR(34),TRIM(P2),CHAR(34),", ",CHAR(34),TRIM(Q2),CHAR(34),", ",CHAR(34),TRIM(R2),CHAR(34),", ",CHAR(34),TRIM(S2),CHAR(34),"]);")</f>
        <v>data.push(["October", "Friday", "4th", "Mens B", "Sevenoaks B", "Weald of Kent Grammar School Sevenoaks Kent, TN13 3SL", "8.15"]);</v>
      </c>
    </row>
    <row r="3" spans="1:20" ht="21.1" customHeight="1" x14ac:dyDescent="0.3">
      <c r="A3" s="26" t="s">
        <v>90</v>
      </c>
      <c r="B3" s="27">
        <v>43742</v>
      </c>
      <c r="C3" s="26" t="str">
        <f>TEXT(B3,"DDDD")</f>
        <v>Friday</v>
      </c>
      <c r="D3" s="26" t="s">
        <v>89</v>
      </c>
      <c r="E3" s="26" t="s">
        <v>91</v>
      </c>
      <c r="F3" t="str">
        <f>TRIM(MID(E3,2+FIND("vs",E3)+1,FIND("(",E3,2+FIND("vs",E3))-FIND("vs",E3)-3))</f>
        <v>Angel</v>
      </c>
      <c r="G3" t="str">
        <f>TRIM(LEFT(E3,FIND("vs",E3)-1))</f>
        <v>Sevenoaks</v>
      </c>
      <c r="H3" s="29" t="s">
        <v>159</v>
      </c>
      <c r="I3" s="26" t="s">
        <v>50</v>
      </c>
      <c r="J3" s="47" t="str">
        <f>TEXT(B3,"MMMM")</f>
        <v>October</v>
      </c>
      <c r="K3" s="48" t="str">
        <f>TEXT(B3,"dddd")</f>
        <v>Friday</v>
      </c>
      <c r="L3" s="49" t="str">
        <f>DAY(B3)&amp;LOOKUP(DAY(B3),{1,2,3,4,21,22,23,24,31;"st","nd","rd","th","st","nd","rd","th","st"})</f>
        <v>4th</v>
      </c>
      <c r="M3" s="48">
        <f>DAY(B3)</f>
        <v>4</v>
      </c>
      <c r="N3" s="48">
        <f>YEAR(B3)</f>
        <v>2019</v>
      </c>
      <c r="O3" s="50">
        <f>B3</f>
        <v>43742</v>
      </c>
      <c r="P3" s="49" t="str">
        <f>TRIM(D3)</f>
        <v>Ladies 4s</v>
      </c>
      <c r="Q3" s="48" t="str">
        <f>IF(LEFT(F3,5)="Angel",G3,F3)</f>
        <v>Sevenoaks</v>
      </c>
      <c r="R3" s="48" t="str">
        <f>H3</f>
        <v>Weald of Kent Grammar School Sevenoaks Kent, TN13 3SL</v>
      </c>
      <c r="S3" s="48" t="str">
        <f>SUBSTITUTE(I3,"pm","")</f>
        <v>8.15</v>
      </c>
      <c r="T3" s="46" t="str">
        <f>CONCATENATE("data.push([",CHAR(34),TRIM(J3),CHAR(34),", ",CHAR(34),TRIM(K3),CHAR(34),", ",CHAR(34),TRIM(L3),CHAR(34),", ",CHAR(34),TRIM(P3),CHAR(34),", ",CHAR(34),TRIM(Q3),CHAR(34),", ",CHAR(34),TRIM(R3),CHAR(34),", ",CHAR(34),TRIM(S3),CHAR(34),"]);")</f>
        <v>data.push(["October", "Friday", "4th", "Ladies 4s", "Sevenoaks", "Weald of Kent Grammar School Sevenoaks Kent, TN13 3SL", "8.15"]);</v>
      </c>
    </row>
    <row r="4" spans="1:20" ht="21.1" customHeight="1" x14ac:dyDescent="0.3">
      <c r="A4" s="26" t="s">
        <v>115</v>
      </c>
      <c r="B4" s="27">
        <v>43745</v>
      </c>
      <c r="C4" s="26" t="str">
        <f>TEXT(B4,"DDDD")</f>
        <v>Monday</v>
      </c>
      <c r="D4" s="26" t="s">
        <v>116</v>
      </c>
      <c r="E4" s="30" t="s">
        <v>117</v>
      </c>
      <c r="F4" t="str">
        <f>TRIM(MID(E4,2+FIND("vs",E4)+1,FIND("(",E4,2+FIND("vs",E4))-FIND("vs",E4)-3))</f>
        <v>Angel A</v>
      </c>
      <c r="G4" t="str">
        <f>TRIM(LEFT(E4,FIND("vs",E4)-1))</f>
        <v>Trident D</v>
      </c>
      <c r="H4" s="29" t="s">
        <v>161</v>
      </c>
      <c r="I4" s="26" t="s">
        <v>64</v>
      </c>
      <c r="J4" s="47" t="str">
        <f>TEXT(B4,"MMMM")</f>
        <v>October</v>
      </c>
      <c r="K4" s="48" t="str">
        <f>TEXT(B4,"dddd")</f>
        <v>Monday</v>
      </c>
      <c r="L4" s="49" t="str">
        <f>DAY(B4)&amp;LOOKUP(DAY(B4),{1,2,3,4,21,22,23,24,31;"st","nd","rd","th","st","nd","rd","th","st"})</f>
        <v>7th</v>
      </c>
      <c r="M4" s="48">
        <f>DAY(B4)</f>
        <v>7</v>
      </c>
      <c r="N4" s="48">
        <f>YEAR(B4)</f>
        <v>2019</v>
      </c>
      <c r="O4" s="50">
        <f>B4</f>
        <v>43745</v>
      </c>
      <c r="P4" s="49" t="str">
        <f>TRIM(D4)</f>
        <v>Mixed A</v>
      </c>
      <c r="Q4" s="48" t="str">
        <f>IF(LEFT(F4,5)="Angel",G4,F4)</f>
        <v>Trident D</v>
      </c>
      <c r="R4" s="48" t="str">
        <f>H4</f>
        <v>Holmewood House School TN3 0EB</v>
      </c>
      <c r="S4" s="48" t="str">
        <f>SUBSTITUTE(I4,"pm","")</f>
        <v>8</v>
      </c>
      <c r="T4" s="46" t="str">
        <f>CONCATENATE("data.push([",CHAR(34),TRIM(J4),CHAR(34),", ",CHAR(34),TRIM(K4),CHAR(34),", ",CHAR(34),TRIM(L4),CHAR(34),", ",CHAR(34),TRIM(P4),CHAR(34),", ",CHAR(34),TRIM(Q4),CHAR(34),", ",CHAR(34),TRIM(R4),CHAR(34),", ",CHAR(34),TRIM(S4),CHAR(34),"]);")</f>
        <v>data.push(["October", "Monday", "7th", "Mixed A", "Trident D", "Holmewood House School TN3 0EB", "8"]);</v>
      </c>
    </row>
    <row r="5" spans="1:20" ht="21.1" customHeight="1" x14ac:dyDescent="0.3">
      <c r="A5" s="26" t="s">
        <v>144</v>
      </c>
      <c r="B5" s="27">
        <v>43749</v>
      </c>
      <c r="C5" s="26" t="str">
        <f>TEXT(B5,"DDDD")</f>
        <v>Friday</v>
      </c>
      <c r="D5" s="26" t="s">
        <v>143</v>
      </c>
      <c r="E5" s="30" t="s">
        <v>145</v>
      </c>
      <c r="F5" t="str">
        <f>TRIM(MID(E5,2+FIND("vs",E5)+1,FIND("(",E5,2+FIND("vs",E5))-FIND("vs",E5)-3))</f>
        <v>Felbridge</v>
      </c>
      <c r="G5" t="str">
        <f>TRIM(LEFT(E5,FIND("vs",E5)-1))</f>
        <v>Angel B</v>
      </c>
      <c r="H5" s="26" t="s">
        <v>67</v>
      </c>
      <c r="I5" s="26" t="s">
        <v>64</v>
      </c>
      <c r="J5" s="47" t="str">
        <f>TEXT(B5,"MMMM")</f>
        <v>October</v>
      </c>
      <c r="K5" s="48" t="str">
        <f>TEXT(B5,"dddd")</f>
        <v>Friday</v>
      </c>
      <c r="L5" s="49" t="str">
        <f>DAY(B5)&amp;LOOKUP(DAY(B5),{1,2,3,4,21,22,23,24,31;"st","nd","rd","th","st","nd","rd","th","st"})</f>
        <v>11th</v>
      </c>
      <c r="M5" s="48">
        <f>DAY(B5)</f>
        <v>11</v>
      </c>
      <c r="N5" s="48">
        <f>YEAR(B5)</f>
        <v>2019</v>
      </c>
      <c r="O5" s="50">
        <f>B5</f>
        <v>43749</v>
      </c>
      <c r="P5" s="49" t="str">
        <f>TRIM(D5)</f>
        <v>Masters B</v>
      </c>
      <c r="Q5" s="48" t="str">
        <f>IF(LEFT(F5,5)="Angel",G5,F5)</f>
        <v>Felbridge</v>
      </c>
      <c r="R5" s="48" t="str">
        <f>H5</f>
        <v>Angel Centre</v>
      </c>
      <c r="S5" s="48" t="str">
        <f>SUBSTITUTE(I5,"pm","")</f>
        <v>8</v>
      </c>
      <c r="T5" s="46" t="str">
        <f>CONCATENATE("data.push([",CHAR(34),TRIM(J5),CHAR(34),", ",CHAR(34),TRIM(K5),CHAR(34),", ",CHAR(34),TRIM(L5),CHAR(34),", ",CHAR(34),TRIM(P5),CHAR(34),", ",CHAR(34),TRIM(Q5),CHAR(34),", ",CHAR(34),TRIM(R5),CHAR(34),", ",CHAR(34),TRIM(S5),CHAR(34),"]);")</f>
        <v>data.push(["October", "Friday", "11th", "Masters B", "Felbridge", "Angel Centre", "8"]);</v>
      </c>
    </row>
    <row r="6" spans="1:20" ht="21.1" customHeight="1" x14ac:dyDescent="0.3">
      <c r="A6" s="26" t="s">
        <v>90</v>
      </c>
      <c r="B6" s="27">
        <v>43749</v>
      </c>
      <c r="C6" s="26" t="str">
        <f>TEXT(B6,"DDDD")</f>
        <v>Friday</v>
      </c>
      <c r="D6" s="26" t="s">
        <v>89</v>
      </c>
      <c r="E6" s="26" t="s">
        <v>92</v>
      </c>
      <c r="F6" t="str">
        <f>TRIM(MID(E6,2+FIND("vs",E6)+1,FIND("(",E6,2+FIND("vs",E6))-FIND("vs",E6)-3))</f>
        <v>AIT</v>
      </c>
      <c r="G6" t="str">
        <f>TRIM(LEFT(E6,FIND("vs",E6)-1))</f>
        <v>Angel</v>
      </c>
      <c r="H6" s="26" t="s">
        <v>67</v>
      </c>
      <c r="I6" s="26" t="s">
        <v>64</v>
      </c>
      <c r="J6" s="47" t="str">
        <f>TEXT(B6,"MMMM")</f>
        <v>October</v>
      </c>
      <c r="K6" s="48" t="str">
        <f>TEXT(B6,"dddd")</f>
        <v>Friday</v>
      </c>
      <c r="L6" s="49" t="str">
        <f>DAY(B6)&amp;LOOKUP(DAY(B6),{1,2,3,4,21,22,23,24,31;"st","nd","rd","th","st","nd","rd","th","st"})</f>
        <v>11th</v>
      </c>
      <c r="M6" s="48">
        <f>DAY(B6)</f>
        <v>11</v>
      </c>
      <c r="N6" s="48">
        <f>YEAR(B6)</f>
        <v>2019</v>
      </c>
      <c r="O6" s="50">
        <f>B6</f>
        <v>43749</v>
      </c>
      <c r="P6" s="49" t="str">
        <f>TRIM(D6)</f>
        <v>Ladies 4s</v>
      </c>
      <c r="Q6" s="48" t="str">
        <f>IF(LEFT(F6,5)="Angel",G6,F6)</f>
        <v>AIT</v>
      </c>
      <c r="R6" s="48" t="str">
        <f>H6</f>
        <v>Angel Centre</v>
      </c>
      <c r="S6" s="48" t="str">
        <f>SUBSTITUTE(I6,"pm","")</f>
        <v>8</v>
      </c>
      <c r="T6" s="46" t="str">
        <f>CONCATENATE("data.push([",CHAR(34),TRIM(J6),CHAR(34),", ",CHAR(34),TRIM(K6),CHAR(34),", ",CHAR(34),TRIM(L6),CHAR(34),", ",CHAR(34),TRIM(P6),CHAR(34),", ",CHAR(34),TRIM(Q6),CHAR(34),", ",CHAR(34),TRIM(R6),CHAR(34),", ",CHAR(34),TRIM(S6),CHAR(34),"]);")</f>
        <v>data.push(["October", "Friday", "11th", "Ladies 4s", "AIT", "Angel Centre", "8"]);</v>
      </c>
    </row>
    <row r="7" spans="1:20" ht="21.1" customHeight="1" x14ac:dyDescent="0.3">
      <c r="A7" s="26" t="s">
        <v>105</v>
      </c>
      <c r="B7" s="27">
        <v>43755</v>
      </c>
      <c r="C7" s="26" t="str">
        <f>TEXT(B7,"DDDD")</f>
        <v>Thursday</v>
      </c>
      <c r="D7" s="26" t="s">
        <v>104</v>
      </c>
      <c r="E7" s="30" t="s">
        <v>106</v>
      </c>
      <c r="F7" t="str">
        <f>TRIM(MID(E7,2+FIND("vs",E7)+1,FIND("(",E7,2+FIND("vs",E7))-FIND("vs",E7)-3))</f>
        <v>Angel</v>
      </c>
      <c r="G7" t="str">
        <f>TRIM(LEFT(E7,FIND("vs",E7)-1))</f>
        <v>AIT</v>
      </c>
      <c r="H7" s="29" t="s">
        <v>155</v>
      </c>
      <c r="I7" s="26" t="s">
        <v>114</v>
      </c>
      <c r="J7" s="47" t="str">
        <f>TEXT(B7,"MMMM")</f>
        <v>October</v>
      </c>
      <c r="K7" s="48" t="str">
        <f>TEXT(B7,"dddd")</f>
        <v>Thursday</v>
      </c>
      <c r="L7" s="49" t="str">
        <f>DAY(B7)&amp;LOOKUP(DAY(B7),{1,2,3,4,21,22,23,24,31;"st","nd","rd","th","st","nd","rd","th","st"})</f>
        <v>17th</v>
      </c>
      <c r="M7" s="48">
        <f>DAY(B7)</f>
        <v>17</v>
      </c>
      <c r="N7" s="48">
        <f>YEAR(B7)</f>
        <v>2019</v>
      </c>
      <c r="O7" s="50">
        <f>B7</f>
        <v>43755</v>
      </c>
      <c r="P7" s="49" t="str">
        <f>TRIM(D7)</f>
        <v>Ladies 6s</v>
      </c>
      <c r="Q7" s="48" t="str">
        <f>IF(LEFT(F7,5)="Angel",G7,F7)</f>
        <v>AIT</v>
      </c>
      <c r="R7" s="48" t="str">
        <f>H7</f>
        <v xml:space="preserve">Mascalls Academy TN12 6LT </v>
      </c>
      <c r="S7" s="48" t="str">
        <f>SUBSTITUTE(I7,"pm","")</f>
        <v>8.05</v>
      </c>
      <c r="T7" s="46" t="str">
        <f>CONCATENATE("data.push([",CHAR(34),TRIM(J7),CHAR(34),", ",CHAR(34),TRIM(K7),CHAR(34),", ",CHAR(34),TRIM(L7),CHAR(34),", ",CHAR(34),TRIM(P7),CHAR(34),", ",CHAR(34),TRIM(Q7),CHAR(34),", ",CHAR(34),TRIM(R7),CHAR(34),", ",CHAR(34),TRIM(S7),CHAR(34),"]);")</f>
        <v>data.push(["October", "Thursday", "17th", "Ladies 6s", "AIT", "Mascalls Academy TN12 6LT", "8.05"]);</v>
      </c>
    </row>
    <row r="8" spans="1:20" ht="21.1" customHeight="1" x14ac:dyDescent="0.3">
      <c r="A8" s="26" t="s">
        <v>79</v>
      </c>
      <c r="B8" s="27">
        <v>43756</v>
      </c>
      <c r="C8" s="26" t="str">
        <f>TEXT(B8,"DDDD")</f>
        <v>Friday</v>
      </c>
      <c r="D8" s="26" t="s">
        <v>78</v>
      </c>
      <c r="E8" s="30" t="s">
        <v>80</v>
      </c>
      <c r="F8" t="str">
        <f>TRIM(MID(E8,2+FIND("vs",E8)+1,FIND("(",E8,2+FIND("vs",E8))-FIND("vs",E8)-3))</f>
        <v>St Johns E</v>
      </c>
      <c r="G8" t="str">
        <f>TRIM(LEFT(E8,FIND("vs",E8)-1))</f>
        <v>Angel C</v>
      </c>
      <c r="H8" s="26" t="s">
        <v>67</v>
      </c>
      <c r="I8" s="26" t="s">
        <v>64</v>
      </c>
      <c r="J8" s="47" t="str">
        <f>TEXT(B8,"MMMM")</f>
        <v>October</v>
      </c>
      <c r="K8" s="48" t="str">
        <f>TEXT(B8,"dddd")</f>
        <v>Friday</v>
      </c>
      <c r="L8" s="49" t="str">
        <f>DAY(B8)&amp;LOOKUP(DAY(B8),{1,2,3,4,21,22,23,24,31;"st","nd","rd","th","st","nd","rd","th","st"})</f>
        <v>18th</v>
      </c>
      <c r="M8" s="48">
        <f>DAY(B8)</f>
        <v>18</v>
      </c>
      <c r="N8" s="48">
        <f>YEAR(B8)</f>
        <v>2019</v>
      </c>
      <c r="O8" s="50">
        <f>B8</f>
        <v>43756</v>
      </c>
      <c r="P8" s="49" t="str">
        <f>TRIM(D8)</f>
        <v>Mens C</v>
      </c>
      <c r="Q8" s="48" t="str">
        <f>IF(LEFT(F8,5)="Angel",G8,F8)</f>
        <v>St Johns E</v>
      </c>
      <c r="R8" s="48" t="str">
        <f>H8</f>
        <v>Angel Centre</v>
      </c>
      <c r="S8" s="48" t="str">
        <f>SUBSTITUTE(I8,"pm","")</f>
        <v>8</v>
      </c>
      <c r="T8" s="46" t="str">
        <f>CONCATENATE("data.push([",CHAR(34),TRIM(J8),CHAR(34),", ",CHAR(34),TRIM(K8),CHAR(34),", ",CHAR(34),TRIM(L8),CHAR(34),", ",CHAR(34),TRIM(P8),CHAR(34),", ",CHAR(34),TRIM(Q8),CHAR(34),", ",CHAR(34),TRIM(R8),CHAR(34),", ",CHAR(34),TRIM(S8),CHAR(34),"]);")</f>
        <v>data.push(["October", "Friday", "18th", "Mens C", "St Johns E", "Angel Centre", "8"]);</v>
      </c>
    </row>
    <row r="9" spans="1:20" ht="21.1" customHeight="1" x14ac:dyDescent="0.3">
      <c r="A9" s="26" t="s">
        <v>90</v>
      </c>
      <c r="B9" s="27">
        <v>43756</v>
      </c>
      <c r="C9" s="26" t="str">
        <f>TEXT(B9,"DDDD")</f>
        <v>Friday</v>
      </c>
      <c r="D9" s="26" t="s">
        <v>89</v>
      </c>
      <c r="E9" s="26" t="s">
        <v>93</v>
      </c>
      <c r="F9" t="str">
        <f>TRIM(MID(E9,2+FIND("vs",E9)+1,FIND("(",E9,2+FIND("vs",E9))-FIND("vs",E9)-3))</f>
        <v>Trident</v>
      </c>
      <c r="G9" t="str">
        <f>TRIM(LEFT(E9,FIND("vs",E9)-1))</f>
        <v>Angel</v>
      </c>
      <c r="H9" s="26" t="s">
        <v>67</v>
      </c>
      <c r="I9" s="26" t="s">
        <v>64</v>
      </c>
      <c r="J9" s="47" t="str">
        <f>TEXT(B9,"MMMM")</f>
        <v>October</v>
      </c>
      <c r="K9" s="48" t="str">
        <f>TEXT(B9,"dddd")</f>
        <v>Friday</v>
      </c>
      <c r="L9" s="49" t="str">
        <f>DAY(B9)&amp;LOOKUP(DAY(B9),{1,2,3,4,21,22,23,24,31;"st","nd","rd","th","st","nd","rd","th","st"})</f>
        <v>18th</v>
      </c>
      <c r="M9" s="48">
        <f>DAY(B9)</f>
        <v>18</v>
      </c>
      <c r="N9" s="48">
        <f>YEAR(B9)</f>
        <v>2019</v>
      </c>
      <c r="O9" s="50">
        <f>B9</f>
        <v>43756</v>
      </c>
      <c r="P9" s="49" t="str">
        <f>TRIM(D9)</f>
        <v>Ladies 4s</v>
      </c>
      <c r="Q9" s="48" t="str">
        <f>IF(LEFT(F9,5)="Angel",G9,F9)</f>
        <v>Trident</v>
      </c>
      <c r="R9" s="48" t="str">
        <f>H9</f>
        <v>Angel Centre</v>
      </c>
      <c r="S9" s="48" t="str">
        <f>SUBSTITUTE(I9,"pm","")</f>
        <v>8</v>
      </c>
      <c r="T9" s="46" t="str">
        <f>CONCATENATE("data.push([",CHAR(34),TRIM(J9),CHAR(34),", ",CHAR(34),TRIM(K9),CHAR(34),", ",CHAR(34),TRIM(L9),CHAR(34),", ",CHAR(34),TRIM(P9),CHAR(34),", ",CHAR(34),TRIM(Q9),CHAR(34),", ",CHAR(34),TRIM(R9),CHAR(34),", ",CHAR(34),TRIM(S9),CHAR(34),"]);")</f>
        <v>data.push(["October", "Friday", "18th", "Ladies 4s", "Trident", "Angel Centre", "8"]);</v>
      </c>
    </row>
    <row r="10" spans="1:20" ht="21.1" customHeight="1" x14ac:dyDescent="0.3">
      <c r="A10" s="26" t="s">
        <v>153</v>
      </c>
      <c r="B10" s="27">
        <v>43756</v>
      </c>
      <c r="C10" s="26" t="str">
        <f>TEXT(B10,"DDDD")</f>
        <v>Friday</v>
      </c>
      <c r="D10" s="26" t="s">
        <v>152</v>
      </c>
      <c r="E10" s="26" t="s">
        <v>93</v>
      </c>
      <c r="F10" t="str">
        <f>TRIM(MID(E10,2+FIND("vs",E10)+1,FIND("(",E10,2+FIND("vs",E10))-FIND("vs",E10)-3))</f>
        <v>Trident</v>
      </c>
      <c r="G10" t="str">
        <f>TRIM(LEFT(E10,FIND("vs",E10)-1))</f>
        <v>Angel</v>
      </c>
      <c r="H10" s="26" t="s">
        <v>67</v>
      </c>
      <c r="I10" s="26" t="s">
        <v>64</v>
      </c>
      <c r="J10" s="47" t="str">
        <f>TEXT(B10,"MMMM")</f>
        <v>October</v>
      </c>
      <c r="K10" s="48" t="str">
        <f>TEXT(B10,"dddd")</f>
        <v>Friday</v>
      </c>
      <c r="L10" s="49" t="str">
        <f>DAY(B10)&amp;LOOKUP(DAY(B10),{1,2,3,4,21,22,23,24,31;"st","nd","rd","th","st","nd","rd","th","st"})</f>
        <v>18th</v>
      </c>
      <c r="M10" s="48">
        <f>DAY(B10)</f>
        <v>18</v>
      </c>
      <c r="N10" s="48">
        <f>YEAR(B10)</f>
        <v>2019</v>
      </c>
      <c r="O10" s="50">
        <f>B10</f>
        <v>43756</v>
      </c>
      <c r="P10" s="49" t="str">
        <f>TRIM(D10)</f>
        <v>Mens 4s</v>
      </c>
      <c r="Q10" s="48" t="str">
        <f>IF(LEFT(F10,5)="Angel",G10,F10)</f>
        <v>Trident</v>
      </c>
      <c r="R10" s="48" t="str">
        <f>H10</f>
        <v>Angel Centre</v>
      </c>
      <c r="S10" s="48" t="str">
        <f>SUBSTITUTE(I10,"pm","")</f>
        <v>8</v>
      </c>
      <c r="T10" s="46" t="str">
        <f>CONCATENATE("data.push([",CHAR(34),TRIM(J10),CHAR(34),", ",CHAR(34),TRIM(K10),CHAR(34),", ",CHAR(34),TRIM(L10),CHAR(34),", ",CHAR(34),TRIM(P10),CHAR(34),", ",CHAR(34),TRIM(Q10),CHAR(34),", ",CHAR(34),TRIM(R10),CHAR(34),", ",CHAR(34),TRIM(S10),CHAR(34),"]);")</f>
        <v>data.push(["October", "Friday", "18th", "Mens 4s", "Trident", "Angel Centre", "8"]);</v>
      </c>
    </row>
    <row r="11" spans="1:20" ht="21.1" customHeight="1" x14ac:dyDescent="0.3">
      <c r="A11" s="26" t="s">
        <v>124</v>
      </c>
      <c r="B11" s="27">
        <v>43756</v>
      </c>
      <c r="C11" s="26" t="str">
        <f>TEXT(B11,"DDDD")</f>
        <v>Friday</v>
      </c>
      <c r="D11" s="26" t="s">
        <v>123</v>
      </c>
      <c r="E11" s="26" t="s">
        <v>170</v>
      </c>
      <c r="F11" t="str">
        <f>TRIM(MID(E11,2+FIND("vs",E11)+1,FIND("(",E11,2+FIND("vs",E11))-FIND("vs",E11)-3))</f>
        <v>Angel B</v>
      </c>
      <c r="G11" t="str">
        <f>TRIM(LEFT(E11,FIND("vs",E11)-1))</f>
        <v>Hilden Grange</v>
      </c>
      <c r="H11" s="29" t="s">
        <v>255</v>
      </c>
      <c r="I11" s="26" t="s">
        <v>64</v>
      </c>
      <c r="J11" s="47" t="str">
        <f>TEXT(B11,"MMMM")</f>
        <v>October</v>
      </c>
      <c r="K11" s="48" t="str">
        <f>TEXT(B11,"dddd")</f>
        <v>Friday</v>
      </c>
      <c r="L11" s="49" t="str">
        <f>DAY(B11)&amp;LOOKUP(DAY(B11),{1,2,3,4,21,22,23,24,31;"st","nd","rd","th","st","nd","rd","th","st"})</f>
        <v>18th</v>
      </c>
      <c r="M11" s="48">
        <f>DAY(B11)</f>
        <v>18</v>
      </c>
      <c r="N11" s="48">
        <f>YEAR(B11)</f>
        <v>2019</v>
      </c>
      <c r="O11" s="50">
        <f>B11</f>
        <v>43756</v>
      </c>
      <c r="P11" s="49" t="str">
        <f>TRIM(D11)</f>
        <v>Mixed B</v>
      </c>
      <c r="Q11" s="48" t="str">
        <f>IF(LEFT(F11,5)="Angel",G11,F11)</f>
        <v>Hilden Grange</v>
      </c>
      <c r="R11" s="48" t="str">
        <f>H11</f>
        <v>Hilden Grange School TN10 3BX</v>
      </c>
      <c r="S11" s="48" t="str">
        <f>SUBSTITUTE(I11,"pm","")</f>
        <v>8</v>
      </c>
      <c r="T11" s="46" t="str">
        <f>CONCATENATE("data.push([",CHAR(34),TRIM(J11),CHAR(34),", ",CHAR(34),TRIM(K11),CHAR(34),", ",CHAR(34),TRIM(L11),CHAR(34),", ",CHAR(34),TRIM(P11),CHAR(34),", ",CHAR(34),TRIM(Q11),CHAR(34),", ",CHAR(34),TRIM(R11),CHAR(34),", ",CHAR(34),TRIM(S11),CHAR(34),"]);")</f>
        <v>data.push(["October", "Friday", "18th", "Mixed B", "Hilden Grange", "Hilden Grange School TN10 3BX", "8"]);</v>
      </c>
    </row>
    <row r="12" spans="1:20" ht="21.1" customHeight="1" x14ac:dyDescent="0.3">
      <c r="A12" s="26" t="s">
        <v>90</v>
      </c>
      <c r="B12" s="27">
        <v>43762</v>
      </c>
      <c r="C12" s="26" t="str">
        <f>TEXT(B12,"DDDD")</f>
        <v>Thursday</v>
      </c>
      <c r="D12" s="26" t="s">
        <v>89</v>
      </c>
      <c r="E12" s="26" t="s">
        <v>94</v>
      </c>
      <c r="F12" t="str">
        <f>TRIM(MID(E12,2+FIND("vs",E12)+1,FIND("(",E12,2+FIND("vs",E12))-FIND("vs",E12)-3))</f>
        <v>Angel</v>
      </c>
      <c r="G12" t="str">
        <f>TRIM(LEFT(E12,FIND("vs",E12)-1))</f>
        <v>Wadhurst</v>
      </c>
      <c r="H12" s="29" t="s">
        <v>162</v>
      </c>
      <c r="I12" s="26" t="s">
        <v>65</v>
      </c>
      <c r="J12" s="47" t="str">
        <f>TEXT(B12,"MMMM")</f>
        <v>October</v>
      </c>
      <c r="K12" s="48" t="str">
        <f>TEXT(B12,"dddd")</f>
        <v>Thursday</v>
      </c>
      <c r="L12" s="49" t="str">
        <f>DAY(B12)&amp;LOOKUP(DAY(B12),{1,2,3,4,21,22,23,24,31;"st","nd","rd","th","st","nd","rd","th","st"})</f>
        <v>24th</v>
      </c>
      <c r="M12" s="48">
        <f>DAY(B12)</f>
        <v>24</v>
      </c>
      <c r="N12" s="48">
        <f>YEAR(B12)</f>
        <v>2019</v>
      </c>
      <c r="O12" s="50">
        <f>B12</f>
        <v>43762</v>
      </c>
      <c r="P12" s="49" t="str">
        <f>TRIM(D12)</f>
        <v>Ladies 4s</v>
      </c>
      <c r="Q12" s="48" t="str">
        <f>IF(LEFT(F12,5)="Angel",G12,F12)</f>
        <v>Wadhurst</v>
      </c>
      <c r="R12" s="48" t="str">
        <f>H12</f>
        <v>Commemoration Hall, Wadhurst, TN5 6AP</v>
      </c>
      <c r="S12" s="48" t="str">
        <f>SUBSTITUTE(I12,"pm","")</f>
        <v>7.30</v>
      </c>
      <c r="T12" s="46" t="str">
        <f>CONCATENATE("data.push([",CHAR(34),TRIM(J12),CHAR(34),", ",CHAR(34),TRIM(K12),CHAR(34),", ",CHAR(34),TRIM(L12),CHAR(34),", ",CHAR(34),TRIM(P12),CHAR(34),", ",CHAR(34),TRIM(Q12),CHAR(34),", ",CHAR(34),TRIM(R12),CHAR(34),", ",CHAR(34),TRIM(S12),CHAR(34),"]);")</f>
        <v>data.push(["October", "Thursday", "24th", "Ladies 4s", "Wadhurst", "Commemoration Hall, Wadhurst, TN5 6AP", "7.30"]);</v>
      </c>
    </row>
    <row r="13" spans="1:20" ht="21.1" customHeight="1" x14ac:dyDescent="0.3">
      <c r="A13" s="26" t="s">
        <v>153</v>
      </c>
      <c r="B13" s="27">
        <v>43765</v>
      </c>
      <c r="C13" s="26" t="str">
        <f>TEXT(B13,"DDDD")</f>
        <v>Sunday</v>
      </c>
      <c r="D13" s="26" t="s">
        <v>152</v>
      </c>
      <c r="E13" s="30" t="s">
        <v>95</v>
      </c>
      <c r="F13" t="str">
        <f>TRIM(MID(E13,2+FIND("vs",E13)+1,FIND("(",E13,2+FIND("vs",E13))-FIND("vs",E13)-3))</f>
        <v>Angel</v>
      </c>
      <c r="G13" t="str">
        <f>TRIM(LEFT(E13,FIND("vs",E13)-1))</f>
        <v>Trident</v>
      </c>
      <c r="H13" s="29" t="s">
        <v>161</v>
      </c>
      <c r="I13" s="26" t="s">
        <v>103</v>
      </c>
      <c r="J13" s="47" t="str">
        <f>TEXT(B13,"MMMM")</f>
        <v>October</v>
      </c>
      <c r="K13" s="48" t="str">
        <f>TEXT(B13,"dddd")</f>
        <v>Sunday</v>
      </c>
      <c r="L13" s="49" t="str">
        <f>DAY(B13)&amp;LOOKUP(DAY(B13),{1,2,3,4,21,22,23,24,31;"st","nd","rd","th","st","nd","rd","th","st"})</f>
        <v>27th</v>
      </c>
      <c r="M13" s="48">
        <f>DAY(B13)</f>
        <v>27</v>
      </c>
      <c r="N13" s="48">
        <f>YEAR(B13)</f>
        <v>2019</v>
      </c>
      <c r="O13" s="50">
        <f>B13</f>
        <v>43765</v>
      </c>
      <c r="P13" s="49" t="str">
        <f>TRIM(D13)</f>
        <v>Mens 4s</v>
      </c>
      <c r="Q13" s="48" t="str">
        <f>IF(LEFT(F13,5)="Angel",G13,F13)</f>
        <v>Trident</v>
      </c>
      <c r="R13" s="48" t="str">
        <f>H13</f>
        <v>Holmewood House School TN3 0EB</v>
      </c>
      <c r="S13" s="48" t="str">
        <f>SUBSTITUTE(I13,"pm","")</f>
        <v>7</v>
      </c>
      <c r="T13" s="46" t="str">
        <f>CONCATENATE("data.push([",CHAR(34),TRIM(J13),CHAR(34),", ",CHAR(34),TRIM(K13),CHAR(34),", ",CHAR(34),TRIM(L13),CHAR(34),", ",CHAR(34),TRIM(P13),CHAR(34),", ",CHAR(34),TRIM(Q13),CHAR(34),", ",CHAR(34),TRIM(R13),CHAR(34),", ",CHAR(34),TRIM(S13),CHAR(34),"]);")</f>
        <v>data.push(["October", "Sunday", "27th", "Mens 4s", "Trident", "Holmewood House School TN3 0EB", "7"]);</v>
      </c>
    </row>
    <row r="14" spans="1:20" ht="21.1" customHeight="1" x14ac:dyDescent="0.3">
      <c r="A14" s="26" t="s">
        <v>130</v>
      </c>
      <c r="B14" s="27">
        <v>43768</v>
      </c>
      <c r="C14" s="26" t="str">
        <f>TEXT(B14,"DDDD")</f>
        <v>Wednesday</v>
      </c>
      <c r="D14" s="26" t="s">
        <v>129</v>
      </c>
      <c r="E14" s="30" t="s">
        <v>131</v>
      </c>
      <c r="F14" t="str">
        <f>TRIM(MID(E14,2+FIND("vs",E14)+1,FIND("(",E14,2+FIND("vs",E14))-FIND("vs",E14)-3))</f>
        <v>Wadhurst</v>
      </c>
      <c r="G14" t="str">
        <f>TRIM(LEFT(E14,FIND("vs",E14)-1))</f>
        <v>Angel C</v>
      </c>
      <c r="H14" s="26" t="s">
        <v>67</v>
      </c>
      <c r="I14" s="26" t="s">
        <v>64</v>
      </c>
      <c r="J14" s="47" t="str">
        <f>TEXT(B14,"MMMM")</f>
        <v>October</v>
      </c>
      <c r="K14" s="48" t="str">
        <f>TEXT(B14,"dddd")</f>
        <v>Wednesday</v>
      </c>
      <c r="L14" s="49" t="str">
        <f>DAY(B14)&amp;LOOKUP(DAY(B14),{1,2,3,4,21,22,23,24,31;"st","nd","rd","th","st","nd","rd","th","st"})</f>
        <v>30th</v>
      </c>
      <c r="M14" s="48">
        <f>DAY(B14)</f>
        <v>30</v>
      </c>
      <c r="N14" s="48">
        <f>YEAR(B14)</f>
        <v>2019</v>
      </c>
      <c r="O14" s="50">
        <f>B14</f>
        <v>43768</v>
      </c>
      <c r="P14" s="49" t="str">
        <f>TRIM(D14)</f>
        <v>Mixed C</v>
      </c>
      <c r="Q14" s="48" t="str">
        <f>IF(LEFT(F14,5)="Angel",G14,F14)</f>
        <v>Wadhurst</v>
      </c>
      <c r="R14" s="48" t="str">
        <f>H14</f>
        <v>Angel Centre</v>
      </c>
      <c r="S14" s="48" t="str">
        <f>SUBSTITUTE(I14,"pm","")</f>
        <v>8</v>
      </c>
      <c r="T14" s="46" t="str">
        <f>CONCATENATE("data.push([",CHAR(34),TRIM(J14),CHAR(34),", ",CHAR(34),TRIM(K14),CHAR(34),", ",CHAR(34),TRIM(L14),CHAR(34),", ",CHAR(34),TRIM(P14),CHAR(34),", ",CHAR(34),TRIM(Q14),CHAR(34),", ",CHAR(34),TRIM(R14),CHAR(34),", ",CHAR(34),TRIM(S14),CHAR(34),"]);")</f>
        <v>data.push(["October", "Wednesday", "30th", "Mixed C", "Wadhurst", "Angel Centre", "8"]);</v>
      </c>
    </row>
    <row r="15" spans="1:20" ht="21.1" customHeight="1" x14ac:dyDescent="0.3">
      <c r="A15" s="26" t="s">
        <v>63</v>
      </c>
      <c r="B15" s="27">
        <v>43770</v>
      </c>
      <c r="C15" s="26" t="str">
        <f>TEXT(B15,"DDDD")</f>
        <v>Friday</v>
      </c>
      <c r="D15" s="26" t="s">
        <v>52</v>
      </c>
      <c r="E15" s="30" t="s">
        <v>54</v>
      </c>
      <c r="F15" t="str">
        <f>TRIM(MID(E15,2+FIND("vs",E15)+1,FIND("(",E15,2+FIND("vs",E15))-FIND("vs",E15)-3))</f>
        <v>Angel A</v>
      </c>
      <c r="G15" t="str">
        <f>TRIM(LEFT(E15,FIND("vs",E15)-1))</f>
        <v>St Johns B</v>
      </c>
      <c r="H15" s="29" t="s">
        <v>160</v>
      </c>
      <c r="I15" s="26" t="s">
        <v>65</v>
      </c>
      <c r="J15" s="47" t="str">
        <f>TEXT(B15,"MMMM")</f>
        <v>November</v>
      </c>
      <c r="K15" s="48" t="str">
        <f>TEXT(B15,"dddd")</f>
        <v>Friday</v>
      </c>
      <c r="L15" s="49" t="str">
        <f>DAY(B15)&amp;LOOKUP(DAY(B15),{1,2,3,4,21,22,23,24,31;"st","nd","rd","th","st","nd","rd","th","st"})</f>
        <v>1st</v>
      </c>
      <c r="M15" s="48">
        <f>DAY(B15)</f>
        <v>1</v>
      </c>
      <c r="N15" s="48">
        <f>YEAR(B15)</f>
        <v>2019</v>
      </c>
      <c r="O15" s="50">
        <f>B15</f>
        <v>43770</v>
      </c>
      <c r="P15" s="49" t="str">
        <f>TRIM(D15)</f>
        <v>Mens A</v>
      </c>
      <c r="Q15" s="48" t="str">
        <f>IF(LEFT(F15,5)="Angel",G15,F15)</f>
        <v>St Johns B</v>
      </c>
      <c r="R15" s="48" t="str">
        <f>H15</f>
        <v xml:space="preserve">Tunbridge Wells Sports Centre TN4 9TX   </v>
      </c>
      <c r="S15" s="48" t="str">
        <f>SUBSTITUTE(I15,"pm","")</f>
        <v>7.30</v>
      </c>
      <c r="T15" s="46" t="str">
        <f>CONCATENATE("data.push([",CHAR(34),TRIM(J15),CHAR(34),", ",CHAR(34),TRIM(K15),CHAR(34),", ",CHAR(34),TRIM(L15),CHAR(34),", ",CHAR(34),TRIM(P15),CHAR(34),", ",CHAR(34),TRIM(Q15),CHAR(34),", ",CHAR(34),TRIM(R15),CHAR(34),", ",CHAR(34),TRIM(S15),CHAR(34),"]);")</f>
        <v>data.push(["November", "Friday", "1st", "Mens A", "St Johns B", "Tunbridge Wells Sports Centre TN4 9TX", "7.30"]);</v>
      </c>
    </row>
    <row r="16" spans="1:20" ht="21.1" customHeight="1" x14ac:dyDescent="0.3">
      <c r="A16" s="26" t="s">
        <v>105</v>
      </c>
      <c r="B16" s="27">
        <v>43770</v>
      </c>
      <c r="C16" s="26" t="str">
        <f>TEXT(B16,"DDDD")</f>
        <v>Friday</v>
      </c>
      <c r="D16" s="26" t="s">
        <v>104</v>
      </c>
      <c r="E16" s="26" t="s">
        <v>107</v>
      </c>
      <c r="F16" t="str">
        <f>TRIM(MID(E16,2+FIND("vs",E16)+1,FIND("(",E16,2+FIND("vs",E16))-FIND("vs",E16)-3))</f>
        <v>Angel</v>
      </c>
      <c r="G16" t="str">
        <f>TRIM(LEFT(E16,FIND("vs",E16)-1))</f>
        <v>St Johns A</v>
      </c>
      <c r="H16" s="29" t="s">
        <v>160</v>
      </c>
      <c r="I16" s="26" t="s">
        <v>65</v>
      </c>
      <c r="J16" s="47" t="str">
        <f>TEXT(B16,"MMMM")</f>
        <v>November</v>
      </c>
      <c r="K16" s="48" t="str">
        <f>TEXT(B16,"dddd")</f>
        <v>Friday</v>
      </c>
      <c r="L16" s="49" t="str">
        <f>DAY(B16)&amp;LOOKUP(DAY(B16),{1,2,3,4,21,22,23,24,31;"st","nd","rd","th","st","nd","rd","th","st"})</f>
        <v>1st</v>
      </c>
      <c r="M16" s="48">
        <f>DAY(B16)</f>
        <v>1</v>
      </c>
      <c r="N16" s="48">
        <f>YEAR(B16)</f>
        <v>2019</v>
      </c>
      <c r="O16" s="50">
        <f>B16</f>
        <v>43770</v>
      </c>
      <c r="P16" s="49" t="str">
        <f>TRIM(D16)</f>
        <v>Ladies 6s</v>
      </c>
      <c r="Q16" s="48" t="str">
        <f>IF(LEFT(F16,5)="Angel",G16,F16)</f>
        <v>St Johns A</v>
      </c>
      <c r="R16" s="48" t="str">
        <f>H16</f>
        <v xml:space="preserve">Tunbridge Wells Sports Centre TN4 9TX   </v>
      </c>
      <c r="S16" s="48" t="str">
        <f>SUBSTITUTE(I16,"pm","")</f>
        <v>7.30</v>
      </c>
      <c r="T16" s="46" t="str">
        <f>CONCATENATE("data.push([",CHAR(34),TRIM(J16),CHAR(34),", ",CHAR(34),TRIM(K16),CHAR(34),", ",CHAR(34),TRIM(L16),CHAR(34),", ",CHAR(34),TRIM(P16),CHAR(34),", ",CHAR(34),TRIM(Q16),CHAR(34),", ",CHAR(34),TRIM(R16),CHAR(34),", ",CHAR(34),TRIM(S16),CHAR(34),"]);")</f>
        <v>data.push(["November", "Friday", "1st", "Ladies 6s", "St Johns A", "Tunbridge Wells Sports Centre TN4 9TX", "7.30"]);</v>
      </c>
    </row>
    <row r="17" spans="1:20" ht="21.1" customHeight="1" x14ac:dyDescent="0.3">
      <c r="A17" s="26" t="s">
        <v>79</v>
      </c>
      <c r="B17" s="27">
        <v>43770</v>
      </c>
      <c r="C17" s="26" t="str">
        <f>TEXT(B17,"DDDD")</f>
        <v>Friday</v>
      </c>
      <c r="D17" s="26" t="s">
        <v>78</v>
      </c>
      <c r="E17" s="26" t="s">
        <v>81</v>
      </c>
      <c r="F17" t="str">
        <f>TRIM(MID(E17,2+FIND("vs",E17)+1,FIND("(",E17,2+FIND("vs",E17))-FIND("vs",E17)-3))</f>
        <v>Sevenoaks C</v>
      </c>
      <c r="G17" t="str">
        <f>TRIM(LEFT(E17,FIND("vs",E17)-1))</f>
        <v>Angel C</v>
      </c>
      <c r="H17" s="26" t="s">
        <v>67</v>
      </c>
      <c r="I17" s="26" t="s">
        <v>64</v>
      </c>
      <c r="J17" s="47" t="str">
        <f>TEXT(B17,"MMMM")</f>
        <v>November</v>
      </c>
      <c r="K17" s="48" t="str">
        <f>TEXT(B17,"dddd")</f>
        <v>Friday</v>
      </c>
      <c r="L17" s="49" t="str">
        <f>DAY(B17)&amp;LOOKUP(DAY(B17),{1,2,3,4,21,22,23,24,31;"st","nd","rd","th","st","nd","rd","th","st"})</f>
        <v>1st</v>
      </c>
      <c r="M17" s="48">
        <f>DAY(B17)</f>
        <v>1</v>
      </c>
      <c r="N17" s="48">
        <f>YEAR(B17)</f>
        <v>2019</v>
      </c>
      <c r="O17" s="50">
        <f>B17</f>
        <v>43770</v>
      </c>
      <c r="P17" s="49" t="str">
        <f>TRIM(D17)</f>
        <v>Mens C</v>
      </c>
      <c r="Q17" s="48" t="str">
        <f>IF(LEFT(F17,5)="Angel",G17,F17)</f>
        <v>Sevenoaks C</v>
      </c>
      <c r="R17" s="48" t="str">
        <f>H17</f>
        <v>Angel Centre</v>
      </c>
      <c r="S17" s="48" t="str">
        <f>SUBSTITUTE(I17,"pm","")</f>
        <v>8</v>
      </c>
      <c r="T17" s="46" t="str">
        <f>CONCATENATE("data.push([",CHAR(34),TRIM(J17),CHAR(34),", ",CHAR(34),TRIM(K17),CHAR(34),", ",CHAR(34),TRIM(L17),CHAR(34),", ",CHAR(34),TRIM(P17),CHAR(34),", ",CHAR(34),TRIM(Q17),CHAR(34),", ",CHAR(34),TRIM(R17),CHAR(34),", ",CHAR(34),TRIM(S17),CHAR(34),"]);")</f>
        <v>data.push(["November", "Friday", "1st", "Mens C", "Sevenoaks C", "Angel Centre", "8"]);</v>
      </c>
    </row>
    <row r="18" spans="1:20" ht="21.1" customHeight="1" x14ac:dyDescent="0.3">
      <c r="A18" s="26" t="s">
        <v>144</v>
      </c>
      <c r="B18" s="27">
        <v>43770</v>
      </c>
      <c r="C18" s="26" t="str">
        <f>TEXT(B18,"DDDD")</f>
        <v>Friday</v>
      </c>
      <c r="D18" s="26" t="s">
        <v>143</v>
      </c>
      <c r="E18" s="26" t="s">
        <v>146</v>
      </c>
      <c r="F18" t="str">
        <f>TRIM(MID(E18,2+FIND("vs",E18)+1,FIND("(",E18,2+FIND("vs",E18))-FIND("vs",E18)-3))</f>
        <v>Chelwood gate</v>
      </c>
      <c r="G18" t="str">
        <f>TRIM(LEFT(E18,FIND("vs",E18)-1))</f>
        <v>Angel B</v>
      </c>
      <c r="H18" s="26" t="s">
        <v>67</v>
      </c>
      <c r="I18" s="26" t="s">
        <v>64</v>
      </c>
      <c r="J18" s="47" t="str">
        <f>TEXT(B18,"MMMM")</f>
        <v>November</v>
      </c>
      <c r="K18" s="48" t="str">
        <f>TEXT(B18,"dddd")</f>
        <v>Friday</v>
      </c>
      <c r="L18" s="49" t="str">
        <f>DAY(B18)&amp;LOOKUP(DAY(B18),{1,2,3,4,21,22,23,24,31;"st","nd","rd","th","st","nd","rd","th","st"})</f>
        <v>1st</v>
      </c>
      <c r="M18" s="48">
        <f>DAY(B18)</f>
        <v>1</v>
      </c>
      <c r="N18" s="48">
        <f>YEAR(B18)</f>
        <v>2019</v>
      </c>
      <c r="O18" s="50">
        <f>B18</f>
        <v>43770</v>
      </c>
      <c r="P18" s="49" t="str">
        <f>TRIM(D18)</f>
        <v>Masters B</v>
      </c>
      <c r="Q18" s="48" t="str">
        <f>IF(LEFT(F18,5)="Angel",G18,F18)</f>
        <v>Chelwood gate</v>
      </c>
      <c r="R18" s="48" t="str">
        <f>H18</f>
        <v>Angel Centre</v>
      </c>
      <c r="S18" s="48" t="str">
        <f>SUBSTITUTE(I18,"pm","")</f>
        <v>8</v>
      </c>
      <c r="T18" s="46" t="str">
        <f>CONCATENATE("data.push([",CHAR(34),TRIM(J18),CHAR(34),", ",CHAR(34),TRIM(K18),CHAR(34),", ",CHAR(34),TRIM(L18),CHAR(34),", ",CHAR(34),TRIM(P18),CHAR(34),", ",CHAR(34),TRIM(Q18),CHAR(34),", ",CHAR(34),TRIM(R18),CHAR(34),", ",CHAR(34),TRIM(S18),CHAR(34),"]);")</f>
        <v>data.push(["November", "Friday", "1st", "Masters B", "Chelwood gate", "Angel Centre", "8"]);</v>
      </c>
    </row>
    <row r="19" spans="1:20" ht="21.1" customHeight="1" x14ac:dyDescent="0.3">
      <c r="A19" s="26" t="s">
        <v>90</v>
      </c>
      <c r="B19" s="27">
        <v>43772</v>
      </c>
      <c r="C19" s="26" t="str">
        <f>TEXT(B19,"DDDD")</f>
        <v>Sunday</v>
      </c>
      <c r="D19" s="26" t="s">
        <v>89</v>
      </c>
      <c r="E19" s="30" t="s">
        <v>95</v>
      </c>
      <c r="F19" t="str">
        <f>TRIM(MID(E19,2+FIND("vs",E19)+1,FIND("(",E19,2+FIND("vs",E19))-FIND("vs",E19)-3))</f>
        <v>Angel</v>
      </c>
      <c r="G19" t="str">
        <f>TRIM(LEFT(E19,FIND("vs",E19)-1))</f>
        <v>Trident</v>
      </c>
      <c r="H19" s="29" t="s">
        <v>161</v>
      </c>
      <c r="I19" s="26" t="s">
        <v>103</v>
      </c>
      <c r="J19" s="47" t="str">
        <f>TEXT(B19,"MMMM")</f>
        <v>November</v>
      </c>
      <c r="K19" s="48" t="str">
        <f>TEXT(B19,"dddd")</f>
        <v>Sunday</v>
      </c>
      <c r="L19" s="49" t="str">
        <f>DAY(B19)&amp;LOOKUP(DAY(B19),{1,2,3,4,21,22,23,24,31;"st","nd","rd","th","st","nd","rd","th","st"})</f>
        <v>3rd</v>
      </c>
      <c r="M19" s="48">
        <f>DAY(B19)</f>
        <v>3</v>
      </c>
      <c r="N19" s="48">
        <f>YEAR(B19)</f>
        <v>2019</v>
      </c>
      <c r="O19" s="50">
        <f>B19</f>
        <v>43772</v>
      </c>
      <c r="P19" s="49" t="str">
        <f>TRIM(D19)</f>
        <v>Ladies 4s</v>
      </c>
      <c r="Q19" s="48" t="str">
        <f>IF(LEFT(F19,5)="Angel",G19,F19)</f>
        <v>Trident</v>
      </c>
      <c r="R19" s="48" t="str">
        <f>H19</f>
        <v>Holmewood House School TN3 0EB</v>
      </c>
      <c r="S19" s="48" t="str">
        <f>SUBSTITUTE(I19,"pm","")</f>
        <v>7</v>
      </c>
      <c r="T19" s="46" t="str">
        <f>CONCATENATE("data.push([",CHAR(34),TRIM(J19),CHAR(34),", ",CHAR(34),TRIM(K19),CHAR(34),", ",CHAR(34),TRIM(L19),CHAR(34),", ",CHAR(34),TRIM(P19),CHAR(34),", ",CHAR(34),TRIM(Q19),CHAR(34),", ",CHAR(34),TRIM(R19),CHAR(34),", ",CHAR(34),TRIM(S19),CHAR(34),"]);")</f>
        <v>data.push(["November", "Sunday", "3rd", "Ladies 4s", "Trident", "Holmewood House School TN3 0EB", "7"]);</v>
      </c>
    </row>
    <row r="20" spans="1:20" ht="21.1" customHeight="1" x14ac:dyDescent="0.3">
      <c r="A20" s="39" t="s">
        <v>79</v>
      </c>
      <c r="B20" s="38">
        <v>43773</v>
      </c>
      <c r="C20" s="39" t="str">
        <f>TEXT(B20,"DDDD")</f>
        <v>Monday</v>
      </c>
      <c r="D20" s="39" t="s">
        <v>78</v>
      </c>
      <c r="E20" s="40" t="s">
        <v>83</v>
      </c>
      <c r="F20" t="str">
        <f>TRIM(MID(E20,2+FIND("vs",E20)+1,FIND("(",E20,2+FIND("vs",E20))-FIND("vs",E20)-3))</f>
        <v>Angel C</v>
      </c>
      <c r="G20" t="str">
        <f>TRIM(LEFT(E20,FIND("vs",E20)-1))</f>
        <v>AIT D</v>
      </c>
      <c r="H20" s="41" t="s">
        <v>155</v>
      </c>
      <c r="I20" s="39" t="s">
        <v>66</v>
      </c>
      <c r="J20" s="47" t="str">
        <f>TEXT(B20,"MMMM")</f>
        <v>November</v>
      </c>
      <c r="K20" s="48" t="str">
        <f>TEXT(B20,"dddd")</f>
        <v>Monday</v>
      </c>
      <c r="L20" s="49" t="str">
        <f>DAY(B20)&amp;LOOKUP(DAY(B20),{1,2,3,4,21,22,23,24,31;"st","nd","rd","th","st","nd","rd","th","st"})</f>
        <v>4th</v>
      </c>
      <c r="M20" s="48">
        <f>DAY(B20)</f>
        <v>4</v>
      </c>
      <c r="N20" s="48">
        <f>YEAR(B20)</f>
        <v>2019</v>
      </c>
      <c r="O20" s="50">
        <f>B20</f>
        <v>43773</v>
      </c>
      <c r="P20" s="49" t="str">
        <f>TRIM(D20)</f>
        <v>Mens C</v>
      </c>
      <c r="Q20" s="48" t="str">
        <f>IF(LEFT(F20,5)="Angel",G20,F20)</f>
        <v>AIT D</v>
      </c>
      <c r="R20" s="48" t="str">
        <f>H20</f>
        <v xml:space="preserve">Mascalls Academy TN12 6LT </v>
      </c>
      <c r="S20" s="48" t="str">
        <f>SUBSTITUTE(I20,"pm","")</f>
        <v>7.35</v>
      </c>
      <c r="T20" s="46" t="str">
        <f>CONCATENATE("data.push([",CHAR(34),TRIM(J20),CHAR(34),", ",CHAR(34),TRIM(K20),CHAR(34),", ",CHAR(34),TRIM(L20),CHAR(34),", ",CHAR(34),TRIM(P20),CHAR(34),", ",CHAR(34),TRIM(Q20),CHAR(34),", ",CHAR(34),TRIM(R20),CHAR(34),", ",CHAR(34),TRIM(S20),CHAR(34),"]);")</f>
        <v>data.push(["November", "Monday", "4th", "Mens C", "AIT D", "Mascalls Academy TN12 6LT", "7.35"]);</v>
      </c>
    </row>
    <row r="21" spans="1:20" ht="21.1" customHeight="1" x14ac:dyDescent="0.3">
      <c r="A21" s="26" t="s">
        <v>144</v>
      </c>
      <c r="B21" s="27">
        <v>43775</v>
      </c>
      <c r="C21" s="26" t="str">
        <f>TEXT(B21,"DDDD")</f>
        <v>Wednesday</v>
      </c>
      <c r="D21" s="26" t="s">
        <v>143</v>
      </c>
      <c r="E21" s="30" t="s">
        <v>147</v>
      </c>
      <c r="F21" t="str">
        <f>TRIM(MID(E21,2+FIND("vs",E21)+1,FIND("(",E21,2+FIND("vs",E21))-FIND("vs",E21)-3))</f>
        <v>Angel B</v>
      </c>
      <c r="G21" t="str">
        <f>TRIM(LEFT(E21,FIND("vs",E21)-1))</f>
        <v>Wadhurst B</v>
      </c>
      <c r="H21" s="29" t="s">
        <v>162</v>
      </c>
      <c r="I21" s="26" t="s">
        <v>65</v>
      </c>
      <c r="J21" s="47" t="str">
        <f>TEXT(B21,"MMMM")</f>
        <v>November</v>
      </c>
      <c r="K21" s="48" t="str">
        <f>TEXT(B21,"dddd")</f>
        <v>Wednesday</v>
      </c>
      <c r="L21" s="49" t="str">
        <f>DAY(B21)&amp;LOOKUP(DAY(B21),{1,2,3,4,21,22,23,24,31;"st","nd","rd","th","st","nd","rd","th","st"})</f>
        <v>6th</v>
      </c>
      <c r="M21" s="48">
        <f>DAY(B21)</f>
        <v>6</v>
      </c>
      <c r="N21" s="48">
        <f>YEAR(B21)</f>
        <v>2019</v>
      </c>
      <c r="O21" s="50">
        <f>B21</f>
        <v>43775</v>
      </c>
      <c r="P21" s="49" t="str">
        <f>TRIM(D21)</f>
        <v>Masters B</v>
      </c>
      <c r="Q21" s="48" t="str">
        <f>IF(LEFT(F21,5)="Angel",G21,F21)</f>
        <v>Wadhurst B</v>
      </c>
      <c r="R21" s="48" t="str">
        <f>H21</f>
        <v>Commemoration Hall, Wadhurst, TN5 6AP</v>
      </c>
      <c r="S21" s="48" t="str">
        <f>SUBSTITUTE(I21,"pm","")</f>
        <v>7.30</v>
      </c>
      <c r="T21" s="46" t="str">
        <f>CONCATENATE("data.push([",CHAR(34),TRIM(J21),CHAR(34),", ",CHAR(34),TRIM(K21),CHAR(34),", ",CHAR(34),TRIM(L21),CHAR(34),", ",CHAR(34),TRIM(P21),CHAR(34),", ",CHAR(34),TRIM(Q21),CHAR(34),", ",CHAR(34),TRIM(R21),CHAR(34),", ",CHAR(34),TRIM(S21),CHAR(34),"]);")</f>
        <v>data.push(["November", "Wednesday", "6th", "Masters B", "Wadhurst B", "Commemoration Hall, Wadhurst, TN5 6AP", "7.30"]);</v>
      </c>
    </row>
    <row r="22" spans="1:20" ht="21.1" customHeight="1" x14ac:dyDescent="0.3">
      <c r="A22" s="26" t="s">
        <v>77</v>
      </c>
      <c r="B22" s="27">
        <v>43777</v>
      </c>
      <c r="C22" s="26" t="str">
        <f>TEXT(B22,"DDDD")</f>
        <v>Friday</v>
      </c>
      <c r="D22" s="26" t="s">
        <v>68</v>
      </c>
      <c r="E22" s="30" t="s">
        <v>70</v>
      </c>
      <c r="F22" t="str">
        <f>TRIM(MID(E22,2+FIND("vs",E22)+1,FIND("(",E22,2+FIND("vs",E22))-FIND("vs",E22)-3))</f>
        <v>Angel B</v>
      </c>
      <c r="G22" t="str">
        <f>TRIM(LEFT(E22,FIND("vs",E22)-1))</f>
        <v>St Johns C</v>
      </c>
      <c r="H22" s="29" t="s">
        <v>160</v>
      </c>
      <c r="I22" s="26" t="s">
        <v>65</v>
      </c>
      <c r="J22" s="47" t="str">
        <f>TEXT(B22,"MMMM")</f>
        <v>November</v>
      </c>
      <c r="K22" s="48" t="str">
        <f>TEXT(B22,"dddd")</f>
        <v>Friday</v>
      </c>
      <c r="L22" s="49" t="str">
        <f>DAY(B22)&amp;LOOKUP(DAY(B22),{1,2,3,4,21,22,23,24,31;"st","nd","rd","th","st","nd","rd","th","st"})</f>
        <v>8th</v>
      </c>
      <c r="M22" s="48">
        <f>DAY(B22)</f>
        <v>8</v>
      </c>
      <c r="N22" s="48">
        <f>YEAR(B22)</f>
        <v>2019</v>
      </c>
      <c r="O22" s="50">
        <f>B22</f>
        <v>43777</v>
      </c>
      <c r="P22" s="49" t="str">
        <f>TRIM(D22)</f>
        <v>Mens B</v>
      </c>
      <c r="Q22" s="48" t="str">
        <f>IF(LEFT(F22,5)="Angel",G22,F22)</f>
        <v>St Johns C</v>
      </c>
      <c r="R22" s="48" t="str">
        <f>H22</f>
        <v xml:space="preserve">Tunbridge Wells Sports Centre TN4 9TX   </v>
      </c>
      <c r="S22" s="48" t="str">
        <f>SUBSTITUTE(I22,"pm","")</f>
        <v>7.30</v>
      </c>
      <c r="T22" s="46" t="str">
        <f>CONCATENATE("data.push([",CHAR(34),TRIM(J22),CHAR(34),", ",CHAR(34),TRIM(K22),CHAR(34),", ",CHAR(34),TRIM(L22),CHAR(34),", ",CHAR(34),TRIM(P22),CHAR(34),", ",CHAR(34),TRIM(Q22),CHAR(34),", ",CHAR(34),TRIM(R22),CHAR(34),", ",CHAR(34),TRIM(S22),CHAR(34),"]);")</f>
        <v>data.push(["November", "Friday", "8th", "Mens B", "St Johns C", "Tunbridge Wells Sports Centre TN4 9TX", "7.30"]);</v>
      </c>
    </row>
    <row r="23" spans="1:20" ht="21.1" customHeight="1" x14ac:dyDescent="0.3">
      <c r="A23" s="26" t="s">
        <v>105</v>
      </c>
      <c r="B23" s="27">
        <v>43777</v>
      </c>
      <c r="C23" s="26" t="str">
        <f>TEXT(B23,"DDDD")</f>
        <v>Friday</v>
      </c>
      <c r="D23" s="26" t="s">
        <v>104</v>
      </c>
      <c r="E23" s="26" t="s">
        <v>108</v>
      </c>
      <c r="F23" t="str">
        <f>TRIM(MID(E23,2+FIND("vs",E23)+1,FIND("(",E23,2+FIND("vs",E23))-FIND("vs",E23)-3))</f>
        <v>Angel</v>
      </c>
      <c r="G23" t="str">
        <f>TRIM(LEFT(E23,FIND("vs",E23)-1))</f>
        <v>St Johns B</v>
      </c>
      <c r="H23" s="29" t="s">
        <v>160</v>
      </c>
      <c r="I23" s="26" t="s">
        <v>65</v>
      </c>
      <c r="J23" s="47" t="str">
        <f>TEXT(B23,"MMMM")</f>
        <v>November</v>
      </c>
      <c r="K23" s="48" t="str">
        <f>TEXT(B23,"dddd")</f>
        <v>Friday</v>
      </c>
      <c r="L23" s="49" t="str">
        <f>DAY(B23)&amp;LOOKUP(DAY(B23),{1,2,3,4,21,22,23,24,31;"st","nd","rd","th","st","nd","rd","th","st"})</f>
        <v>8th</v>
      </c>
      <c r="M23" s="48">
        <f>DAY(B23)</f>
        <v>8</v>
      </c>
      <c r="N23" s="48">
        <f>YEAR(B23)</f>
        <v>2019</v>
      </c>
      <c r="O23" s="50">
        <f>B23</f>
        <v>43777</v>
      </c>
      <c r="P23" s="49" t="str">
        <f>TRIM(D23)</f>
        <v>Ladies 6s</v>
      </c>
      <c r="Q23" s="48" t="str">
        <f>IF(LEFT(F23,5)="Angel",G23,F23)</f>
        <v>St Johns B</v>
      </c>
      <c r="R23" s="48" t="str">
        <f>H23</f>
        <v xml:space="preserve">Tunbridge Wells Sports Centre TN4 9TX   </v>
      </c>
      <c r="S23" s="48" t="str">
        <f>SUBSTITUTE(I23,"pm","")</f>
        <v>7.30</v>
      </c>
      <c r="T23" s="46" t="str">
        <f>CONCATENATE("data.push([",CHAR(34),TRIM(J23),CHAR(34),", ",CHAR(34),TRIM(K23),CHAR(34),", ",CHAR(34),TRIM(L23),CHAR(34),", ",CHAR(34),TRIM(P23),CHAR(34),", ",CHAR(34),TRIM(Q23),CHAR(34),", ",CHAR(34),TRIM(R23),CHAR(34),", ",CHAR(34),TRIM(S23),CHAR(34),"]);")</f>
        <v>data.push(["November", "Friday", "8th", "Ladies 6s", "St Johns B", "Tunbridge Wells Sports Centre TN4 9TX", "7.30"]);</v>
      </c>
    </row>
    <row r="24" spans="1:20" ht="21.1" customHeight="1" x14ac:dyDescent="0.3">
      <c r="A24" s="26" t="s">
        <v>124</v>
      </c>
      <c r="B24" s="27">
        <v>43780</v>
      </c>
      <c r="C24" s="26" t="str">
        <f>TEXT(B24,"DDDD")</f>
        <v>Monday</v>
      </c>
      <c r="D24" s="26" t="s">
        <v>123</v>
      </c>
      <c r="E24" s="30" t="s">
        <v>125</v>
      </c>
      <c r="F24" t="str">
        <f>TRIM(MID(E24,2+FIND("vs",E24)+1,FIND("(",E24,2+FIND("vs",E24))-FIND("vs",E24)-3))</f>
        <v>Angel B</v>
      </c>
      <c r="G24" t="str">
        <f>TRIM(LEFT(E24,FIND("vs",E24)-1))</f>
        <v>Trident E</v>
      </c>
      <c r="H24" s="29" t="s">
        <v>161</v>
      </c>
      <c r="I24" s="26" t="s">
        <v>64</v>
      </c>
      <c r="J24" s="47" t="str">
        <f>TEXT(B24,"MMMM")</f>
        <v>November</v>
      </c>
      <c r="K24" s="48" t="str">
        <f>TEXT(B24,"dddd")</f>
        <v>Monday</v>
      </c>
      <c r="L24" s="49" t="str">
        <f>DAY(B24)&amp;LOOKUP(DAY(B24),{1,2,3,4,21,22,23,24,31;"st","nd","rd","th","st","nd","rd","th","st"})</f>
        <v>11th</v>
      </c>
      <c r="M24" s="48">
        <f>DAY(B24)</f>
        <v>11</v>
      </c>
      <c r="N24" s="48">
        <f>YEAR(B24)</f>
        <v>2019</v>
      </c>
      <c r="O24" s="50">
        <f>B24</f>
        <v>43780</v>
      </c>
      <c r="P24" s="49" t="str">
        <f>TRIM(D24)</f>
        <v>Mixed B</v>
      </c>
      <c r="Q24" s="48" t="str">
        <f>IF(LEFT(F24,5)="Angel",G24,F24)</f>
        <v>Trident E</v>
      </c>
      <c r="R24" s="48" t="str">
        <f>H24</f>
        <v>Holmewood House School TN3 0EB</v>
      </c>
      <c r="S24" s="48" t="str">
        <f>SUBSTITUTE(I24,"pm","")</f>
        <v>8</v>
      </c>
      <c r="T24" s="46" t="str">
        <f>CONCATENATE("data.push([",CHAR(34),TRIM(J24),CHAR(34),", ",CHAR(34),TRIM(K24),CHAR(34),", ",CHAR(34),TRIM(L24),CHAR(34),", ",CHAR(34),TRIM(P24),CHAR(34),", ",CHAR(34),TRIM(Q24),CHAR(34),", ",CHAR(34),TRIM(R24),CHAR(34),", ",CHAR(34),TRIM(S24),CHAR(34),"]);")</f>
        <v>data.push(["November", "Monday", "11th", "Mixed B", "Trident E", "Holmewood House School TN3 0EB", "8"]);</v>
      </c>
    </row>
    <row r="25" spans="1:20" ht="21.1" customHeight="1" x14ac:dyDescent="0.3">
      <c r="A25" s="26" t="s">
        <v>115</v>
      </c>
      <c r="B25" s="27">
        <v>43782</v>
      </c>
      <c r="C25" s="26" t="str">
        <f>TEXT(B25,"DDDD")</f>
        <v>Wednesday</v>
      </c>
      <c r="D25" s="26" t="s">
        <v>116</v>
      </c>
      <c r="E25" s="30" t="s">
        <v>118</v>
      </c>
      <c r="F25" t="str">
        <f>TRIM(MID(E25,2+FIND("vs",E25)+1,FIND("(",E25,2+FIND("vs",E25))-FIND("vs",E25)-3))</f>
        <v>St johns D</v>
      </c>
      <c r="G25" t="str">
        <f>TRIM(LEFT(E25,FIND("vs",E25)-1))</f>
        <v>Angel A</v>
      </c>
      <c r="H25" s="26" t="s">
        <v>67</v>
      </c>
      <c r="I25" s="26" t="s">
        <v>64</v>
      </c>
      <c r="J25" s="47" t="str">
        <f>TEXT(B25,"MMMM")</f>
        <v>November</v>
      </c>
      <c r="K25" s="48" t="str">
        <f>TEXT(B25,"dddd")</f>
        <v>Wednesday</v>
      </c>
      <c r="L25" s="49" t="str">
        <f>DAY(B25)&amp;LOOKUP(DAY(B25),{1,2,3,4,21,22,23,24,31;"st","nd","rd","th","st","nd","rd","th","st"})</f>
        <v>13th</v>
      </c>
      <c r="M25" s="48">
        <f>DAY(B25)</f>
        <v>13</v>
      </c>
      <c r="N25" s="48">
        <f>YEAR(B25)</f>
        <v>2019</v>
      </c>
      <c r="O25" s="50">
        <f>B25</f>
        <v>43782</v>
      </c>
      <c r="P25" s="49" t="str">
        <f>TRIM(D25)</f>
        <v>Mixed A</v>
      </c>
      <c r="Q25" s="48" t="str">
        <f>IF(LEFT(F25,5)="Angel",G25,F25)</f>
        <v>St johns D</v>
      </c>
      <c r="R25" s="48" t="str">
        <f>H25</f>
        <v>Angel Centre</v>
      </c>
      <c r="S25" s="48" t="str">
        <f>SUBSTITUTE(I25,"pm","")</f>
        <v>8</v>
      </c>
      <c r="T25" s="46" t="str">
        <f>CONCATENATE("data.push([",CHAR(34),TRIM(J25),CHAR(34),", ",CHAR(34),TRIM(K25),CHAR(34),", ",CHAR(34),TRIM(L25),CHAR(34),", ",CHAR(34),TRIM(P25),CHAR(34),", ",CHAR(34),TRIM(Q25),CHAR(34),", ",CHAR(34),TRIM(R25),CHAR(34),", ",CHAR(34),TRIM(S25),CHAR(34),"]);")</f>
        <v>data.push(["November", "Wednesday", "13th", "Mixed A", "St johns D", "Angel Centre", "8"]);</v>
      </c>
    </row>
    <row r="26" spans="1:20" ht="21.1" customHeight="1" x14ac:dyDescent="0.3">
      <c r="A26" s="26" t="s">
        <v>130</v>
      </c>
      <c r="B26" s="27">
        <v>43783</v>
      </c>
      <c r="C26" s="26" t="str">
        <f>TEXT(B26,"DDDD")</f>
        <v>Thursday</v>
      </c>
      <c r="D26" s="26" t="s">
        <v>129</v>
      </c>
      <c r="E26" s="30" t="s">
        <v>132</v>
      </c>
      <c r="F26" t="str">
        <f>TRIM(MID(E26,2+FIND("vs",E26)+1,FIND("(",E26,2+FIND("vs",E26))-FIND("vs",E26)-3))</f>
        <v>Angel C</v>
      </c>
      <c r="G26" t="str">
        <f>TRIM(LEFT(E26,FIND("vs",E26)-1))</f>
        <v>Wadhurst</v>
      </c>
      <c r="H26" s="29" t="s">
        <v>162</v>
      </c>
      <c r="I26" s="26" t="s">
        <v>103</v>
      </c>
      <c r="J26" s="47" t="str">
        <f>TEXT(B26,"MMMM")</f>
        <v>November</v>
      </c>
      <c r="K26" s="48" t="str">
        <f>TEXT(B26,"dddd")</f>
        <v>Thursday</v>
      </c>
      <c r="L26" s="49" t="str">
        <f>DAY(B26)&amp;LOOKUP(DAY(B26),{1,2,3,4,21,22,23,24,31;"st","nd","rd","th","st","nd","rd","th","st"})</f>
        <v>14th</v>
      </c>
      <c r="M26" s="48">
        <f>DAY(B26)</f>
        <v>14</v>
      </c>
      <c r="N26" s="48">
        <f>YEAR(B26)</f>
        <v>2019</v>
      </c>
      <c r="O26" s="50">
        <f>B26</f>
        <v>43783</v>
      </c>
      <c r="P26" s="49" t="str">
        <f>TRIM(D26)</f>
        <v>Mixed C</v>
      </c>
      <c r="Q26" s="48" t="str">
        <f>IF(LEFT(F26,5)="Angel",G26,F26)</f>
        <v>Wadhurst</v>
      </c>
      <c r="R26" s="48" t="str">
        <f>H26</f>
        <v>Commemoration Hall, Wadhurst, TN5 6AP</v>
      </c>
      <c r="S26" s="48" t="str">
        <f>SUBSTITUTE(I26,"pm","")</f>
        <v>7</v>
      </c>
      <c r="T26" s="46" t="str">
        <f>CONCATENATE("data.push([",CHAR(34),TRIM(J26),CHAR(34),", ",CHAR(34),TRIM(K26),CHAR(34),", ",CHAR(34),TRIM(L26),CHAR(34),", ",CHAR(34),TRIM(P26),CHAR(34),", ",CHAR(34),TRIM(Q26),CHAR(34),", ",CHAR(34),TRIM(R26),CHAR(34),", ",CHAR(34),TRIM(S26),CHAR(34),"]);")</f>
        <v>data.push(["November", "Thursday", "14th", "Mixed C", "Wadhurst", "Commemoration Hall, Wadhurst, TN5 6AP", "7"]);</v>
      </c>
    </row>
    <row r="27" spans="1:20" ht="21.1" customHeight="1" x14ac:dyDescent="0.3">
      <c r="A27" s="26" t="s">
        <v>77</v>
      </c>
      <c r="B27" s="27">
        <v>43784</v>
      </c>
      <c r="C27" s="26" t="str">
        <f>TEXT(B27,"DDDD")</f>
        <v>Friday</v>
      </c>
      <c r="D27" s="26" t="s">
        <v>68</v>
      </c>
      <c r="E27" s="29" t="s">
        <v>71</v>
      </c>
      <c r="F27" t="str">
        <f>TRIM(MID(E27,2+FIND("vs",E27)+1,FIND("(",E27,2+FIND("vs",E27))-FIND("vs",E27)-3))</f>
        <v>Angel B</v>
      </c>
      <c r="G27" t="str">
        <f>TRIM(LEFT(E27,FIND("vs",E27)-1))</f>
        <v>St Johns D</v>
      </c>
      <c r="H27" s="29" t="s">
        <v>160</v>
      </c>
      <c r="I27" s="26" t="s">
        <v>65</v>
      </c>
      <c r="J27" s="47" t="str">
        <f>TEXT(B27,"MMMM")</f>
        <v>November</v>
      </c>
      <c r="K27" s="48" t="str">
        <f>TEXT(B27,"dddd")</f>
        <v>Friday</v>
      </c>
      <c r="L27" s="49" t="str">
        <f>DAY(B27)&amp;LOOKUP(DAY(B27),{1,2,3,4,21,22,23,24,31;"st","nd","rd","th","st","nd","rd","th","st"})</f>
        <v>15th</v>
      </c>
      <c r="M27" s="48">
        <f>DAY(B27)</f>
        <v>15</v>
      </c>
      <c r="N27" s="48">
        <f>YEAR(B27)</f>
        <v>2019</v>
      </c>
      <c r="O27" s="50">
        <f>B27</f>
        <v>43784</v>
      </c>
      <c r="P27" s="49" t="str">
        <f>TRIM(D27)</f>
        <v>Mens B</v>
      </c>
      <c r="Q27" s="48" t="str">
        <f>IF(LEFT(F27,5)="Angel",G27,F27)</f>
        <v>St Johns D</v>
      </c>
      <c r="R27" s="48" t="str">
        <f>H27</f>
        <v xml:space="preserve">Tunbridge Wells Sports Centre TN4 9TX   </v>
      </c>
      <c r="S27" s="48" t="str">
        <f>SUBSTITUTE(I27,"pm","")</f>
        <v>7.30</v>
      </c>
      <c r="T27" s="46" t="str">
        <f>CONCATENATE("data.push([",CHAR(34),TRIM(J27),CHAR(34),", ",CHAR(34),TRIM(K27),CHAR(34),", ",CHAR(34),TRIM(L27),CHAR(34),", ",CHAR(34),TRIM(P27),CHAR(34),", ",CHAR(34),TRIM(Q27),CHAR(34),", ",CHAR(34),TRIM(R27),CHAR(34),", ",CHAR(34),TRIM(S27),CHAR(34),"]);")</f>
        <v>data.push(["November", "Friday", "15th", "Mens B", "St Johns D", "Tunbridge Wells Sports Centre TN4 9TX", "7.30"]);</v>
      </c>
    </row>
    <row r="28" spans="1:20" ht="21.1" customHeight="1" x14ac:dyDescent="0.3">
      <c r="A28" s="26" t="s">
        <v>153</v>
      </c>
      <c r="B28" s="27">
        <v>43784</v>
      </c>
      <c r="C28" s="26" t="str">
        <f>TEXT(B28,"DDDD")</f>
        <v>Friday</v>
      </c>
      <c r="D28" s="26" t="s">
        <v>152</v>
      </c>
      <c r="E28" s="26" t="s">
        <v>96</v>
      </c>
      <c r="F28" t="str">
        <f>TRIM(MID(E28,2+FIND("vs",E28)+1,FIND("(",E28,2+FIND("vs",E28))-FIND("vs",E28)-3))</f>
        <v>Angel</v>
      </c>
      <c r="G28" t="str">
        <f>TRIM(LEFT(E28,FIND("vs",E28)-1))</f>
        <v>Langton Green</v>
      </c>
      <c r="H28" s="29" t="s">
        <v>158</v>
      </c>
      <c r="I28" s="26" t="s">
        <v>65</v>
      </c>
      <c r="J28" s="47" t="str">
        <f>TEXT(B28,"MMMM")</f>
        <v>November</v>
      </c>
      <c r="K28" s="48" t="str">
        <f>TEXT(B28,"dddd")</f>
        <v>Friday</v>
      </c>
      <c r="L28" s="49" t="str">
        <f>DAY(B28)&amp;LOOKUP(DAY(B28),{1,2,3,4,21,22,23,24,31;"st","nd","rd","th","st","nd","rd","th","st"})</f>
        <v>15th</v>
      </c>
      <c r="M28" s="48">
        <f>DAY(B28)</f>
        <v>15</v>
      </c>
      <c r="N28" s="48">
        <f>YEAR(B28)</f>
        <v>2019</v>
      </c>
      <c r="O28" s="50">
        <f>B28</f>
        <v>43784</v>
      </c>
      <c r="P28" s="49" t="str">
        <f>TRIM(D28)</f>
        <v>Mens 4s</v>
      </c>
      <c r="Q28" s="48" t="str">
        <f>IF(LEFT(F28,5)="Angel",G28,F28)</f>
        <v>Langton Green</v>
      </c>
      <c r="R28" s="48" t="str">
        <f>H28</f>
        <v>The Village Hall Recreation Ground TN3 0JJ</v>
      </c>
      <c r="S28" s="48" t="str">
        <f>SUBSTITUTE(I28,"pm","")</f>
        <v>7.30</v>
      </c>
      <c r="T28" s="46" t="str">
        <f>CONCATENATE("data.push([",CHAR(34),TRIM(J28),CHAR(34),", ",CHAR(34),TRIM(K28),CHAR(34),", ",CHAR(34),TRIM(L28),CHAR(34),", ",CHAR(34),TRIM(P28),CHAR(34),", ",CHAR(34),TRIM(Q28),CHAR(34),", ",CHAR(34),TRIM(R28),CHAR(34),", ",CHAR(34),TRIM(S28),CHAR(34),"]);")</f>
        <v>data.push(["November", "Friday", "15th", "Mens 4s", "Langton Green", "The Village Hall Recreation Ground TN3 0JJ", "7.30"]);</v>
      </c>
    </row>
    <row r="29" spans="1:20" ht="21.1" customHeight="1" x14ac:dyDescent="0.3">
      <c r="A29" s="26" t="s">
        <v>137</v>
      </c>
      <c r="B29" s="27">
        <v>43787</v>
      </c>
      <c r="C29" s="26" t="str">
        <f>TEXT(B29,"DDDD")</f>
        <v>Monday</v>
      </c>
      <c r="D29" s="26" t="s">
        <v>136</v>
      </c>
      <c r="E29" s="30" t="s">
        <v>138</v>
      </c>
      <c r="F29" t="str">
        <f>TRIM(MID(E29,2+FIND("vs",E29)+1,FIND("(",E29,2+FIND("vs",E29))-FIND("vs",E29)-3))</f>
        <v>Angel A</v>
      </c>
      <c r="G29" t="str">
        <f>TRIM(LEFT(E29,FIND("vs",E29)-1))</f>
        <v>Trident</v>
      </c>
      <c r="H29" s="29" t="s">
        <v>161</v>
      </c>
      <c r="I29" s="26" t="s">
        <v>64</v>
      </c>
      <c r="J29" s="47" t="str">
        <f>TEXT(B29,"MMMM")</f>
        <v>November</v>
      </c>
      <c r="K29" s="48" t="str">
        <f>TEXT(B29,"dddd")</f>
        <v>Monday</v>
      </c>
      <c r="L29" s="49" t="str">
        <f>DAY(B29)&amp;LOOKUP(DAY(B29),{1,2,3,4,21,22,23,24,31;"st","nd","rd","th","st","nd","rd","th","st"})</f>
        <v>18th</v>
      </c>
      <c r="M29" s="48">
        <f>DAY(B29)</f>
        <v>18</v>
      </c>
      <c r="N29" s="48">
        <f>YEAR(B29)</f>
        <v>2019</v>
      </c>
      <c r="O29" s="50">
        <f>B29</f>
        <v>43787</v>
      </c>
      <c r="P29" s="49" t="str">
        <f>TRIM(D29)</f>
        <v>Masters A</v>
      </c>
      <c r="Q29" s="48" t="str">
        <f>IF(LEFT(F29,5)="Angel",G29,F29)</f>
        <v>Trident</v>
      </c>
      <c r="R29" s="48" t="str">
        <f>H29</f>
        <v>Holmewood House School TN3 0EB</v>
      </c>
      <c r="S29" s="48" t="str">
        <f>SUBSTITUTE(I29,"pm","")</f>
        <v>8</v>
      </c>
      <c r="T29" s="46" t="str">
        <f>CONCATENATE("data.push([",CHAR(34),TRIM(J29),CHAR(34),", ",CHAR(34),TRIM(K29),CHAR(34),", ",CHAR(34),TRIM(L29),CHAR(34),", ",CHAR(34),TRIM(P29),CHAR(34),", ",CHAR(34),TRIM(Q29),CHAR(34),", ",CHAR(34),TRIM(R29),CHAR(34),", ",CHAR(34),TRIM(S29),CHAR(34),"]);")</f>
        <v>data.push(["November", "Monday", "18th", "Masters A", "Trident", "Holmewood House School TN3 0EB", "8"]);</v>
      </c>
    </row>
    <row r="30" spans="1:20" ht="21.1" customHeight="1" x14ac:dyDescent="0.3">
      <c r="A30" s="26" t="s">
        <v>124</v>
      </c>
      <c r="B30" s="27">
        <v>43789</v>
      </c>
      <c r="C30" s="26" t="str">
        <f>TEXT(B30,"DDDD")</f>
        <v>Wednesday</v>
      </c>
      <c r="D30" s="26" t="s">
        <v>123</v>
      </c>
      <c r="E30" s="26" t="s">
        <v>171</v>
      </c>
      <c r="F30" t="str">
        <f>TRIM(MID(E30,2+FIND("vs",E30)+1,FIND("(",E30,2+FIND("vs",E30))-FIND("vs",E30)-3))</f>
        <v>Hilden Grange</v>
      </c>
      <c r="G30" t="str">
        <f>TRIM(LEFT(E30,FIND("vs",E30)-1))</f>
        <v>Angel B</v>
      </c>
      <c r="H30" s="26" t="s">
        <v>67</v>
      </c>
      <c r="I30" s="26" t="s">
        <v>64</v>
      </c>
      <c r="J30" s="47" t="str">
        <f>TEXT(B30,"MMMM")</f>
        <v>November</v>
      </c>
      <c r="K30" s="48" t="str">
        <f>TEXT(B30,"dddd")</f>
        <v>Wednesday</v>
      </c>
      <c r="L30" s="49" t="str">
        <f>DAY(B30)&amp;LOOKUP(DAY(B30),{1,2,3,4,21,22,23,24,31;"st","nd","rd","th","st","nd","rd","th","st"})</f>
        <v>20th</v>
      </c>
      <c r="M30" s="48">
        <f>DAY(B30)</f>
        <v>20</v>
      </c>
      <c r="N30" s="48">
        <f>YEAR(B30)</f>
        <v>2019</v>
      </c>
      <c r="O30" s="50">
        <f>B30</f>
        <v>43789</v>
      </c>
      <c r="P30" s="49" t="str">
        <f>TRIM(D30)</f>
        <v>Mixed B</v>
      </c>
      <c r="Q30" s="48" t="str">
        <f>IF(LEFT(F30,5)="Angel",G30,F30)</f>
        <v>Hilden Grange</v>
      </c>
      <c r="R30" s="48" t="str">
        <f>H30</f>
        <v>Angel Centre</v>
      </c>
      <c r="S30" s="48" t="str">
        <f>SUBSTITUTE(I30,"pm","")</f>
        <v>8</v>
      </c>
      <c r="T30" s="46" t="str">
        <f>CONCATENATE("data.push([",CHAR(34),TRIM(J30),CHAR(34),", ",CHAR(34),TRIM(K30),CHAR(34),", ",CHAR(34),TRIM(L30),CHAR(34),", ",CHAR(34),TRIM(P30),CHAR(34),", ",CHAR(34),TRIM(Q30),CHAR(34),", ",CHAR(34),TRIM(R30),CHAR(34),", ",CHAR(34),TRIM(S30),CHAR(34),"]);")</f>
        <v>data.push(["November", "Wednesday", "20th", "Mixed B", "Hilden Grange", "Angel Centre", "8"]);</v>
      </c>
    </row>
    <row r="31" spans="1:20" ht="21.1" customHeight="1" x14ac:dyDescent="0.3">
      <c r="A31" s="26" t="s">
        <v>63</v>
      </c>
      <c r="B31" s="27">
        <v>43791</v>
      </c>
      <c r="C31" s="26" t="str">
        <f>TEXT(B31,"DDDD")</f>
        <v>Friday</v>
      </c>
      <c r="D31" s="26" t="s">
        <v>52</v>
      </c>
      <c r="E31" s="30" t="s">
        <v>56</v>
      </c>
      <c r="F31" t="str">
        <f>TRIM(MID(E31,2+FIND("vs",E31)+1,FIND("(",E31,2+FIND("vs",E31))-FIND("vs",E31)-3))</f>
        <v>Sevenoaks A</v>
      </c>
      <c r="G31" t="str">
        <f>TRIM(LEFT(E31,FIND("vs",E31)-1))</f>
        <v>Angel A</v>
      </c>
      <c r="H31" s="26" t="s">
        <v>67</v>
      </c>
      <c r="I31" s="26" t="s">
        <v>64</v>
      </c>
      <c r="J31" s="47" t="str">
        <f>TEXT(B31,"MMMM")</f>
        <v>November</v>
      </c>
      <c r="K31" s="48" t="str">
        <f>TEXT(B31,"dddd")</f>
        <v>Friday</v>
      </c>
      <c r="L31" s="49" t="str">
        <f>DAY(B31)&amp;LOOKUP(DAY(B31),{1,2,3,4,21,22,23,24,31;"st","nd","rd","th","st","nd","rd","th","st"})</f>
        <v>22nd</v>
      </c>
      <c r="M31" s="48">
        <f>DAY(B31)</f>
        <v>22</v>
      </c>
      <c r="N31" s="48">
        <f>YEAR(B31)</f>
        <v>2019</v>
      </c>
      <c r="O31" s="50">
        <f>B31</f>
        <v>43791</v>
      </c>
      <c r="P31" s="49" t="str">
        <f>TRIM(D31)</f>
        <v>Mens A</v>
      </c>
      <c r="Q31" s="48" t="str">
        <f>IF(LEFT(F31,5)="Angel",G31,F31)</f>
        <v>Sevenoaks A</v>
      </c>
      <c r="R31" s="48" t="str">
        <f>H31</f>
        <v>Angel Centre</v>
      </c>
      <c r="S31" s="48" t="str">
        <f>SUBSTITUTE(I31,"pm","")</f>
        <v>8</v>
      </c>
      <c r="T31" s="46" t="str">
        <f>CONCATENATE("data.push([",CHAR(34),TRIM(J31),CHAR(34),", ",CHAR(34),TRIM(K31),CHAR(34),", ",CHAR(34),TRIM(L31),CHAR(34),", ",CHAR(34),TRIM(P31),CHAR(34),", ",CHAR(34),TRIM(Q31),CHAR(34),", ",CHAR(34),TRIM(R31),CHAR(34),", ",CHAR(34),TRIM(S31),CHAR(34),"]);")</f>
        <v>data.push(["November", "Friday", "22nd", "Mens A", "Sevenoaks A", "Angel Centre", "8"]);</v>
      </c>
    </row>
    <row r="32" spans="1:20" ht="21.1" customHeight="1" x14ac:dyDescent="0.3">
      <c r="A32" s="26" t="s">
        <v>153</v>
      </c>
      <c r="B32" s="27">
        <v>43791</v>
      </c>
      <c r="C32" s="26" t="str">
        <f>TEXT(B32,"DDDD")</f>
        <v>Friday</v>
      </c>
      <c r="D32" s="26" t="s">
        <v>152</v>
      </c>
      <c r="E32" s="26" t="s">
        <v>101</v>
      </c>
      <c r="F32" t="str">
        <f>TRIM(MID(E32,2+FIND("vs",E32)+1,FIND("(",E32,2+FIND("vs",E32))-FIND("vs",E32)-3))</f>
        <v>Langton Green</v>
      </c>
      <c r="G32" t="str">
        <f>TRIM(LEFT(E32,FIND("vs",E32)-1))</f>
        <v>Angel</v>
      </c>
      <c r="H32" s="26" t="s">
        <v>67</v>
      </c>
      <c r="I32" s="26" t="s">
        <v>64</v>
      </c>
      <c r="J32" s="47" t="str">
        <f>TEXT(B32,"MMMM")</f>
        <v>November</v>
      </c>
      <c r="K32" s="48" t="str">
        <f>TEXT(B32,"dddd")</f>
        <v>Friday</v>
      </c>
      <c r="L32" s="49" t="str">
        <f>DAY(B32)&amp;LOOKUP(DAY(B32),{1,2,3,4,21,22,23,24,31;"st","nd","rd","th","st","nd","rd","th","st"})</f>
        <v>22nd</v>
      </c>
      <c r="M32" s="48">
        <f>DAY(B32)</f>
        <v>22</v>
      </c>
      <c r="N32" s="48">
        <f>YEAR(B32)</f>
        <v>2019</v>
      </c>
      <c r="O32" s="50">
        <f>B32</f>
        <v>43791</v>
      </c>
      <c r="P32" s="49" t="str">
        <f>TRIM(D32)</f>
        <v>Mens 4s</v>
      </c>
      <c r="Q32" s="48" t="str">
        <f>IF(LEFT(F32,5)="Angel",G32,F32)</f>
        <v>Langton Green</v>
      </c>
      <c r="R32" s="48" t="str">
        <f>H32</f>
        <v>Angel Centre</v>
      </c>
      <c r="S32" s="48" t="str">
        <f>SUBSTITUTE(I32,"pm","")</f>
        <v>8</v>
      </c>
      <c r="T32" s="46" t="str">
        <f>CONCATENATE("data.push([",CHAR(34),TRIM(J32),CHAR(34),", ",CHAR(34),TRIM(K32),CHAR(34),", ",CHAR(34),TRIM(L32),CHAR(34),", ",CHAR(34),TRIM(P32),CHAR(34),", ",CHAR(34),TRIM(Q32),CHAR(34),", ",CHAR(34),TRIM(R32),CHAR(34),", ",CHAR(34),TRIM(S32),CHAR(34),"]);")</f>
        <v>data.push(["November", "Friday", "22nd", "Mens 4s", "Langton Green", "Angel Centre", "8"]);</v>
      </c>
    </row>
    <row r="33" spans="1:20" ht="21.1" customHeight="1" x14ac:dyDescent="0.3">
      <c r="A33" s="26" t="s">
        <v>79</v>
      </c>
      <c r="B33" s="27">
        <v>43791</v>
      </c>
      <c r="C33" s="26" t="str">
        <f>TEXT(B33,"DDDD")</f>
        <v>Friday</v>
      </c>
      <c r="D33" s="26" t="s">
        <v>78</v>
      </c>
      <c r="E33" s="26" t="s">
        <v>185</v>
      </c>
      <c r="F33" t="str">
        <f>TRIM(MID(E33,2+FIND("vs",E33)+1,FIND("(",E33,2+FIND("vs",E33))-FIND("vs",E33)-3))</f>
        <v>Angel C</v>
      </c>
      <c r="G33" t="str">
        <f>TRIM(LEFT(E33,FIND("vs",E33)-1))</f>
        <v>Hildenborough D</v>
      </c>
      <c r="H33" s="29" t="s">
        <v>180</v>
      </c>
      <c r="I33" s="26" t="s">
        <v>64</v>
      </c>
      <c r="J33" s="47" t="str">
        <f>TEXT(B33,"MMMM")</f>
        <v>November</v>
      </c>
      <c r="K33" s="48" t="str">
        <f>TEXT(B33,"dddd")</f>
        <v>Friday</v>
      </c>
      <c r="L33" s="49" t="str">
        <f>DAY(B33)&amp;LOOKUP(DAY(B33),{1,2,3,4,21,22,23,24,31;"st","nd","rd","th","st","nd","rd","th","st"})</f>
        <v>22nd</v>
      </c>
      <c r="M33" s="48">
        <f>DAY(B33)</f>
        <v>22</v>
      </c>
      <c r="N33" s="48">
        <f>YEAR(B33)</f>
        <v>2019</v>
      </c>
      <c r="O33" s="50">
        <f>B33</f>
        <v>43791</v>
      </c>
      <c r="P33" s="49" t="str">
        <f>TRIM(D33)</f>
        <v>Mens C</v>
      </c>
      <c r="Q33" s="48" t="str">
        <f>IF(LEFT(F33,5)="Angel",G33,F33)</f>
        <v>Hildenborough D</v>
      </c>
      <c r="R33" s="48" t="str">
        <f>H33</f>
        <v>Walthamstow Hall Holly Bush Lane TN13 3UL</v>
      </c>
      <c r="S33" s="48" t="str">
        <f>SUBSTITUTE(I33,"pm","")</f>
        <v>8</v>
      </c>
      <c r="T33" s="46" t="str">
        <f>CONCATENATE("data.push([",CHAR(34),TRIM(J33),CHAR(34),", ",CHAR(34),TRIM(K33),CHAR(34),", ",CHAR(34),TRIM(L33),CHAR(34),", ",CHAR(34),TRIM(P33),CHAR(34),", ",CHAR(34),TRIM(Q33),CHAR(34),", ",CHAR(34),TRIM(R33),CHAR(34),", ",CHAR(34),TRIM(S33),CHAR(34),"]);")</f>
        <v>data.push(["November", "Friday", "22nd", "Mens C", "Hildenborough D", "Walthamstow Hall Holly Bush Lane TN13 3UL", "8"]);</v>
      </c>
    </row>
    <row r="34" spans="1:20" ht="21.1" customHeight="1" x14ac:dyDescent="0.3">
      <c r="A34" s="26" t="s">
        <v>130</v>
      </c>
      <c r="B34" s="27">
        <v>43793</v>
      </c>
      <c r="C34" s="26" t="str">
        <f>TEXT(B34,"DDDD")</f>
        <v>Sunday</v>
      </c>
      <c r="D34" s="26" t="s">
        <v>129</v>
      </c>
      <c r="E34" s="30" t="s">
        <v>133</v>
      </c>
      <c r="F34" t="str">
        <f>TRIM(MID(E34,2+FIND("vs",E34)+1,FIND("(",E34,2+FIND("vs",E34))-FIND("vs",E34)-3))</f>
        <v>Angel C</v>
      </c>
      <c r="G34" t="str">
        <f>TRIM(LEFT(E34,FIND("vs",E34)-1))</f>
        <v>Trident F</v>
      </c>
      <c r="H34" s="29" t="s">
        <v>161</v>
      </c>
      <c r="I34" s="26" t="s">
        <v>103</v>
      </c>
      <c r="J34" s="47" t="str">
        <f>TEXT(B34,"MMMM")</f>
        <v>November</v>
      </c>
      <c r="K34" s="48" t="str">
        <f>TEXT(B34,"dddd")</f>
        <v>Sunday</v>
      </c>
      <c r="L34" s="49" t="str">
        <f>DAY(B34)&amp;LOOKUP(DAY(B34),{1,2,3,4,21,22,23,24,31;"st","nd","rd","th","st","nd","rd","th","st"})</f>
        <v>24th</v>
      </c>
      <c r="M34" s="48">
        <f>DAY(B34)</f>
        <v>24</v>
      </c>
      <c r="N34" s="48">
        <f>YEAR(B34)</f>
        <v>2019</v>
      </c>
      <c r="O34" s="50">
        <f>B34</f>
        <v>43793</v>
      </c>
      <c r="P34" s="49" t="str">
        <f>TRIM(D34)</f>
        <v>Mixed C</v>
      </c>
      <c r="Q34" s="48" t="str">
        <f>IF(LEFT(F34,5)="Angel",G34,F34)</f>
        <v>Trident F</v>
      </c>
      <c r="R34" s="48" t="str">
        <f>H34</f>
        <v>Holmewood House School TN3 0EB</v>
      </c>
      <c r="S34" s="48" t="str">
        <f>SUBSTITUTE(I34,"pm","")</f>
        <v>7</v>
      </c>
      <c r="T34" s="46" t="str">
        <f>CONCATENATE("data.push([",CHAR(34),TRIM(J34),CHAR(34),", ",CHAR(34),TRIM(K34),CHAR(34),", ",CHAR(34),TRIM(L34),CHAR(34),", ",CHAR(34),TRIM(P34),CHAR(34),", ",CHAR(34),TRIM(Q34),CHAR(34),", ",CHAR(34),TRIM(R34),CHAR(34),", ",CHAR(34),TRIM(S34),CHAR(34),"]);")</f>
        <v>data.push(["November", "Sunday", "24th", "Mixed C", "Trident F", "Holmewood House School TN3 0EB", "7"]);</v>
      </c>
    </row>
    <row r="35" spans="1:20" ht="21.1" customHeight="1" x14ac:dyDescent="0.3">
      <c r="A35" s="26" t="s">
        <v>124</v>
      </c>
      <c r="B35" s="27">
        <v>43794</v>
      </c>
      <c r="C35" s="26" t="str">
        <f>TEXT(B35,"DDDD")</f>
        <v>Monday</v>
      </c>
      <c r="D35" s="26" t="s">
        <v>123</v>
      </c>
      <c r="E35" s="30" t="s">
        <v>72</v>
      </c>
      <c r="F35" t="str">
        <f>TRIM(MID(E35,2+FIND("vs",E35)+1,FIND("(",E35,2+FIND("vs",E35))-FIND("vs",E35)-3))</f>
        <v>Angel B</v>
      </c>
      <c r="G35" t="str">
        <f>TRIM(LEFT(E35,FIND("vs",E35)-1))</f>
        <v>AIT C</v>
      </c>
      <c r="H35" s="29" t="s">
        <v>155</v>
      </c>
      <c r="I35" s="26" t="s">
        <v>66</v>
      </c>
      <c r="J35" s="47" t="str">
        <f>TEXT(B35,"MMMM")</f>
        <v>November</v>
      </c>
      <c r="K35" s="48" t="str">
        <f>TEXT(B35,"dddd")</f>
        <v>Monday</v>
      </c>
      <c r="L35" s="49" t="str">
        <f>DAY(B35)&amp;LOOKUP(DAY(B35),{1,2,3,4,21,22,23,24,31;"st","nd","rd","th","st","nd","rd","th","st"})</f>
        <v>25th</v>
      </c>
      <c r="M35" s="48">
        <f>DAY(B35)</f>
        <v>25</v>
      </c>
      <c r="N35" s="48">
        <f>YEAR(B35)</f>
        <v>2019</v>
      </c>
      <c r="O35" s="50">
        <f>B35</f>
        <v>43794</v>
      </c>
      <c r="P35" s="49" t="str">
        <f>TRIM(D35)</f>
        <v>Mixed B</v>
      </c>
      <c r="Q35" s="48" t="str">
        <f>IF(LEFT(F35,5)="Angel",G35,F35)</f>
        <v>AIT C</v>
      </c>
      <c r="R35" s="48" t="str">
        <f>H35</f>
        <v xml:space="preserve">Mascalls Academy TN12 6LT </v>
      </c>
      <c r="S35" s="48" t="str">
        <f>SUBSTITUTE(I35,"pm","")</f>
        <v>7.35</v>
      </c>
      <c r="T35" s="46" t="str">
        <f>CONCATENATE("data.push([",CHAR(34),TRIM(J35),CHAR(34),", ",CHAR(34),TRIM(K35),CHAR(34),", ",CHAR(34),TRIM(L35),CHAR(34),", ",CHAR(34),TRIM(P35),CHAR(34),", ",CHAR(34),TRIM(Q35),CHAR(34),", ",CHAR(34),TRIM(R35),CHAR(34),", ",CHAR(34),TRIM(S35),CHAR(34),"]);")</f>
        <v>data.push(["November", "Monday", "25th", "Mixed B", "AIT C", "Mascalls Academy TN12 6LT", "7.35"]);</v>
      </c>
    </row>
    <row r="36" spans="1:20" ht="21.1" customHeight="1" x14ac:dyDescent="0.3">
      <c r="A36" s="26" t="s">
        <v>90</v>
      </c>
      <c r="B36" s="27">
        <v>43798</v>
      </c>
      <c r="C36" s="26" t="str">
        <f>TEXT(B36,"DDDD")</f>
        <v>Friday</v>
      </c>
      <c r="D36" s="26" t="s">
        <v>89</v>
      </c>
      <c r="E36" s="30" t="s">
        <v>96</v>
      </c>
      <c r="F36" t="str">
        <f>TRIM(MID(E36,2+FIND("vs",E36)+1,FIND("(",E36,2+FIND("vs",E36))-FIND("vs",E36)-3))</f>
        <v>Angel</v>
      </c>
      <c r="G36" t="str">
        <f>TRIM(LEFT(E36,FIND("vs",E36)-1))</f>
        <v>Langton Green</v>
      </c>
      <c r="H36" s="29" t="s">
        <v>158</v>
      </c>
      <c r="I36" s="26" t="s">
        <v>65</v>
      </c>
      <c r="J36" s="47" t="str">
        <f>TEXT(B36,"MMMM")</f>
        <v>November</v>
      </c>
      <c r="K36" s="48" t="str">
        <f>TEXT(B36,"dddd")</f>
        <v>Friday</v>
      </c>
      <c r="L36" s="49" t="str">
        <f>DAY(B36)&amp;LOOKUP(DAY(B36),{1,2,3,4,21,22,23,24,31;"st","nd","rd","th","st","nd","rd","th","st"})</f>
        <v>29th</v>
      </c>
      <c r="M36" s="48">
        <f>DAY(B36)</f>
        <v>29</v>
      </c>
      <c r="N36" s="48">
        <f>YEAR(B36)</f>
        <v>2019</v>
      </c>
      <c r="O36" s="50">
        <f>B36</f>
        <v>43798</v>
      </c>
      <c r="P36" s="49" t="str">
        <f>TRIM(D36)</f>
        <v>Ladies 4s</v>
      </c>
      <c r="Q36" s="48" t="str">
        <f>IF(LEFT(F36,5)="Angel",G36,F36)</f>
        <v>Langton Green</v>
      </c>
      <c r="R36" s="48" t="str">
        <f>H36</f>
        <v>The Village Hall Recreation Ground TN3 0JJ</v>
      </c>
      <c r="S36" s="48" t="str">
        <f>SUBSTITUTE(I36,"pm","")</f>
        <v>7.30</v>
      </c>
      <c r="T36" s="46" t="str">
        <f>CONCATENATE("data.push([",CHAR(34),TRIM(J36),CHAR(34),", ",CHAR(34),TRIM(K36),CHAR(34),", ",CHAR(34),TRIM(L36),CHAR(34),", ",CHAR(34),TRIM(P36),CHAR(34),", ",CHAR(34),TRIM(Q36),CHAR(34),", ",CHAR(34),TRIM(R36),CHAR(34),", ",CHAR(34),TRIM(S36),CHAR(34),"]);")</f>
        <v>data.push(["November", "Friday", "29th", "Ladies 4s", "Langton Green", "The Village Hall Recreation Ground TN3 0JJ", "7.30"]);</v>
      </c>
    </row>
    <row r="37" spans="1:20" ht="21.1" customHeight="1" x14ac:dyDescent="0.3">
      <c r="A37" s="26" t="s">
        <v>130</v>
      </c>
      <c r="B37" s="27">
        <v>43798</v>
      </c>
      <c r="C37" s="26" t="str">
        <f>TEXT(B37,"DDDD")</f>
        <v>Friday</v>
      </c>
      <c r="D37" s="26" t="s">
        <v>129</v>
      </c>
      <c r="E37" s="26" t="s">
        <v>131</v>
      </c>
      <c r="F37" t="str">
        <f>TRIM(MID(E37,2+FIND("vs",E37)+1,FIND("(",E37,2+FIND("vs",E37))-FIND("vs",E37)-3))</f>
        <v>Wadhurst</v>
      </c>
      <c r="G37" t="str">
        <f>TRIM(LEFT(E37,FIND("vs",E37)-1))</f>
        <v>Angel C</v>
      </c>
      <c r="H37" s="26" t="s">
        <v>67</v>
      </c>
      <c r="I37" s="26" t="s">
        <v>64</v>
      </c>
      <c r="J37" s="47" t="str">
        <f>TEXT(B37,"MMMM")</f>
        <v>November</v>
      </c>
      <c r="K37" s="48" t="str">
        <f>TEXT(B37,"dddd")</f>
        <v>Friday</v>
      </c>
      <c r="L37" s="49" t="str">
        <f>DAY(B37)&amp;LOOKUP(DAY(B37),{1,2,3,4,21,22,23,24,31;"st","nd","rd","th","st","nd","rd","th","st"})</f>
        <v>29th</v>
      </c>
      <c r="M37" s="48">
        <f>DAY(B37)</f>
        <v>29</v>
      </c>
      <c r="N37" s="48">
        <f>YEAR(B37)</f>
        <v>2019</v>
      </c>
      <c r="O37" s="50">
        <f>B37</f>
        <v>43798</v>
      </c>
      <c r="P37" s="49" t="str">
        <f>TRIM(D37)</f>
        <v>Mixed C</v>
      </c>
      <c r="Q37" s="48" t="str">
        <f>IF(LEFT(F37,5)="Angel",G37,F37)</f>
        <v>Wadhurst</v>
      </c>
      <c r="R37" s="48" t="str">
        <f>H37</f>
        <v>Angel Centre</v>
      </c>
      <c r="S37" s="48" t="str">
        <f>SUBSTITUTE(I37,"pm","")</f>
        <v>8</v>
      </c>
      <c r="T37" s="46" t="str">
        <f>CONCATENATE("data.push([",CHAR(34),TRIM(J37),CHAR(34),", ",CHAR(34),TRIM(K37),CHAR(34),", ",CHAR(34),TRIM(L37),CHAR(34),", ",CHAR(34),TRIM(P37),CHAR(34),", ",CHAR(34),TRIM(Q37),CHAR(34),", ",CHAR(34),TRIM(R37),CHAR(34),", ",CHAR(34),TRIM(S37),CHAR(34),"]);")</f>
        <v>data.push(["November", "Friday", "29th", "Mixed C", "Wadhurst", "Angel Centre", "8"]);</v>
      </c>
    </row>
    <row r="38" spans="1:20" ht="21.1" customHeight="1" x14ac:dyDescent="0.3">
      <c r="A38" s="26" t="s">
        <v>144</v>
      </c>
      <c r="B38" s="27">
        <v>43798</v>
      </c>
      <c r="C38" s="26" t="str">
        <f>TEXT(B38,"DDDD")</f>
        <v>Friday</v>
      </c>
      <c r="D38" s="26" t="s">
        <v>143</v>
      </c>
      <c r="E38" s="26" t="s">
        <v>148</v>
      </c>
      <c r="F38" t="str">
        <f>TRIM(MID(E38,2+FIND("vs",E38)+1,FIND("(",E38,2+FIND("vs",E38))-FIND("vs",E38)-3))</f>
        <v>Wadhurst B</v>
      </c>
      <c r="G38" t="str">
        <f>TRIM(LEFT(E38,FIND("vs",E38)-1))</f>
        <v>Angel B</v>
      </c>
      <c r="H38" s="26" t="s">
        <v>67</v>
      </c>
      <c r="I38" s="26" t="s">
        <v>64</v>
      </c>
      <c r="J38" s="47" t="str">
        <f>TEXT(B38,"MMMM")</f>
        <v>November</v>
      </c>
      <c r="K38" s="48" t="str">
        <f>TEXT(B38,"dddd")</f>
        <v>Friday</v>
      </c>
      <c r="L38" s="49" t="str">
        <f>DAY(B38)&amp;LOOKUP(DAY(B38),{1,2,3,4,21,22,23,24,31;"st","nd","rd","th","st","nd","rd","th","st"})</f>
        <v>29th</v>
      </c>
      <c r="M38" s="48">
        <f>DAY(B38)</f>
        <v>29</v>
      </c>
      <c r="N38" s="48">
        <f>YEAR(B38)</f>
        <v>2019</v>
      </c>
      <c r="O38" s="50">
        <f>B38</f>
        <v>43798</v>
      </c>
      <c r="P38" s="49" t="str">
        <f>TRIM(D38)</f>
        <v>Masters B</v>
      </c>
      <c r="Q38" s="48" t="str">
        <f>IF(LEFT(F38,5)="Angel",G38,F38)</f>
        <v>Wadhurst B</v>
      </c>
      <c r="R38" s="48" t="str">
        <f>H38</f>
        <v>Angel Centre</v>
      </c>
      <c r="S38" s="48" t="str">
        <f>SUBSTITUTE(I38,"pm","")</f>
        <v>8</v>
      </c>
      <c r="T38" s="46" t="str">
        <f>CONCATENATE("data.push([",CHAR(34),TRIM(J38),CHAR(34),", ",CHAR(34),TRIM(K38),CHAR(34),", ",CHAR(34),TRIM(L38),CHAR(34),", ",CHAR(34),TRIM(P38),CHAR(34),", ",CHAR(34),TRIM(Q38),CHAR(34),", ",CHAR(34),TRIM(R38),CHAR(34),", ",CHAR(34),TRIM(S38),CHAR(34),"]);")</f>
        <v>data.push(["November", "Friday", "29th", "Masters B", "Wadhurst B", "Angel Centre", "8"]);</v>
      </c>
    </row>
    <row r="39" spans="1:20" ht="21.1" customHeight="1" x14ac:dyDescent="0.3">
      <c r="A39" s="26" t="s">
        <v>63</v>
      </c>
      <c r="B39" s="27">
        <v>43798</v>
      </c>
      <c r="C39" s="26" t="str">
        <f>TEXT(B39,"DDDD")</f>
        <v>Friday</v>
      </c>
      <c r="D39" s="26" t="s">
        <v>52</v>
      </c>
      <c r="E39" s="26" t="s">
        <v>183</v>
      </c>
      <c r="F39" t="str">
        <f>TRIM(MID(E39,2+FIND("vs",E39)+1,FIND("(",E39,2+FIND("vs",E39))-FIND("vs",E39)-3))</f>
        <v>Angel A</v>
      </c>
      <c r="G39" t="str">
        <f>TRIM(LEFT(E39,FIND("vs",E39)-1))</f>
        <v>Hildenborough C</v>
      </c>
      <c r="H39" s="29" t="s">
        <v>180</v>
      </c>
      <c r="I39" s="26" t="s">
        <v>64</v>
      </c>
      <c r="J39" s="47" t="str">
        <f>TEXT(B39,"MMMM")</f>
        <v>November</v>
      </c>
      <c r="K39" s="48" t="str">
        <f>TEXT(B39,"dddd")</f>
        <v>Friday</v>
      </c>
      <c r="L39" s="49" t="str">
        <f>DAY(B39)&amp;LOOKUP(DAY(B39),{1,2,3,4,21,22,23,24,31;"st","nd","rd","th","st","nd","rd","th","st"})</f>
        <v>29th</v>
      </c>
      <c r="M39" s="48">
        <f>DAY(B39)</f>
        <v>29</v>
      </c>
      <c r="N39" s="48">
        <f>YEAR(B39)</f>
        <v>2019</v>
      </c>
      <c r="O39" s="50">
        <f>B39</f>
        <v>43798</v>
      </c>
      <c r="P39" s="49" t="str">
        <f>TRIM(D39)</f>
        <v>Mens A</v>
      </c>
      <c r="Q39" s="48" t="str">
        <f>IF(LEFT(F39,5)="Angel",G39,F39)</f>
        <v>Hildenborough C</v>
      </c>
      <c r="R39" s="48" t="str">
        <f>H39</f>
        <v>Walthamstow Hall Holly Bush Lane TN13 3UL</v>
      </c>
      <c r="S39" s="48" t="str">
        <f>SUBSTITUTE(I39,"pm","")</f>
        <v>8</v>
      </c>
      <c r="T39" s="46" t="str">
        <f>CONCATENATE("data.push([",CHAR(34),TRIM(J39),CHAR(34),", ",CHAR(34),TRIM(K39),CHAR(34),", ",CHAR(34),TRIM(L39),CHAR(34),", ",CHAR(34),TRIM(P39),CHAR(34),", ",CHAR(34),TRIM(Q39),CHAR(34),", ",CHAR(34),TRIM(R39),CHAR(34),", ",CHAR(34),TRIM(S39),CHAR(34),"]);")</f>
        <v>data.push(["November", "Friday", "29th", "Mens A", "Hildenborough C", "Walthamstow Hall Holly Bush Lane TN13 3UL", "8"]);</v>
      </c>
    </row>
    <row r="40" spans="1:20" ht="21.1" customHeight="1" x14ac:dyDescent="0.3">
      <c r="A40" s="26" t="s">
        <v>153</v>
      </c>
      <c r="B40" s="27">
        <v>43801</v>
      </c>
      <c r="C40" s="26" t="str">
        <f>TEXT(B40,"DDDD")</f>
        <v>Monday</v>
      </c>
      <c r="D40" s="26" t="s">
        <v>152</v>
      </c>
      <c r="E40" s="30" t="s">
        <v>154</v>
      </c>
      <c r="F40" t="str">
        <f>TRIM(MID(E40,2+FIND("vs",E40)+1,FIND("(",E40,2+FIND("vs",E40))-FIND("vs",E40)-3))</f>
        <v>Angel</v>
      </c>
      <c r="G40" t="str">
        <f>TRIM(LEFT(E40,FIND("vs",E40)-1))</f>
        <v>Trident</v>
      </c>
      <c r="H40" s="29" t="s">
        <v>161</v>
      </c>
      <c r="I40" s="26" t="s">
        <v>64</v>
      </c>
      <c r="J40" s="47" t="str">
        <f>TEXT(B40,"MMMM")</f>
        <v>December</v>
      </c>
      <c r="K40" s="48" t="str">
        <f>TEXT(B40,"dddd")</f>
        <v>Monday</v>
      </c>
      <c r="L40" s="49" t="str">
        <f>DAY(B40)&amp;LOOKUP(DAY(B40),{1,2,3,4,21,22,23,24,31;"st","nd","rd","th","st","nd","rd","th","st"})</f>
        <v>2nd</v>
      </c>
      <c r="M40" s="48">
        <f>DAY(B40)</f>
        <v>2</v>
      </c>
      <c r="N40" s="48">
        <f>YEAR(B40)</f>
        <v>2019</v>
      </c>
      <c r="O40" s="50">
        <f>B40</f>
        <v>43801</v>
      </c>
      <c r="P40" s="49" t="str">
        <f>TRIM(D40)</f>
        <v>Mens 4s</v>
      </c>
      <c r="Q40" s="48" t="str">
        <f>IF(LEFT(F40,5)="Angel",G40,F40)</f>
        <v>Trident</v>
      </c>
      <c r="R40" s="48" t="str">
        <f>H40</f>
        <v>Holmewood House School TN3 0EB</v>
      </c>
      <c r="S40" s="48" t="str">
        <f>SUBSTITUTE(I40,"pm","")</f>
        <v>8</v>
      </c>
      <c r="T40" s="46" t="str">
        <f>CONCATENATE("data.push([",CHAR(34),TRIM(J40),CHAR(34),", ",CHAR(34),TRIM(K40),CHAR(34),", ",CHAR(34),TRIM(L40),CHAR(34),", ",CHAR(34),TRIM(P40),CHAR(34),", ",CHAR(34),TRIM(Q40),CHAR(34),", ",CHAR(34),TRIM(R40),CHAR(34),", ",CHAR(34),TRIM(S40),CHAR(34),"]);")</f>
        <v>data.push(["December", "Monday", "2nd", "Mens 4s", "Trident", "Holmewood House School TN3 0EB", "8"]);</v>
      </c>
    </row>
    <row r="41" spans="1:20" ht="21.1" customHeight="1" x14ac:dyDescent="0.3">
      <c r="A41" s="26" t="s">
        <v>115</v>
      </c>
      <c r="B41" s="27">
        <v>43803</v>
      </c>
      <c r="C41" s="26" t="str">
        <f>TEXT(B41,"DDDD")</f>
        <v>Wednesday</v>
      </c>
      <c r="D41" s="26" t="s">
        <v>116</v>
      </c>
      <c r="E41" s="30" t="s">
        <v>119</v>
      </c>
      <c r="F41" t="str">
        <f>TRIM(MID(E41,2+FIND("vs",E41)+1,FIND("(",E41,2+FIND("vs",E41))-FIND("vs",E41)-3))</f>
        <v>Sevenoaks B</v>
      </c>
      <c r="G41" t="str">
        <f>TRIM(LEFT(E41,FIND("vs",E41)-1))</f>
        <v>Angel A</v>
      </c>
      <c r="H41" s="26" t="s">
        <v>67</v>
      </c>
      <c r="I41" s="26" t="s">
        <v>64</v>
      </c>
      <c r="J41" s="47" t="str">
        <f>TEXT(B41,"MMMM")</f>
        <v>December</v>
      </c>
      <c r="K41" s="48" t="str">
        <f>TEXT(B41,"dddd")</f>
        <v>Wednesday</v>
      </c>
      <c r="L41" s="49" t="str">
        <f>DAY(B41)&amp;LOOKUP(DAY(B41),{1,2,3,4,21,22,23,24,31;"st","nd","rd","th","st","nd","rd","th","st"})</f>
        <v>4th</v>
      </c>
      <c r="M41" s="48">
        <f>DAY(B41)</f>
        <v>4</v>
      </c>
      <c r="N41" s="48">
        <f>YEAR(B41)</f>
        <v>2019</v>
      </c>
      <c r="O41" s="50">
        <f>B41</f>
        <v>43803</v>
      </c>
      <c r="P41" s="49" t="str">
        <f>TRIM(D41)</f>
        <v>Mixed A</v>
      </c>
      <c r="Q41" s="48" t="str">
        <f>IF(LEFT(F41,5)="Angel",G41,F41)</f>
        <v>Sevenoaks B</v>
      </c>
      <c r="R41" s="48" t="str">
        <f>H41</f>
        <v>Angel Centre</v>
      </c>
      <c r="S41" s="48" t="str">
        <f>SUBSTITUTE(I41,"pm","")</f>
        <v>8</v>
      </c>
      <c r="T41" s="46" t="str">
        <f>CONCATENATE("data.push([",CHAR(34),TRIM(J41),CHAR(34),", ",CHAR(34),TRIM(K41),CHAR(34),", ",CHAR(34),TRIM(L41),CHAR(34),", ",CHAR(34),TRIM(P41),CHAR(34),", ",CHAR(34),TRIM(Q41),CHAR(34),", ",CHAR(34),TRIM(R41),CHAR(34),", ",CHAR(34),TRIM(S41),CHAR(34),"]);")</f>
        <v>data.push(["December", "Wednesday", "4th", "Mixed A", "Sevenoaks B", "Angel Centre", "8"]);</v>
      </c>
    </row>
    <row r="42" spans="1:20" ht="21.1" customHeight="1" x14ac:dyDescent="0.3">
      <c r="A42" s="26" t="s">
        <v>77</v>
      </c>
      <c r="B42" s="27">
        <v>43804</v>
      </c>
      <c r="C42" s="26" t="str">
        <f>TEXT(B42,"DDDD")</f>
        <v>Thursday</v>
      </c>
      <c r="D42" s="26" t="s">
        <v>68</v>
      </c>
      <c r="E42" s="26" t="s">
        <v>197</v>
      </c>
      <c r="F42" t="str">
        <f>TRIM(MID(E42,2+FIND("vs",E42)+1,FIND("(",E42,2+FIND("vs",E42))-FIND("vs",E42)-3))</f>
        <v>Angel B</v>
      </c>
      <c r="G42" t="str">
        <f>TRIM(LEFT(E42,FIND("vs",E42)-1))</f>
        <v>AIT C</v>
      </c>
      <c r="H42" s="29" t="s">
        <v>155</v>
      </c>
      <c r="I42" s="26" t="s">
        <v>114</v>
      </c>
      <c r="J42" s="47" t="str">
        <f>TEXT(B42,"MMMM")</f>
        <v>December</v>
      </c>
      <c r="K42" s="48" t="str">
        <f>TEXT(B42,"dddd")</f>
        <v>Thursday</v>
      </c>
      <c r="L42" s="49" t="str">
        <f>DAY(B42)&amp;LOOKUP(DAY(B42),{1,2,3,4,21,22,23,24,31;"st","nd","rd","th","st","nd","rd","th","st"})</f>
        <v>5th</v>
      </c>
      <c r="M42" s="48">
        <f>DAY(B42)</f>
        <v>5</v>
      </c>
      <c r="N42" s="48">
        <f>YEAR(B42)</f>
        <v>2019</v>
      </c>
      <c r="O42" s="50">
        <f>B42</f>
        <v>43804</v>
      </c>
      <c r="P42" s="49" t="str">
        <f>TRIM(D42)</f>
        <v>Mens B</v>
      </c>
      <c r="Q42" s="48" t="str">
        <f>IF(LEFT(F42,5)="Angel",G42,F42)</f>
        <v>AIT C</v>
      </c>
      <c r="R42" s="48" t="str">
        <f>H42</f>
        <v xml:space="preserve">Mascalls Academy TN12 6LT </v>
      </c>
      <c r="S42" s="48" t="str">
        <f>SUBSTITUTE(I42,"pm","")</f>
        <v>8.05</v>
      </c>
      <c r="T42" s="46" t="str">
        <f>CONCATENATE("data.push([",CHAR(34),TRIM(J42),CHAR(34),", ",CHAR(34),TRIM(K42),CHAR(34),", ",CHAR(34),TRIM(L42),CHAR(34),", ",CHAR(34),TRIM(P42),CHAR(34),", ",CHAR(34),TRIM(Q42),CHAR(34),", ",CHAR(34),TRIM(R42),CHAR(34),", ",CHAR(34),TRIM(S42),CHAR(34),"]);")</f>
        <v>data.push(["December", "Thursday", "5th", "Mens B", "AIT C", "Mascalls Academy TN12 6LT", "8.05"]);</v>
      </c>
    </row>
    <row r="43" spans="1:20" ht="21.1" customHeight="1" x14ac:dyDescent="0.3">
      <c r="A43" s="26" t="s">
        <v>63</v>
      </c>
      <c r="B43" s="27">
        <v>43805</v>
      </c>
      <c r="C43" s="26" t="str">
        <f>TEXT(B43,"DDDD")</f>
        <v>Friday</v>
      </c>
      <c r="D43" s="26" t="s">
        <v>52</v>
      </c>
      <c r="E43" s="30" t="s">
        <v>57</v>
      </c>
      <c r="F43" t="str">
        <f>TRIM(MID(E43,2+FIND("vs",E43)+1,FIND("(",E43,2+FIND("vs",E43))-FIND("vs",E43)-3))</f>
        <v>Angel A</v>
      </c>
      <c r="G43" t="str">
        <f>TRIM(LEFT(E43,FIND("vs",E43)-1))</f>
        <v>Sevenoaks A</v>
      </c>
      <c r="H43" s="29" t="s">
        <v>159</v>
      </c>
      <c r="I43" s="26" t="s">
        <v>50</v>
      </c>
      <c r="J43" s="47" t="str">
        <f>TEXT(B43,"MMMM")</f>
        <v>December</v>
      </c>
      <c r="K43" s="48" t="str">
        <f>TEXT(B43,"dddd")</f>
        <v>Friday</v>
      </c>
      <c r="L43" s="49" t="str">
        <f>DAY(B43)&amp;LOOKUP(DAY(B43),{1,2,3,4,21,22,23,24,31;"st","nd","rd","th","st","nd","rd","th","st"})</f>
        <v>6th</v>
      </c>
      <c r="M43" s="48">
        <f>DAY(B43)</f>
        <v>6</v>
      </c>
      <c r="N43" s="48">
        <f>YEAR(B43)</f>
        <v>2019</v>
      </c>
      <c r="O43" s="50">
        <f>B43</f>
        <v>43805</v>
      </c>
      <c r="P43" s="49" t="str">
        <f>TRIM(D43)</f>
        <v>Mens A</v>
      </c>
      <c r="Q43" s="48" t="str">
        <f>IF(LEFT(F43,5)="Angel",G43,F43)</f>
        <v>Sevenoaks A</v>
      </c>
      <c r="R43" s="48" t="str">
        <f>H43</f>
        <v>Weald of Kent Grammar School Sevenoaks Kent, TN13 3SL</v>
      </c>
      <c r="S43" s="48" t="str">
        <f>SUBSTITUTE(I43,"pm","")</f>
        <v>8.15</v>
      </c>
      <c r="T43" s="46" t="str">
        <f>CONCATENATE("data.push([",CHAR(34),TRIM(J43),CHAR(34),", ",CHAR(34),TRIM(K43),CHAR(34),", ",CHAR(34),TRIM(L43),CHAR(34),", ",CHAR(34),TRIM(P43),CHAR(34),", ",CHAR(34),TRIM(Q43),CHAR(34),", ",CHAR(34),TRIM(R43),CHAR(34),", ",CHAR(34),TRIM(S43),CHAR(34),"]);")</f>
        <v>data.push(["December", "Friday", "6th", "Mens A", "Sevenoaks A", "Weald of Kent Grammar School Sevenoaks Kent, TN13 3SL", "8.15"]);</v>
      </c>
    </row>
    <row r="44" spans="1:20" ht="21.1" customHeight="1" x14ac:dyDescent="0.3">
      <c r="A44" s="26" t="s">
        <v>79</v>
      </c>
      <c r="B44" s="27">
        <v>43805</v>
      </c>
      <c r="C44" s="26" t="str">
        <f>TEXT(B44,"DDDD")</f>
        <v>Friday</v>
      </c>
      <c r="D44" s="26" t="s">
        <v>78</v>
      </c>
      <c r="E44" s="26" t="s">
        <v>82</v>
      </c>
      <c r="F44" t="str">
        <f>TRIM(MID(E44,2+FIND("vs",E44)+1,FIND("(",E44,2+FIND("vs",E44))-FIND("vs",E44)-3))</f>
        <v>Angel C</v>
      </c>
      <c r="G44" t="str">
        <f>TRIM(LEFT(E44,FIND("vs",E44)-1))</f>
        <v>Sevenoaks C</v>
      </c>
      <c r="H44" s="29" t="s">
        <v>159</v>
      </c>
      <c r="I44" s="26" t="s">
        <v>50</v>
      </c>
      <c r="J44" s="47" t="str">
        <f>TEXT(B44,"MMMM")</f>
        <v>December</v>
      </c>
      <c r="K44" s="48" t="str">
        <f>TEXT(B44,"dddd")</f>
        <v>Friday</v>
      </c>
      <c r="L44" s="49" t="str">
        <f>DAY(B44)&amp;LOOKUP(DAY(B44),{1,2,3,4,21,22,23,24,31;"st","nd","rd","th","st","nd","rd","th","st"})</f>
        <v>6th</v>
      </c>
      <c r="M44" s="48">
        <f>DAY(B44)</f>
        <v>6</v>
      </c>
      <c r="N44" s="48">
        <f>YEAR(B44)</f>
        <v>2019</v>
      </c>
      <c r="O44" s="50">
        <f>B44</f>
        <v>43805</v>
      </c>
      <c r="P44" s="49" t="str">
        <f>TRIM(D44)</f>
        <v>Mens C</v>
      </c>
      <c r="Q44" s="48" t="str">
        <f>IF(LEFT(F44,5)="Angel",G44,F44)</f>
        <v>Sevenoaks C</v>
      </c>
      <c r="R44" s="48" t="str">
        <f>H44</f>
        <v>Weald of Kent Grammar School Sevenoaks Kent, TN13 3SL</v>
      </c>
      <c r="S44" s="48" t="str">
        <f>SUBSTITUTE(I44,"pm","")</f>
        <v>8.15</v>
      </c>
      <c r="T44" s="46" t="str">
        <f>CONCATENATE("data.push([",CHAR(34),TRIM(J44),CHAR(34),", ",CHAR(34),TRIM(K44),CHAR(34),", ",CHAR(34),TRIM(L44),CHAR(34),", ",CHAR(34),TRIM(P44),CHAR(34),", ",CHAR(34),TRIM(Q44),CHAR(34),", ",CHAR(34),TRIM(R44),CHAR(34),", ",CHAR(34),TRIM(S44),CHAR(34),"]);")</f>
        <v>data.push(["December", "Friday", "6th", "Mens C", "Sevenoaks C", "Weald of Kent Grammar School Sevenoaks Kent, TN13 3SL", "8.15"]);</v>
      </c>
    </row>
    <row r="45" spans="1:20" ht="21.1" customHeight="1" x14ac:dyDescent="0.3">
      <c r="A45" s="26" t="s">
        <v>137</v>
      </c>
      <c r="B45" s="27">
        <v>43805</v>
      </c>
      <c r="C45" s="26" t="str">
        <f>TEXT(B45,"DDDD")</f>
        <v>Friday</v>
      </c>
      <c r="D45" s="26" t="s">
        <v>136</v>
      </c>
      <c r="E45" s="26" t="s">
        <v>139</v>
      </c>
      <c r="F45" t="str">
        <f>TRIM(MID(E45,2+FIND("vs",E45)+1,FIND("(",E45,2+FIND("vs",E45))-FIND("vs",E45)-3))</f>
        <v>Trident</v>
      </c>
      <c r="G45" t="str">
        <f>TRIM(LEFT(E45,FIND("vs",E45)-1))</f>
        <v>Angel A</v>
      </c>
      <c r="H45" s="26" t="s">
        <v>67</v>
      </c>
      <c r="I45" s="26" t="s">
        <v>64</v>
      </c>
      <c r="J45" s="47" t="str">
        <f>TEXT(B45,"MMMM")</f>
        <v>December</v>
      </c>
      <c r="K45" s="48" t="str">
        <f>TEXT(B45,"dddd")</f>
        <v>Friday</v>
      </c>
      <c r="L45" s="49" t="str">
        <f>DAY(B45)&amp;LOOKUP(DAY(B45),{1,2,3,4,21,22,23,24,31;"st","nd","rd","th","st","nd","rd","th","st"})</f>
        <v>6th</v>
      </c>
      <c r="M45" s="48">
        <f>DAY(B45)</f>
        <v>6</v>
      </c>
      <c r="N45" s="48">
        <f>YEAR(B45)</f>
        <v>2019</v>
      </c>
      <c r="O45" s="50">
        <f>B45</f>
        <v>43805</v>
      </c>
      <c r="P45" s="49" t="str">
        <f>TRIM(D45)</f>
        <v>Masters A</v>
      </c>
      <c r="Q45" s="48" t="str">
        <f>IF(LEFT(F45,5)="Angel",G45,F45)</f>
        <v>Trident</v>
      </c>
      <c r="R45" s="48" t="str">
        <f>H45</f>
        <v>Angel Centre</v>
      </c>
      <c r="S45" s="48" t="str">
        <f>SUBSTITUTE(I45,"pm","")</f>
        <v>8</v>
      </c>
      <c r="T45" s="46" t="str">
        <f>CONCATENATE("data.push([",CHAR(34),TRIM(J45),CHAR(34),", ",CHAR(34),TRIM(K45),CHAR(34),", ",CHAR(34),TRIM(L45),CHAR(34),", ",CHAR(34),TRIM(P45),CHAR(34),", ",CHAR(34),TRIM(Q45),CHAR(34),", ",CHAR(34),TRIM(R45),CHAR(34),", ",CHAR(34),TRIM(S45),CHAR(34),"]);")</f>
        <v>data.push(["December", "Friday", "6th", "Masters A", "Trident", "Angel Centre", "8"]);</v>
      </c>
    </row>
    <row r="46" spans="1:20" ht="21.1" customHeight="1" x14ac:dyDescent="0.3">
      <c r="A46" s="39" t="s">
        <v>63</v>
      </c>
      <c r="B46" s="38">
        <v>43808</v>
      </c>
      <c r="C46" s="39" t="str">
        <f>TEXT(B46,"DDDD")</f>
        <v>Monday</v>
      </c>
      <c r="D46" s="39" t="s">
        <v>52</v>
      </c>
      <c r="E46" s="39" t="s">
        <v>55</v>
      </c>
      <c r="F46" t="str">
        <f>TRIM(MID(E46,2+FIND("vs",E46)+1,FIND("(",E46,2+FIND("vs",E46))-FIND("vs",E46)-3))</f>
        <v>Angel A</v>
      </c>
      <c r="G46" t="str">
        <f>TRIM(LEFT(E46,FIND("vs",E46)-1))</f>
        <v>AIT B</v>
      </c>
      <c r="H46" s="41" t="s">
        <v>155</v>
      </c>
      <c r="I46" s="39" t="s">
        <v>66</v>
      </c>
      <c r="J46" s="47" t="str">
        <f>TEXT(B46,"MMMM")</f>
        <v>December</v>
      </c>
      <c r="K46" s="48" t="str">
        <f>TEXT(B46,"dddd")</f>
        <v>Monday</v>
      </c>
      <c r="L46" s="49" t="str">
        <f>DAY(B46)&amp;LOOKUP(DAY(B46),{1,2,3,4,21,22,23,24,31;"st","nd","rd","th","st","nd","rd","th","st"})</f>
        <v>9th</v>
      </c>
      <c r="M46" s="48">
        <f>DAY(B46)</f>
        <v>9</v>
      </c>
      <c r="N46" s="48">
        <f>YEAR(B46)</f>
        <v>2019</v>
      </c>
      <c r="O46" s="50">
        <f>B46</f>
        <v>43808</v>
      </c>
      <c r="P46" s="49" t="str">
        <f>TRIM(D46)</f>
        <v>Mens A</v>
      </c>
      <c r="Q46" s="48" t="str">
        <f>IF(LEFT(F46,5)="Angel",G46,F46)</f>
        <v>AIT B</v>
      </c>
      <c r="R46" s="48" t="str">
        <f>H46</f>
        <v xml:space="preserve">Mascalls Academy TN12 6LT </v>
      </c>
      <c r="S46" s="48" t="str">
        <f>SUBSTITUTE(I46,"pm","")</f>
        <v>7.35</v>
      </c>
      <c r="T46" s="46" t="str">
        <f>CONCATENATE("data.push([",CHAR(34),TRIM(J46),CHAR(34),", ",CHAR(34),TRIM(K46),CHAR(34),", ",CHAR(34),TRIM(L46),CHAR(34),", ",CHAR(34),TRIM(P46),CHAR(34),", ",CHAR(34),TRIM(Q46),CHAR(34),", ",CHAR(34),TRIM(R46),CHAR(34),", ",CHAR(34),TRIM(S46),CHAR(34),"]);")</f>
        <v>data.push(["December", "Monday", "9th", "Mens A", "AIT B", "Mascalls Academy TN12 6LT", "7.35"]);</v>
      </c>
    </row>
    <row r="47" spans="1:20" ht="21.1" customHeight="1" x14ac:dyDescent="0.3">
      <c r="A47" s="26" t="s">
        <v>63</v>
      </c>
      <c r="B47" s="27">
        <v>43810</v>
      </c>
      <c r="C47" s="26" t="str">
        <f>TEXT(B47,"DDDD")</f>
        <v>Wednesday</v>
      </c>
      <c r="D47" s="26" t="s">
        <v>52</v>
      </c>
      <c r="E47" s="26" t="s">
        <v>184</v>
      </c>
      <c r="F47" t="str">
        <f>TRIM(MID(E47,2+FIND("vs",E47)+1,FIND("(",E47,2+FIND("vs",E47))-FIND("vs",E47)-3))</f>
        <v>Hildenborough C</v>
      </c>
      <c r="G47" t="str">
        <f>TRIM(LEFT(E47,FIND("vs",E47)-1))</f>
        <v>Angel A</v>
      </c>
      <c r="H47" s="26" t="s">
        <v>67</v>
      </c>
      <c r="I47" s="26" t="s">
        <v>64</v>
      </c>
      <c r="J47" s="47" t="str">
        <f>TEXT(B47,"MMMM")</f>
        <v>December</v>
      </c>
      <c r="K47" s="48" t="str">
        <f>TEXT(B47,"dddd")</f>
        <v>Wednesday</v>
      </c>
      <c r="L47" s="49" t="str">
        <f>DAY(B47)&amp;LOOKUP(DAY(B47),{1,2,3,4,21,22,23,24,31;"st","nd","rd","th","st","nd","rd","th","st"})</f>
        <v>11th</v>
      </c>
      <c r="M47" s="48">
        <f>DAY(B47)</f>
        <v>11</v>
      </c>
      <c r="N47" s="48">
        <f>YEAR(B47)</f>
        <v>2019</v>
      </c>
      <c r="O47" s="50">
        <f>B47</f>
        <v>43810</v>
      </c>
      <c r="P47" s="49" t="str">
        <f>TRIM(D47)</f>
        <v>Mens A</v>
      </c>
      <c r="Q47" s="48" t="str">
        <f>IF(LEFT(F47,5)="Angel",G47,F47)</f>
        <v>Hildenborough C</v>
      </c>
      <c r="R47" s="48" t="str">
        <f>H47</f>
        <v>Angel Centre</v>
      </c>
      <c r="S47" s="48" t="str">
        <f>SUBSTITUTE(I47,"pm","")</f>
        <v>8</v>
      </c>
      <c r="T47" s="46" t="str">
        <f>CONCATENATE("data.push([",CHAR(34),TRIM(J47),CHAR(34),", ",CHAR(34),TRIM(K47),CHAR(34),", ",CHAR(34),TRIM(L47),CHAR(34),", ",CHAR(34),TRIM(P47),CHAR(34),", ",CHAR(34),TRIM(Q47),CHAR(34),", ",CHAR(34),TRIM(R47),CHAR(34),", ",CHAR(34),TRIM(S47),CHAR(34),"]);")</f>
        <v>data.push(["December", "Wednesday", "11th", "Mens A", "Hildenborough C", "Angel Centre", "8"]);</v>
      </c>
    </row>
    <row r="48" spans="1:20" ht="21.1" customHeight="1" x14ac:dyDescent="0.3">
      <c r="A48" s="26" t="s">
        <v>77</v>
      </c>
      <c r="B48" s="27">
        <v>43812</v>
      </c>
      <c r="C48" s="26" t="str">
        <f>TEXT(B48,"DDDD")</f>
        <v>Friday</v>
      </c>
      <c r="D48" s="26" t="s">
        <v>68</v>
      </c>
      <c r="E48" s="30" t="s">
        <v>73</v>
      </c>
      <c r="F48" t="str">
        <f>TRIM(MID(E48,2+FIND("vs",E48)+1,FIND("(",E48,2+FIND("vs",E48))-FIND("vs",E48)-3))</f>
        <v>Sevenoaks B</v>
      </c>
      <c r="G48" t="str">
        <f>TRIM(LEFT(E48,FIND("vs",E48)-1))</f>
        <v>Angel B</v>
      </c>
      <c r="H48" s="26" t="s">
        <v>67</v>
      </c>
      <c r="I48" s="26" t="s">
        <v>64</v>
      </c>
      <c r="J48" s="47" t="str">
        <f>TEXT(B48,"MMMM")</f>
        <v>December</v>
      </c>
      <c r="K48" s="48" t="str">
        <f>TEXT(B48,"dddd")</f>
        <v>Friday</v>
      </c>
      <c r="L48" s="49" t="str">
        <f>DAY(B48)&amp;LOOKUP(DAY(B48),{1,2,3,4,21,22,23,24,31;"st","nd","rd","th","st","nd","rd","th","st"})</f>
        <v>13th</v>
      </c>
      <c r="M48" s="48">
        <f>DAY(B48)</f>
        <v>13</v>
      </c>
      <c r="N48" s="48">
        <f>YEAR(B48)</f>
        <v>2019</v>
      </c>
      <c r="O48" s="50">
        <f>B48</f>
        <v>43812</v>
      </c>
      <c r="P48" s="49" t="str">
        <f>TRIM(D48)</f>
        <v>Mens B</v>
      </c>
      <c r="Q48" s="48" t="str">
        <f>IF(LEFT(F48,5)="Angel",G48,F48)</f>
        <v>Sevenoaks B</v>
      </c>
      <c r="R48" s="48" t="str">
        <f>H48</f>
        <v>Angel Centre</v>
      </c>
      <c r="S48" s="48" t="str">
        <f>SUBSTITUTE(I48,"pm","")</f>
        <v>8</v>
      </c>
      <c r="T48" s="46" t="str">
        <f>CONCATENATE("data.push([",CHAR(34),TRIM(J48),CHAR(34),", ",CHAR(34),TRIM(K48),CHAR(34),", ",CHAR(34),TRIM(L48),CHAR(34),", ",CHAR(34),TRIM(P48),CHAR(34),", ",CHAR(34),TRIM(Q48),CHAR(34),", ",CHAR(34),TRIM(R48),CHAR(34),", ",CHAR(34),TRIM(S48),CHAR(34),"]);")</f>
        <v>data.push(["December", "Friday", "13th", "Mens B", "Sevenoaks B", "Angel Centre", "8"]);</v>
      </c>
    </row>
    <row r="49" spans="1:20" ht="21.1" customHeight="1" x14ac:dyDescent="0.3">
      <c r="A49" s="26" t="s">
        <v>105</v>
      </c>
      <c r="B49" s="27">
        <v>43812</v>
      </c>
      <c r="C49" s="26" t="str">
        <f>TEXT(B49,"DDDD")</f>
        <v>Friday</v>
      </c>
      <c r="D49" s="26" t="s">
        <v>104</v>
      </c>
      <c r="E49" s="26" t="s">
        <v>92</v>
      </c>
      <c r="F49" t="str">
        <f>TRIM(MID(E49,2+FIND("vs",E49)+1,FIND("(",E49,2+FIND("vs",E49))-FIND("vs",E49)-3))</f>
        <v>AIT</v>
      </c>
      <c r="G49" t="str">
        <f>TRIM(LEFT(E49,FIND("vs",E49)-1))</f>
        <v>Angel</v>
      </c>
      <c r="H49" s="26" t="s">
        <v>67</v>
      </c>
      <c r="I49" s="26" t="s">
        <v>64</v>
      </c>
      <c r="J49" s="47" t="str">
        <f>TEXT(B49,"MMMM")</f>
        <v>December</v>
      </c>
      <c r="K49" s="48" t="str">
        <f>TEXT(B49,"dddd")</f>
        <v>Friday</v>
      </c>
      <c r="L49" s="49" t="str">
        <f>DAY(B49)&amp;LOOKUP(DAY(B49),{1,2,3,4,21,22,23,24,31;"st","nd","rd","th","st","nd","rd","th","st"})</f>
        <v>13th</v>
      </c>
      <c r="M49" s="48">
        <f>DAY(B49)</f>
        <v>13</v>
      </c>
      <c r="N49" s="48">
        <f>YEAR(B49)</f>
        <v>2019</v>
      </c>
      <c r="O49" s="50">
        <f>B49</f>
        <v>43812</v>
      </c>
      <c r="P49" s="49" t="str">
        <f>TRIM(D49)</f>
        <v>Ladies 6s</v>
      </c>
      <c r="Q49" s="48" t="str">
        <f>IF(LEFT(F49,5)="Angel",G49,F49)</f>
        <v>AIT</v>
      </c>
      <c r="R49" s="48" t="str">
        <f>H49</f>
        <v>Angel Centre</v>
      </c>
      <c r="S49" s="48" t="str">
        <f>SUBSTITUTE(I49,"pm","")</f>
        <v>8</v>
      </c>
      <c r="T49" s="46" t="str">
        <f>CONCATENATE("data.push([",CHAR(34),TRIM(J49),CHAR(34),", ",CHAR(34),TRIM(K49),CHAR(34),", ",CHAR(34),TRIM(L49),CHAR(34),", ",CHAR(34),TRIM(P49),CHAR(34),", ",CHAR(34),TRIM(Q49),CHAR(34),", ",CHAR(34),TRIM(R49),CHAR(34),", ",CHAR(34),TRIM(S49),CHAR(34),"]);")</f>
        <v>data.push(["December", "Friday", "13th", "Ladies 6s", "AIT", "Angel Centre", "8"]);</v>
      </c>
    </row>
    <row r="50" spans="1:20" ht="21.1" customHeight="1" x14ac:dyDescent="0.3">
      <c r="A50" s="26" t="s">
        <v>153</v>
      </c>
      <c r="B50" s="27">
        <v>43812</v>
      </c>
      <c r="C50" s="26" t="str">
        <f>TEXT(B50,"DDDD")</f>
        <v>Friday</v>
      </c>
      <c r="D50" s="26" t="s">
        <v>152</v>
      </c>
      <c r="E50" s="26" t="s">
        <v>204</v>
      </c>
      <c r="F50" t="str">
        <f>TRIM(MID(E50,2+FIND("vs",E50)+1,FIND("(",E50,2+FIND("vs",E50))-FIND("vs",E50)-3))</f>
        <v>Paddock Wood</v>
      </c>
      <c r="G50" t="str">
        <f>TRIM(LEFT(E50,FIND("vs",E50)-1))</f>
        <v>Angel</v>
      </c>
      <c r="H50" s="26" t="s">
        <v>67</v>
      </c>
      <c r="I50" s="26" t="s">
        <v>64</v>
      </c>
      <c r="J50" s="47" t="str">
        <f>TEXT(B50,"MMMM")</f>
        <v>December</v>
      </c>
      <c r="K50" s="48" t="str">
        <f>TEXT(B50,"dddd")</f>
        <v>Friday</v>
      </c>
      <c r="L50" s="49" t="str">
        <f>DAY(B50)&amp;LOOKUP(DAY(B50),{1,2,3,4,21,22,23,24,31;"st","nd","rd","th","st","nd","rd","th","st"})</f>
        <v>13th</v>
      </c>
      <c r="M50" s="48">
        <f>DAY(B50)</f>
        <v>13</v>
      </c>
      <c r="N50" s="48">
        <f>YEAR(B50)</f>
        <v>2019</v>
      </c>
      <c r="O50" s="50">
        <f>B50</f>
        <v>43812</v>
      </c>
      <c r="P50" s="49" t="str">
        <f>TRIM(D50)</f>
        <v>Mens 4s</v>
      </c>
      <c r="Q50" s="48" t="str">
        <f>IF(LEFT(F50,5)="Angel",G50,F50)</f>
        <v>Paddock Wood</v>
      </c>
      <c r="R50" s="48" t="str">
        <f>H50</f>
        <v>Angel Centre</v>
      </c>
      <c r="S50" s="48" t="str">
        <f>SUBSTITUTE(I50,"pm","")</f>
        <v>8</v>
      </c>
      <c r="T50" s="46" t="str">
        <f>CONCATENATE("data.push([",CHAR(34),TRIM(J50),CHAR(34),", ",CHAR(34),TRIM(K50),CHAR(34),", ",CHAR(34),TRIM(L50),CHAR(34),", ",CHAR(34),TRIM(P50),CHAR(34),", ",CHAR(34),TRIM(Q50),CHAR(34),", ",CHAR(34),TRIM(R50),CHAR(34),", ",CHAR(34),TRIM(S50),CHAR(34),"]);")</f>
        <v>data.push(["December", "Friday", "13th", "Mens 4s", "Paddock Wood", "Angel Centre", "8"]);</v>
      </c>
    </row>
    <row r="51" spans="1:20" ht="21.1" customHeight="1" x14ac:dyDescent="0.3">
      <c r="A51" s="26" t="s">
        <v>90</v>
      </c>
      <c r="B51" s="27">
        <v>43815</v>
      </c>
      <c r="C51" s="26" t="str">
        <f>TEXT(B51,"DDDD")</f>
        <v>Monday</v>
      </c>
      <c r="D51" s="26" t="s">
        <v>89</v>
      </c>
      <c r="E51" s="30" t="s">
        <v>97</v>
      </c>
      <c r="F51" t="str">
        <f>TRIM(MID(E51,2+FIND("vs",E51)+1,FIND("(",E51,2+FIND("vs",E51))-FIND("vs",E51)-3))</f>
        <v>Angel</v>
      </c>
      <c r="G51" t="str">
        <f>TRIM(LEFT(E51,FIND("vs",E51)-1))</f>
        <v>AIT</v>
      </c>
      <c r="H51" s="29" t="s">
        <v>155</v>
      </c>
      <c r="I51" s="26" t="s">
        <v>66</v>
      </c>
      <c r="J51" s="47" t="str">
        <f>TEXT(B51,"MMMM")</f>
        <v>December</v>
      </c>
      <c r="K51" s="48" t="str">
        <f>TEXT(B51,"dddd")</f>
        <v>Monday</v>
      </c>
      <c r="L51" s="49" t="str">
        <f>DAY(B51)&amp;LOOKUP(DAY(B51),{1,2,3,4,21,22,23,24,31;"st","nd","rd","th","st","nd","rd","th","st"})</f>
        <v>16th</v>
      </c>
      <c r="M51" s="48">
        <f>DAY(B51)</f>
        <v>16</v>
      </c>
      <c r="N51" s="48">
        <f>YEAR(B51)</f>
        <v>2019</v>
      </c>
      <c r="O51" s="50">
        <f>B51</f>
        <v>43815</v>
      </c>
      <c r="P51" s="49" t="str">
        <f>TRIM(D51)</f>
        <v>Ladies 4s</v>
      </c>
      <c r="Q51" s="48" t="str">
        <f>IF(LEFT(F51,5)="Angel",G51,F51)</f>
        <v>AIT</v>
      </c>
      <c r="R51" s="48" t="str">
        <f>H51</f>
        <v xml:space="preserve">Mascalls Academy TN12 6LT </v>
      </c>
      <c r="S51" s="48" t="str">
        <f>SUBSTITUTE(I51,"pm","")</f>
        <v>7.35</v>
      </c>
      <c r="T51" s="46" t="str">
        <f>CONCATENATE("data.push([",CHAR(34),TRIM(J51),CHAR(34),", ",CHAR(34),TRIM(K51),CHAR(34),", ",CHAR(34),TRIM(L51),CHAR(34),", ",CHAR(34),TRIM(P51),CHAR(34),", ",CHAR(34),TRIM(Q51),CHAR(34),", ",CHAR(34),TRIM(R51),CHAR(34),", ",CHAR(34),TRIM(S51),CHAR(34),"]);")</f>
        <v>data.push(["December", "Monday", "16th", "Ladies 4s", "AIT", "Mascalls Academy TN12 6LT", "7.35"]);</v>
      </c>
    </row>
    <row r="52" spans="1:20" ht="21.1" customHeight="1" x14ac:dyDescent="0.3">
      <c r="A52" s="26" t="s">
        <v>144</v>
      </c>
      <c r="B52" s="27">
        <v>43817</v>
      </c>
      <c r="C52" s="26" t="str">
        <f>TEXT(B52,"DDDD")</f>
        <v>Wednesday</v>
      </c>
      <c r="D52" s="26" t="s">
        <v>143</v>
      </c>
      <c r="E52" s="30" t="s">
        <v>149</v>
      </c>
      <c r="F52" t="str">
        <f>TRIM(MID(E52,2+FIND("vs",E52)+1,FIND("(",E52,2+FIND("vs",E52))-FIND("vs",E52)-3))</f>
        <v>Angel B</v>
      </c>
      <c r="G52" t="str">
        <f>TRIM(LEFT(E52,FIND("vs",E52)-1))</f>
        <v>Felbridge</v>
      </c>
      <c r="H52" s="29" t="s">
        <v>157</v>
      </c>
      <c r="I52" s="26" t="s">
        <v>65</v>
      </c>
      <c r="J52" s="47" t="str">
        <f>TEXT(B52,"MMMM")</f>
        <v>December</v>
      </c>
      <c r="K52" s="48" t="str">
        <f>TEXT(B52,"dddd")</f>
        <v>Wednesday</v>
      </c>
      <c r="L52" s="49" t="str">
        <f>DAY(B52)&amp;LOOKUP(DAY(B52),{1,2,3,4,21,22,23,24,31;"st","nd","rd","th","st","nd","rd","th","st"})</f>
        <v>18th</v>
      </c>
      <c r="M52" s="48">
        <f>DAY(B52)</f>
        <v>18</v>
      </c>
      <c r="N52" s="48">
        <f>YEAR(B52)</f>
        <v>2019</v>
      </c>
      <c r="O52" s="50">
        <f>B52</f>
        <v>43817</v>
      </c>
      <c r="P52" s="49" t="str">
        <f>TRIM(D52)</f>
        <v>Masters B</v>
      </c>
      <c r="Q52" s="48" t="str">
        <f>IF(LEFT(F52,5)="Angel",G52,F52)</f>
        <v>Felbridge</v>
      </c>
      <c r="R52" s="48" t="str">
        <f>H52</f>
        <v>East Grinstead Sports Club RH19 4JU</v>
      </c>
      <c r="S52" s="48" t="str">
        <f>SUBSTITUTE(I52,"pm","")</f>
        <v>7.30</v>
      </c>
      <c r="T52" s="46" t="str">
        <f>CONCATENATE("data.push([",CHAR(34),TRIM(J52),CHAR(34),", ",CHAR(34),TRIM(K52),CHAR(34),", ",CHAR(34),TRIM(L52),CHAR(34),", ",CHAR(34),TRIM(P52),CHAR(34),", ",CHAR(34),TRIM(Q52),CHAR(34),", ",CHAR(34),TRIM(R52),CHAR(34),", ",CHAR(34),TRIM(S52),CHAR(34),"]);")</f>
        <v>data.push(["December", "Wednesday", "18th", "Masters B", "Felbridge", "East Grinstead Sports Club RH19 4JU", "7.30"]);</v>
      </c>
    </row>
    <row r="53" spans="1:20" ht="21.1" customHeight="1" x14ac:dyDescent="0.3">
      <c r="A53" s="26" t="s">
        <v>137</v>
      </c>
      <c r="B53" s="27">
        <v>43818</v>
      </c>
      <c r="C53" s="26" t="str">
        <f>TEXT(B53,"DDDD")</f>
        <v>Thursday</v>
      </c>
      <c r="D53" s="26" t="s">
        <v>136</v>
      </c>
      <c r="E53" s="30" t="s">
        <v>140</v>
      </c>
      <c r="F53" t="str">
        <f>TRIM(MID(E53,2+FIND("vs",E53)+1,FIND("(",E53,2+FIND("vs",E53))-FIND("vs",E53)-3))</f>
        <v>Angel A</v>
      </c>
      <c r="G53" t="str">
        <f>TRIM(LEFT(E53,FIND("vs",E53)-1))</f>
        <v>Wadhurst A</v>
      </c>
      <c r="H53" s="29" t="s">
        <v>162</v>
      </c>
      <c r="I53" s="26" t="s">
        <v>65</v>
      </c>
      <c r="J53" s="47" t="str">
        <f>TEXT(B53,"MMMM")</f>
        <v>December</v>
      </c>
      <c r="K53" s="48" t="str">
        <f>TEXT(B53,"dddd")</f>
        <v>Thursday</v>
      </c>
      <c r="L53" s="49" t="str">
        <f>DAY(B53)&amp;LOOKUP(DAY(B53),{1,2,3,4,21,22,23,24,31;"st","nd","rd","th","st","nd","rd","th","st"})</f>
        <v>19th</v>
      </c>
      <c r="M53" s="48">
        <f>DAY(B53)</f>
        <v>19</v>
      </c>
      <c r="N53" s="48">
        <f>YEAR(B53)</f>
        <v>2019</v>
      </c>
      <c r="O53" s="50">
        <f>B53</f>
        <v>43818</v>
      </c>
      <c r="P53" s="49" t="str">
        <f>TRIM(D53)</f>
        <v>Masters A</v>
      </c>
      <c r="Q53" s="48" t="str">
        <f>IF(LEFT(F53,5)="Angel",G53,F53)</f>
        <v>Wadhurst A</v>
      </c>
      <c r="R53" s="48" t="str">
        <f>H53</f>
        <v>Commemoration Hall, Wadhurst, TN5 6AP</v>
      </c>
      <c r="S53" s="48" t="str">
        <f>SUBSTITUTE(I53,"pm","")</f>
        <v>7.30</v>
      </c>
      <c r="T53" s="46" t="str">
        <f>CONCATENATE("data.push([",CHAR(34),TRIM(J53),CHAR(34),", ",CHAR(34),TRIM(K53),CHAR(34),", ",CHAR(34),TRIM(L53),CHAR(34),", ",CHAR(34),TRIM(P53),CHAR(34),", ",CHAR(34),TRIM(Q53),CHAR(34),", ",CHAR(34),TRIM(R53),CHAR(34),", ",CHAR(34),TRIM(S53),CHAR(34),"]);")</f>
        <v>data.push(["December", "Thursday", "19th", "Masters A", "Wadhurst A", "Commemoration Hall, Wadhurst, TN5 6AP", "7.30"]);</v>
      </c>
    </row>
    <row r="54" spans="1:20" ht="21.1" customHeight="1" x14ac:dyDescent="0.3">
      <c r="A54" s="26" t="s">
        <v>79</v>
      </c>
      <c r="B54" s="27">
        <v>43833</v>
      </c>
      <c r="C54" s="26" t="str">
        <f>TEXT(B54,"DDDD")</f>
        <v>Friday</v>
      </c>
      <c r="D54" s="26" t="s">
        <v>78</v>
      </c>
      <c r="E54" s="29" t="s">
        <v>84</v>
      </c>
      <c r="F54" t="str">
        <f>TRIM(MID(E54,2+FIND("vs",E54)+1,FIND("(",E54,2+FIND("vs",E54))-FIND("vs",E54)-3))</f>
        <v>Angel C</v>
      </c>
      <c r="G54" t="str">
        <f>TRIM(LEFT(E54,FIND("vs",E54)-1))</f>
        <v>St Johns E</v>
      </c>
      <c r="H54" s="29" t="s">
        <v>160</v>
      </c>
      <c r="I54" s="26" t="s">
        <v>65</v>
      </c>
      <c r="J54" s="47" t="str">
        <f>TEXT(B54,"MMMM")</f>
        <v>January</v>
      </c>
      <c r="K54" s="48" t="str">
        <f>TEXT(B54,"dddd")</f>
        <v>Friday</v>
      </c>
      <c r="L54" s="49" t="str">
        <f>DAY(B54)&amp;LOOKUP(DAY(B54),{1,2,3,4,21,22,23,24,31;"st","nd","rd","th","st","nd","rd","th","st"})</f>
        <v>3rd</v>
      </c>
      <c r="M54" s="48">
        <f>DAY(B54)</f>
        <v>3</v>
      </c>
      <c r="N54" s="48">
        <f>YEAR(B54)</f>
        <v>2020</v>
      </c>
      <c r="O54" s="50">
        <f>B54</f>
        <v>43833</v>
      </c>
      <c r="P54" s="49" t="str">
        <f>TRIM(D54)</f>
        <v>Mens C</v>
      </c>
      <c r="Q54" s="48" t="str">
        <f>IF(LEFT(F54,5)="Angel",G54,F54)</f>
        <v>St Johns E</v>
      </c>
      <c r="R54" s="48" t="str">
        <f>H54</f>
        <v xml:space="preserve">Tunbridge Wells Sports Centre TN4 9TX   </v>
      </c>
      <c r="S54" s="48" t="str">
        <f>SUBSTITUTE(I54,"pm","")</f>
        <v>7.30</v>
      </c>
      <c r="T54" s="46" t="str">
        <f>CONCATENATE("data.push([",CHAR(34),TRIM(J54),CHAR(34),", ",CHAR(34),TRIM(K54),CHAR(34),", ",CHAR(34),TRIM(L54),CHAR(34),", ",CHAR(34),TRIM(P54),CHAR(34),", ",CHAR(34),TRIM(Q54),CHAR(34),", ",CHAR(34),TRIM(R54),CHAR(34),", ",CHAR(34),TRIM(S54),CHAR(34),"]);")</f>
        <v>data.push(["January", "Friday", "3rd", "Mens C", "St Johns E", "Tunbridge Wells Sports Centre TN4 9TX", "7.30"]);</v>
      </c>
    </row>
    <row r="55" spans="1:20" ht="21.1" customHeight="1" x14ac:dyDescent="0.3">
      <c r="A55" s="26" t="s">
        <v>63</v>
      </c>
      <c r="B55" s="27">
        <v>43833</v>
      </c>
      <c r="C55" s="26" t="str">
        <f>TEXT(B55,"DDDD")</f>
        <v>Friday</v>
      </c>
      <c r="D55" s="26" t="s">
        <v>52</v>
      </c>
      <c r="E55" s="26" t="s">
        <v>58</v>
      </c>
      <c r="F55" t="str">
        <f>TRIM(MID(E55,2+FIND("vs",E55)+1,FIND("(",E55,2+FIND("vs",E55))-FIND("vs",E55)-3))</f>
        <v>Felbridge</v>
      </c>
      <c r="G55" t="str">
        <f>TRIM(LEFT(E55,FIND("vs",E55)-1))</f>
        <v>Angel A</v>
      </c>
      <c r="H55" s="26" t="s">
        <v>67</v>
      </c>
      <c r="I55" s="26" t="s">
        <v>64</v>
      </c>
      <c r="J55" s="47" t="str">
        <f>TEXT(B55,"MMMM")</f>
        <v>January</v>
      </c>
      <c r="K55" s="48" t="str">
        <f>TEXT(B55,"dddd")</f>
        <v>Friday</v>
      </c>
      <c r="L55" s="49" t="str">
        <f>DAY(B55)&amp;LOOKUP(DAY(B55),{1,2,3,4,21,22,23,24,31;"st","nd","rd","th","st","nd","rd","th","st"})</f>
        <v>3rd</v>
      </c>
      <c r="M55" s="48">
        <f>DAY(B55)</f>
        <v>3</v>
      </c>
      <c r="N55" s="48">
        <f>YEAR(B55)</f>
        <v>2020</v>
      </c>
      <c r="O55" s="50">
        <f>B55</f>
        <v>43833</v>
      </c>
      <c r="P55" s="49" t="str">
        <f>TRIM(D55)</f>
        <v>Mens A</v>
      </c>
      <c r="Q55" s="48" t="str">
        <f>IF(LEFT(F55,5)="Angel",G55,F55)</f>
        <v>Felbridge</v>
      </c>
      <c r="R55" s="48" t="str">
        <f>H55</f>
        <v>Angel Centre</v>
      </c>
      <c r="S55" s="48" t="str">
        <f>SUBSTITUTE(I55,"pm","")</f>
        <v>8</v>
      </c>
      <c r="T55" s="46" t="str">
        <f>CONCATENATE("data.push([",CHAR(34),TRIM(J55),CHAR(34),", ",CHAR(34),TRIM(K55),CHAR(34),", ",CHAR(34),TRIM(L55),CHAR(34),", ",CHAR(34),TRIM(P55),CHAR(34),", ",CHAR(34),TRIM(Q55),CHAR(34),", ",CHAR(34),TRIM(R55),CHAR(34),", ",CHAR(34),TRIM(S55),CHAR(34),"]);")</f>
        <v>data.push(["January", "Friday", "3rd", "Mens A", "Felbridge", "Angel Centre", "8"]);</v>
      </c>
    </row>
    <row r="56" spans="1:20" ht="21.1" customHeight="1" x14ac:dyDescent="0.3">
      <c r="A56" s="26" t="s">
        <v>90</v>
      </c>
      <c r="B56" s="27">
        <v>43833</v>
      </c>
      <c r="C56" s="26" t="str">
        <f>TEXT(B56,"DDDD")</f>
        <v>Friday</v>
      </c>
      <c r="D56" s="26" t="s">
        <v>89</v>
      </c>
      <c r="E56" s="26" t="s">
        <v>98</v>
      </c>
      <c r="F56" t="str">
        <f>TRIM(MID(E56,2+FIND("vs",E56)+1,FIND("(",E56,2+FIND("vs",E56))-FIND("vs",E56)-3))</f>
        <v>Felbridge</v>
      </c>
      <c r="G56" t="str">
        <f>TRIM(LEFT(E56,FIND("vs",E56)-1))</f>
        <v>Angel</v>
      </c>
      <c r="H56" s="26" t="s">
        <v>67</v>
      </c>
      <c r="I56" s="26" t="s">
        <v>64</v>
      </c>
      <c r="J56" s="47" t="str">
        <f>TEXT(B56,"MMMM")</f>
        <v>January</v>
      </c>
      <c r="K56" s="48" t="str">
        <f>TEXT(B56,"dddd")</f>
        <v>Friday</v>
      </c>
      <c r="L56" s="49" t="str">
        <f>DAY(B56)&amp;LOOKUP(DAY(B56),{1,2,3,4,21,22,23,24,31;"st","nd","rd","th","st","nd","rd","th","st"})</f>
        <v>3rd</v>
      </c>
      <c r="M56" s="48">
        <f>DAY(B56)</f>
        <v>3</v>
      </c>
      <c r="N56" s="48">
        <f>YEAR(B56)</f>
        <v>2020</v>
      </c>
      <c r="O56" s="50">
        <f>B56</f>
        <v>43833</v>
      </c>
      <c r="P56" s="49" t="str">
        <f>TRIM(D56)</f>
        <v>Ladies 4s</v>
      </c>
      <c r="Q56" s="48" t="str">
        <f>IF(LEFT(F56,5)="Angel",G56,F56)</f>
        <v>Felbridge</v>
      </c>
      <c r="R56" s="48" t="str">
        <f>H56</f>
        <v>Angel Centre</v>
      </c>
      <c r="S56" s="48" t="str">
        <f>SUBSTITUTE(I56,"pm","")</f>
        <v>8</v>
      </c>
      <c r="T56" s="46" t="str">
        <f>CONCATENATE("data.push([",CHAR(34),TRIM(J56),CHAR(34),", ",CHAR(34),TRIM(K56),CHAR(34),", ",CHAR(34),TRIM(L56),CHAR(34),", ",CHAR(34),TRIM(P56),CHAR(34),", ",CHAR(34),TRIM(Q56),CHAR(34),", ",CHAR(34),TRIM(R56),CHAR(34),", ",CHAR(34),TRIM(S56),CHAR(34),"]);")</f>
        <v>data.push(["January", "Friday", "3rd", "Ladies 4s", "Felbridge", "Angel Centre", "8"]);</v>
      </c>
    </row>
    <row r="57" spans="1:20" ht="21.1" customHeight="1" x14ac:dyDescent="0.3">
      <c r="A57" s="26" t="s">
        <v>144</v>
      </c>
      <c r="B57" s="27">
        <v>43833</v>
      </c>
      <c r="C57" s="26" t="str">
        <f>TEXT(B57,"DDDD")</f>
        <v>Friday</v>
      </c>
      <c r="D57" s="26" t="s">
        <v>143</v>
      </c>
      <c r="E57" s="26" t="s">
        <v>150</v>
      </c>
      <c r="F57" t="str">
        <f>TRIM(MID(E57,2+FIND("vs",E57)+1,FIND("(",E57,2+FIND("vs",E57))-FIND("vs",E57)-3))</f>
        <v>Langton Green</v>
      </c>
      <c r="G57" t="str">
        <f>TRIM(LEFT(E57,FIND("vs",E57)-1))</f>
        <v>Angel B</v>
      </c>
      <c r="H57" s="26" t="s">
        <v>67</v>
      </c>
      <c r="I57" s="26" t="s">
        <v>64</v>
      </c>
      <c r="J57" s="47" t="str">
        <f>TEXT(B57,"MMMM")</f>
        <v>January</v>
      </c>
      <c r="K57" s="48" t="str">
        <f>TEXT(B57,"dddd")</f>
        <v>Friday</v>
      </c>
      <c r="L57" s="49" t="str">
        <f>DAY(B57)&amp;LOOKUP(DAY(B57),{1,2,3,4,21,22,23,24,31;"st","nd","rd","th","st","nd","rd","th","st"})</f>
        <v>3rd</v>
      </c>
      <c r="M57" s="48">
        <f>DAY(B57)</f>
        <v>3</v>
      </c>
      <c r="N57" s="48">
        <f>YEAR(B57)</f>
        <v>2020</v>
      </c>
      <c r="O57" s="50">
        <f>B57</f>
        <v>43833</v>
      </c>
      <c r="P57" s="49" t="str">
        <f>TRIM(D57)</f>
        <v>Masters B</v>
      </c>
      <c r="Q57" s="48" t="str">
        <f>IF(LEFT(F57,5)="Angel",G57,F57)</f>
        <v>Langton Green</v>
      </c>
      <c r="R57" s="48" t="str">
        <f>H57</f>
        <v>Angel Centre</v>
      </c>
      <c r="S57" s="48" t="str">
        <f>SUBSTITUTE(I57,"pm","")</f>
        <v>8</v>
      </c>
      <c r="T57" s="46" t="str">
        <f>CONCATENATE("data.push([",CHAR(34),TRIM(J57),CHAR(34),", ",CHAR(34),TRIM(K57),CHAR(34),", ",CHAR(34),TRIM(L57),CHAR(34),", ",CHAR(34),TRIM(P57),CHAR(34),", ",CHAR(34),TRIM(Q57),CHAR(34),", ",CHAR(34),TRIM(R57),CHAR(34),", ",CHAR(34),TRIM(S57),CHAR(34),"]);")</f>
        <v>data.push(["January", "Friday", "3rd", "Masters B", "Langton Green", "Angel Centre", "8"]);</v>
      </c>
    </row>
    <row r="58" spans="1:20" ht="21.1" customHeight="1" x14ac:dyDescent="0.3">
      <c r="A58" s="26" t="s">
        <v>105</v>
      </c>
      <c r="B58" s="27">
        <v>43835</v>
      </c>
      <c r="C58" s="26" t="str">
        <f>TEXT(B58,"DDDD")</f>
        <v>Sunday</v>
      </c>
      <c r="D58" s="26" t="s">
        <v>104</v>
      </c>
      <c r="E58" s="30" t="s">
        <v>109</v>
      </c>
      <c r="F58" t="str">
        <f>TRIM(MID(E58,2+FIND("vs",E58)+1,FIND("(",E58,2+FIND("vs",E58))-FIND("vs",E58)-3))</f>
        <v>Angel</v>
      </c>
      <c r="G58" t="str">
        <f>TRIM(LEFT(E58,FIND("vs",E58)-1))</f>
        <v>Trident A</v>
      </c>
      <c r="H58" s="29" t="s">
        <v>161</v>
      </c>
      <c r="I58" s="26" t="s">
        <v>64</v>
      </c>
      <c r="J58" s="47" t="str">
        <f>TEXT(B58,"MMMM")</f>
        <v>January</v>
      </c>
      <c r="K58" s="48" t="str">
        <f>TEXT(B58,"dddd")</f>
        <v>Sunday</v>
      </c>
      <c r="L58" s="49" t="str">
        <f>DAY(B58)&amp;LOOKUP(DAY(B58),{1,2,3,4,21,22,23,24,31;"st","nd","rd","th","st","nd","rd","th","st"})</f>
        <v>5th</v>
      </c>
      <c r="M58" s="48">
        <f>DAY(B58)</f>
        <v>5</v>
      </c>
      <c r="N58" s="48">
        <f>YEAR(B58)</f>
        <v>2020</v>
      </c>
      <c r="O58" s="50">
        <f>B58</f>
        <v>43835</v>
      </c>
      <c r="P58" s="49" t="str">
        <f>TRIM(D58)</f>
        <v>Ladies 6s</v>
      </c>
      <c r="Q58" s="48" t="str">
        <f>IF(LEFT(F58,5)="Angel",G58,F58)</f>
        <v>Trident A</v>
      </c>
      <c r="R58" s="48" t="str">
        <f>H58</f>
        <v>Holmewood House School TN3 0EB</v>
      </c>
      <c r="S58" s="48" t="str">
        <f>SUBSTITUTE(I58,"pm","")</f>
        <v>8</v>
      </c>
      <c r="T58" s="46" t="str">
        <f>CONCATENATE("data.push([",CHAR(34),TRIM(J58),CHAR(34),", ",CHAR(34),TRIM(K58),CHAR(34),", ",CHAR(34),TRIM(L58),CHAR(34),", ",CHAR(34),TRIM(P58),CHAR(34),", ",CHAR(34),TRIM(Q58),CHAR(34),", ",CHAR(34),TRIM(R58),CHAR(34),", ",CHAR(34),TRIM(S58),CHAR(34),"]);")</f>
        <v>data.push(["January", "Sunday", "5th", "Ladies 6s", "Trident A", "Holmewood House School TN3 0EB", "8"]);</v>
      </c>
    </row>
    <row r="59" spans="1:20" ht="21.1" customHeight="1" x14ac:dyDescent="0.3">
      <c r="A59" s="39" t="s">
        <v>63</v>
      </c>
      <c r="B59" s="38">
        <v>43836</v>
      </c>
      <c r="C59" s="39" t="str">
        <f>TEXT(B59,"DDDD")</f>
        <v>Monday</v>
      </c>
      <c r="D59" s="39" t="s">
        <v>52</v>
      </c>
      <c r="E59" s="39" t="s">
        <v>53</v>
      </c>
      <c r="F59" t="str">
        <f>TRIM(MID(E59,2+FIND("vs",E59)+1,FIND("(",E59,2+FIND("vs",E59))-FIND("vs",E59)-3))</f>
        <v>Angel A</v>
      </c>
      <c r="G59" t="str">
        <f>TRIM(LEFT(E59,FIND("vs",E59)-1))</f>
        <v>Trident C</v>
      </c>
      <c r="H59" s="41" t="s">
        <v>161</v>
      </c>
      <c r="I59" s="39" t="s">
        <v>64</v>
      </c>
      <c r="J59" s="47" t="str">
        <f>TEXT(B59,"MMMM")</f>
        <v>January</v>
      </c>
      <c r="K59" s="48" t="str">
        <f>TEXT(B59,"dddd")</f>
        <v>Monday</v>
      </c>
      <c r="L59" s="49" t="str">
        <f>DAY(B59)&amp;LOOKUP(DAY(B59),{1,2,3,4,21,22,23,24,31;"st","nd","rd","th","st","nd","rd","th","st"})</f>
        <v>6th</v>
      </c>
      <c r="M59" s="48">
        <f>DAY(B59)</f>
        <v>6</v>
      </c>
      <c r="N59" s="48">
        <f>YEAR(B59)</f>
        <v>2020</v>
      </c>
      <c r="O59" s="50">
        <f>B59</f>
        <v>43836</v>
      </c>
      <c r="P59" s="49" t="str">
        <f>TRIM(D59)</f>
        <v>Mens A</v>
      </c>
      <c r="Q59" s="48" t="str">
        <f>IF(LEFT(F59,5)="Angel",G59,F59)</f>
        <v>Trident C</v>
      </c>
      <c r="R59" s="48" t="str">
        <f>H59</f>
        <v>Holmewood House School TN3 0EB</v>
      </c>
      <c r="S59" s="48" t="str">
        <f>SUBSTITUTE(I59,"pm","")</f>
        <v>8</v>
      </c>
      <c r="T59" s="46" t="str">
        <f>CONCATENATE("data.push([",CHAR(34),TRIM(J59),CHAR(34),", ",CHAR(34),TRIM(K59),CHAR(34),", ",CHAR(34),TRIM(L59),CHAR(34),", ",CHAR(34),TRIM(P59),CHAR(34),", ",CHAR(34),TRIM(Q59),CHAR(34),", ",CHAR(34),TRIM(R59),CHAR(34),", ",CHAR(34),TRIM(S59),CHAR(34),"]);")</f>
        <v>data.push(["January", "Monday", "6th", "Mens A", "Trident C", "Holmewood House School TN3 0EB", "8"]);</v>
      </c>
    </row>
    <row r="60" spans="1:20" ht="21.1" customHeight="1" x14ac:dyDescent="0.3">
      <c r="A60" s="26" t="s">
        <v>115</v>
      </c>
      <c r="B60" s="27">
        <v>43840</v>
      </c>
      <c r="C60" s="26" t="str">
        <f>TEXT(B60,"DDDD")</f>
        <v>Friday</v>
      </c>
      <c r="D60" s="26" t="s">
        <v>116</v>
      </c>
      <c r="E60" s="30" t="s">
        <v>120</v>
      </c>
      <c r="F60" t="str">
        <f>TRIM(MID(E60,2+FIND("vs",E60)+1,FIND("(",E60,2+FIND("vs",E60))-FIND("vs",E60)-3))</f>
        <v>Angel A</v>
      </c>
      <c r="G60" t="str">
        <f>TRIM(LEFT(E60,FIND("vs",E60)-1))</f>
        <v>St Johns D</v>
      </c>
      <c r="H60" s="29" t="s">
        <v>160</v>
      </c>
      <c r="I60" s="26" t="s">
        <v>65</v>
      </c>
      <c r="J60" s="47" t="str">
        <f>TEXT(B60,"MMMM")</f>
        <v>January</v>
      </c>
      <c r="K60" s="48" t="str">
        <f>TEXT(B60,"dddd")</f>
        <v>Friday</v>
      </c>
      <c r="L60" s="49" t="str">
        <f>DAY(B60)&amp;LOOKUP(DAY(B60),{1,2,3,4,21,22,23,24,31;"st","nd","rd","th","st","nd","rd","th","st"})</f>
        <v>10th</v>
      </c>
      <c r="M60" s="48">
        <f>DAY(B60)</f>
        <v>10</v>
      </c>
      <c r="N60" s="48">
        <f>YEAR(B60)</f>
        <v>2020</v>
      </c>
      <c r="O60" s="50">
        <f>B60</f>
        <v>43840</v>
      </c>
      <c r="P60" s="49" t="str">
        <f>TRIM(D60)</f>
        <v>Mixed A</v>
      </c>
      <c r="Q60" s="48" t="str">
        <f>IF(LEFT(F60,5)="Angel",G60,F60)</f>
        <v>St Johns D</v>
      </c>
      <c r="R60" s="48" t="str">
        <f>H60</f>
        <v xml:space="preserve">Tunbridge Wells Sports Centre TN4 9TX   </v>
      </c>
      <c r="S60" s="48" t="str">
        <f>SUBSTITUTE(I60,"pm","")</f>
        <v>7.30</v>
      </c>
      <c r="T60" s="46" t="str">
        <f>CONCATENATE("data.push([",CHAR(34),TRIM(J60),CHAR(34),", ",CHAR(34),TRIM(K60),CHAR(34),", ",CHAR(34),TRIM(L60),CHAR(34),", ",CHAR(34),TRIM(P60),CHAR(34),", ",CHAR(34),TRIM(Q60),CHAR(34),", ",CHAR(34),TRIM(R60),CHAR(34),", ",CHAR(34),TRIM(S60),CHAR(34),"]);")</f>
        <v>data.push(["January", "Friday", "10th", "Mixed A", "St Johns D", "Tunbridge Wells Sports Centre TN4 9TX", "7.30"]);</v>
      </c>
    </row>
    <row r="61" spans="1:20" ht="21.1" customHeight="1" x14ac:dyDescent="0.3">
      <c r="A61" s="26" t="s">
        <v>137</v>
      </c>
      <c r="B61" s="27">
        <v>43840</v>
      </c>
      <c r="C61" s="26" t="str">
        <f>TEXT(B61,"DDDD")</f>
        <v>Friday</v>
      </c>
      <c r="D61" s="26" t="s">
        <v>136</v>
      </c>
      <c r="E61" s="26" t="s">
        <v>141</v>
      </c>
      <c r="F61" t="str">
        <f>TRIM(MID(E61,2+FIND("vs",E61)+1,FIND("(",E61,2+FIND("vs",E61))-FIND("vs",E61)-3))</f>
        <v>Angel A</v>
      </c>
      <c r="G61" t="str">
        <f>TRIM(LEFT(E61,FIND("vs",E61)-1))</f>
        <v>Sevenoaks</v>
      </c>
      <c r="H61" s="29" t="s">
        <v>159</v>
      </c>
      <c r="I61" s="26" t="s">
        <v>50</v>
      </c>
      <c r="J61" s="47" t="str">
        <f>TEXT(B61,"MMMM")</f>
        <v>January</v>
      </c>
      <c r="K61" s="48" t="str">
        <f>TEXT(B61,"dddd")</f>
        <v>Friday</v>
      </c>
      <c r="L61" s="49" t="str">
        <f>DAY(B61)&amp;LOOKUP(DAY(B61),{1,2,3,4,21,22,23,24,31;"st","nd","rd","th","st","nd","rd","th","st"})</f>
        <v>10th</v>
      </c>
      <c r="M61" s="48">
        <f>DAY(B61)</f>
        <v>10</v>
      </c>
      <c r="N61" s="48">
        <f>YEAR(B61)</f>
        <v>2020</v>
      </c>
      <c r="O61" s="50">
        <f>B61</f>
        <v>43840</v>
      </c>
      <c r="P61" s="49" t="str">
        <f>TRIM(D61)</f>
        <v>Masters A</v>
      </c>
      <c r="Q61" s="48" t="str">
        <f>IF(LEFT(F61,5)="Angel",G61,F61)</f>
        <v>Sevenoaks</v>
      </c>
      <c r="R61" s="48" t="str">
        <f>H61</f>
        <v>Weald of Kent Grammar School Sevenoaks Kent, TN13 3SL</v>
      </c>
      <c r="S61" s="48" t="str">
        <f>SUBSTITUTE(I61,"pm","")</f>
        <v>8.15</v>
      </c>
      <c r="T61" s="46" t="str">
        <f>CONCATENATE("data.push([",CHAR(34),TRIM(J61),CHAR(34),", ",CHAR(34),TRIM(K61),CHAR(34),", ",CHAR(34),TRIM(L61),CHAR(34),", ",CHAR(34),TRIM(P61),CHAR(34),", ",CHAR(34),TRIM(Q61),CHAR(34),", ",CHAR(34),TRIM(R61),CHAR(34),", ",CHAR(34),TRIM(S61),CHAR(34),"]);")</f>
        <v>data.push(["January", "Friday", "10th", "Masters A", "Sevenoaks", "Weald of Kent Grammar School Sevenoaks Kent, TN13 3SL", "8.15"]);</v>
      </c>
    </row>
    <row r="62" spans="1:20" ht="21.1" customHeight="1" x14ac:dyDescent="0.3">
      <c r="A62" s="26" t="s">
        <v>153</v>
      </c>
      <c r="B62" s="27">
        <v>43840</v>
      </c>
      <c r="C62" s="26" t="str">
        <f>TEXT(B62,"DDDD")</f>
        <v>Friday</v>
      </c>
      <c r="D62" s="26" t="s">
        <v>152</v>
      </c>
      <c r="E62" s="26" t="s">
        <v>101</v>
      </c>
      <c r="F62" t="str">
        <f>TRIM(MID(E62,2+FIND("vs",E62)+1,FIND("(",E62,2+FIND("vs",E62))-FIND("vs",E62)-3))</f>
        <v>Langton Green</v>
      </c>
      <c r="G62" t="str">
        <f>TRIM(LEFT(E62,FIND("vs",E62)-1))</f>
        <v>Angel</v>
      </c>
      <c r="H62" s="26" t="s">
        <v>67</v>
      </c>
      <c r="I62" s="26" t="s">
        <v>64</v>
      </c>
      <c r="J62" s="47" t="str">
        <f>TEXT(B62,"MMMM")</f>
        <v>January</v>
      </c>
      <c r="K62" s="48" t="str">
        <f>TEXT(B62,"dddd")</f>
        <v>Friday</v>
      </c>
      <c r="L62" s="49" t="str">
        <f>DAY(B62)&amp;LOOKUP(DAY(B62),{1,2,3,4,21,22,23,24,31;"st","nd","rd","th","st","nd","rd","th","st"})</f>
        <v>10th</v>
      </c>
      <c r="M62" s="48">
        <f>DAY(B62)</f>
        <v>10</v>
      </c>
      <c r="N62" s="48">
        <f>YEAR(B62)</f>
        <v>2020</v>
      </c>
      <c r="O62" s="50">
        <f>B62</f>
        <v>43840</v>
      </c>
      <c r="P62" s="49" t="str">
        <f>TRIM(D62)</f>
        <v>Mens 4s</v>
      </c>
      <c r="Q62" s="48" t="str">
        <f>IF(LEFT(F62,5)="Angel",G62,F62)</f>
        <v>Langton Green</v>
      </c>
      <c r="R62" s="48" t="str">
        <f>H62</f>
        <v>Angel Centre</v>
      </c>
      <c r="S62" s="48" t="str">
        <f>SUBSTITUTE(I62,"pm","")</f>
        <v>8</v>
      </c>
      <c r="T62" s="46" t="str">
        <f>CONCATENATE("data.push([",CHAR(34),TRIM(J62),CHAR(34),", ",CHAR(34),TRIM(K62),CHAR(34),", ",CHAR(34),TRIM(L62),CHAR(34),", ",CHAR(34),TRIM(P62),CHAR(34),", ",CHAR(34),TRIM(Q62),CHAR(34),", ",CHAR(34),TRIM(R62),CHAR(34),", ",CHAR(34),TRIM(S62),CHAR(34),"]);")</f>
        <v>data.push(["January", "Friday", "10th", "Mens 4s", "Langton Green", "Angel Centre", "8"]);</v>
      </c>
    </row>
    <row r="63" spans="1:20" ht="21.1" customHeight="1" x14ac:dyDescent="0.3">
      <c r="A63" s="26" t="s">
        <v>144</v>
      </c>
      <c r="B63" s="27">
        <v>43842</v>
      </c>
      <c r="C63" s="26" t="str">
        <f>TEXT(B63,"DDDD")</f>
        <v>Sunday</v>
      </c>
      <c r="D63" s="26" t="s">
        <v>143</v>
      </c>
      <c r="E63" s="30" t="s">
        <v>169</v>
      </c>
      <c r="F63" t="str">
        <f>TRIM(MID(E63,2+FIND("vs",E63)+1,FIND("(",E63,2+FIND("vs",E63))-FIND("vs",E63)-3))</f>
        <v>Angel B</v>
      </c>
      <c r="G63" t="str">
        <f>TRIM(LEFT(E63,FIND("vs",E63)-1))</f>
        <v>Chelwood Gate</v>
      </c>
      <c r="H63" s="29" t="s">
        <v>156</v>
      </c>
      <c r="I63" s="26" t="s">
        <v>103</v>
      </c>
      <c r="J63" s="47" t="str">
        <f>TEXT(B63,"MMMM")</f>
        <v>January</v>
      </c>
      <c r="K63" s="48" t="str">
        <f>TEXT(B63,"dddd")</f>
        <v>Sunday</v>
      </c>
      <c r="L63" s="49" t="str">
        <f>DAY(B63)&amp;LOOKUP(DAY(B63),{1,2,3,4,21,22,23,24,31;"st","nd","rd","th","st","nd","rd","th","st"})</f>
        <v>12th</v>
      </c>
      <c r="M63" s="48">
        <f>DAY(B63)</f>
        <v>12</v>
      </c>
      <c r="N63" s="48">
        <f>YEAR(B63)</f>
        <v>2020</v>
      </c>
      <c r="O63" s="50">
        <f>B63</f>
        <v>43842</v>
      </c>
      <c r="P63" s="49" t="str">
        <f>TRIM(D63)</f>
        <v>Masters B</v>
      </c>
      <c r="Q63" s="48" t="str">
        <f>IF(LEFT(F63,5)="Angel",G63,F63)</f>
        <v>Chelwood Gate</v>
      </c>
      <c r="R63" s="48" t="str">
        <f>H63</f>
        <v>Michael Hall School RH18 5JA</v>
      </c>
      <c r="S63" s="48" t="str">
        <f>SUBSTITUTE(I63,"pm","")</f>
        <v>7</v>
      </c>
      <c r="T63" s="46" t="str">
        <f>CONCATENATE("data.push([",CHAR(34),TRIM(J63),CHAR(34),", ",CHAR(34),TRIM(K63),CHAR(34),", ",CHAR(34),TRIM(L63),CHAR(34),", ",CHAR(34),TRIM(P63),CHAR(34),", ",CHAR(34),TRIM(Q63),CHAR(34),", ",CHAR(34),TRIM(R63),CHAR(34),", ",CHAR(34),TRIM(S63),CHAR(34),"]);")</f>
        <v>data.push(["January", "Sunday", "12th", "Masters B", "Chelwood Gate", "Michael Hall School RH18 5JA", "7"]);</v>
      </c>
    </row>
    <row r="64" spans="1:20" ht="21.1" customHeight="1" x14ac:dyDescent="0.3">
      <c r="A64" s="26" t="s">
        <v>153</v>
      </c>
      <c r="B64" s="27">
        <v>43843</v>
      </c>
      <c r="C64" s="26" t="str">
        <f>TEXT(B64,"DDDD")</f>
        <v>Monday</v>
      </c>
      <c r="D64" s="26" t="s">
        <v>152</v>
      </c>
      <c r="E64" s="26" t="s">
        <v>203</v>
      </c>
      <c r="F64" t="str">
        <f>TRIM(MID(E64,2+FIND("vs",E64)+1,FIND("(",E64,2+FIND("vs",E64))-FIND("vs",E64)-3))</f>
        <v>Angel</v>
      </c>
      <c r="G64" t="str">
        <f>TRIM(LEFT(E64,FIND("vs",E64)-1))</f>
        <v>Paddock Wood</v>
      </c>
      <c r="H64" s="29" t="s">
        <v>205</v>
      </c>
      <c r="I64" s="26" t="s">
        <v>64</v>
      </c>
      <c r="J64" s="47" t="str">
        <f>TEXT(B64,"MMMM")</f>
        <v>January</v>
      </c>
      <c r="K64" s="48" t="str">
        <f>TEXT(B64,"dddd")</f>
        <v>Monday</v>
      </c>
      <c r="L64" s="49" t="str">
        <f>DAY(B64)&amp;LOOKUP(DAY(B64),{1,2,3,4,21,22,23,24,31;"st","nd","rd","th","st","nd","rd","th","st"})</f>
        <v>13th</v>
      </c>
      <c r="M64" s="48">
        <f>DAY(B64)</f>
        <v>13</v>
      </c>
      <c r="N64" s="48">
        <f>YEAR(B64)</f>
        <v>2020</v>
      </c>
      <c r="O64" s="50">
        <f>B64</f>
        <v>43843</v>
      </c>
      <c r="P64" s="49" t="str">
        <f>TRIM(D64)</f>
        <v>Mens 4s</v>
      </c>
      <c r="Q64" s="48" t="str">
        <f>IF(LEFT(F64,5)="Angel",G64,F64)</f>
        <v>Paddock Wood</v>
      </c>
      <c r="R64" s="48" t="str">
        <f>H64</f>
        <v>Putlands Sports &amp; Leisure Centre TN12 6NZ</v>
      </c>
      <c r="S64" s="48" t="str">
        <f>SUBSTITUTE(I64,"pm","")</f>
        <v>8</v>
      </c>
      <c r="T64" s="46" t="str">
        <f>CONCATENATE("data.push([",CHAR(34),TRIM(J64),CHAR(34),", ",CHAR(34),TRIM(K64),CHAR(34),", ",CHAR(34),TRIM(L64),CHAR(34),", ",CHAR(34),TRIM(P64),CHAR(34),", ",CHAR(34),TRIM(Q64),CHAR(34),", ",CHAR(34),TRIM(R64),CHAR(34),", ",CHAR(34),TRIM(S64),CHAR(34),"]);")</f>
        <v>data.push(["January", "Monday", "13th", "Mens 4s", "Paddock Wood", "Putlands Sports &amp; Leisure Centre TN12 6NZ", "8"]);</v>
      </c>
    </row>
    <row r="65" spans="1:20" ht="21.1" customHeight="1" x14ac:dyDescent="0.3">
      <c r="A65" s="26" t="s">
        <v>77</v>
      </c>
      <c r="B65" s="27">
        <v>43847</v>
      </c>
      <c r="C65" s="26" t="str">
        <f>TEXT(B65,"DDDD")</f>
        <v>Friday</v>
      </c>
      <c r="D65" s="26" t="s">
        <v>68</v>
      </c>
      <c r="E65" s="30" t="s">
        <v>74</v>
      </c>
      <c r="F65" t="str">
        <f>TRIM(MID(E65,2+FIND("vs",E65)+1,FIND("(",E65,2+FIND("vs",E65))-FIND("vs",E65)-3))</f>
        <v>AIT C</v>
      </c>
      <c r="G65" t="str">
        <f>TRIM(LEFT(E65,FIND("vs",E65)-1))</f>
        <v>Angel B</v>
      </c>
      <c r="H65" s="26" t="s">
        <v>67</v>
      </c>
      <c r="I65" s="26" t="s">
        <v>64</v>
      </c>
      <c r="J65" s="47" t="str">
        <f>TEXT(B65,"MMMM")</f>
        <v>January</v>
      </c>
      <c r="K65" s="48" t="str">
        <f>TEXT(B65,"dddd")</f>
        <v>Friday</v>
      </c>
      <c r="L65" s="49" t="str">
        <f>DAY(B65)&amp;LOOKUP(DAY(B65),{1,2,3,4,21,22,23,24,31;"st","nd","rd","th","st","nd","rd","th","st"})</f>
        <v>17th</v>
      </c>
      <c r="M65" s="48">
        <f>DAY(B65)</f>
        <v>17</v>
      </c>
      <c r="N65" s="48">
        <f>YEAR(B65)</f>
        <v>2020</v>
      </c>
      <c r="O65" s="50">
        <f>B65</f>
        <v>43847</v>
      </c>
      <c r="P65" s="49" t="str">
        <f>TRIM(D65)</f>
        <v>Mens B</v>
      </c>
      <c r="Q65" s="48" t="str">
        <f>IF(LEFT(F65,5)="Angel",G65,F65)</f>
        <v>AIT C</v>
      </c>
      <c r="R65" s="48" t="str">
        <f>H65</f>
        <v>Angel Centre</v>
      </c>
      <c r="S65" s="48" t="str">
        <f>SUBSTITUTE(I65,"pm","")</f>
        <v>8</v>
      </c>
      <c r="T65" s="46" t="str">
        <f>CONCATENATE("data.push([",CHAR(34),TRIM(J65),CHAR(34),", ",CHAR(34),TRIM(K65),CHAR(34),", ",CHAR(34),TRIM(L65),CHAR(34),", ",CHAR(34),TRIM(P65),CHAR(34),", ",CHAR(34),TRIM(Q65),CHAR(34),", ",CHAR(34),TRIM(R65),CHAR(34),", ",CHAR(34),TRIM(S65),CHAR(34),"]);")</f>
        <v>data.push(["January", "Friday", "17th", "Mens B", "AIT C", "Angel Centre", "8"]);</v>
      </c>
    </row>
    <row r="66" spans="1:20" ht="21.1" customHeight="1" x14ac:dyDescent="0.3">
      <c r="A66" s="35" t="s">
        <v>130</v>
      </c>
      <c r="B66" s="34">
        <v>43847</v>
      </c>
      <c r="C66" s="35" t="str">
        <f>TEXT(B66,"DDDD")</f>
        <v>Friday</v>
      </c>
      <c r="D66" s="35" t="s">
        <v>129</v>
      </c>
      <c r="E66" s="35" t="s">
        <v>236</v>
      </c>
      <c r="F66" t="str">
        <f>TRIM(MID(E66,2+FIND("vs",E66)+1,FIND("(",E66,2+FIND("vs",E66))-FIND("vs",E66)-3))</f>
        <v>Angel C</v>
      </c>
      <c r="G66" t="str">
        <f>TRIM(LEFT(E66,FIND("vs",E66)-1))</f>
        <v>Langton Green</v>
      </c>
      <c r="H66" s="36" t="s">
        <v>158</v>
      </c>
      <c r="I66" s="35" t="s">
        <v>103</v>
      </c>
      <c r="J66" s="47" t="str">
        <f>TEXT(B66,"MMMM")</f>
        <v>January</v>
      </c>
      <c r="K66" s="48" t="str">
        <f>TEXT(B66,"dddd")</f>
        <v>Friday</v>
      </c>
      <c r="L66" s="49" t="str">
        <f>DAY(B66)&amp;LOOKUP(DAY(B66),{1,2,3,4,21,22,23,24,31;"st","nd","rd","th","st","nd","rd","th","st"})</f>
        <v>17th</v>
      </c>
      <c r="M66" s="48">
        <f>DAY(B66)</f>
        <v>17</v>
      </c>
      <c r="N66" s="48">
        <f>YEAR(B66)</f>
        <v>2020</v>
      </c>
      <c r="O66" s="50">
        <f>B66</f>
        <v>43847</v>
      </c>
      <c r="P66" s="49" t="str">
        <f>TRIM(D66)</f>
        <v>Mixed C</v>
      </c>
      <c r="Q66" s="48" t="str">
        <f>IF(LEFT(F66,5)="Angel",G66,F66)</f>
        <v>Langton Green</v>
      </c>
      <c r="R66" s="48" t="str">
        <f>H66</f>
        <v>The Village Hall Recreation Ground TN3 0JJ</v>
      </c>
      <c r="S66" s="48" t="str">
        <f>SUBSTITUTE(I66,"pm","")</f>
        <v>7</v>
      </c>
      <c r="T66" s="46" t="str">
        <f>CONCATENATE("data.push([",CHAR(34),TRIM(J66),CHAR(34),", ",CHAR(34),TRIM(K66),CHAR(34),", ",CHAR(34),TRIM(L66),CHAR(34),", ",CHAR(34),TRIM(P66),CHAR(34),", ",CHAR(34),TRIM(Q66),CHAR(34),", ",CHAR(34),TRIM(R66),CHAR(34),", ",CHAR(34),TRIM(S66),CHAR(34),"]);")</f>
        <v>data.push(["January", "Friday", "17th", "Mixed C", "Langton Green", "The Village Hall Recreation Ground TN3 0JJ", "7"]);</v>
      </c>
    </row>
    <row r="67" spans="1:20" ht="21.1" customHeight="1" x14ac:dyDescent="0.3">
      <c r="A67" s="26" t="s">
        <v>90</v>
      </c>
      <c r="B67" s="27">
        <v>43847</v>
      </c>
      <c r="C67" s="26" t="str">
        <f>TEXT(B67,"DDDD")</f>
        <v>Friday</v>
      </c>
      <c r="D67" s="26" t="s">
        <v>89</v>
      </c>
      <c r="E67" s="26" t="s">
        <v>99</v>
      </c>
      <c r="F67" t="str">
        <f>TRIM(MID(E67,2+FIND("vs",E67)+1,FIND("(",E67,2+FIND("vs",E67))-FIND("vs",E67)-3))</f>
        <v>Wadhurst</v>
      </c>
      <c r="G67" t="str">
        <f>TRIM(LEFT(E67,FIND("vs",E67)-1))</f>
        <v>Angel</v>
      </c>
      <c r="H67" s="26" t="s">
        <v>67</v>
      </c>
      <c r="I67" s="26" t="s">
        <v>64</v>
      </c>
      <c r="J67" s="47" t="str">
        <f>TEXT(B67,"MMMM")</f>
        <v>January</v>
      </c>
      <c r="K67" s="48" t="str">
        <f>TEXT(B67,"dddd")</f>
        <v>Friday</v>
      </c>
      <c r="L67" s="49" t="str">
        <f>DAY(B67)&amp;LOOKUP(DAY(B67),{1,2,3,4,21,22,23,24,31;"st","nd","rd","th","st","nd","rd","th","st"})</f>
        <v>17th</v>
      </c>
      <c r="M67" s="48">
        <f>DAY(B67)</f>
        <v>17</v>
      </c>
      <c r="N67" s="48">
        <f>YEAR(B67)</f>
        <v>2020</v>
      </c>
      <c r="O67" s="50">
        <f>B67</f>
        <v>43847</v>
      </c>
      <c r="P67" s="49" t="str">
        <f>TRIM(D67)</f>
        <v>Ladies 4s</v>
      </c>
      <c r="Q67" s="48" t="str">
        <f>IF(LEFT(F67,5)="Angel",G67,F67)</f>
        <v>Wadhurst</v>
      </c>
      <c r="R67" s="48" t="str">
        <f>H67</f>
        <v>Angel Centre</v>
      </c>
      <c r="S67" s="48" t="str">
        <f>SUBSTITUTE(I67,"pm","")</f>
        <v>8</v>
      </c>
      <c r="T67" s="46" t="str">
        <f>CONCATENATE("data.push([",CHAR(34),TRIM(J67),CHAR(34),", ",CHAR(34),TRIM(K67),CHAR(34),", ",CHAR(34),TRIM(L67),CHAR(34),", ",CHAR(34),TRIM(P67),CHAR(34),", ",CHAR(34),TRIM(Q67),CHAR(34),", ",CHAR(34),TRIM(R67),CHAR(34),", ",CHAR(34),TRIM(S67),CHAR(34),"]);")</f>
        <v>data.push(["January", "Friday", "17th", "Ladies 4s", "Wadhurst", "Angel Centre", "8"]);</v>
      </c>
    </row>
    <row r="68" spans="1:20" ht="21.1" customHeight="1" x14ac:dyDescent="0.3">
      <c r="A68" s="26" t="s">
        <v>79</v>
      </c>
      <c r="B68" s="27">
        <v>43850</v>
      </c>
      <c r="C68" s="26" t="str">
        <f>TEXT(B68,"DDDD")</f>
        <v>Monday</v>
      </c>
      <c r="D68" s="26" t="s">
        <v>78</v>
      </c>
      <c r="E68" s="30" t="s">
        <v>85</v>
      </c>
      <c r="F68" t="str">
        <f>TRIM(MID(E68,2+FIND("vs",E68)+1,FIND("(",E68,2+FIND("vs",E68))-FIND("vs",E68)-3))</f>
        <v>Angel C</v>
      </c>
      <c r="G68" t="str">
        <f>TRIM(LEFT(E68,FIND("vs",E68)-1))</f>
        <v>Trident D</v>
      </c>
      <c r="H68" s="29" t="s">
        <v>161</v>
      </c>
      <c r="I68" s="26" t="s">
        <v>64</v>
      </c>
      <c r="J68" s="47" t="str">
        <f>TEXT(B68,"MMMM")</f>
        <v>January</v>
      </c>
      <c r="K68" s="48" t="str">
        <f>TEXT(B68,"dddd")</f>
        <v>Monday</v>
      </c>
      <c r="L68" s="49" t="str">
        <f>DAY(B68)&amp;LOOKUP(DAY(B68),{1,2,3,4,21,22,23,24,31;"st","nd","rd","th","st","nd","rd","th","st"})</f>
        <v>20th</v>
      </c>
      <c r="M68" s="48">
        <f>DAY(B68)</f>
        <v>20</v>
      </c>
      <c r="N68" s="48">
        <f>YEAR(B68)</f>
        <v>2020</v>
      </c>
      <c r="O68" s="50">
        <f>B68</f>
        <v>43850</v>
      </c>
      <c r="P68" s="49" t="str">
        <f>TRIM(D68)</f>
        <v>Mens C</v>
      </c>
      <c r="Q68" s="48" t="str">
        <f>IF(LEFT(F68,5)="Angel",G68,F68)</f>
        <v>Trident D</v>
      </c>
      <c r="R68" s="48" t="str">
        <f>H68</f>
        <v>Holmewood House School TN3 0EB</v>
      </c>
      <c r="S68" s="48" t="str">
        <f>SUBSTITUTE(I68,"pm","")</f>
        <v>8</v>
      </c>
      <c r="T68" s="46" t="str">
        <f>CONCATENATE("data.push([",CHAR(34),TRIM(J68),CHAR(34),", ",CHAR(34),TRIM(K68),CHAR(34),", ",CHAR(34),TRIM(L68),CHAR(34),", ",CHAR(34),TRIM(P68),CHAR(34),", ",CHAR(34),TRIM(Q68),CHAR(34),", ",CHAR(34),TRIM(R68),CHAR(34),", ",CHAR(34),TRIM(S68),CHAR(34),"]);")</f>
        <v>data.push(["January", "Monday", "20th", "Mens C", "Trident D", "Holmewood House School TN3 0EB", "8"]);</v>
      </c>
    </row>
    <row r="69" spans="1:20" ht="21.1" customHeight="1" x14ac:dyDescent="0.3">
      <c r="A69" s="26" t="s">
        <v>115</v>
      </c>
      <c r="B69" s="27">
        <v>43852</v>
      </c>
      <c r="C69" s="26" t="str">
        <f>TEXT(B69,"DDDD")</f>
        <v>Wednesday</v>
      </c>
      <c r="D69" s="26" t="s">
        <v>116</v>
      </c>
      <c r="E69" s="26" t="s">
        <v>182</v>
      </c>
      <c r="F69" t="str">
        <f>TRIM(MID(E69,2+FIND("vs",E69)+1,FIND("(",E69,2+FIND("vs",E69))-FIND("vs",E69)-3))</f>
        <v>Hildenborough B</v>
      </c>
      <c r="G69" t="str">
        <f>TRIM(LEFT(E69,FIND("vs",E69)-1))</f>
        <v>Angel A</v>
      </c>
      <c r="H69" s="26" t="s">
        <v>67</v>
      </c>
      <c r="I69" s="26" t="s">
        <v>64</v>
      </c>
      <c r="J69" s="47" t="str">
        <f>TEXT(B69,"MMMM")</f>
        <v>January</v>
      </c>
      <c r="K69" s="48" t="str">
        <f>TEXT(B69,"dddd")</f>
        <v>Wednesday</v>
      </c>
      <c r="L69" s="49" t="str">
        <f>DAY(B69)&amp;LOOKUP(DAY(B69),{1,2,3,4,21,22,23,24,31;"st","nd","rd","th","st","nd","rd","th","st"})</f>
        <v>22nd</v>
      </c>
      <c r="M69" s="48">
        <f>DAY(B69)</f>
        <v>22</v>
      </c>
      <c r="N69" s="48">
        <f>YEAR(B69)</f>
        <v>2020</v>
      </c>
      <c r="O69" s="50">
        <f>B69</f>
        <v>43852</v>
      </c>
      <c r="P69" s="49" t="str">
        <f>TRIM(D69)</f>
        <v>Mixed A</v>
      </c>
      <c r="Q69" s="48" t="str">
        <f>IF(LEFT(F69,5)="Angel",G69,F69)</f>
        <v>Hildenborough B</v>
      </c>
      <c r="R69" s="48" t="str">
        <f>H69</f>
        <v>Angel Centre</v>
      </c>
      <c r="S69" s="48" t="str">
        <f>SUBSTITUTE(I69,"pm","")</f>
        <v>8</v>
      </c>
      <c r="T69" s="46" t="str">
        <f>CONCATENATE("data.push([",CHAR(34),TRIM(J69),CHAR(34),", ",CHAR(34),TRIM(K69),CHAR(34),", ",CHAR(34),TRIM(L69),CHAR(34),", ",CHAR(34),TRIM(P69),CHAR(34),", ",CHAR(34),TRIM(Q69),CHAR(34),", ",CHAR(34),TRIM(R69),CHAR(34),", ",CHAR(34),TRIM(S69),CHAR(34),"]);")</f>
        <v>data.push(["January", "Wednesday", "22nd", "Mixed A", "Hildenborough B", "Angel Centre", "8"]);</v>
      </c>
    </row>
    <row r="70" spans="1:20" ht="21.1" customHeight="1" x14ac:dyDescent="0.3">
      <c r="A70" s="26" t="s">
        <v>153</v>
      </c>
      <c r="B70" s="27">
        <v>43854</v>
      </c>
      <c r="C70" s="26" t="str">
        <f>TEXT(B70,"DDDD")</f>
        <v>Friday</v>
      </c>
      <c r="D70" s="26" t="s">
        <v>152</v>
      </c>
      <c r="E70" s="26" t="s">
        <v>96</v>
      </c>
      <c r="F70" t="str">
        <f>TRIM(MID(E70,2+FIND("vs",E70)+1,FIND("(",E70,2+FIND("vs",E70))-FIND("vs",E70)-3))</f>
        <v>Angel</v>
      </c>
      <c r="G70" t="str">
        <f>TRIM(LEFT(E70,FIND("vs",E70)-1))</f>
        <v>Langton Green</v>
      </c>
      <c r="H70" s="29" t="s">
        <v>158</v>
      </c>
      <c r="I70" s="26" t="s">
        <v>65</v>
      </c>
      <c r="J70" s="47" t="str">
        <f>TEXT(B70,"MMMM")</f>
        <v>January</v>
      </c>
      <c r="K70" s="48" t="str">
        <f>TEXT(B70,"dddd")</f>
        <v>Friday</v>
      </c>
      <c r="L70" s="49" t="str">
        <f>DAY(B70)&amp;LOOKUP(DAY(B70),{1,2,3,4,21,22,23,24,31;"st","nd","rd","th","st","nd","rd","th","st"})</f>
        <v>24th</v>
      </c>
      <c r="M70" s="48">
        <f>DAY(B70)</f>
        <v>24</v>
      </c>
      <c r="N70" s="48">
        <f>YEAR(B70)</f>
        <v>2020</v>
      </c>
      <c r="O70" s="50">
        <f>B70</f>
        <v>43854</v>
      </c>
      <c r="P70" s="49" t="str">
        <f>TRIM(D70)</f>
        <v>Mens 4s</v>
      </c>
      <c r="Q70" s="48" t="str">
        <f>IF(LEFT(F70,5)="Angel",G70,F70)</f>
        <v>Langton Green</v>
      </c>
      <c r="R70" s="48" t="str">
        <f>H70</f>
        <v>The Village Hall Recreation Ground TN3 0JJ</v>
      </c>
      <c r="S70" s="48" t="str">
        <f>SUBSTITUTE(I70,"pm","")</f>
        <v>7.30</v>
      </c>
      <c r="T70" s="46" t="str">
        <f>CONCATENATE("data.push([",CHAR(34),TRIM(J70),CHAR(34),", ",CHAR(34),TRIM(K70),CHAR(34),", ",CHAR(34),TRIM(L70),CHAR(34),", ",CHAR(34),TRIM(P70),CHAR(34),", ",CHAR(34),TRIM(Q70),CHAR(34),", ",CHAR(34),TRIM(R70),CHAR(34),", ",CHAR(34),TRIM(S70),CHAR(34),"]);")</f>
        <v>data.push(["January", "Friday", "24th", "Mens 4s", "Langton Green", "The Village Hall Recreation Ground TN3 0JJ", "7.30"]);</v>
      </c>
    </row>
    <row r="71" spans="1:20" ht="21.1" customHeight="1" x14ac:dyDescent="0.3">
      <c r="A71" s="26" t="s">
        <v>105</v>
      </c>
      <c r="B71" s="27">
        <v>43854</v>
      </c>
      <c r="C71" s="26" t="str">
        <f>TEXT(B71,"DDDD")</f>
        <v>Friday</v>
      </c>
      <c r="D71" s="26" t="s">
        <v>104</v>
      </c>
      <c r="E71" s="26" t="s">
        <v>187</v>
      </c>
      <c r="F71" t="str">
        <f>TRIM(MID(E71,2+FIND("vs",E71)+1,FIND("(",E71,2+FIND("vs",E71))-FIND("vs",E71)-3))</f>
        <v>Angel</v>
      </c>
      <c r="G71" t="str">
        <f>TRIM(LEFT(E71,FIND("vs",E71)-1))</f>
        <v>Hildenborough</v>
      </c>
      <c r="H71" s="29" t="s">
        <v>180</v>
      </c>
      <c r="I71" s="26" t="s">
        <v>64</v>
      </c>
      <c r="J71" s="47" t="str">
        <f>TEXT(B71,"MMMM")</f>
        <v>January</v>
      </c>
      <c r="K71" s="48" t="str">
        <f>TEXT(B71,"dddd")</f>
        <v>Friday</v>
      </c>
      <c r="L71" s="49" t="str">
        <f>DAY(B71)&amp;LOOKUP(DAY(B71),{1,2,3,4,21,22,23,24,31;"st","nd","rd","th","st","nd","rd","th","st"})</f>
        <v>24th</v>
      </c>
      <c r="M71" s="48">
        <f>DAY(B71)</f>
        <v>24</v>
      </c>
      <c r="N71" s="48">
        <f>YEAR(B71)</f>
        <v>2020</v>
      </c>
      <c r="O71" s="50">
        <f>B71</f>
        <v>43854</v>
      </c>
      <c r="P71" s="49" t="str">
        <f>TRIM(D71)</f>
        <v>Ladies 6s</v>
      </c>
      <c r="Q71" s="48" t="str">
        <f>IF(LEFT(F71,5)="Angel",G71,F71)</f>
        <v>Hildenborough</v>
      </c>
      <c r="R71" s="48" t="str">
        <f>H71</f>
        <v>Walthamstow Hall Holly Bush Lane TN13 3UL</v>
      </c>
      <c r="S71" s="48" t="str">
        <f>SUBSTITUTE(I71,"pm","")</f>
        <v>8</v>
      </c>
      <c r="T71" s="46" t="str">
        <f>CONCATENATE("data.push([",CHAR(34),TRIM(J71),CHAR(34),", ",CHAR(34),TRIM(K71),CHAR(34),", ",CHAR(34),TRIM(L71),CHAR(34),", ",CHAR(34),TRIM(P71),CHAR(34),", ",CHAR(34),TRIM(Q71),CHAR(34),", ",CHAR(34),TRIM(R71),CHAR(34),", ",CHAR(34),TRIM(S71),CHAR(34),"]);")</f>
        <v>data.push(["January", "Friday", "24th", "Ladies 6s", "Hildenborough", "Walthamstow Hall Holly Bush Lane TN13 3UL", "8"]);</v>
      </c>
    </row>
    <row r="72" spans="1:20" ht="21.1" customHeight="1" x14ac:dyDescent="0.3">
      <c r="A72" s="26" t="s">
        <v>105</v>
      </c>
      <c r="B72" s="27">
        <v>43856</v>
      </c>
      <c r="C72" s="26" t="str">
        <f>TEXT(B72,"DDDD")</f>
        <v>Sunday</v>
      </c>
      <c r="D72" s="26" t="s">
        <v>104</v>
      </c>
      <c r="E72" s="30" t="s">
        <v>110</v>
      </c>
      <c r="F72" t="str">
        <f>TRIM(MID(E72,2+FIND("vs",E72)+1,FIND("(",E72,2+FIND("vs",E72))-FIND("vs",E72)-3))</f>
        <v>Angel</v>
      </c>
      <c r="G72" t="str">
        <f>TRIM(LEFT(E72,FIND("vs",E72)-1))</f>
        <v>Trident B</v>
      </c>
      <c r="H72" s="29" t="s">
        <v>161</v>
      </c>
      <c r="I72" s="26" t="s">
        <v>64</v>
      </c>
      <c r="J72" s="47" t="str">
        <f>TEXT(B72,"MMMM")</f>
        <v>January</v>
      </c>
      <c r="K72" s="48" t="str">
        <f>TEXT(B72,"dddd")</f>
        <v>Sunday</v>
      </c>
      <c r="L72" s="49" t="str">
        <f>DAY(B72)&amp;LOOKUP(DAY(B72),{1,2,3,4,21,22,23,24,31;"st","nd","rd","th","st","nd","rd","th","st"})</f>
        <v>26th</v>
      </c>
      <c r="M72" s="48">
        <f>DAY(B72)</f>
        <v>26</v>
      </c>
      <c r="N72" s="48">
        <f>YEAR(B72)</f>
        <v>2020</v>
      </c>
      <c r="O72" s="50">
        <f>B72</f>
        <v>43856</v>
      </c>
      <c r="P72" s="49" t="str">
        <f>TRIM(D72)</f>
        <v>Ladies 6s</v>
      </c>
      <c r="Q72" s="48" t="str">
        <f>IF(LEFT(F72,5)="Angel",G72,F72)</f>
        <v>Trident B</v>
      </c>
      <c r="R72" s="48" t="str">
        <f>H72</f>
        <v>Holmewood House School TN3 0EB</v>
      </c>
      <c r="S72" s="48" t="str">
        <f>SUBSTITUTE(I72,"pm","")</f>
        <v>8</v>
      </c>
      <c r="T72" s="46" t="str">
        <f>CONCATENATE("data.push([",CHAR(34),TRIM(J72),CHAR(34),", ",CHAR(34),TRIM(K72),CHAR(34),", ",CHAR(34),TRIM(L72),CHAR(34),", ",CHAR(34),TRIM(P72),CHAR(34),", ",CHAR(34),TRIM(Q72),CHAR(34),", ",CHAR(34),TRIM(R72),CHAR(34),", ",CHAR(34),TRIM(S72),CHAR(34),"]);")</f>
        <v>data.push(["January", "Sunday", "26th", "Ladies 6s", "Trident B", "Holmewood House School TN3 0EB", "8"]);</v>
      </c>
    </row>
    <row r="73" spans="1:20" ht="21.1" customHeight="1" x14ac:dyDescent="0.3">
      <c r="A73" s="26" t="s">
        <v>137</v>
      </c>
      <c r="B73" s="27">
        <v>43859</v>
      </c>
      <c r="C73" s="26" t="str">
        <f>TEXT(B73,"DDDD")</f>
        <v>Wednesday</v>
      </c>
      <c r="D73" s="26" t="s">
        <v>136</v>
      </c>
      <c r="E73" s="30" t="s">
        <v>167</v>
      </c>
      <c r="F73" t="str">
        <f>TRIM(MID(E73,2+FIND("vs",E73)+1,FIND("(",E73,2+FIND("vs",E73))-FIND("vs",E73)-3))</f>
        <v>Wadhurst A</v>
      </c>
      <c r="G73" t="str">
        <f>TRIM(LEFT(E73,FIND("vs",E73)-1))</f>
        <v>Angel A</v>
      </c>
      <c r="H73" s="26" t="s">
        <v>67</v>
      </c>
      <c r="I73" s="26" t="s">
        <v>64</v>
      </c>
      <c r="J73" s="47" t="str">
        <f>TEXT(B73,"MMMM")</f>
        <v>January</v>
      </c>
      <c r="K73" s="48" t="str">
        <f>TEXT(B73,"dddd")</f>
        <v>Wednesday</v>
      </c>
      <c r="L73" s="49" t="str">
        <f>DAY(B73)&amp;LOOKUP(DAY(B73),{1,2,3,4,21,22,23,24,31;"st","nd","rd","th","st","nd","rd","th","st"})</f>
        <v>29th</v>
      </c>
      <c r="M73" s="48">
        <f>DAY(B73)</f>
        <v>29</v>
      </c>
      <c r="N73" s="48">
        <f>YEAR(B73)</f>
        <v>2020</v>
      </c>
      <c r="O73" s="50">
        <f>B73</f>
        <v>43859</v>
      </c>
      <c r="P73" s="49" t="str">
        <f>TRIM(D73)</f>
        <v>Masters A</v>
      </c>
      <c r="Q73" s="48" t="str">
        <f>IF(LEFT(F73,5)="Angel",G73,F73)</f>
        <v>Wadhurst A</v>
      </c>
      <c r="R73" s="48" t="str">
        <f>H73</f>
        <v>Angel Centre</v>
      </c>
      <c r="S73" s="48" t="str">
        <f>SUBSTITUTE(I73,"pm","")</f>
        <v>8</v>
      </c>
      <c r="T73" s="46" t="str">
        <f>CONCATENATE("data.push([",CHAR(34),TRIM(J73),CHAR(34),", ",CHAR(34),TRIM(K73),CHAR(34),", ",CHAR(34),TRIM(L73),CHAR(34),", ",CHAR(34),TRIM(P73),CHAR(34),", ",CHAR(34),TRIM(Q73),CHAR(34),", ",CHAR(34),TRIM(R73),CHAR(34),", ",CHAR(34),TRIM(S73),CHAR(34),"]);")</f>
        <v>data.push(["January", "Wednesday", "29th", "Masters A", "Wadhurst A", "Angel Centre", "8"]);</v>
      </c>
    </row>
    <row r="74" spans="1:20" ht="21.1" customHeight="1" x14ac:dyDescent="0.3">
      <c r="A74" s="26" t="s">
        <v>153</v>
      </c>
      <c r="B74" s="27">
        <v>43861</v>
      </c>
      <c r="C74" s="26" t="str">
        <f>TEXT(B74,"DDDD")</f>
        <v>Friday</v>
      </c>
      <c r="D74" s="26" t="s">
        <v>152</v>
      </c>
      <c r="E74" s="26" t="s">
        <v>93</v>
      </c>
      <c r="F74" t="str">
        <f>TRIM(MID(E74,2+FIND("vs",E74)+1,FIND("(",E74,2+FIND("vs",E74))-FIND("vs",E74)-3))</f>
        <v>Trident</v>
      </c>
      <c r="G74" t="str">
        <f>TRIM(LEFT(E74,FIND("vs",E74)-1))</f>
        <v>Angel</v>
      </c>
      <c r="H74" s="26" t="s">
        <v>67</v>
      </c>
      <c r="I74" s="26" t="s">
        <v>64</v>
      </c>
      <c r="J74" s="47" t="str">
        <f>TEXT(B74,"MMMM")</f>
        <v>January</v>
      </c>
      <c r="K74" s="48" t="str">
        <f>TEXT(B74,"dddd")</f>
        <v>Friday</v>
      </c>
      <c r="L74" s="49" t="str">
        <f>DAY(B74)&amp;LOOKUP(DAY(B74),{1,2,3,4,21,22,23,24,31;"st","nd","rd","th","st","nd","rd","th","st"})</f>
        <v>31st</v>
      </c>
      <c r="M74" s="48">
        <f>DAY(B74)</f>
        <v>31</v>
      </c>
      <c r="N74" s="48">
        <f>YEAR(B74)</f>
        <v>2020</v>
      </c>
      <c r="O74" s="50">
        <f>B74</f>
        <v>43861</v>
      </c>
      <c r="P74" s="49" t="str">
        <f>TRIM(D74)</f>
        <v>Mens 4s</v>
      </c>
      <c r="Q74" s="48" t="str">
        <f>IF(LEFT(F74,5)="Angel",G74,F74)</f>
        <v>Trident</v>
      </c>
      <c r="R74" s="48" t="str">
        <f>H74</f>
        <v>Angel Centre</v>
      </c>
      <c r="S74" s="48" t="str">
        <f>SUBSTITUTE(I74,"pm","")</f>
        <v>8</v>
      </c>
      <c r="T74" s="46" t="str">
        <f>CONCATENATE("data.push([",CHAR(34),TRIM(J74),CHAR(34),", ",CHAR(34),TRIM(K74),CHAR(34),", ",CHAR(34),TRIM(L74),CHAR(34),", ",CHAR(34),TRIM(P74),CHAR(34),", ",CHAR(34),TRIM(Q74),CHAR(34),", ",CHAR(34),TRIM(R74),CHAR(34),", ",CHAR(34),TRIM(S74),CHAR(34),"]);")</f>
        <v>data.push(["January", "Friday", "31st", "Mens 4s", "Trident", "Angel Centre", "8"]);</v>
      </c>
    </row>
    <row r="75" spans="1:20" ht="21.1" customHeight="1" x14ac:dyDescent="0.3">
      <c r="A75" s="26" t="s">
        <v>124</v>
      </c>
      <c r="B75" s="27">
        <v>43861</v>
      </c>
      <c r="C75" s="26" t="str">
        <f>TEXT(B75,"DDDD")</f>
        <v>Friday</v>
      </c>
      <c r="D75" s="26" t="s">
        <v>123</v>
      </c>
      <c r="E75" s="26" t="s">
        <v>74</v>
      </c>
      <c r="F75" t="str">
        <f>TRIM(MID(E75,2+FIND("vs",E75)+1,FIND("(",E75,2+FIND("vs",E75))-FIND("vs",E75)-3))</f>
        <v>AIT C</v>
      </c>
      <c r="G75" t="str">
        <f>TRIM(LEFT(E75,FIND("vs",E75)-1))</f>
        <v>Angel B</v>
      </c>
      <c r="H75" s="26" t="s">
        <v>67</v>
      </c>
      <c r="I75" s="26" t="s">
        <v>64</v>
      </c>
      <c r="J75" s="47" t="str">
        <f>TEXT(B75,"MMMM")</f>
        <v>January</v>
      </c>
      <c r="K75" s="48" t="str">
        <f>TEXT(B75,"dddd")</f>
        <v>Friday</v>
      </c>
      <c r="L75" s="49" t="str">
        <f>DAY(B75)&amp;LOOKUP(DAY(B75),{1,2,3,4,21,22,23,24,31;"st","nd","rd","th","st","nd","rd","th","st"})</f>
        <v>31st</v>
      </c>
      <c r="M75" s="48">
        <f>DAY(B75)</f>
        <v>31</v>
      </c>
      <c r="N75" s="48">
        <f>YEAR(B75)</f>
        <v>2020</v>
      </c>
      <c r="O75" s="50">
        <f>B75</f>
        <v>43861</v>
      </c>
      <c r="P75" s="49" t="str">
        <f>TRIM(D75)</f>
        <v>Mixed B</v>
      </c>
      <c r="Q75" s="48" t="str">
        <f>IF(LEFT(F75,5)="Angel",G75,F75)</f>
        <v>AIT C</v>
      </c>
      <c r="R75" s="48" t="str">
        <f>H75</f>
        <v>Angel Centre</v>
      </c>
      <c r="S75" s="48" t="str">
        <f>SUBSTITUTE(I75,"pm","")</f>
        <v>8</v>
      </c>
      <c r="T75" s="46" t="str">
        <f>CONCATENATE("data.push([",CHAR(34),TRIM(J75),CHAR(34),", ",CHAR(34),TRIM(K75),CHAR(34),", ",CHAR(34),TRIM(L75),CHAR(34),", ",CHAR(34),TRIM(P75),CHAR(34),", ",CHAR(34),TRIM(Q75),CHAR(34),", ",CHAR(34),TRIM(R75),CHAR(34),", ",CHAR(34),TRIM(S75),CHAR(34),"]);")</f>
        <v>data.push(["January", "Friday", "31st", "Mixed B", "AIT C", "Angel Centre", "8"]);</v>
      </c>
    </row>
    <row r="76" spans="1:20" ht="21.1" customHeight="1" x14ac:dyDescent="0.3">
      <c r="A76" s="26" t="s">
        <v>130</v>
      </c>
      <c r="B76" s="27">
        <v>43866</v>
      </c>
      <c r="C76" s="26" t="str">
        <f>TEXT(B76,"DDDD")</f>
        <v>Wednesday</v>
      </c>
      <c r="D76" s="26" t="s">
        <v>129</v>
      </c>
      <c r="E76" s="30" t="s">
        <v>132</v>
      </c>
      <c r="F76" t="str">
        <f>TRIM(MID(E76,2+FIND("vs",E76)+1,FIND("(",E76,2+FIND("vs",E76))-FIND("vs",E76)-3))</f>
        <v>Angel C</v>
      </c>
      <c r="G76" t="str">
        <f>TRIM(LEFT(E76,FIND("vs",E76)-1))</f>
        <v>Wadhurst</v>
      </c>
      <c r="H76" s="29" t="s">
        <v>162</v>
      </c>
      <c r="I76" s="26" t="s">
        <v>103</v>
      </c>
      <c r="J76" s="47" t="str">
        <f>TEXT(B76,"MMMM")</f>
        <v>February</v>
      </c>
      <c r="K76" s="48" t="str">
        <f>TEXT(B76,"dddd")</f>
        <v>Wednesday</v>
      </c>
      <c r="L76" s="49" t="str">
        <f>DAY(B76)&amp;LOOKUP(DAY(B76),{1,2,3,4,21,22,23,24,31;"st","nd","rd","th","st","nd","rd","th","st"})</f>
        <v>5th</v>
      </c>
      <c r="M76" s="48">
        <f>DAY(B76)</f>
        <v>5</v>
      </c>
      <c r="N76" s="48">
        <f>YEAR(B76)</f>
        <v>2020</v>
      </c>
      <c r="O76" s="50">
        <f>B76</f>
        <v>43866</v>
      </c>
      <c r="P76" s="49" t="str">
        <f>TRIM(D76)</f>
        <v>Mixed C</v>
      </c>
      <c r="Q76" s="48" t="str">
        <f>IF(LEFT(F76,5)="Angel",G76,F76)</f>
        <v>Wadhurst</v>
      </c>
      <c r="R76" s="48" t="str">
        <f>H76</f>
        <v>Commemoration Hall, Wadhurst, TN5 6AP</v>
      </c>
      <c r="S76" s="48" t="str">
        <f>SUBSTITUTE(I76,"pm","")</f>
        <v>7</v>
      </c>
      <c r="T76" s="46" t="str">
        <f>CONCATENATE("data.push([",CHAR(34),TRIM(J76),CHAR(34),", ",CHAR(34),TRIM(K76),CHAR(34),", ",CHAR(34),TRIM(L76),CHAR(34),", ",CHAR(34),TRIM(P76),CHAR(34),", ",CHAR(34),TRIM(Q76),CHAR(34),", ",CHAR(34),TRIM(R76),CHAR(34),", ",CHAR(34),TRIM(S76),CHAR(34),"]);")</f>
        <v>data.push(["February", "Wednesday", "5th", "Mixed C", "Wadhurst", "Commemoration Hall, Wadhurst, TN5 6AP", "7"]);</v>
      </c>
    </row>
    <row r="77" spans="1:20" ht="21.1" customHeight="1" x14ac:dyDescent="0.3">
      <c r="A77" s="26" t="s">
        <v>77</v>
      </c>
      <c r="B77" s="27">
        <v>43868</v>
      </c>
      <c r="C77" s="26" t="str">
        <f>TEXT(B77,"DDDD")</f>
        <v>Friday</v>
      </c>
      <c r="D77" s="26" t="s">
        <v>68</v>
      </c>
      <c r="E77" s="30" t="s">
        <v>75</v>
      </c>
      <c r="F77" t="str">
        <f>TRIM(MID(E77,2+FIND("vs",E77)+1,FIND("(",E77,2+FIND("vs",E77))-FIND("vs",E77)-3))</f>
        <v>St Johns D</v>
      </c>
      <c r="G77" t="str">
        <f>TRIM(LEFT(E77,FIND("vs",E77)-1))</f>
        <v>Angel B</v>
      </c>
      <c r="H77" s="26" t="s">
        <v>67</v>
      </c>
      <c r="I77" s="26" t="s">
        <v>64</v>
      </c>
      <c r="J77" s="47" t="str">
        <f>TEXT(B77,"MMMM")</f>
        <v>February</v>
      </c>
      <c r="K77" s="48" t="str">
        <f>TEXT(B77,"dddd")</f>
        <v>Friday</v>
      </c>
      <c r="L77" s="49" t="str">
        <f>DAY(B77)&amp;LOOKUP(DAY(B77),{1,2,3,4,21,22,23,24,31;"st","nd","rd","th","st","nd","rd","th","st"})</f>
        <v>7th</v>
      </c>
      <c r="M77" s="48">
        <f>DAY(B77)</f>
        <v>7</v>
      </c>
      <c r="N77" s="48">
        <f>YEAR(B77)</f>
        <v>2020</v>
      </c>
      <c r="O77" s="50">
        <f>B77</f>
        <v>43868</v>
      </c>
      <c r="P77" s="49" t="str">
        <f>TRIM(D77)</f>
        <v>Mens B</v>
      </c>
      <c r="Q77" s="48" t="str">
        <f>IF(LEFT(F77,5)="Angel",G77,F77)</f>
        <v>St Johns D</v>
      </c>
      <c r="R77" s="48" t="str">
        <f>H77</f>
        <v>Angel Centre</v>
      </c>
      <c r="S77" s="48" t="str">
        <f>SUBSTITUTE(I77,"pm","")</f>
        <v>8</v>
      </c>
      <c r="T77" s="46" t="str">
        <f>CONCATENATE("data.push([",CHAR(34),TRIM(J77),CHAR(34),", ",CHAR(34),TRIM(K77),CHAR(34),", ",CHAR(34),TRIM(L77),CHAR(34),", ",CHAR(34),TRIM(P77),CHAR(34),", ",CHAR(34),TRIM(Q77),CHAR(34),", ",CHAR(34),TRIM(R77),CHAR(34),", ",CHAR(34),TRIM(S77),CHAR(34),"]);")</f>
        <v>data.push(["February", "Friday", "7th", "Mens B", "St Johns D", "Angel Centre", "8"]);</v>
      </c>
    </row>
    <row r="78" spans="1:20" ht="21.1" customHeight="1" x14ac:dyDescent="0.3">
      <c r="A78" s="26" t="s">
        <v>130</v>
      </c>
      <c r="B78" s="27">
        <v>43868</v>
      </c>
      <c r="C78" s="26" t="str">
        <f>TEXT(B78,"DDDD")</f>
        <v>Friday</v>
      </c>
      <c r="D78" s="26" t="s">
        <v>129</v>
      </c>
      <c r="E78" s="26" t="s">
        <v>134</v>
      </c>
      <c r="F78" t="str">
        <f>TRIM(MID(E78,2+FIND("vs",E78)+1,FIND("(",E78,2+FIND("vs",E78))-FIND("vs",E78)-3))</f>
        <v>Langton Green</v>
      </c>
      <c r="G78" t="str">
        <f>TRIM(LEFT(E78,FIND("vs",E78)-1))</f>
        <v>Angel C</v>
      </c>
      <c r="H78" s="26" t="s">
        <v>67</v>
      </c>
      <c r="I78" s="26" t="s">
        <v>64</v>
      </c>
      <c r="J78" s="47" t="str">
        <f>TEXT(B78,"MMMM")</f>
        <v>February</v>
      </c>
      <c r="K78" s="48" t="str">
        <f>TEXT(B78,"dddd")</f>
        <v>Friday</v>
      </c>
      <c r="L78" s="49" t="str">
        <f>DAY(B78)&amp;LOOKUP(DAY(B78),{1,2,3,4,21,22,23,24,31;"st","nd","rd","th","st","nd","rd","th","st"})</f>
        <v>7th</v>
      </c>
      <c r="M78" s="48">
        <f>DAY(B78)</f>
        <v>7</v>
      </c>
      <c r="N78" s="48">
        <f>YEAR(B78)</f>
        <v>2020</v>
      </c>
      <c r="O78" s="50">
        <f>B78</f>
        <v>43868</v>
      </c>
      <c r="P78" s="49" t="str">
        <f>TRIM(D78)</f>
        <v>Mixed C</v>
      </c>
      <c r="Q78" s="48" t="str">
        <f>IF(LEFT(F78,5)="Angel",G78,F78)</f>
        <v>Langton Green</v>
      </c>
      <c r="R78" s="48" t="str">
        <f>H78</f>
        <v>Angel Centre</v>
      </c>
      <c r="S78" s="48" t="str">
        <f>SUBSTITUTE(I78,"pm","")</f>
        <v>8</v>
      </c>
      <c r="T78" s="46" t="str">
        <f>CONCATENATE("data.push([",CHAR(34),TRIM(J78),CHAR(34),", ",CHAR(34),TRIM(K78),CHAR(34),", ",CHAR(34),TRIM(L78),CHAR(34),", ",CHAR(34),TRIM(P78),CHAR(34),", ",CHAR(34),TRIM(Q78),CHAR(34),", ",CHAR(34),TRIM(R78),CHAR(34),", ",CHAR(34),TRIM(S78),CHAR(34),"]);")</f>
        <v>data.push(["February", "Friday", "7th", "Mixed C", "Langton Green", "Angel Centre", "8"]);</v>
      </c>
    </row>
    <row r="79" spans="1:20" ht="21.1" customHeight="1" x14ac:dyDescent="0.3">
      <c r="A79" s="26" t="s">
        <v>115</v>
      </c>
      <c r="B79" s="27">
        <v>43868</v>
      </c>
      <c r="C79" s="26" t="str">
        <f>TEXT(B79,"DDDD")</f>
        <v>Friday</v>
      </c>
      <c r="D79" s="26" t="s">
        <v>116</v>
      </c>
      <c r="E79" s="26" t="s">
        <v>181</v>
      </c>
      <c r="F79" t="str">
        <f>TRIM(MID(E79,2+FIND("vs",E79)+1,FIND("(",E79,2+FIND("vs",E79))-FIND("vs",E79)-3))</f>
        <v>Angel A</v>
      </c>
      <c r="G79" t="str">
        <f>TRIM(LEFT(E79,FIND("vs",E79)-1))</f>
        <v>Hildenborough B</v>
      </c>
      <c r="H79" s="29" t="s">
        <v>180</v>
      </c>
      <c r="I79" s="26" t="s">
        <v>64</v>
      </c>
      <c r="J79" s="47" t="str">
        <f>TEXT(B79,"MMMM")</f>
        <v>February</v>
      </c>
      <c r="K79" s="48" t="str">
        <f>TEXT(B79,"dddd")</f>
        <v>Friday</v>
      </c>
      <c r="L79" s="49" t="str">
        <f>DAY(B79)&amp;LOOKUP(DAY(B79),{1,2,3,4,21,22,23,24,31;"st","nd","rd","th","st","nd","rd","th","st"})</f>
        <v>7th</v>
      </c>
      <c r="M79" s="48">
        <f>DAY(B79)</f>
        <v>7</v>
      </c>
      <c r="N79" s="48">
        <f>YEAR(B79)</f>
        <v>2020</v>
      </c>
      <c r="O79" s="50">
        <f>B79</f>
        <v>43868</v>
      </c>
      <c r="P79" s="49" t="str">
        <f>TRIM(D79)</f>
        <v>Mixed A</v>
      </c>
      <c r="Q79" s="48" t="str">
        <f>IF(LEFT(F79,5)="Angel",G79,F79)</f>
        <v>Hildenborough B</v>
      </c>
      <c r="R79" s="48" t="str">
        <f>H79</f>
        <v>Walthamstow Hall Holly Bush Lane TN13 3UL</v>
      </c>
      <c r="S79" s="48" t="str">
        <f>SUBSTITUTE(I79,"pm","")</f>
        <v>8</v>
      </c>
      <c r="T79" s="46" t="str">
        <f>CONCATENATE("data.push([",CHAR(34),TRIM(J79),CHAR(34),", ",CHAR(34),TRIM(K79),CHAR(34),", ",CHAR(34),TRIM(L79),CHAR(34),", ",CHAR(34),TRIM(P79),CHAR(34),", ",CHAR(34),TRIM(Q79),CHAR(34),", ",CHAR(34),TRIM(R79),CHAR(34),", ",CHAR(34),TRIM(S79),CHAR(34),"]);")</f>
        <v>data.push(["February", "Friday", "7th", "Mixed A", "Hildenborough B", "Walthamstow Hall Holly Bush Lane TN13 3UL", "8"]);</v>
      </c>
    </row>
    <row r="80" spans="1:20" ht="21.1" customHeight="1" x14ac:dyDescent="0.3">
      <c r="A80" s="26" t="s">
        <v>79</v>
      </c>
      <c r="B80" s="27">
        <v>43873</v>
      </c>
      <c r="C80" s="26" t="str">
        <f>TEXT(B80,"DDDD")</f>
        <v>Wednesday</v>
      </c>
      <c r="D80" s="26" t="s">
        <v>78</v>
      </c>
      <c r="E80" s="26" t="s">
        <v>86</v>
      </c>
      <c r="F80" t="str">
        <f>TRIM(MID(E80,2+FIND("vs",E80)+1,FIND("(",E80,2+FIND("vs",E80))-FIND("vs",E80)-3))</f>
        <v>Trident D</v>
      </c>
      <c r="G80" t="str">
        <f>TRIM(LEFT(E80,FIND("vs",E80)-1))</f>
        <v>Angel C</v>
      </c>
      <c r="H80" s="26" t="s">
        <v>67</v>
      </c>
      <c r="I80" s="26" t="s">
        <v>64</v>
      </c>
      <c r="J80" s="47" t="str">
        <f>TEXT(B80,"MMMM")</f>
        <v>February</v>
      </c>
      <c r="K80" s="48" t="str">
        <f>TEXT(B80,"dddd")</f>
        <v>Wednesday</v>
      </c>
      <c r="L80" s="49" t="str">
        <f>DAY(B80)&amp;LOOKUP(DAY(B80),{1,2,3,4,21,22,23,24,31;"st","nd","rd","th","st","nd","rd","th","st"})</f>
        <v>12th</v>
      </c>
      <c r="M80" s="48">
        <f>DAY(B80)</f>
        <v>12</v>
      </c>
      <c r="N80" s="48">
        <f>YEAR(B80)</f>
        <v>2020</v>
      </c>
      <c r="O80" s="50">
        <f>B80</f>
        <v>43873</v>
      </c>
      <c r="P80" s="49" t="str">
        <f>TRIM(D80)</f>
        <v>Mens C</v>
      </c>
      <c r="Q80" s="48" t="str">
        <f>IF(LEFT(F80,5)="Angel",G80,F80)</f>
        <v>Trident D</v>
      </c>
      <c r="R80" s="48" t="str">
        <f>H80</f>
        <v>Angel Centre</v>
      </c>
      <c r="S80" s="48" t="str">
        <f>SUBSTITUTE(I80,"pm","")</f>
        <v>8</v>
      </c>
      <c r="T80" s="46" t="str">
        <f>CONCATENATE("data.push([",CHAR(34),TRIM(J80),CHAR(34),", ",CHAR(34),TRIM(K80),CHAR(34),", ",CHAR(34),TRIM(L80),CHAR(34),", ",CHAR(34),TRIM(P80),CHAR(34),", ",CHAR(34),TRIM(Q80),CHAR(34),", ",CHAR(34),TRIM(R80),CHAR(34),", ",CHAR(34),TRIM(S80),CHAR(34),"]);")</f>
        <v>data.push(["February", "Wednesday", "12th", "Mens C", "Trident D", "Angel Centre", "8"]);</v>
      </c>
    </row>
    <row r="81" spans="1:20" ht="21.1" customHeight="1" x14ac:dyDescent="0.3">
      <c r="A81" s="26" t="s">
        <v>115</v>
      </c>
      <c r="B81" s="27">
        <v>43875</v>
      </c>
      <c r="C81" s="26" t="str">
        <f>TEXT(B81,"DDDD")</f>
        <v>Friday</v>
      </c>
      <c r="D81" s="26" t="s">
        <v>116</v>
      </c>
      <c r="E81" s="30" t="s">
        <v>121</v>
      </c>
      <c r="F81" t="str">
        <f>TRIM(MID(E81,2+FIND("vs",E81)+1,FIND("(",E81,2+FIND("vs",E81))-FIND("vs",E81)-3))</f>
        <v>Angel A</v>
      </c>
      <c r="G81" t="str">
        <f>TRIM(LEFT(E81,FIND("vs",E81)-1))</f>
        <v>Sevenoaks B</v>
      </c>
      <c r="H81" s="29" t="s">
        <v>159</v>
      </c>
      <c r="I81" s="26" t="s">
        <v>50</v>
      </c>
      <c r="J81" s="47" t="str">
        <f>TEXT(B81,"MMMM")</f>
        <v>February</v>
      </c>
      <c r="K81" s="48" t="str">
        <f>TEXT(B81,"dddd")</f>
        <v>Friday</v>
      </c>
      <c r="L81" s="49" t="str">
        <f>DAY(B81)&amp;LOOKUP(DAY(B81),{1,2,3,4,21,22,23,24,31;"st","nd","rd","th","st","nd","rd","th","st"})</f>
        <v>14th</v>
      </c>
      <c r="M81" s="48">
        <f>DAY(B81)</f>
        <v>14</v>
      </c>
      <c r="N81" s="48">
        <f>YEAR(B81)</f>
        <v>2020</v>
      </c>
      <c r="O81" s="50">
        <f>B81</f>
        <v>43875</v>
      </c>
      <c r="P81" s="49" t="str">
        <f>TRIM(D81)</f>
        <v>Mixed A</v>
      </c>
      <c r="Q81" s="48" t="str">
        <f>IF(LEFT(F81,5)="Angel",G81,F81)</f>
        <v>Sevenoaks B</v>
      </c>
      <c r="R81" s="48" t="str">
        <f>H81</f>
        <v>Weald of Kent Grammar School Sevenoaks Kent, TN13 3SL</v>
      </c>
      <c r="S81" s="48" t="str">
        <f>SUBSTITUTE(I81,"pm","")</f>
        <v>8.15</v>
      </c>
      <c r="T81" s="46" t="str">
        <f>CONCATENATE("data.push([",CHAR(34),TRIM(J81),CHAR(34),", ",CHAR(34),TRIM(K81),CHAR(34),", ",CHAR(34),TRIM(L81),CHAR(34),", ",CHAR(34),TRIM(P81),CHAR(34),", ",CHAR(34),TRIM(Q81),CHAR(34),", ",CHAR(34),TRIM(R81),CHAR(34),", ",CHAR(34),TRIM(S81),CHAR(34),"]);")</f>
        <v>data.push(["February", "Friday", "14th", "Mixed A", "Sevenoaks B", "Weald of Kent Grammar School Sevenoaks Kent, TN13 3SL", "8.15"]);</v>
      </c>
    </row>
    <row r="82" spans="1:20" ht="21.1" customHeight="1" x14ac:dyDescent="0.3">
      <c r="A82" s="35" t="s">
        <v>130</v>
      </c>
      <c r="B82" s="34">
        <v>43875</v>
      </c>
      <c r="C82" s="35" t="str">
        <f>TEXT(B82,"DDDD")</f>
        <v>Friday</v>
      </c>
      <c r="D82" s="35" t="s">
        <v>129</v>
      </c>
      <c r="E82" s="36" t="s">
        <v>238</v>
      </c>
      <c r="F82" t="str">
        <f>TRIM(MID(E82,2+FIND("vs",E82)+1,FIND("(",E82,2+FIND("vs",E82))-FIND("vs",E82)-3))</f>
        <v>Angel C</v>
      </c>
      <c r="G82" t="str">
        <f>TRIM(LEFT(E82,FIND("vs",E82)-1))</f>
        <v>Langton Green</v>
      </c>
      <c r="H82" s="36" t="s">
        <v>158</v>
      </c>
      <c r="I82" s="35" t="s">
        <v>103</v>
      </c>
      <c r="J82" s="47" t="str">
        <f>TEXT(B82,"MMMM")</f>
        <v>February</v>
      </c>
      <c r="K82" s="48" t="str">
        <f>TEXT(B82,"dddd")</f>
        <v>Friday</v>
      </c>
      <c r="L82" s="49" t="str">
        <f>DAY(B82)&amp;LOOKUP(DAY(B82),{1,2,3,4,21,22,23,24,31;"st","nd","rd","th","st","nd","rd","th","st"})</f>
        <v>14th</v>
      </c>
      <c r="M82" s="48">
        <f>DAY(B82)</f>
        <v>14</v>
      </c>
      <c r="N82" s="48">
        <f>YEAR(B82)</f>
        <v>2020</v>
      </c>
      <c r="O82" s="50">
        <f>B82</f>
        <v>43875</v>
      </c>
      <c r="P82" s="49" t="str">
        <f>TRIM(D82)</f>
        <v>Mixed C</v>
      </c>
      <c r="Q82" s="48" t="str">
        <f>IF(LEFT(F82,5)="Angel",G82,F82)</f>
        <v>Langton Green</v>
      </c>
      <c r="R82" s="48" t="str">
        <f>H82</f>
        <v>The Village Hall Recreation Ground TN3 0JJ</v>
      </c>
      <c r="S82" s="48" t="str">
        <f>SUBSTITUTE(I82,"pm","")</f>
        <v>7</v>
      </c>
      <c r="T82" s="46" t="str">
        <f>CONCATENATE("data.push([",CHAR(34),TRIM(J82),CHAR(34),", ",CHAR(34),TRIM(K82),CHAR(34),", ",CHAR(34),TRIM(L82),CHAR(34),", ",CHAR(34),TRIM(P82),CHAR(34),", ",CHAR(34),TRIM(Q82),CHAR(34),", ",CHAR(34),TRIM(R82),CHAR(34),", ",CHAR(34),TRIM(S82),CHAR(34),"]);")</f>
        <v>data.push(["February", "Friday", "14th", "Mixed C", "Langton Green", "The Village Hall Recreation Ground TN3 0JJ", "7"]);</v>
      </c>
    </row>
    <row r="83" spans="1:20" ht="21.1" customHeight="1" x14ac:dyDescent="0.3">
      <c r="A83" s="43" t="s">
        <v>207</v>
      </c>
      <c r="B83" s="42">
        <v>43887</v>
      </c>
      <c r="C83" s="43" t="str">
        <f>TEXT(B83,"DDDD")</f>
        <v>Wednesday</v>
      </c>
      <c r="D83" s="43" t="s">
        <v>123</v>
      </c>
      <c r="E83" s="43" t="s">
        <v>208</v>
      </c>
      <c r="F83" t="str">
        <f>TRIM(MID(E83,2+FIND("vs",E83)+1,FIND("(",E83,2+FIND("vs",E83))-FIND("vs",E83)-3))</f>
        <v>Mixed C</v>
      </c>
      <c r="G83" t="str">
        <f>TRIM(LEFT(E83,FIND("vs",E83)-1))</f>
        <v>Mixed B</v>
      </c>
      <c r="H83" s="43" t="s">
        <v>67</v>
      </c>
      <c r="I83" s="43" t="s">
        <v>64</v>
      </c>
      <c r="J83" s="47" t="str">
        <f>TEXT(B83,"MMMM")</f>
        <v>February</v>
      </c>
      <c r="K83" s="48" t="str">
        <f>TEXT(B83,"dddd")</f>
        <v>Wednesday</v>
      </c>
      <c r="L83" s="49" t="str">
        <f>DAY(B83)&amp;LOOKUP(DAY(B83),{1,2,3,4,21,22,23,24,31;"st","nd","rd","th","st","nd","rd","th","st"})</f>
        <v>26th</v>
      </c>
      <c r="M83" s="48">
        <f>DAY(B83)</f>
        <v>26</v>
      </c>
      <c r="N83" s="48">
        <f>YEAR(B83)</f>
        <v>2020</v>
      </c>
      <c r="O83" s="50">
        <f>B83</f>
        <v>43887</v>
      </c>
      <c r="P83" s="49" t="str">
        <f>TRIM(D83)</f>
        <v>Mixed B</v>
      </c>
      <c r="Q83" s="48" t="str">
        <f>IF(LEFT(F83,5)="Angel",G83,F83)</f>
        <v>Mixed C</v>
      </c>
      <c r="R83" s="48" t="str">
        <f>H83</f>
        <v>Angel Centre</v>
      </c>
      <c r="S83" s="48" t="str">
        <f>SUBSTITUTE(I83,"pm","")</f>
        <v>8</v>
      </c>
      <c r="T83" s="46" t="str">
        <f>CONCATENATE("data.push([",CHAR(34),TRIM(J83),CHAR(34),", ",CHAR(34),TRIM(K83),CHAR(34),", ",CHAR(34),TRIM(L83),CHAR(34),", ",CHAR(34),TRIM(P83),CHAR(34),", ",CHAR(34),TRIM(Q83),CHAR(34),", ",CHAR(34),TRIM(R83),CHAR(34),", ",CHAR(34),TRIM(S83),CHAR(34),"]);")</f>
        <v>data.push(["February", "Wednesday", "26th", "Mixed B", "Mixed C", "Angel Centre", "8"]);</v>
      </c>
    </row>
    <row r="84" spans="1:20" ht="21.1" customHeight="1" x14ac:dyDescent="0.3">
      <c r="A84" s="43" t="s">
        <v>207</v>
      </c>
      <c r="B84" s="42">
        <v>43887</v>
      </c>
      <c r="C84" s="43" t="str">
        <f>TEXT(B84,"DDDD")</f>
        <v>Wednesday</v>
      </c>
      <c r="D84" s="43" t="s">
        <v>129</v>
      </c>
      <c r="E84" s="43" t="s">
        <v>256</v>
      </c>
      <c r="F84" t="str">
        <f>TRIM(MID(E84,2+FIND("vs",E84)+1,FIND("(",E84,2+FIND("vs",E84))-FIND("vs",E84)-3))</f>
        <v>Mixed B</v>
      </c>
      <c r="G84" t="str">
        <f>TRIM(LEFT(E84,FIND("vs",E84)-1))</f>
        <v>Mixed C</v>
      </c>
      <c r="H84" s="43" t="s">
        <v>67</v>
      </c>
      <c r="I84" s="43" t="s">
        <v>64</v>
      </c>
      <c r="J84" s="47" t="str">
        <f>TEXT(B84,"MMMM")</f>
        <v>February</v>
      </c>
      <c r="K84" s="48" t="str">
        <f>TEXT(B84,"dddd")</f>
        <v>Wednesday</v>
      </c>
      <c r="L84" s="49" t="str">
        <f>DAY(B84)&amp;LOOKUP(DAY(B84),{1,2,3,4,21,22,23,24,31;"st","nd","rd","th","st","nd","rd","th","st"})</f>
        <v>26th</v>
      </c>
      <c r="M84" s="48">
        <f>DAY(B84)</f>
        <v>26</v>
      </c>
      <c r="N84" s="48">
        <f>YEAR(B84)</f>
        <v>2020</v>
      </c>
      <c r="O84" s="50">
        <f>B84</f>
        <v>43887</v>
      </c>
      <c r="P84" s="49" t="str">
        <f>TRIM(D84)</f>
        <v>Mixed C</v>
      </c>
      <c r="Q84" s="48" t="str">
        <f>IF(LEFT(F84,5)="Angel",G84,F84)</f>
        <v>Mixed B</v>
      </c>
      <c r="R84" s="48" t="str">
        <f>H84</f>
        <v>Angel Centre</v>
      </c>
      <c r="S84" s="48" t="str">
        <f>SUBSTITUTE(I84,"pm","")</f>
        <v>8</v>
      </c>
      <c r="T84" s="46" t="str">
        <f>CONCATENATE("data.push([",CHAR(34),TRIM(J84),CHAR(34),", ",CHAR(34),TRIM(K84),CHAR(34),", ",CHAR(34),TRIM(L84),CHAR(34),", ",CHAR(34),TRIM(P84),CHAR(34),", ",CHAR(34),TRIM(Q84),CHAR(34),", ",CHAR(34),TRIM(R84),CHAR(34),", ",CHAR(34),TRIM(S84),CHAR(34),"]);")</f>
        <v>data.push(["February", "Wednesday", "26th", "Mixed C", "Mixed B", "Angel Centre", "8"]);</v>
      </c>
    </row>
    <row r="85" spans="1:20" ht="21.1" customHeight="1" x14ac:dyDescent="0.3">
      <c r="A85" s="26" t="s">
        <v>137</v>
      </c>
      <c r="B85" s="27">
        <v>43889</v>
      </c>
      <c r="C85" s="26" t="str">
        <f>TEXT(B85,"DDDD")</f>
        <v>Friday</v>
      </c>
      <c r="D85" s="26" t="s">
        <v>136</v>
      </c>
      <c r="E85" s="30" t="s">
        <v>142</v>
      </c>
      <c r="F85" t="str">
        <f>TRIM(MID(E85,2+FIND("vs",E85)+1,FIND("(",E85,2+FIND("vs",E85))-FIND("vs",E85)-3))</f>
        <v>Sevenoaks</v>
      </c>
      <c r="G85" t="str">
        <f>TRIM(LEFT(E85,FIND("vs",E85)-1))</f>
        <v>Angel A</v>
      </c>
      <c r="H85" s="26" t="s">
        <v>67</v>
      </c>
      <c r="I85" s="26" t="s">
        <v>64</v>
      </c>
      <c r="J85" s="47" t="str">
        <f>TEXT(B85,"MMMM")</f>
        <v>February</v>
      </c>
      <c r="K85" s="48" t="str">
        <f>TEXT(B85,"dddd")</f>
        <v>Friday</v>
      </c>
      <c r="L85" s="49" t="str">
        <f>DAY(B85)&amp;LOOKUP(DAY(B85),{1,2,3,4,21,22,23,24,31;"st","nd","rd","th","st","nd","rd","th","st"})</f>
        <v>28th</v>
      </c>
      <c r="M85" s="48">
        <f>DAY(B85)</f>
        <v>28</v>
      </c>
      <c r="N85" s="48">
        <f>YEAR(B85)</f>
        <v>2020</v>
      </c>
      <c r="O85" s="50">
        <f>B85</f>
        <v>43889</v>
      </c>
      <c r="P85" s="49" t="str">
        <f>TRIM(D85)</f>
        <v>Masters A</v>
      </c>
      <c r="Q85" s="48" t="str">
        <f>IF(LEFT(F85,5)="Angel",G85,F85)</f>
        <v>Sevenoaks</v>
      </c>
      <c r="R85" s="48" t="str">
        <f>H85</f>
        <v>Angel Centre</v>
      </c>
      <c r="S85" s="48" t="str">
        <f>SUBSTITUTE(I85,"pm","")</f>
        <v>8</v>
      </c>
      <c r="T85" s="46" t="str">
        <f>CONCATENATE("data.push([",CHAR(34),TRIM(J85),CHAR(34),", ",CHAR(34),TRIM(K85),CHAR(34),", ",CHAR(34),TRIM(L85),CHAR(34),", ",CHAR(34),TRIM(P85),CHAR(34),", ",CHAR(34),TRIM(Q85),CHAR(34),", ",CHAR(34),TRIM(R85),CHAR(34),", ",CHAR(34),TRIM(S85),CHAR(34),"]);")</f>
        <v>data.push(["February", "Friday", "28th", "Masters A", "Sevenoaks", "Angel Centre", "8"]);</v>
      </c>
    </row>
    <row r="86" spans="1:20" ht="21.1" customHeight="1" x14ac:dyDescent="0.3">
      <c r="A86" s="26" t="s">
        <v>63</v>
      </c>
      <c r="B86" s="27">
        <v>43889</v>
      </c>
      <c r="C86" s="26" t="str">
        <f>TEXT(B86,"DDDD")</f>
        <v>Friday</v>
      </c>
      <c r="D86" s="26" t="s">
        <v>52</v>
      </c>
      <c r="E86" s="26" t="s">
        <v>59</v>
      </c>
      <c r="F86" t="str">
        <f>TRIM(MID(E86,2+FIND("vs",E86)+1,FIND("(",E86,2+FIND("vs",E86))-FIND("vs",E86)-3))</f>
        <v>AIT B</v>
      </c>
      <c r="G86" t="str">
        <f>TRIM(LEFT(E86,FIND("vs",E86)-1))</f>
        <v>Angel A</v>
      </c>
      <c r="H86" s="26" t="s">
        <v>67</v>
      </c>
      <c r="I86" s="26" t="s">
        <v>64</v>
      </c>
      <c r="J86" s="47" t="str">
        <f>TEXT(B86,"MMMM")</f>
        <v>February</v>
      </c>
      <c r="K86" s="48" t="str">
        <f>TEXT(B86,"dddd")</f>
        <v>Friday</v>
      </c>
      <c r="L86" s="49" t="str">
        <f>DAY(B86)&amp;LOOKUP(DAY(B86),{1,2,3,4,21,22,23,24,31;"st","nd","rd","th","st","nd","rd","th","st"})</f>
        <v>28th</v>
      </c>
      <c r="M86" s="48">
        <f>DAY(B86)</f>
        <v>28</v>
      </c>
      <c r="N86" s="48">
        <f>YEAR(B86)</f>
        <v>2020</v>
      </c>
      <c r="O86" s="50">
        <f>B86</f>
        <v>43889</v>
      </c>
      <c r="P86" s="49" t="str">
        <f>TRIM(D86)</f>
        <v>Mens A</v>
      </c>
      <c r="Q86" s="48" t="str">
        <f>IF(LEFT(F86,5)="Angel",G86,F86)</f>
        <v>AIT B</v>
      </c>
      <c r="R86" s="48" t="str">
        <f>H86</f>
        <v>Angel Centre</v>
      </c>
      <c r="S86" s="48" t="str">
        <f>SUBSTITUTE(I86,"pm","")</f>
        <v>8</v>
      </c>
      <c r="T86" s="46" t="str">
        <f>CONCATENATE("data.push([",CHAR(34),TRIM(J86),CHAR(34),", ",CHAR(34),TRIM(K86),CHAR(34),", ",CHAR(34),TRIM(L86),CHAR(34),", ",CHAR(34),TRIM(P86),CHAR(34),", ",CHAR(34),TRIM(Q86),CHAR(34),", ",CHAR(34),TRIM(R86),CHAR(34),", ",CHAR(34),TRIM(S86),CHAR(34),"]);")</f>
        <v>data.push(["February", "Friday", "28th", "Mens A", "AIT B", "Angel Centre", "8"]);</v>
      </c>
    </row>
    <row r="87" spans="1:20" ht="21.1" customHeight="1" x14ac:dyDescent="0.3">
      <c r="A87" s="26" t="s">
        <v>79</v>
      </c>
      <c r="B87" s="27">
        <v>43889</v>
      </c>
      <c r="C87" s="26" t="str">
        <f>TEXT(B87,"DDDD")</f>
        <v>Friday</v>
      </c>
      <c r="D87" s="26" t="s">
        <v>78</v>
      </c>
      <c r="E87" s="26" t="s">
        <v>186</v>
      </c>
      <c r="F87" t="str">
        <f>TRIM(MID(E87,2+FIND("vs",E87)+1,FIND("(",E87,2+FIND("vs",E87))-FIND("vs",E87)-3))</f>
        <v>Hildenborough D</v>
      </c>
      <c r="G87" t="str">
        <f>TRIM(LEFT(E87,FIND("vs",E87)-1))</f>
        <v>Angel C</v>
      </c>
      <c r="H87" s="26" t="s">
        <v>67</v>
      </c>
      <c r="I87" s="26" t="s">
        <v>64</v>
      </c>
      <c r="J87" s="47" t="str">
        <f>TEXT(B87,"MMMM")</f>
        <v>February</v>
      </c>
      <c r="K87" s="48" t="str">
        <f>TEXT(B87,"dddd")</f>
        <v>Friday</v>
      </c>
      <c r="L87" s="49" t="str">
        <f>DAY(B87)&amp;LOOKUP(DAY(B87),{1,2,3,4,21,22,23,24,31;"st","nd","rd","th","st","nd","rd","th","st"})</f>
        <v>28th</v>
      </c>
      <c r="M87" s="48">
        <f>DAY(B87)</f>
        <v>28</v>
      </c>
      <c r="N87" s="48">
        <f>YEAR(B87)</f>
        <v>2020</v>
      </c>
      <c r="O87" s="50">
        <f>B87</f>
        <v>43889</v>
      </c>
      <c r="P87" s="49" t="str">
        <f>TRIM(D87)</f>
        <v>Mens C</v>
      </c>
      <c r="Q87" s="48" t="str">
        <f>IF(LEFT(F87,5)="Angel",G87,F87)</f>
        <v>Hildenborough D</v>
      </c>
      <c r="R87" s="48" t="str">
        <f>H87</f>
        <v>Angel Centre</v>
      </c>
      <c r="S87" s="48" t="str">
        <f>SUBSTITUTE(I87,"pm","")</f>
        <v>8</v>
      </c>
      <c r="T87" s="46" t="str">
        <f>CONCATENATE("data.push([",CHAR(34),TRIM(J87),CHAR(34),", ",CHAR(34),TRIM(K87),CHAR(34),", ",CHAR(34),TRIM(L87),CHAR(34),", ",CHAR(34),TRIM(P87),CHAR(34),", ",CHAR(34),TRIM(Q87),CHAR(34),", ",CHAR(34),TRIM(R87),CHAR(34),", ",CHAR(34),TRIM(S87),CHAR(34),"]);")</f>
        <v>data.push(["February", "Friday", "28th", "Mens C", "Hildenborough D", "Angel Centre", "8"]);</v>
      </c>
    </row>
    <row r="88" spans="1:20" ht="21.1" customHeight="1" x14ac:dyDescent="0.3">
      <c r="A88" s="26" t="s">
        <v>105</v>
      </c>
      <c r="B88" s="27">
        <v>43894</v>
      </c>
      <c r="C88" s="26" t="str">
        <f>TEXT(B88,"DDDD")</f>
        <v>Wednesday</v>
      </c>
      <c r="D88" s="26" t="s">
        <v>104</v>
      </c>
      <c r="E88" s="26" t="s">
        <v>188</v>
      </c>
      <c r="F88" t="str">
        <f>TRIM(MID(E88,2+FIND("vs",E88)+1,FIND("(",E88,2+FIND("vs",E88))-FIND("vs",E88)-3))</f>
        <v>Hildenborough</v>
      </c>
      <c r="G88" t="str">
        <f>TRIM(LEFT(E88,FIND("vs",E88)-1))</f>
        <v>Angel</v>
      </c>
      <c r="H88" s="26" t="s">
        <v>67</v>
      </c>
      <c r="I88" s="26" t="s">
        <v>64</v>
      </c>
      <c r="J88" s="47" t="str">
        <f>TEXT(B88,"MMMM")</f>
        <v>March</v>
      </c>
      <c r="K88" s="48" t="str">
        <f>TEXT(B88,"dddd")</f>
        <v>Wednesday</v>
      </c>
      <c r="L88" s="49" t="str">
        <f>DAY(B88)&amp;LOOKUP(DAY(B88),{1,2,3,4,21,22,23,24,31;"st","nd","rd","th","st","nd","rd","th","st"})</f>
        <v>4th</v>
      </c>
      <c r="M88" s="48">
        <f>DAY(B88)</f>
        <v>4</v>
      </c>
      <c r="N88" s="48">
        <f>YEAR(B88)</f>
        <v>2020</v>
      </c>
      <c r="O88" s="50">
        <f>B88</f>
        <v>43894</v>
      </c>
      <c r="P88" s="49" t="str">
        <f>TRIM(D88)</f>
        <v>Ladies 6s</v>
      </c>
      <c r="Q88" s="48" t="str">
        <f>IF(LEFT(F88,5)="Angel",G88,F88)</f>
        <v>Hildenborough</v>
      </c>
      <c r="R88" s="48" t="str">
        <f>H88</f>
        <v>Angel Centre</v>
      </c>
      <c r="S88" s="48" t="str">
        <f>SUBSTITUTE(I88,"pm","")</f>
        <v>8</v>
      </c>
      <c r="T88" s="46" t="str">
        <f>CONCATENATE("data.push([",CHAR(34),TRIM(J88),CHAR(34),", ",CHAR(34),TRIM(K88),CHAR(34),", ",CHAR(34),TRIM(L88),CHAR(34),", ",CHAR(34),TRIM(P88),CHAR(34),", ",CHAR(34),TRIM(Q88),CHAR(34),", ",CHAR(34),TRIM(R88),CHAR(34),", ",CHAR(34),TRIM(S88),CHAR(34),"]);")</f>
        <v>data.push(["March", "Wednesday", "4th", "Ladies 6s", "Hildenborough", "Angel Centre", "8"]);</v>
      </c>
    </row>
    <row r="89" spans="1:20" ht="21.1" customHeight="1" x14ac:dyDescent="0.3">
      <c r="A89" s="26" t="s">
        <v>63</v>
      </c>
      <c r="B89" s="27">
        <v>43896</v>
      </c>
      <c r="C89" s="26" t="str">
        <f>TEXT(B89,"DDDD")</f>
        <v>Friday</v>
      </c>
      <c r="D89" s="26" t="s">
        <v>52</v>
      </c>
      <c r="E89" s="30" t="s">
        <v>60</v>
      </c>
      <c r="F89" t="str">
        <f>TRIM(MID(E89,2+FIND("vs",E89)+1,FIND("(",E89,2+FIND("vs",E89))-FIND("vs",E89)-3))</f>
        <v>St Johns B</v>
      </c>
      <c r="G89" t="str">
        <f>TRIM(LEFT(E89,FIND("vs",E89)-1))</f>
        <v>Angel A</v>
      </c>
      <c r="H89" s="26" t="s">
        <v>67</v>
      </c>
      <c r="I89" s="26" t="s">
        <v>64</v>
      </c>
      <c r="J89" s="47" t="str">
        <f>TEXT(B89,"MMMM")</f>
        <v>March</v>
      </c>
      <c r="K89" s="48" t="str">
        <f>TEXT(B89,"dddd")</f>
        <v>Friday</v>
      </c>
      <c r="L89" s="49" t="str">
        <f>DAY(B89)&amp;LOOKUP(DAY(B89),{1,2,3,4,21,22,23,24,31;"st","nd","rd","th","st","nd","rd","th","st"})</f>
        <v>6th</v>
      </c>
      <c r="M89" s="48">
        <f>DAY(B89)</f>
        <v>6</v>
      </c>
      <c r="N89" s="48">
        <f>YEAR(B89)</f>
        <v>2020</v>
      </c>
      <c r="O89" s="50">
        <f>B89</f>
        <v>43896</v>
      </c>
      <c r="P89" s="49" t="str">
        <f>TRIM(D89)</f>
        <v>Mens A</v>
      </c>
      <c r="Q89" s="48" t="str">
        <f>IF(LEFT(F89,5)="Angel",G89,F89)</f>
        <v>St Johns B</v>
      </c>
      <c r="R89" s="48" t="str">
        <f>H89</f>
        <v>Angel Centre</v>
      </c>
      <c r="S89" s="48" t="str">
        <f>SUBSTITUTE(I89,"pm","")</f>
        <v>8</v>
      </c>
      <c r="T89" s="46" t="str">
        <f>CONCATENATE("data.push([",CHAR(34),TRIM(J89),CHAR(34),", ",CHAR(34),TRIM(K89),CHAR(34),", ",CHAR(34),TRIM(L89),CHAR(34),", ",CHAR(34),TRIM(P89),CHAR(34),", ",CHAR(34),TRIM(Q89),CHAR(34),", ",CHAR(34),TRIM(R89),CHAR(34),", ",CHAR(34),TRIM(S89),CHAR(34),"]);")</f>
        <v>data.push(["March", "Friday", "6th", "Mens A", "St Johns B", "Angel Centre", "8"]);</v>
      </c>
    </row>
    <row r="90" spans="1:20" ht="21.1" customHeight="1" x14ac:dyDescent="0.3">
      <c r="A90" s="26" t="s">
        <v>105</v>
      </c>
      <c r="B90" s="27">
        <v>43896</v>
      </c>
      <c r="C90" s="26" t="str">
        <f>TEXT(B90,"DDDD")</f>
        <v>Friday</v>
      </c>
      <c r="D90" s="26" t="s">
        <v>104</v>
      </c>
      <c r="E90" s="26" t="s">
        <v>111</v>
      </c>
      <c r="F90" t="str">
        <f>TRIM(MID(E90,2+FIND("vs",E90)+1,FIND("(",E90,2+FIND("vs",E90))-FIND("vs",E90)-3))</f>
        <v>St Johns A</v>
      </c>
      <c r="G90" t="str">
        <f>TRIM(LEFT(E90,FIND("vs",E90)-1))</f>
        <v>Angel</v>
      </c>
      <c r="H90" s="26" t="s">
        <v>67</v>
      </c>
      <c r="I90" s="26" t="s">
        <v>64</v>
      </c>
      <c r="J90" s="47" t="str">
        <f>TEXT(B90,"MMMM")</f>
        <v>March</v>
      </c>
      <c r="K90" s="48" t="str">
        <f>TEXT(B90,"dddd")</f>
        <v>Friday</v>
      </c>
      <c r="L90" s="49" t="str">
        <f>DAY(B90)&amp;LOOKUP(DAY(B90),{1,2,3,4,21,22,23,24,31;"st","nd","rd","th","st","nd","rd","th","st"})</f>
        <v>6th</v>
      </c>
      <c r="M90" s="48">
        <f>DAY(B90)</f>
        <v>6</v>
      </c>
      <c r="N90" s="48">
        <f>YEAR(B90)</f>
        <v>2020</v>
      </c>
      <c r="O90" s="50">
        <f>B90</f>
        <v>43896</v>
      </c>
      <c r="P90" s="49" t="str">
        <f>TRIM(D90)</f>
        <v>Ladies 6s</v>
      </c>
      <c r="Q90" s="48" t="str">
        <f>IF(LEFT(F90,5)="Angel",G90,F90)</f>
        <v>St Johns A</v>
      </c>
      <c r="R90" s="48" t="str">
        <f>H90</f>
        <v>Angel Centre</v>
      </c>
      <c r="S90" s="48" t="str">
        <f>SUBSTITUTE(I90,"pm","")</f>
        <v>8</v>
      </c>
      <c r="T90" s="46" t="str">
        <f>CONCATENATE("data.push([",CHAR(34),TRIM(J90),CHAR(34),", ",CHAR(34),TRIM(K90),CHAR(34),", ",CHAR(34),TRIM(L90),CHAR(34),", ",CHAR(34),TRIM(P90),CHAR(34),", ",CHAR(34),TRIM(Q90),CHAR(34),", ",CHAR(34),TRIM(R90),CHAR(34),", ",CHAR(34),TRIM(S90),CHAR(34),"]);")</f>
        <v>data.push(["March", "Friday", "6th", "Ladies 6s", "St Johns A", "Angel Centre", "8"]);</v>
      </c>
    </row>
    <row r="91" spans="1:20" ht="21.1" customHeight="1" x14ac:dyDescent="0.3">
      <c r="A91" s="26" t="s">
        <v>153</v>
      </c>
      <c r="B91" s="27">
        <v>43899</v>
      </c>
      <c r="C91" s="26" t="str">
        <f>TEXT(B91,"DDDD")</f>
        <v>Monday</v>
      </c>
      <c r="D91" s="26" t="s">
        <v>152</v>
      </c>
      <c r="E91" s="26" t="s">
        <v>203</v>
      </c>
      <c r="F91" t="str">
        <f>TRIM(MID(E91,2+FIND("vs",E91)+1,FIND("(",E91,2+FIND("vs",E91))-FIND("vs",E91)-3))</f>
        <v>Angel</v>
      </c>
      <c r="G91" t="str">
        <f>TRIM(LEFT(E91,FIND("vs",E91)-1))</f>
        <v>Paddock Wood</v>
      </c>
      <c r="H91" s="29" t="s">
        <v>205</v>
      </c>
      <c r="I91" s="26" t="s">
        <v>64</v>
      </c>
      <c r="J91" s="47" t="str">
        <f>TEXT(B91,"MMMM")</f>
        <v>March</v>
      </c>
      <c r="K91" s="48" t="str">
        <f>TEXT(B91,"dddd")</f>
        <v>Monday</v>
      </c>
      <c r="L91" s="49" t="str">
        <f>DAY(B91)&amp;LOOKUP(DAY(B91),{1,2,3,4,21,22,23,24,31;"st","nd","rd","th","st","nd","rd","th","st"})</f>
        <v>9th</v>
      </c>
      <c r="M91" s="48">
        <f>DAY(B91)</f>
        <v>9</v>
      </c>
      <c r="N91" s="48">
        <f>YEAR(B91)</f>
        <v>2020</v>
      </c>
      <c r="O91" s="50">
        <f>B91</f>
        <v>43899</v>
      </c>
      <c r="P91" s="49" t="str">
        <f>TRIM(D91)</f>
        <v>Mens 4s</v>
      </c>
      <c r="Q91" s="48" t="str">
        <f>IF(LEFT(F91,5)="Angel",G91,F91)</f>
        <v>Paddock Wood</v>
      </c>
      <c r="R91" s="48" t="str">
        <f>H91</f>
        <v>Putlands Sports &amp; Leisure Centre TN12 6NZ</v>
      </c>
      <c r="S91" s="48" t="str">
        <f>SUBSTITUTE(I91,"pm","")</f>
        <v>8</v>
      </c>
      <c r="T91" s="46" t="str">
        <f>CONCATENATE("data.push([",CHAR(34),TRIM(J91),CHAR(34),", ",CHAR(34),TRIM(K91),CHAR(34),", ",CHAR(34),TRIM(L91),CHAR(34),", ",CHAR(34),TRIM(P91),CHAR(34),", ",CHAR(34),TRIM(Q91),CHAR(34),", ",CHAR(34),TRIM(R91),CHAR(34),", ",CHAR(34),TRIM(S91),CHAR(34),"]);")</f>
        <v>data.push(["March", "Monday", "9th", "Mens 4s", "Paddock Wood", "Putlands Sports &amp; Leisure Centre TN12 6NZ", "8"]);</v>
      </c>
    </row>
    <row r="92" spans="1:20" ht="21.1" customHeight="1" x14ac:dyDescent="0.3">
      <c r="A92" s="26" t="s">
        <v>115</v>
      </c>
      <c r="B92" s="27">
        <v>43903</v>
      </c>
      <c r="C92" s="26" t="str">
        <f>TEXT(B92,"DDDD")</f>
        <v>Friday</v>
      </c>
      <c r="D92" s="26" t="s">
        <v>116</v>
      </c>
      <c r="E92" s="30" t="s">
        <v>122</v>
      </c>
      <c r="F92" t="str">
        <f>TRIM(MID(E92,2+FIND("vs",E92)+1,FIND("(",E92,2+FIND("vs",E92))-FIND("vs",E92)-3))</f>
        <v>Trident D</v>
      </c>
      <c r="G92" t="str">
        <f>TRIM(LEFT(E92,FIND("vs",E92)-1))</f>
        <v>Angel A</v>
      </c>
      <c r="H92" s="26" t="s">
        <v>67</v>
      </c>
      <c r="I92" s="26" t="s">
        <v>64</v>
      </c>
      <c r="J92" s="47" t="str">
        <f>TEXT(B92,"MMMM")</f>
        <v>March</v>
      </c>
      <c r="K92" s="48" t="str">
        <f>TEXT(B92,"dddd")</f>
        <v>Friday</v>
      </c>
      <c r="L92" s="49" t="str">
        <f>DAY(B92)&amp;LOOKUP(DAY(B92),{1,2,3,4,21,22,23,24,31;"st","nd","rd","th","st","nd","rd","th","st"})</f>
        <v>13th</v>
      </c>
      <c r="M92" s="48">
        <f>DAY(B92)</f>
        <v>13</v>
      </c>
      <c r="N92" s="48">
        <f>YEAR(B92)</f>
        <v>2020</v>
      </c>
      <c r="O92" s="50">
        <f>B92</f>
        <v>43903</v>
      </c>
      <c r="P92" s="49" t="str">
        <f>TRIM(D92)</f>
        <v>Mixed A</v>
      </c>
      <c r="Q92" s="48" t="str">
        <f>IF(LEFT(F92,5)="Angel",G92,F92)</f>
        <v>Trident D</v>
      </c>
      <c r="R92" s="48" t="str">
        <f>H92</f>
        <v>Angel Centre</v>
      </c>
      <c r="S92" s="48" t="str">
        <f>SUBSTITUTE(I92,"pm","")</f>
        <v>8</v>
      </c>
      <c r="T92" s="46" t="str">
        <f>CONCATENATE("data.push([",CHAR(34),TRIM(J92),CHAR(34),", ",CHAR(34),TRIM(K92),CHAR(34),", ",CHAR(34),TRIM(L92),CHAR(34),", ",CHAR(34),TRIM(P92),CHAR(34),", ",CHAR(34),TRIM(Q92),CHAR(34),", ",CHAR(34),TRIM(R92),CHAR(34),", ",CHAR(34),TRIM(S92),CHAR(34),"]);")</f>
        <v>data.push(["March", "Friday", "13th", "Mixed A", "Trident D", "Angel Centre", "8"]);</v>
      </c>
    </row>
    <row r="93" spans="1:20" ht="21.1" customHeight="1" x14ac:dyDescent="0.3">
      <c r="A93" s="26" t="s">
        <v>144</v>
      </c>
      <c r="B93" s="27">
        <v>43903</v>
      </c>
      <c r="C93" s="26" t="str">
        <f>TEXT(B93,"DDDD")</f>
        <v>Friday</v>
      </c>
      <c r="D93" s="26" t="s">
        <v>143</v>
      </c>
      <c r="E93" s="26" t="s">
        <v>151</v>
      </c>
      <c r="F93" t="str">
        <f>TRIM(MID(E93,2+FIND("vs",E93)+1,FIND("(",E93,2+FIND("vs",E93))-FIND("vs",E93)-3))</f>
        <v>Angel B</v>
      </c>
      <c r="G93" t="str">
        <f>TRIM(LEFT(E93,FIND("vs",E93)-1))</f>
        <v>Langton Green</v>
      </c>
      <c r="H93" s="29" t="s">
        <v>158</v>
      </c>
      <c r="I93" s="26" t="s">
        <v>65</v>
      </c>
      <c r="J93" s="47" t="str">
        <f>TEXT(B93,"MMMM")</f>
        <v>March</v>
      </c>
      <c r="K93" s="48" t="str">
        <f>TEXT(B93,"dddd")</f>
        <v>Friday</v>
      </c>
      <c r="L93" s="49" t="str">
        <f>DAY(B93)&amp;LOOKUP(DAY(B93),{1,2,3,4,21,22,23,24,31;"st","nd","rd","th","st","nd","rd","th","st"})</f>
        <v>13th</v>
      </c>
      <c r="M93" s="48">
        <f>DAY(B93)</f>
        <v>13</v>
      </c>
      <c r="N93" s="48">
        <f>YEAR(B93)</f>
        <v>2020</v>
      </c>
      <c r="O93" s="50">
        <f>B93</f>
        <v>43903</v>
      </c>
      <c r="P93" s="49" t="str">
        <f>TRIM(D93)</f>
        <v>Masters B</v>
      </c>
      <c r="Q93" s="48" t="str">
        <f>IF(LEFT(F93,5)="Angel",G93,F93)</f>
        <v>Langton Green</v>
      </c>
      <c r="R93" s="48" t="str">
        <f>H93</f>
        <v>The Village Hall Recreation Ground TN3 0JJ</v>
      </c>
      <c r="S93" s="48" t="str">
        <f>SUBSTITUTE(I93,"pm","")</f>
        <v>7.30</v>
      </c>
      <c r="T93" s="46" t="str">
        <f>CONCATENATE("data.push([",CHAR(34),TRIM(J93),CHAR(34),", ",CHAR(34),TRIM(K93),CHAR(34),", ",CHAR(34),TRIM(L93),CHAR(34),", ",CHAR(34),TRIM(P93),CHAR(34),", ",CHAR(34),TRIM(Q93),CHAR(34),", ",CHAR(34),TRIM(R93),CHAR(34),", ",CHAR(34),TRIM(S93),CHAR(34),"]);")</f>
        <v>data.push(["March", "Friday", "13th", "Masters B", "Langton Green", "The Village Hall Recreation Ground TN3 0JJ", "7.30"]);</v>
      </c>
    </row>
    <row r="94" spans="1:20" ht="21.1" customHeight="1" x14ac:dyDescent="0.3">
      <c r="A94" s="26" t="s">
        <v>124</v>
      </c>
      <c r="B94" s="27">
        <v>43910</v>
      </c>
      <c r="C94" s="26" t="str">
        <f>TEXT(B94,"DDDD")</f>
        <v>Friday</v>
      </c>
      <c r="D94" s="26" t="s">
        <v>123</v>
      </c>
      <c r="E94" s="30" t="s">
        <v>126</v>
      </c>
      <c r="F94" t="str">
        <f>TRIM(MID(E94,2+FIND("vs",E94)+1,FIND("(",E94,2+FIND("vs",E94))-FIND("vs",E94)-3))</f>
        <v>Angel B</v>
      </c>
      <c r="G94" t="str">
        <f>TRIM(LEFT(E94,FIND("vs",E94)-1))</f>
        <v>St Johns E</v>
      </c>
      <c r="H94" s="29" t="s">
        <v>160</v>
      </c>
      <c r="I94" s="26" t="s">
        <v>65</v>
      </c>
      <c r="J94" s="47" t="str">
        <f>TEXT(B94,"MMMM")</f>
        <v>March</v>
      </c>
      <c r="K94" s="48" t="str">
        <f>TEXT(B94,"dddd")</f>
        <v>Friday</v>
      </c>
      <c r="L94" s="49" t="str">
        <f>DAY(B94)&amp;LOOKUP(DAY(B94),{1,2,3,4,21,22,23,24,31;"st","nd","rd","th","st","nd","rd","th","st"})</f>
        <v>20th</v>
      </c>
      <c r="M94" s="48">
        <f>DAY(B94)</f>
        <v>20</v>
      </c>
      <c r="N94" s="48">
        <f>YEAR(B94)</f>
        <v>2020</v>
      </c>
      <c r="O94" s="50">
        <f>B94</f>
        <v>43910</v>
      </c>
      <c r="P94" s="49" t="str">
        <f>TRIM(D94)</f>
        <v>Mixed B</v>
      </c>
      <c r="Q94" s="48" t="str">
        <f>IF(LEFT(F94,5)="Angel",G94,F94)</f>
        <v>St Johns E</v>
      </c>
      <c r="R94" s="48" t="str">
        <f>H94</f>
        <v xml:space="preserve">Tunbridge Wells Sports Centre TN4 9TX   </v>
      </c>
      <c r="S94" s="48" t="str">
        <f>SUBSTITUTE(I94,"pm","")</f>
        <v>7.30</v>
      </c>
      <c r="T94" s="46" t="str">
        <f>CONCATENATE("data.push([",CHAR(34),TRIM(J94),CHAR(34),", ",CHAR(34),TRIM(K94),CHAR(34),", ",CHAR(34),TRIM(L94),CHAR(34),", ",CHAR(34),TRIM(P94),CHAR(34),", ",CHAR(34),TRIM(Q94),CHAR(34),", ",CHAR(34),TRIM(R94),CHAR(34),", ",CHAR(34),TRIM(S94),CHAR(34),"]);")</f>
        <v>data.push(["March", "Friday", "20th", "Mixed B", "St Johns E", "Tunbridge Wells Sports Centre TN4 9TX", "7.30"]);</v>
      </c>
    </row>
    <row r="95" spans="1:20" ht="21.1" customHeight="1" x14ac:dyDescent="0.3">
      <c r="A95" s="26" t="s">
        <v>79</v>
      </c>
      <c r="B95" s="27">
        <v>43910</v>
      </c>
      <c r="C95" s="26" t="str">
        <f>TEXT(B95,"DDDD")</f>
        <v>Friday</v>
      </c>
      <c r="D95" s="26" t="s">
        <v>78</v>
      </c>
      <c r="E95" s="26" t="s">
        <v>87</v>
      </c>
      <c r="F95" t="str">
        <f>TRIM(MID(E95,2+FIND("vs",E95)+1,FIND("(",E95,2+FIND("vs",E95))-FIND("vs",E95)-3))</f>
        <v>AIT D</v>
      </c>
      <c r="G95" t="str">
        <f>TRIM(LEFT(E95,FIND("vs",E95)-1))</f>
        <v>Angel C</v>
      </c>
      <c r="H95" s="26" t="s">
        <v>67</v>
      </c>
      <c r="I95" s="26" t="s">
        <v>64</v>
      </c>
      <c r="J95" s="47" t="str">
        <f>TEXT(B95,"MMMM")</f>
        <v>March</v>
      </c>
      <c r="K95" s="48" t="str">
        <f>TEXT(B95,"dddd")</f>
        <v>Friday</v>
      </c>
      <c r="L95" s="49" t="str">
        <f>DAY(B95)&amp;LOOKUP(DAY(B95),{1,2,3,4,21,22,23,24,31;"st","nd","rd","th","st","nd","rd","th","st"})</f>
        <v>20th</v>
      </c>
      <c r="M95" s="48">
        <f>DAY(B95)</f>
        <v>20</v>
      </c>
      <c r="N95" s="48">
        <f>YEAR(B95)</f>
        <v>2020</v>
      </c>
      <c r="O95" s="50">
        <f>B95</f>
        <v>43910</v>
      </c>
      <c r="P95" s="49" t="str">
        <f>TRIM(D95)</f>
        <v>Mens C</v>
      </c>
      <c r="Q95" s="48" t="str">
        <f>IF(LEFT(F95,5)="Angel",G95,F95)</f>
        <v>AIT D</v>
      </c>
      <c r="R95" s="48" t="str">
        <f>H95</f>
        <v>Angel Centre</v>
      </c>
      <c r="S95" s="48" t="str">
        <f>SUBSTITUTE(I95,"pm","")</f>
        <v>8</v>
      </c>
      <c r="T95" s="46" t="str">
        <f>CONCATENATE("data.push([",CHAR(34),TRIM(J95),CHAR(34),", ",CHAR(34),TRIM(K95),CHAR(34),", ",CHAR(34),TRIM(L95),CHAR(34),", ",CHAR(34),TRIM(P95),CHAR(34),", ",CHAR(34),TRIM(Q95),CHAR(34),", ",CHAR(34),TRIM(R95),CHAR(34),", ",CHAR(34),TRIM(S95),CHAR(34),"]);")</f>
        <v>data.push(["March", "Friday", "20th", "Mens C", "AIT D", "Angel Centre", "8"]);</v>
      </c>
    </row>
    <row r="96" spans="1:20" ht="21.1" customHeight="1" x14ac:dyDescent="0.3">
      <c r="A96" s="26" t="s">
        <v>90</v>
      </c>
      <c r="B96" s="27">
        <v>43910</v>
      </c>
      <c r="C96" s="26" t="str">
        <f>TEXT(B96,"DDDD")</f>
        <v>Friday</v>
      </c>
      <c r="D96" s="26" t="s">
        <v>89</v>
      </c>
      <c r="E96" s="26" t="s">
        <v>101</v>
      </c>
      <c r="F96" t="str">
        <f>TRIM(MID(E96,2+FIND("vs",E96)+1,FIND("(",E96,2+FIND("vs",E96))-FIND("vs",E96)-3))</f>
        <v>Langton Green</v>
      </c>
      <c r="G96" t="str">
        <f>TRIM(LEFT(E96,FIND("vs",E96)-1))</f>
        <v>Angel</v>
      </c>
      <c r="H96" s="26" t="s">
        <v>67</v>
      </c>
      <c r="I96" s="26" t="s">
        <v>64</v>
      </c>
      <c r="J96" s="47" t="str">
        <f>TEXT(B96,"MMMM")</f>
        <v>March</v>
      </c>
      <c r="K96" s="48" t="str">
        <f>TEXT(B96,"dddd")</f>
        <v>Friday</v>
      </c>
      <c r="L96" s="49" t="str">
        <f>DAY(B96)&amp;LOOKUP(DAY(B96),{1,2,3,4,21,22,23,24,31;"st","nd","rd","th","st","nd","rd","th","st"})</f>
        <v>20th</v>
      </c>
      <c r="M96" s="48">
        <f>DAY(B96)</f>
        <v>20</v>
      </c>
      <c r="N96" s="48">
        <f>YEAR(B96)</f>
        <v>2020</v>
      </c>
      <c r="O96" s="50">
        <f>B96</f>
        <v>43910</v>
      </c>
      <c r="P96" s="49" t="str">
        <f>TRIM(D96)</f>
        <v>Ladies 4s</v>
      </c>
      <c r="Q96" s="48" t="str">
        <f>IF(LEFT(F96,5)="Angel",G96,F96)</f>
        <v>Langton Green</v>
      </c>
      <c r="R96" s="48" t="str">
        <f>H96</f>
        <v>Angel Centre</v>
      </c>
      <c r="S96" s="48" t="str">
        <f>SUBSTITUTE(I96,"pm","")</f>
        <v>8</v>
      </c>
      <c r="T96" s="46" t="str">
        <f>CONCATENATE("data.push([",CHAR(34),TRIM(J96),CHAR(34),", ",CHAR(34),TRIM(K96),CHAR(34),", ",CHAR(34),TRIM(L96),CHAR(34),", ",CHAR(34),TRIM(P96),CHAR(34),", ",CHAR(34),TRIM(Q96),CHAR(34),", ",CHAR(34),TRIM(R96),CHAR(34),", ",CHAR(34),TRIM(S96),CHAR(34),"]);")</f>
        <v>data.push(["March", "Friday", "20th", "Ladies 4s", "Langton Green", "Angel Centre", "8"]);</v>
      </c>
    </row>
    <row r="97" spans="1:20" ht="21.1" customHeight="1" x14ac:dyDescent="0.3">
      <c r="A97" s="26" t="s">
        <v>105</v>
      </c>
      <c r="B97" s="27">
        <v>43915</v>
      </c>
      <c r="C97" s="26" t="str">
        <f>TEXT(B97,"DDDD")</f>
        <v>Wednesday</v>
      </c>
      <c r="D97" s="26" t="s">
        <v>104</v>
      </c>
      <c r="E97" s="30" t="s">
        <v>164</v>
      </c>
      <c r="F97" t="str">
        <f>TRIM(MID(E97,2+FIND("vs",E97)+1,FIND("(",E97,2+FIND("vs",E97))-FIND("vs",E97)-3))</f>
        <v>St johns B</v>
      </c>
      <c r="G97" t="str">
        <f>TRIM(LEFT(E97,FIND("vs",E97)-1))</f>
        <v>Angel</v>
      </c>
      <c r="H97" s="29" t="s">
        <v>67</v>
      </c>
      <c r="I97" s="26" t="s">
        <v>64</v>
      </c>
      <c r="J97" s="47" t="str">
        <f>TEXT(B97,"MMMM")</f>
        <v>March</v>
      </c>
      <c r="K97" s="48" t="str">
        <f>TEXT(B97,"dddd")</f>
        <v>Wednesday</v>
      </c>
      <c r="L97" s="49" t="str">
        <f>DAY(B97)&amp;LOOKUP(DAY(B97),{1,2,3,4,21,22,23,24,31;"st","nd","rd","th","st","nd","rd","th","st"})</f>
        <v>25th</v>
      </c>
      <c r="M97" s="48">
        <f>DAY(B97)</f>
        <v>25</v>
      </c>
      <c r="N97" s="48">
        <f>YEAR(B97)</f>
        <v>2020</v>
      </c>
      <c r="O97" s="50">
        <f>B97</f>
        <v>43915</v>
      </c>
      <c r="P97" s="49" t="str">
        <f>TRIM(D97)</f>
        <v>Ladies 6s</v>
      </c>
      <c r="Q97" s="48" t="str">
        <f>IF(LEFT(F97,5)="Angel",G97,F97)</f>
        <v>St johns B</v>
      </c>
      <c r="R97" s="48" t="str">
        <f>H97</f>
        <v>Angel Centre</v>
      </c>
      <c r="S97" s="48" t="str">
        <f>SUBSTITUTE(I97,"pm","")</f>
        <v>8</v>
      </c>
      <c r="T97" s="46" t="str">
        <f>CONCATENATE("data.push([",CHAR(34),TRIM(J97),CHAR(34),", ",CHAR(34),TRIM(K97),CHAR(34),", ",CHAR(34),TRIM(L97),CHAR(34),", ",CHAR(34),TRIM(P97),CHAR(34),", ",CHAR(34),TRIM(Q97),CHAR(34),", ",CHAR(34),TRIM(R97),CHAR(34),", ",CHAR(34),TRIM(S97),CHAR(34),"]);")</f>
        <v>data.push(["March", "Wednesday", "25th", "Ladies 6s", "St johns B", "Angel Centre", "8"]);</v>
      </c>
    </row>
    <row r="98" spans="1:20" ht="21.1" customHeight="1" x14ac:dyDescent="0.3">
      <c r="A98" s="26" t="s">
        <v>77</v>
      </c>
      <c r="B98" s="27">
        <v>43917</v>
      </c>
      <c r="C98" s="26" t="str">
        <f>TEXT(B98,"DDDD")</f>
        <v>Friday</v>
      </c>
      <c r="D98" s="26" t="s">
        <v>68</v>
      </c>
      <c r="E98" s="30" t="s">
        <v>76</v>
      </c>
      <c r="F98" t="str">
        <f>TRIM(MID(E98,2+FIND("vs",E98)+1,FIND("(",E98,2+FIND("vs",E98))-FIND("vs",E98)-3))</f>
        <v>St Johns C</v>
      </c>
      <c r="G98" t="str">
        <f>TRIM(LEFT(E98,FIND("vs",E98)-1))</f>
        <v>Angel B</v>
      </c>
      <c r="H98" s="26" t="s">
        <v>67</v>
      </c>
      <c r="I98" s="26" t="s">
        <v>64</v>
      </c>
      <c r="J98" s="47" t="str">
        <f>TEXT(B98,"MMMM")</f>
        <v>March</v>
      </c>
      <c r="K98" s="48" t="str">
        <f>TEXT(B98,"dddd")</f>
        <v>Friday</v>
      </c>
      <c r="L98" s="49" t="str">
        <f>DAY(B98)&amp;LOOKUP(DAY(B98),{1,2,3,4,21,22,23,24,31;"st","nd","rd","th","st","nd","rd","th","st"})</f>
        <v>27th</v>
      </c>
      <c r="M98" s="48">
        <f>DAY(B98)</f>
        <v>27</v>
      </c>
      <c r="N98" s="48">
        <f>YEAR(B98)</f>
        <v>2020</v>
      </c>
      <c r="O98" s="50">
        <f>B98</f>
        <v>43917</v>
      </c>
      <c r="P98" s="49" t="str">
        <f>TRIM(D98)</f>
        <v>Mens B</v>
      </c>
      <c r="Q98" s="48" t="str">
        <f>IF(LEFT(F98,5)="Angel",G98,F98)</f>
        <v>St Johns C</v>
      </c>
      <c r="R98" s="48" t="str">
        <f>H98</f>
        <v>Angel Centre</v>
      </c>
      <c r="S98" s="48" t="str">
        <f>SUBSTITUTE(I98,"pm","")</f>
        <v>8</v>
      </c>
      <c r="T98" s="46" t="str">
        <f>CONCATENATE("data.push([",CHAR(34),TRIM(J98),CHAR(34),", ",CHAR(34),TRIM(K98),CHAR(34),", ",CHAR(34),TRIM(L98),CHAR(34),", ",CHAR(34),TRIM(P98),CHAR(34),", ",CHAR(34),TRIM(Q98),CHAR(34),", ",CHAR(34),TRIM(R98),CHAR(34),", ",CHAR(34),TRIM(S98),CHAR(34),"]);")</f>
        <v>data.push(["March", "Friday", "27th", "Mens B", "St Johns C", "Angel Centre", "8"]);</v>
      </c>
    </row>
    <row r="99" spans="1:20" ht="21.1" customHeight="1" x14ac:dyDescent="0.3">
      <c r="A99" s="26" t="s">
        <v>105</v>
      </c>
      <c r="B99" s="27">
        <v>43917</v>
      </c>
      <c r="C99" s="26" t="str">
        <f>TEXT(B99,"DDDD")</f>
        <v>Friday</v>
      </c>
      <c r="D99" s="26" t="s">
        <v>104</v>
      </c>
      <c r="E99" s="26" t="s">
        <v>112</v>
      </c>
      <c r="F99" t="str">
        <f>TRIM(MID(E99,2+FIND("vs",E99)+1,FIND("(",E99,2+FIND("vs",E99))-FIND("vs",E99)-3))</f>
        <v>Trident B</v>
      </c>
      <c r="G99" t="str">
        <f>TRIM(LEFT(E99,FIND("vs",E99)-1))</f>
        <v>Angel</v>
      </c>
      <c r="H99" s="26" t="s">
        <v>67</v>
      </c>
      <c r="I99" s="26" t="s">
        <v>64</v>
      </c>
      <c r="J99" s="47" t="str">
        <f>TEXT(B99,"MMMM")</f>
        <v>March</v>
      </c>
      <c r="K99" s="48" t="str">
        <f>TEXT(B99,"dddd")</f>
        <v>Friday</v>
      </c>
      <c r="L99" s="49" t="str">
        <f>DAY(B99)&amp;LOOKUP(DAY(B99),{1,2,3,4,21,22,23,24,31;"st","nd","rd","th","st","nd","rd","th","st"})</f>
        <v>27th</v>
      </c>
      <c r="M99" s="48">
        <f>DAY(B99)</f>
        <v>27</v>
      </c>
      <c r="N99" s="48">
        <f>YEAR(B99)</f>
        <v>2020</v>
      </c>
      <c r="O99" s="50">
        <f>B99</f>
        <v>43917</v>
      </c>
      <c r="P99" s="49" t="str">
        <f>TRIM(D99)</f>
        <v>Ladies 6s</v>
      </c>
      <c r="Q99" s="48" t="str">
        <f>IF(LEFT(F99,5)="Angel",G99,F99)</f>
        <v>Trident B</v>
      </c>
      <c r="R99" s="48" t="str">
        <f>H99</f>
        <v>Angel Centre</v>
      </c>
      <c r="S99" s="48" t="str">
        <f>SUBSTITUTE(I99,"pm","")</f>
        <v>8</v>
      </c>
      <c r="T99" s="46" t="str">
        <f>CONCATENATE("data.push([",CHAR(34),TRIM(J99),CHAR(34),", ",CHAR(34),TRIM(K99),CHAR(34),", ",CHAR(34),TRIM(L99),CHAR(34),", ",CHAR(34),TRIM(P99),CHAR(34),", ",CHAR(34),TRIM(Q99),CHAR(34),", ",CHAR(34),TRIM(R99),CHAR(34),", ",CHAR(34),TRIM(S99),CHAR(34),"]);")</f>
        <v>data.push(["March", "Friday", "27th", "Ladies 6s", "Trident B", "Angel Centre", "8"]);</v>
      </c>
    </row>
    <row r="100" spans="1:20" ht="21.1" customHeight="1" x14ac:dyDescent="0.3">
      <c r="A100" s="26" t="s">
        <v>130</v>
      </c>
      <c r="B100" s="27">
        <v>43917</v>
      </c>
      <c r="C100" s="26" t="str">
        <f>TEXT(B100,"DDDD")</f>
        <v>Friday</v>
      </c>
      <c r="D100" s="26" t="s">
        <v>129</v>
      </c>
      <c r="E100" s="26" t="s">
        <v>134</v>
      </c>
      <c r="F100" t="str">
        <f>TRIM(MID(E100,2+FIND("vs",E100)+1,FIND("(",E100,2+FIND("vs",E100))-FIND("vs",E100)-3))</f>
        <v>Langton Green</v>
      </c>
      <c r="G100" t="str">
        <f>TRIM(LEFT(E100,FIND("vs",E100)-1))</f>
        <v>Angel C</v>
      </c>
      <c r="H100" s="26" t="s">
        <v>67</v>
      </c>
      <c r="I100" s="26" t="s">
        <v>64</v>
      </c>
      <c r="J100" s="47" t="str">
        <f>TEXT(B100,"MMMM")</f>
        <v>March</v>
      </c>
      <c r="K100" s="48" t="str">
        <f>TEXT(B100,"dddd")</f>
        <v>Friday</v>
      </c>
      <c r="L100" s="49" t="str">
        <f>DAY(B100)&amp;LOOKUP(DAY(B100),{1,2,3,4,21,22,23,24,31;"st","nd","rd","th","st","nd","rd","th","st"})</f>
        <v>27th</v>
      </c>
      <c r="M100" s="48">
        <f>DAY(B100)</f>
        <v>27</v>
      </c>
      <c r="N100" s="48">
        <f>YEAR(B100)</f>
        <v>2020</v>
      </c>
      <c r="O100" s="50">
        <f>B100</f>
        <v>43917</v>
      </c>
      <c r="P100" s="49" t="str">
        <f>TRIM(D100)</f>
        <v>Mixed C</v>
      </c>
      <c r="Q100" s="48" t="str">
        <f>IF(LEFT(F100,5)="Angel",G100,F100)</f>
        <v>Langton Green</v>
      </c>
      <c r="R100" s="48" t="str">
        <f>H100</f>
        <v>Angel Centre</v>
      </c>
      <c r="S100" s="48" t="str">
        <f>SUBSTITUTE(I100,"pm","")</f>
        <v>8</v>
      </c>
      <c r="T100" s="46" t="str">
        <f>CONCATENATE("data.push([",CHAR(34),TRIM(J100),CHAR(34),", ",CHAR(34),TRIM(K100),CHAR(34),", ",CHAR(34),TRIM(L100),CHAR(34),", ",CHAR(34),TRIM(P100),CHAR(34),", ",CHAR(34),TRIM(Q100),CHAR(34),", ",CHAR(34),TRIM(R100),CHAR(34),", ",CHAR(34),TRIM(S100),CHAR(34),"]);")</f>
        <v>data.push(["March", "Friday", "27th", "Mixed C", "Langton Green", "Angel Centre", "8"]);</v>
      </c>
    </row>
    <row r="101" spans="1:20" ht="21.1" customHeight="1" x14ac:dyDescent="0.3">
      <c r="A101" s="26" t="s">
        <v>90</v>
      </c>
      <c r="B101" s="27">
        <v>43938</v>
      </c>
      <c r="C101" s="26" t="str">
        <f>TEXT(B101,"DDDD")</f>
        <v>Friday</v>
      </c>
      <c r="D101" s="26" t="s">
        <v>89</v>
      </c>
      <c r="E101" s="30" t="s">
        <v>100</v>
      </c>
      <c r="F101" t="str">
        <f>TRIM(MID(E101,2+FIND("vs",E101)+1,FIND("(",E101,2+FIND("vs",E101))-FIND("vs",E101)-3))</f>
        <v>Sevenoaks</v>
      </c>
      <c r="G101" t="str">
        <f>TRIM(LEFT(E101,FIND("vs",E101)-1))</f>
        <v>Angel</v>
      </c>
      <c r="H101" s="26" t="s">
        <v>67</v>
      </c>
      <c r="I101" s="26" t="s">
        <v>64</v>
      </c>
      <c r="J101" s="47" t="str">
        <f>TEXT(B101,"MMMM")</f>
        <v>April</v>
      </c>
      <c r="K101" s="48" t="str">
        <f>TEXT(B101,"dddd")</f>
        <v>Friday</v>
      </c>
      <c r="L101" s="49" t="str">
        <f>DAY(B101)&amp;LOOKUP(DAY(B101),{1,2,3,4,21,22,23,24,31;"st","nd","rd","th","st","nd","rd","th","st"})</f>
        <v>17th</v>
      </c>
      <c r="M101" s="48">
        <f>DAY(B101)</f>
        <v>17</v>
      </c>
      <c r="N101" s="48">
        <f>YEAR(B101)</f>
        <v>2020</v>
      </c>
      <c r="O101" s="50">
        <f>B101</f>
        <v>43938</v>
      </c>
      <c r="P101" s="49" t="str">
        <f>TRIM(D101)</f>
        <v>Ladies 4s</v>
      </c>
      <c r="Q101" s="48" t="str">
        <f>IF(LEFT(F101,5)="Angel",G101,F101)</f>
        <v>Sevenoaks</v>
      </c>
      <c r="R101" s="48" t="str">
        <f>H101</f>
        <v>Angel Centre</v>
      </c>
      <c r="S101" s="48" t="str">
        <f>SUBSTITUTE(I101,"pm","")</f>
        <v>8</v>
      </c>
      <c r="T101" s="46" t="str">
        <f>CONCATENATE("data.push([",CHAR(34),TRIM(J101),CHAR(34),", ",CHAR(34),TRIM(K101),CHAR(34),", ",CHAR(34),TRIM(L101),CHAR(34),", ",CHAR(34),TRIM(P101),CHAR(34),", ",CHAR(34),TRIM(Q101),CHAR(34),", ",CHAR(34),TRIM(R101),CHAR(34),", ",CHAR(34),TRIM(S101),CHAR(34),"]);")</f>
        <v>data.push(["April", "Friday", "17th", "Ladies 4s", "Sevenoaks", "Angel Centre", "8"]);</v>
      </c>
    </row>
    <row r="102" spans="1:20" ht="21.1" customHeight="1" x14ac:dyDescent="0.3">
      <c r="A102" s="26" t="s">
        <v>124</v>
      </c>
      <c r="B102" s="27">
        <v>43938</v>
      </c>
      <c r="C102" s="26" t="str">
        <f>TEXT(B102,"DDDD")</f>
        <v>Friday</v>
      </c>
      <c r="D102" s="26" t="s">
        <v>123</v>
      </c>
      <c r="E102" s="30" t="s">
        <v>127</v>
      </c>
      <c r="F102" t="str">
        <f>TRIM(MID(E102,2+FIND("vs",E102)+1,FIND("(",E102,2+FIND("vs",E102))-FIND("vs",E102)-3))</f>
        <v>Trident E</v>
      </c>
      <c r="G102" t="str">
        <f>TRIM(LEFT(E102,FIND("vs",E102)-1))</f>
        <v>Angel B</v>
      </c>
      <c r="H102" s="26" t="s">
        <v>67</v>
      </c>
      <c r="I102" s="26" t="s">
        <v>64</v>
      </c>
      <c r="J102" s="47" t="str">
        <f>TEXT(B102,"MMMM")</f>
        <v>April</v>
      </c>
      <c r="K102" s="48" t="str">
        <f>TEXT(B102,"dddd")</f>
        <v>Friday</v>
      </c>
      <c r="L102" s="49" t="str">
        <f>DAY(B102)&amp;LOOKUP(DAY(B102),{1,2,3,4,21,22,23,24,31;"st","nd","rd","th","st","nd","rd","th","st"})</f>
        <v>17th</v>
      </c>
      <c r="M102" s="48">
        <f>DAY(B102)</f>
        <v>17</v>
      </c>
      <c r="N102" s="48">
        <f>YEAR(B102)</f>
        <v>2020</v>
      </c>
      <c r="O102" s="50">
        <f>B102</f>
        <v>43938</v>
      </c>
      <c r="P102" s="49" t="str">
        <f>TRIM(D102)</f>
        <v>Mixed B</v>
      </c>
      <c r="Q102" s="48" t="str">
        <f>IF(LEFT(F102,5)="Angel",G102,F102)</f>
        <v>Trident E</v>
      </c>
      <c r="R102" s="48" t="str">
        <f>H102</f>
        <v>Angel Centre</v>
      </c>
      <c r="S102" s="48" t="str">
        <f>SUBSTITUTE(I102,"pm","")</f>
        <v>8</v>
      </c>
      <c r="T102" s="46" t="str">
        <f>CONCATENATE("data.push([",CHAR(34),TRIM(J102),CHAR(34),", ",CHAR(34),TRIM(K102),CHAR(34),", ",CHAR(34),TRIM(L102),CHAR(34),", ",CHAR(34),TRIM(P102),CHAR(34),", ",CHAR(34),TRIM(Q102),CHAR(34),", ",CHAR(34),TRIM(R102),CHAR(34),", ",CHAR(34),TRIM(S102),CHAR(34),"]);")</f>
        <v>data.push(["April", "Friday", "17th", "Mixed B", "Trident E", "Angel Centre", "8"]);</v>
      </c>
    </row>
    <row r="103" spans="1:20" ht="21.1" customHeight="1" x14ac:dyDescent="0.3">
      <c r="A103" s="26" t="s">
        <v>130</v>
      </c>
      <c r="B103" s="27">
        <v>43941</v>
      </c>
      <c r="C103" s="26" t="str">
        <f>TEXT(B103,"DDDD")</f>
        <v>Monday</v>
      </c>
      <c r="D103" s="26" t="s">
        <v>129</v>
      </c>
      <c r="E103" s="30" t="s">
        <v>192</v>
      </c>
      <c r="F103" t="str">
        <f>TRIM(MID(E103,2+FIND("vs",E103)+1,FIND("(",E103,2+FIND("vs",E103))-FIND("vs",E103)-3))</f>
        <v>Angel C</v>
      </c>
      <c r="G103" t="str">
        <f>TRIM(LEFT(E103,FIND("vs",E103)-1))</f>
        <v>Trident F</v>
      </c>
      <c r="H103" s="29" t="s">
        <v>161</v>
      </c>
      <c r="I103" s="26" t="s">
        <v>64</v>
      </c>
      <c r="J103" s="47" t="str">
        <f>TEXT(B103,"MMMM")</f>
        <v>April</v>
      </c>
      <c r="K103" s="48" t="str">
        <f>TEXT(B103,"dddd")</f>
        <v>Monday</v>
      </c>
      <c r="L103" s="49" t="str">
        <f>DAY(B103)&amp;LOOKUP(DAY(B103),{1,2,3,4,21,22,23,24,31;"st","nd","rd","th","st","nd","rd","th","st"})</f>
        <v>20th</v>
      </c>
      <c r="M103" s="48">
        <f>DAY(B103)</f>
        <v>20</v>
      </c>
      <c r="N103" s="48">
        <f>YEAR(B103)</f>
        <v>2020</v>
      </c>
      <c r="O103" s="50">
        <f>B103</f>
        <v>43941</v>
      </c>
      <c r="P103" s="49" t="str">
        <f>TRIM(D103)</f>
        <v>Mixed C</v>
      </c>
      <c r="Q103" s="48" t="str">
        <f>IF(LEFT(F103,5)="Angel",G103,F103)</f>
        <v>Trident F</v>
      </c>
      <c r="R103" s="48" t="str">
        <f>H103</f>
        <v>Holmewood House School TN3 0EB</v>
      </c>
      <c r="S103" s="48" t="str">
        <f>SUBSTITUTE(I103,"pm","")</f>
        <v>8</v>
      </c>
      <c r="T103" s="46" t="str">
        <f>CONCATENATE("data.push([",CHAR(34),TRIM(J103),CHAR(34),", ",CHAR(34),TRIM(K103),CHAR(34),", ",CHAR(34),TRIM(L103),CHAR(34),", ",CHAR(34),TRIM(P103),CHAR(34),", ",CHAR(34),TRIM(Q103),CHAR(34),", ",CHAR(34),TRIM(R103),CHAR(34),", ",CHAR(34),TRIM(S103),CHAR(34),"]);")</f>
        <v>data.push(["April", "Monday", "20th", "Mixed C", "Trident F", "Holmewood House School TN3 0EB", "8"]);</v>
      </c>
    </row>
    <row r="104" spans="1:20" ht="21.1" customHeight="1" x14ac:dyDescent="0.3">
      <c r="A104" s="26" t="s">
        <v>153</v>
      </c>
      <c r="B104" s="27">
        <v>43945</v>
      </c>
      <c r="C104" s="26" t="str">
        <f>TEXT(B104,"DDDD")</f>
        <v>Friday</v>
      </c>
      <c r="D104" s="26" t="s">
        <v>152</v>
      </c>
      <c r="E104" s="26" t="s">
        <v>204</v>
      </c>
      <c r="F104" t="str">
        <f>TRIM(MID(E104,2+FIND("vs",E104)+1,FIND("(",E104,2+FIND("vs",E104))-FIND("vs",E104)-3))</f>
        <v>Paddock Wood</v>
      </c>
      <c r="G104" t="str">
        <f>TRIM(LEFT(E104,FIND("vs",E104)-1))</f>
        <v>Angel</v>
      </c>
      <c r="H104" s="26" t="s">
        <v>67</v>
      </c>
      <c r="I104" s="26" t="s">
        <v>64</v>
      </c>
      <c r="J104" s="47" t="str">
        <f>TEXT(B104,"MMMM")</f>
        <v>April</v>
      </c>
      <c r="K104" s="48" t="str">
        <f>TEXT(B104,"dddd")</f>
        <v>Friday</v>
      </c>
      <c r="L104" s="49" t="str">
        <f>DAY(B104)&amp;LOOKUP(DAY(B104),{1,2,3,4,21,22,23,24,31;"st","nd","rd","th","st","nd","rd","th","st"})</f>
        <v>24th</v>
      </c>
      <c r="M104" s="48">
        <f>DAY(B104)</f>
        <v>24</v>
      </c>
      <c r="N104" s="48">
        <f>YEAR(B104)</f>
        <v>2020</v>
      </c>
      <c r="O104" s="50">
        <f>B104</f>
        <v>43945</v>
      </c>
      <c r="P104" s="49" t="str">
        <f>TRIM(D104)</f>
        <v>Mens 4s</v>
      </c>
      <c r="Q104" s="48" t="str">
        <f>IF(LEFT(F104,5)="Angel",G104,F104)</f>
        <v>Paddock Wood</v>
      </c>
      <c r="R104" s="48" t="str">
        <f>H104</f>
        <v>Angel Centre</v>
      </c>
      <c r="S104" s="48" t="str">
        <f>SUBSTITUTE(I104,"pm","")</f>
        <v>8</v>
      </c>
      <c r="T104" s="46" t="str">
        <f>CONCATENATE("data.push([",CHAR(34),TRIM(J104),CHAR(34),", ",CHAR(34),TRIM(K104),CHAR(34),", ",CHAR(34),TRIM(L104),CHAR(34),", ",CHAR(34),TRIM(P104),CHAR(34),", ",CHAR(34),TRIM(Q104),CHAR(34),", ",CHAR(34),TRIM(R104),CHAR(34),", ",CHAR(34),TRIM(S104),CHAR(34),"]);")</f>
        <v>data.push(["April", "Friday", "24th", "Mens 4s", "Paddock Wood", "Angel Centre", "8"]);</v>
      </c>
    </row>
    <row r="105" spans="1:20" ht="21.1" customHeight="1" x14ac:dyDescent="0.3">
      <c r="A105" s="26" t="s">
        <v>130</v>
      </c>
      <c r="B105" s="27">
        <v>43945</v>
      </c>
      <c r="C105" s="26" t="str">
        <f>TEXT(B105,"DDDD")</f>
        <v>Friday</v>
      </c>
      <c r="D105" s="26" t="s">
        <v>129</v>
      </c>
      <c r="E105" s="30" t="s">
        <v>135</v>
      </c>
      <c r="F105" t="str">
        <f>TRIM(MID(E105,2+FIND("vs",E105)+1,FIND("(",E105,2+FIND("vs",E105))-FIND("vs",E105)-3))</f>
        <v>Trident F</v>
      </c>
      <c r="G105" t="str">
        <f>TRIM(LEFT(E105,FIND("vs",E105)-1))</f>
        <v>Angel C</v>
      </c>
      <c r="H105" s="26" t="s">
        <v>67</v>
      </c>
      <c r="I105" s="26" t="s">
        <v>64</v>
      </c>
      <c r="J105" s="47" t="str">
        <f>TEXT(B105,"MMMM")</f>
        <v>April</v>
      </c>
      <c r="K105" s="48" t="str">
        <f>TEXT(B105,"dddd")</f>
        <v>Friday</v>
      </c>
      <c r="L105" s="49" t="str">
        <f>DAY(B105)&amp;LOOKUP(DAY(B105),{1,2,3,4,21,22,23,24,31;"st","nd","rd","th","st","nd","rd","th","st"})</f>
        <v>24th</v>
      </c>
      <c r="M105" s="48">
        <f>DAY(B105)</f>
        <v>24</v>
      </c>
      <c r="N105" s="48">
        <f>YEAR(B105)</f>
        <v>2020</v>
      </c>
      <c r="O105" s="50">
        <f>B105</f>
        <v>43945</v>
      </c>
      <c r="P105" s="49" t="str">
        <f>TRIM(D105)</f>
        <v>Mixed C</v>
      </c>
      <c r="Q105" s="48" t="str">
        <f>IF(LEFT(F105,5)="Angel",G105,F105)</f>
        <v>Trident F</v>
      </c>
      <c r="R105" s="48" t="str">
        <f>H105</f>
        <v>Angel Centre</v>
      </c>
      <c r="S105" s="48" t="str">
        <f>SUBSTITUTE(I105,"pm","")</f>
        <v>8</v>
      </c>
      <c r="T105" s="46" t="str">
        <f>CONCATENATE("data.push([",CHAR(34),TRIM(J105),CHAR(34),", ",CHAR(34),TRIM(K105),CHAR(34),", ",CHAR(34),TRIM(L105),CHAR(34),", ",CHAR(34),TRIM(P105),CHAR(34),", ",CHAR(34),TRIM(Q105),CHAR(34),", ",CHAR(34),TRIM(R105),CHAR(34),", ",CHAR(34),TRIM(S105),CHAR(34),"]);")</f>
        <v>data.push(["April", "Friday", "24th", "Mixed C", "Trident F", "Angel Centre", "8"]);</v>
      </c>
    </row>
    <row r="106" spans="1:20" ht="21.1" customHeight="1" x14ac:dyDescent="0.3">
      <c r="A106" s="26" t="s">
        <v>63</v>
      </c>
      <c r="B106" s="27">
        <v>43945</v>
      </c>
      <c r="C106" s="26" t="str">
        <f>TEXT(B106,"DDDD")</f>
        <v>Friday</v>
      </c>
      <c r="D106" s="26" t="s">
        <v>52</v>
      </c>
      <c r="E106" s="26" t="s">
        <v>61</v>
      </c>
      <c r="F106" t="str">
        <f>TRIM(MID(E106,2+FIND("vs",E106)+1,FIND("(",E106,2+FIND("vs",E106))-FIND("vs",E106)-3))</f>
        <v>Angel A</v>
      </c>
      <c r="G106" t="str">
        <f>TRIM(LEFT(E106,FIND("vs",E106)-1))</f>
        <v>Felbridge</v>
      </c>
      <c r="H106" s="29" t="s">
        <v>157</v>
      </c>
      <c r="I106" s="26" t="s">
        <v>64</v>
      </c>
      <c r="J106" s="47" t="str">
        <f>TEXT(B106,"MMMM")</f>
        <v>April</v>
      </c>
      <c r="K106" s="48" t="str">
        <f>TEXT(B106,"dddd")</f>
        <v>Friday</v>
      </c>
      <c r="L106" s="49" t="str">
        <f>DAY(B106)&amp;LOOKUP(DAY(B106),{1,2,3,4,21,22,23,24,31;"st","nd","rd","th","st","nd","rd","th","st"})</f>
        <v>24th</v>
      </c>
      <c r="M106" s="48">
        <f>DAY(B106)</f>
        <v>24</v>
      </c>
      <c r="N106" s="48">
        <f>YEAR(B106)</f>
        <v>2020</v>
      </c>
      <c r="O106" s="50">
        <f>B106</f>
        <v>43945</v>
      </c>
      <c r="P106" s="49" t="str">
        <f>TRIM(D106)</f>
        <v>Mens A</v>
      </c>
      <c r="Q106" s="48" t="str">
        <f>IF(LEFT(F106,5)="Angel",G106,F106)</f>
        <v>Felbridge</v>
      </c>
      <c r="R106" s="48" t="str">
        <f>H106</f>
        <v>East Grinstead Sports Club RH19 4JU</v>
      </c>
      <c r="S106" s="48" t="str">
        <f>SUBSTITUTE(I106,"pm","")</f>
        <v>8</v>
      </c>
      <c r="T106" s="46" t="str">
        <f>CONCATENATE("data.push([",CHAR(34),TRIM(J106),CHAR(34),", ",CHAR(34),TRIM(K106),CHAR(34),", ",CHAR(34),TRIM(L106),CHAR(34),", ",CHAR(34),TRIM(P106),CHAR(34),", ",CHAR(34),TRIM(Q106),CHAR(34),", ",CHAR(34),TRIM(R106),CHAR(34),", ",CHAR(34),TRIM(S106),CHAR(34),"]);")</f>
        <v>data.push(["April", "Friday", "24th", "Mens A", "Felbridge", "East Grinstead Sports Club RH19 4JU", "8"]);</v>
      </c>
    </row>
    <row r="107" spans="1:20" ht="21.1" customHeight="1" x14ac:dyDescent="0.3">
      <c r="A107" s="26" t="s">
        <v>90</v>
      </c>
      <c r="B107" s="27">
        <v>43945</v>
      </c>
      <c r="C107" s="26" t="str">
        <f>TEXT(B107,"DDDD")</f>
        <v>Friday</v>
      </c>
      <c r="D107" s="26" t="s">
        <v>89</v>
      </c>
      <c r="E107" s="26" t="s">
        <v>102</v>
      </c>
      <c r="F107" t="str">
        <f>TRIM(MID(E107,2+FIND("vs",E107)+1,FIND("(",E107,2+FIND("vs",E107))-FIND("vs",E107)-3))</f>
        <v>Angel</v>
      </c>
      <c r="G107" t="str">
        <f>TRIM(LEFT(E107,FIND("vs",E107)-1))</f>
        <v>Felbridge</v>
      </c>
      <c r="H107" s="29" t="s">
        <v>157</v>
      </c>
      <c r="I107" s="26" t="s">
        <v>64</v>
      </c>
      <c r="J107" s="47" t="str">
        <f>TEXT(B107,"MMMM")</f>
        <v>April</v>
      </c>
      <c r="K107" s="48" t="str">
        <f>TEXT(B107,"dddd")</f>
        <v>Friday</v>
      </c>
      <c r="L107" s="49" t="str">
        <f>DAY(B107)&amp;LOOKUP(DAY(B107),{1,2,3,4,21,22,23,24,31;"st","nd","rd","th","st","nd","rd","th","st"})</f>
        <v>24th</v>
      </c>
      <c r="M107" s="48">
        <f>DAY(B107)</f>
        <v>24</v>
      </c>
      <c r="N107" s="48">
        <f>YEAR(B107)</f>
        <v>2020</v>
      </c>
      <c r="O107" s="50">
        <f>B107</f>
        <v>43945</v>
      </c>
      <c r="P107" s="49" t="str">
        <f>TRIM(D107)</f>
        <v>Ladies 4s</v>
      </c>
      <c r="Q107" s="48" t="str">
        <f>IF(LEFT(F107,5)="Angel",G107,F107)</f>
        <v>Felbridge</v>
      </c>
      <c r="R107" s="48" t="str">
        <f>H107</f>
        <v>East Grinstead Sports Club RH19 4JU</v>
      </c>
      <c r="S107" s="48" t="str">
        <f>SUBSTITUTE(I107,"pm","")</f>
        <v>8</v>
      </c>
      <c r="T107" s="46" t="str">
        <f>CONCATENATE("data.push([",CHAR(34),TRIM(J107),CHAR(34),", ",CHAR(34),TRIM(K107),CHAR(34),", ",CHAR(34),TRIM(L107),CHAR(34),", ",CHAR(34),TRIM(P107),CHAR(34),", ",CHAR(34),TRIM(Q107),CHAR(34),", ",CHAR(34),TRIM(R107),CHAR(34),", ",CHAR(34),TRIM(S107),CHAR(34),"]);")</f>
        <v>data.push(["April", "Friday", "24th", "Ladies 4s", "Felbridge", "East Grinstead Sports Club RH19 4JU", "8"]);</v>
      </c>
    </row>
    <row r="108" spans="1:20" ht="21.1" customHeight="1" x14ac:dyDescent="0.3">
      <c r="A108" s="26" t="s">
        <v>124</v>
      </c>
      <c r="B108" s="27">
        <v>43952</v>
      </c>
      <c r="C108" s="26" t="str">
        <f>TEXT(B108,"DDDD")</f>
        <v>Friday</v>
      </c>
      <c r="D108" s="26" t="s">
        <v>123</v>
      </c>
      <c r="E108" s="30" t="s">
        <v>128</v>
      </c>
      <c r="F108" t="str">
        <f>TRIM(MID(E108,2+FIND("vs",E108)+1,FIND("(",E108,2+FIND("vs",E108))-FIND("vs",E108)-3))</f>
        <v>St johns E</v>
      </c>
      <c r="G108" t="str">
        <f>TRIM(LEFT(E108,FIND("vs",E108)-1))</f>
        <v>Angel B</v>
      </c>
      <c r="H108" s="26" t="s">
        <v>67</v>
      </c>
      <c r="I108" s="26" t="s">
        <v>64</v>
      </c>
      <c r="J108" s="47" t="str">
        <f>TEXT(B108,"MMMM")</f>
        <v>May</v>
      </c>
      <c r="K108" s="48" t="str">
        <f>TEXT(B108,"dddd")</f>
        <v>Friday</v>
      </c>
      <c r="L108" s="49" t="str">
        <f>DAY(B108)&amp;LOOKUP(DAY(B108),{1,2,3,4,21,22,23,24,31;"st","nd","rd","th","st","nd","rd","th","st"})</f>
        <v>1st</v>
      </c>
      <c r="M108" s="48">
        <f>DAY(B108)</f>
        <v>1</v>
      </c>
      <c r="N108" s="48">
        <f>YEAR(B108)</f>
        <v>2020</v>
      </c>
      <c r="O108" s="50">
        <f>B108</f>
        <v>43952</v>
      </c>
      <c r="P108" s="49" t="str">
        <f>TRIM(D108)</f>
        <v>Mixed B</v>
      </c>
      <c r="Q108" s="48" t="str">
        <f>IF(LEFT(F108,5)="Angel",G108,F108)</f>
        <v>St johns E</v>
      </c>
      <c r="R108" s="48" t="str">
        <f>H108</f>
        <v>Angel Centre</v>
      </c>
      <c r="S108" s="48" t="str">
        <f>SUBSTITUTE(I108,"pm","")</f>
        <v>8</v>
      </c>
      <c r="T108" s="46" t="str">
        <f>CONCATENATE("data.push([",CHAR(34),TRIM(J108),CHAR(34),", ",CHAR(34),TRIM(K108),CHAR(34),", ",CHAR(34),TRIM(L108),CHAR(34),", ",CHAR(34),TRIM(P108),CHAR(34),", ",CHAR(34),TRIM(Q108),CHAR(34),", ",CHAR(34),TRIM(R108),CHAR(34),", ",CHAR(34),TRIM(S108),CHAR(34),"]);")</f>
        <v>data.push(["May", "Friday", "1st", "Mixed B", "St johns E", "Angel Centre", "8"]);</v>
      </c>
    </row>
    <row r="109" spans="1:20" ht="21.1" customHeight="1" x14ac:dyDescent="0.3">
      <c r="A109" s="26" t="s">
        <v>130</v>
      </c>
      <c r="B109" s="27">
        <v>43964</v>
      </c>
      <c r="C109" s="26" t="str">
        <f>TEXT(B109,"DDDD")</f>
        <v>Wednesday</v>
      </c>
      <c r="D109" s="26" t="s">
        <v>129</v>
      </c>
      <c r="E109" s="26" t="s">
        <v>135</v>
      </c>
      <c r="F109" t="str">
        <f>TRIM(MID(E109,2+FIND("vs",E109)+1,FIND("(",E109,2+FIND("vs",E109))-FIND("vs",E109)-3))</f>
        <v>Trident F</v>
      </c>
      <c r="G109" t="str">
        <f>TRIM(LEFT(E109,FIND("vs",E109)-1))</f>
        <v>Angel C</v>
      </c>
      <c r="H109" s="26" t="s">
        <v>67</v>
      </c>
      <c r="I109" s="26" t="s">
        <v>64</v>
      </c>
      <c r="J109" s="47" t="str">
        <f>TEXT(B109,"MMMM")</f>
        <v>May</v>
      </c>
      <c r="K109" s="48" t="str">
        <f>TEXT(B109,"dddd")</f>
        <v>Wednesday</v>
      </c>
      <c r="L109" s="49" t="str">
        <f>DAY(B109)&amp;LOOKUP(DAY(B109),{1,2,3,4,21,22,23,24,31;"st","nd","rd","th","st","nd","rd","th","st"})</f>
        <v>13th</v>
      </c>
      <c r="M109" s="48">
        <f>DAY(B109)</f>
        <v>13</v>
      </c>
      <c r="N109" s="48">
        <f>YEAR(B109)</f>
        <v>2020</v>
      </c>
      <c r="O109" s="50">
        <f>B109</f>
        <v>43964</v>
      </c>
      <c r="P109" s="49" t="str">
        <f>TRIM(D109)</f>
        <v>Mixed C</v>
      </c>
      <c r="Q109" s="48" t="str">
        <f>IF(LEFT(F109,5)="Angel",G109,F109)</f>
        <v>Trident F</v>
      </c>
      <c r="R109" s="48" t="str">
        <f>H109</f>
        <v>Angel Centre</v>
      </c>
      <c r="S109" s="48" t="str">
        <f>SUBSTITUTE(I109,"pm","")</f>
        <v>8</v>
      </c>
      <c r="T109" s="46" t="str">
        <f>CONCATENATE("data.push([",CHAR(34),TRIM(J109),CHAR(34),", ",CHAR(34),TRIM(K109),CHAR(34),", ",CHAR(34),TRIM(L109),CHAR(34),", ",CHAR(34),TRIM(P109),CHAR(34),", ",CHAR(34),TRIM(Q109),CHAR(34),", ",CHAR(34),TRIM(R109),CHAR(34),", ",CHAR(34),TRIM(S109),CHAR(34),"]);")</f>
        <v>data.push(["May", "Wednesday", "13th", "Mixed C", "Trident F", "Angel Centre", "8"]);</v>
      </c>
    </row>
    <row r="110" spans="1:20" ht="21.1" customHeight="1" x14ac:dyDescent="0.3">
      <c r="A110" s="26" t="s">
        <v>63</v>
      </c>
      <c r="B110" s="27">
        <v>43966</v>
      </c>
      <c r="C110" s="26" t="str">
        <f>TEXT(B110,"DDDD")</f>
        <v>Friday</v>
      </c>
      <c r="D110" s="26" t="s">
        <v>52</v>
      </c>
      <c r="E110" s="30" t="s">
        <v>62</v>
      </c>
      <c r="F110" t="str">
        <f>TRIM(MID(E110,2+FIND("vs",E110)+1,FIND("(",E110,2+FIND("vs",E110))-FIND("vs",E110)-3))</f>
        <v>Trident C</v>
      </c>
      <c r="G110" t="str">
        <f>TRIM(LEFT(E110,FIND("vs",E110)-1))</f>
        <v>Angel A</v>
      </c>
      <c r="H110" s="26" t="s">
        <v>67</v>
      </c>
      <c r="I110" s="26" t="s">
        <v>64</v>
      </c>
      <c r="J110" s="47" t="str">
        <f>TEXT(B110,"MMMM")</f>
        <v>May</v>
      </c>
      <c r="K110" s="48" t="str">
        <f>TEXT(B110,"dddd")</f>
        <v>Friday</v>
      </c>
      <c r="L110" s="49" t="str">
        <f>DAY(B110)&amp;LOOKUP(DAY(B110),{1,2,3,4,21,22,23,24,31;"st","nd","rd","th","st","nd","rd","th","st"})</f>
        <v>15th</v>
      </c>
      <c r="M110" s="48">
        <f>DAY(B110)</f>
        <v>15</v>
      </c>
      <c r="N110" s="48">
        <f>YEAR(B110)</f>
        <v>2020</v>
      </c>
      <c r="O110" s="50">
        <f>B110</f>
        <v>43966</v>
      </c>
      <c r="P110" s="49" t="str">
        <f>TRIM(D110)</f>
        <v>Mens A</v>
      </c>
      <c r="Q110" s="48" t="str">
        <f>IF(LEFT(F110,5)="Angel",G110,F110)</f>
        <v>Trident C</v>
      </c>
      <c r="R110" s="48" t="str">
        <f>H110</f>
        <v>Angel Centre</v>
      </c>
      <c r="S110" s="48" t="str">
        <f>SUBSTITUTE(I110,"pm","")</f>
        <v>8</v>
      </c>
      <c r="T110" s="46" t="str">
        <f>CONCATENATE("data.push([",CHAR(34),TRIM(J110),CHAR(34),", ",CHAR(34),TRIM(K110),CHAR(34),", ",CHAR(34),TRIM(L110),CHAR(34),", ",CHAR(34),TRIM(P110),CHAR(34),", ",CHAR(34),TRIM(Q110),CHAR(34),", ",CHAR(34),TRIM(R110),CHAR(34),", ",CHAR(34),TRIM(S110),CHAR(34),"]);")</f>
        <v>data.push(["May", "Friday", "15th", "Mens A", "Trident C", "Angel Centre", "8"]);</v>
      </c>
    </row>
    <row r="111" spans="1:20" ht="21.1" customHeight="1" x14ac:dyDescent="0.3">
      <c r="A111" s="26" t="s">
        <v>105</v>
      </c>
      <c r="B111" s="27">
        <v>43966</v>
      </c>
      <c r="C111" s="26" t="str">
        <f>TEXT(B111,"DDDD")</f>
        <v>Friday</v>
      </c>
      <c r="D111" s="26" t="s">
        <v>104</v>
      </c>
      <c r="E111" s="26" t="s">
        <v>113</v>
      </c>
      <c r="F111" t="str">
        <f>TRIM(MID(E111,2+FIND("vs",E111)+1,FIND("(",E111,2+FIND("vs",E111))-FIND("vs",E111)-3))</f>
        <v>Trident A</v>
      </c>
      <c r="G111" t="str">
        <f>TRIM(LEFT(E111,FIND("vs",E111)-1))</f>
        <v>Angel</v>
      </c>
      <c r="H111" s="26" t="s">
        <v>67</v>
      </c>
      <c r="I111" s="26" t="s">
        <v>64</v>
      </c>
      <c r="J111" s="47" t="str">
        <f>TEXT(B111,"MMMM")</f>
        <v>May</v>
      </c>
      <c r="K111" s="48" t="str">
        <f>TEXT(B111,"dddd")</f>
        <v>Friday</v>
      </c>
      <c r="L111" s="49" t="str">
        <f>DAY(B111)&amp;LOOKUP(DAY(B111),{1,2,3,4,21,22,23,24,31;"st","nd","rd","th","st","nd","rd","th","st"})</f>
        <v>15th</v>
      </c>
      <c r="M111" s="48">
        <f>DAY(B111)</f>
        <v>15</v>
      </c>
      <c r="N111" s="48">
        <f>YEAR(B111)</f>
        <v>2020</v>
      </c>
      <c r="O111" s="50">
        <f>B111</f>
        <v>43966</v>
      </c>
      <c r="P111" s="49" t="str">
        <f>TRIM(D111)</f>
        <v>Ladies 6s</v>
      </c>
      <c r="Q111" s="48" t="str">
        <f>IF(LEFT(F111,5)="Angel",G111,F111)</f>
        <v>Trident A</v>
      </c>
      <c r="R111" s="48" t="str">
        <f>H111</f>
        <v>Angel Centre</v>
      </c>
      <c r="S111" s="48" t="str">
        <f>SUBSTITUTE(I111,"pm","")</f>
        <v>8</v>
      </c>
      <c r="T111" s="46" t="str">
        <f>CONCATENATE("data.push([",CHAR(34),TRIM(J111),CHAR(34),", ",CHAR(34),TRIM(K111),CHAR(34),", ",CHAR(34),TRIM(L111),CHAR(34),", ",CHAR(34),TRIM(P111),CHAR(34),", ",CHAR(34),TRIM(Q111),CHAR(34),", ",CHAR(34),TRIM(R111),CHAR(34),", ",CHAR(34),TRIM(S111),CHAR(34),"]);")</f>
        <v>data.push(["May", "Friday", "15th", "Ladies 6s", "Trident A", "Angel Centre", "8"]);</v>
      </c>
    </row>
  </sheetData>
  <autoFilter ref="B1:H111" xr:uid="{7DB4E3F5-3383-42B7-8BD8-41D3E59C4B1A}">
    <sortState ref="B2:H109">
      <sortCondition ref="B1:B109"/>
    </sortState>
  </autoFilter>
  <sortState ref="A2:T111">
    <sortCondition ref="B2:B111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F94E-A498-4A39-A6DA-114992D1996A}">
  <dimension ref="A1:G17"/>
  <sheetViews>
    <sheetView workbookViewId="0">
      <selection activeCell="A10" sqref="A10:G10"/>
    </sheetView>
  </sheetViews>
  <sheetFormatPr defaultColWidth="9.28515625" defaultRowHeight="13.6" x14ac:dyDescent="0.3"/>
  <cols>
    <col min="1" max="1" width="13.28515625" style="25" bestFit="1" customWidth="1"/>
    <col min="2" max="2" width="13.7109375" style="25" bestFit="1" customWidth="1"/>
    <col min="3" max="4" width="20" style="25" bestFit="1" customWidth="1"/>
    <col min="5" max="5" width="75.140625" style="25" customWidth="1"/>
    <col min="6" max="6" width="10.140625" style="25" bestFit="1" customWidth="1"/>
    <col min="7" max="7" width="79.85546875" style="25" customWidth="1"/>
    <col min="8" max="16384" width="9.28515625" style="25"/>
  </cols>
  <sheetData>
    <row r="1" spans="1:7" x14ac:dyDescent="0.3">
      <c r="A1" s="26" t="s">
        <v>22</v>
      </c>
      <c r="B1" s="26" t="s">
        <v>25</v>
      </c>
      <c r="C1" s="26" t="s">
        <v>49</v>
      </c>
      <c r="D1" s="26" t="s">
        <v>23</v>
      </c>
      <c r="E1" s="26" t="s">
        <v>24</v>
      </c>
      <c r="F1" s="26" t="s">
        <v>47</v>
      </c>
      <c r="G1" s="26" t="s">
        <v>48</v>
      </c>
    </row>
    <row r="2" spans="1:7" x14ac:dyDescent="0.3">
      <c r="A2" s="27">
        <v>43735</v>
      </c>
      <c r="B2" s="26" t="str">
        <f t="shared" ref="B2:B17" si="0">TEXT(A2,"DDDD")</f>
        <v>Friday</v>
      </c>
      <c r="C2" s="26" t="s">
        <v>209</v>
      </c>
      <c r="D2" s="26" t="s">
        <v>209</v>
      </c>
      <c r="E2" s="26" t="s">
        <v>210</v>
      </c>
      <c r="F2" s="26" t="s">
        <v>64</v>
      </c>
      <c r="G2" s="29" t="s">
        <v>211</v>
      </c>
    </row>
    <row r="3" spans="1:7" x14ac:dyDescent="0.3">
      <c r="A3" s="27">
        <v>43747</v>
      </c>
      <c r="B3" s="26" t="str">
        <f t="shared" si="0"/>
        <v>Wednesday</v>
      </c>
      <c r="C3" s="26" t="s">
        <v>209</v>
      </c>
      <c r="D3" s="26" t="s">
        <v>209</v>
      </c>
      <c r="E3" s="30" t="s">
        <v>212</v>
      </c>
      <c r="F3" s="26" t="s">
        <v>65</v>
      </c>
      <c r="G3" s="29" t="s">
        <v>213</v>
      </c>
    </row>
    <row r="4" spans="1:7" x14ac:dyDescent="0.3">
      <c r="A4" s="27">
        <v>43755</v>
      </c>
      <c r="B4" s="26" t="str">
        <f t="shared" si="0"/>
        <v>Thursday</v>
      </c>
      <c r="C4" s="26" t="s">
        <v>209</v>
      </c>
      <c r="D4" s="26" t="s">
        <v>209</v>
      </c>
      <c r="E4" s="26" t="s">
        <v>214</v>
      </c>
      <c r="F4" s="26" t="s">
        <v>65</v>
      </c>
      <c r="G4" s="26" t="s">
        <v>189</v>
      </c>
    </row>
    <row r="5" spans="1:7" x14ac:dyDescent="0.3">
      <c r="A5" s="27">
        <v>43773</v>
      </c>
      <c r="B5" s="26" t="str">
        <f t="shared" si="0"/>
        <v>Monday</v>
      </c>
      <c r="C5" s="26" t="s">
        <v>215</v>
      </c>
      <c r="D5" s="26" t="s">
        <v>215</v>
      </c>
      <c r="E5" s="30" t="s">
        <v>216</v>
      </c>
      <c r="F5" s="26" t="s">
        <v>65</v>
      </c>
      <c r="G5" s="29" t="s">
        <v>217</v>
      </c>
    </row>
    <row r="6" spans="1:7" x14ac:dyDescent="0.3">
      <c r="A6" s="27">
        <v>43791</v>
      </c>
      <c r="B6" s="26" t="str">
        <f t="shared" si="0"/>
        <v>Friday</v>
      </c>
      <c r="C6" s="26" t="s">
        <v>215</v>
      </c>
      <c r="D6" s="26" t="s">
        <v>215</v>
      </c>
      <c r="E6" s="26" t="s">
        <v>218</v>
      </c>
      <c r="F6" s="26" t="s">
        <v>64</v>
      </c>
      <c r="G6" s="26" t="s">
        <v>67</v>
      </c>
    </row>
    <row r="7" spans="1:7" x14ac:dyDescent="0.3">
      <c r="A7" s="27">
        <v>43805</v>
      </c>
      <c r="B7" s="26" t="str">
        <f t="shared" si="0"/>
        <v>Friday</v>
      </c>
      <c r="C7" s="26" t="s">
        <v>209</v>
      </c>
      <c r="D7" s="26" t="s">
        <v>209</v>
      </c>
      <c r="E7" s="26" t="s">
        <v>219</v>
      </c>
      <c r="F7" s="26" t="s">
        <v>64</v>
      </c>
      <c r="G7" s="26" t="s">
        <v>67</v>
      </c>
    </row>
    <row r="8" spans="1:7" x14ac:dyDescent="0.3">
      <c r="A8" s="27">
        <v>43857</v>
      </c>
      <c r="B8" s="26" t="str">
        <f t="shared" si="0"/>
        <v>Monday</v>
      </c>
      <c r="C8" s="26" t="s">
        <v>209</v>
      </c>
      <c r="D8" s="26" t="s">
        <v>209</v>
      </c>
      <c r="E8" s="30" t="s">
        <v>220</v>
      </c>
      <c r="F8" s="26" t="s">
        <v>65</v>
      </c>
      <c r="G8" s="29" t="s">
        <v>217</v>
      </c>
    </row>
    <row r="9" spans="1:7" x14ac:dyDescent="0.3">
      <c r="A9" s="27">
        <v>43861</v>
      </c>
      <c r="B9" s="26" t="str">
        <f t="shared" si="0"/>
        <v>Friday</v>
      </c>
      <c r="C9" s="26" t="s">
        <v>209</v>
      </c>
      <c r="D9" s="26" t="s">
        <v>209</v>
      </c>
      <c r="E9" s="26" t="s">
        <v>221</v>
      </c>
      <c r="F9" s="26" t="s">
        <v>64</v>
      </c>
      <c r="G9" s="26" t="s">
        <v>67</v>
      </c>
    </row>
    <row r="10" spans="1:7" x14ac:dyDescent="0.3">
      <c r="A10" s="27">
        <v>43875</v>
      </c>
      <c r="B10" s="26" t="str">
        <f t="shared" si="0"/>
        <v>Friday</v>
      </c>
      <c r="C10" s="26" t="s">
        <v>215</v>
      </c>
      <c r="D10" s="26" t="s">
        <v>215</v>
      </c>
      <c r="E10" s="26" t="s">
        <v>222</v>
      </c>
      <c r="F10" s="26" t="s">
        <v>64</v>
      </c>
      <c r="G10" s="29" t="s">
        <v>211</v>
      </c>
    </row>
    <row r="11" spans="1:7" x14ac:dyDescent="0.3">
      <c r="A11" s="27">
        <v>43907</v>
      </c>
      <c r="B11" s="26" t="str">
        <f t="shared" si="0"/>
        <v>Tuesday</v>
      </c>
      <c r="C11" s="26" t="s">
        <v>215</v>
      </c>
      <c r="D11" s="26" t="s">
        <v>215</v>
      </c>
      <c r="E11" s="30" t="s">
        <v>223</v>
      </c>
      <c r="F11" s="26" t="s">
        <v>64</v>
      </c>
      <c r="G11" s="29" t="s">
        <v>224</v>
      </c>
    </row>
    <row r="12" spans="1:7" x14ac:dyDescent="0.3">
      <c r="A12" s="27">
        <v>43938</v>
      </c>
      <c r="B12" s="26" t="str">
        <f t="shared" si="0"/>
        <v>Friday</v>
      </c>
      <c r="C12" s="26" t="s">
        <v>209</v>
      </c>
      <c r="D12" s="26" t="s">
        <v>209</v>
      </c>
      <c r="E12" s="26" t="s">
        <v>225</v>
      </c>
      <c r="F12" s="26" t="s">
        <v>64</v>
      </c>
      <c r="G12" s="26" t="s">
        <v>67</v>
      </c>
    </row>
    <row r="13" spans="1:7" x14ac:dyDescent="0.3">
      <c r="A13" s="27">
        <v>43966</v>
      </c>
      <c r="B13" s="26" t="str">
        <f t="shared" si="0"/>
        <v>Friday</v>
      </c>
      <c r="C13" s="26" t="s">
        <v>215</v>
      </c>
      <c r="D13" s="26" t="s">
        <v>215</v>
      </c>
      <c r="E13" s="26" t="s">
        <v>226</v>
      </c>
      <c r="F13" s="26" t="s">
        <v>64</v>
      </c>
      <c r="G13" s="26" t="s">
        <v>67</v>
      </c>
    </row>
    <row r="14" spans="1:7" x14ac:dyDescent="0.3">
      <c r="A14" s="27">
        <v>43973</v>
      </c>
      <c r="B14" s="26" t="str">
        <f t="shared" si="0"/>
        <v>Friday</v>
      </c>
      <c r="C14" s="26" t="s">
        <v>215</v>
      </c>
      <c r="D14" s="26" t="s">
        <v>215</v>
      </c>
      <c r="E14" s="30" t="s">
        <v>227</v>
      </c>
      <c r="F14" s="26" t="s">
        <v>64</v>
      </c>
      <c r="G14" s="26" t="s">
        <v>67</v>
      </c>
    </row>
    <row r="15" spans="1:7" x14ac:dyDescent="0.3">
      <c r="A15" s="27">
        <v>43973</v>
      </c>
      <c r="B15" s="26" t="str">
        <f t="shared" si="0"/>
        <v>Friday</v>
      </c>
      <c r="C15" s="26" t="s">
        <v>209</v>
      </c>
      <c r="D15" s="26" t="s">
        <v>209</v>
      </c>
      <c r="E15" s="26" t="s">
        <v>228</v>
      </c>
      <c r="F15" s="26" t="s">
        <v>64</v>
      </c>
      <c r="G15" s="26" t="s">
        <v>67</v>
      </c>
    </row>
    <row r="16" spans="1:7" x14ac:dyDescent="0.3">
      <c r="A16" s="34">
        <v>43796</v>
      </c>
      <c r="B16" s="35" t="str">
        <f t="shared" si="0"/>
        <v>Wednesday</v>
      </c>
      <c r="C16" s="35" t="s">
        <v>234</v>
      </c>
      <c r="D16" s="35" t="s">
        <v>215</v>
      </c>
      <c r="E16" s="35" t="s">
        <v>216</v>
      </c>
      <c r="F16" s="35" t="s">
        <v>65</v>
      </c>
      <c r="G16" s="36" t="s">
        <v>217</v>
      </c>
    </row>
    <row r="17" spans="1:7" x14ac:dyDescent="0.3">
      <c r="A17" s="34">
        <v>43854</v>
      </c>
      <c r="B17" s="35" t="str">
        <f t="shared" si="0"/>
        <v>Friday</v>
      </c>
      <c r="C17" s="35" t="s">
        <v>241</v>
      </c>
      <c r="D17" s="35" t="s">
        <v>215</v>
      </c>
      <c r="E17" s="35" t="s">
        <v>222</v>
      </c>
      <c r="F17" s="35" t="s">
        <v>64</v>
      </c>
      <c r="G17" s="36" t="s">
        <v>211</v>
      </c>
    </row>
  </sheetData>
  <autoFilter ref="A1:G15" xr:uid="{AA4674A3-4A4B-45E9-A44D-507B24DAFF2C}">
    <sortState ref="A2:G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Calendar</vt:lpstr>
      <vt:lpstr>Itemised TWBL</vt:lpstr>
      <vt:lpstr>Itemised Edenbridge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aMy LiM</dc:creator>
  <cp:lastModifiedBy>ROGER BUTLER</cp:lastModifiedBy>
  <cp:lastPrinted>2014-10-28T20:22:48Z</cp:lastPrinted>
  <dcterms:created xsi:type="dcterms:W3CDTF">2014-06-13T13:40:16Z</dcterms:created>
  <dcterms:modified xsi:type="dcterms:W3CDTF">2019-11-05T21:58:49Z</dcterms:modified>
</cp:coreProperties>
</file>