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hidePivotFieldList="1" defaultThemeVersion="166925"/>
  <mc:AlternateContent xmlns:mc="http://schemas.openxmlformats.org/markup-compatibility/2006">
    <mc:Choice Requires="x15">
      <x15ac:absPath xmlns:x15ac="http://schemas.microsoft.com/office/spreadsheetml/2010/11/ac" url="C:\Users\raisa\Desktop\Business Analysis\"/>
    </mc:Choice>
  </mc:AlternateContent>
  <xr:revisionPtr revIDLastSave="0" documentId="8_{85464F72-96F1-4380-B20E-796AF08EF90C}" xr6:coauthVersionLast="47" xr6:coauthVersionMax="47" xr10:uidLastSave="{00000000-0000-0000-0000-000000000000}"/>
  <bookViews>
    <workbookView xWindow="-108" yWindow="-108" windowWidth="23256" windowHeight="12456" firstSheet="3" activeTab="5" xr2:uid="{00000000-000D-0000-FFFF-FFFF00000000}"/>
  </bookViews>
  <sheets>
    <sheet name="5.ID" sheetId="4" state="veryHidden" r:id="rId1"/>
    <sheet name="Financial information " sheetId="50" r:id="rId2"/>
    <sheet name="SI and regression Pt 1" sheetId="51" r:id="rId3"/>
    <sheet name="Current operations Pt2 &amp; Pt3 " sheetId="52" r:id="rId4"/>
    <sheet name="Franchise operations Pt2 &amp; Pt3" sheetId="53" r:id="rId5"/>
    <sheet name="Expected Values Pt3" sheetId="54" r:id="rId6"/>
  </sheets>
  <definedNames>
    <definedName name="solver_eng" localSheetId="2" hidden="1">1</definedName>
    <definedName name="solver_lin" localSheetId="2" hidden="1">2</definedName>
    <definedName name="solver_neg" localSheetId="2" hidden="1">1</definedName>
    <definedName name="solver_num" localSheetId="2" hidden="1">0</definedName>
    <definedName name="solver_opt" localSheetId="2" hidden="1">'SI and regression Pt 1'!$H$7</definedName>
    <definedName name="solver_typ" localSheetId="2" hidden="1">1</definedName>
    <definedName name="solver_val" localSheetId="2" hidden="1">0</definedName>
    <definedName name="solver_ver" localSheetId="2" hidden="1">2</definedName>
  </definedNames>
  <calcPr calcId="191028"/>
  <fileRecoveryPr autoRecover="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54" l="1"/>
  <c r="N7" i="54"/>
  <c r="N6" i="54"/>
  <c r="N5" i="54"/>
  <c r="M7" i="54"/>
  <c r="M6" i="54"/>
  <c r="M5" i="54"/>
  <c r="L7" i="54"/>
  <c r="K7" i="54"/>
  <c r="L6" i="54"/>
  <c r="L5" i="54"/>
  <c r="K6" i="54"/>
  <c r="K5" i="54"/>
  <c r="J7" i="54"/>
  <c r="J6" i="54"/>
  <c r="J5" i="54"/>
  <c r="I7" i="54"/>
  <c r="I6" i="54"/>
  <c r="I5" i="54"/>
  <c r="F59" i="54"/>
  <c r="D7" i="54"/>
  <c r="D59" i="54" s="1"/>
  <c r="D14" i="54"/>
  <c r="E59" i="54"/>
  <c r="E58" i="54"/>
  <c r="C59" i="54"/>
  <c r="C58" i="54"/>
  <c r="D57" i="54"/>
  <c r="E57" i="54"/>
  <c r="C57" i="54"/>
  <c r="E50" i="54"/>
  <c r="C50" i="54"/>
  <c r="G42" i="54"/>
  <c r="F43" i="54"/>
  <c r="F42" i="54"/>
  <c r="D43" i="54"/>
  <c r="E43" i="54"/>
  <c r="C43" i="54"/>
  <c r="E42" i="54"/>
  <c r="D42" i="54"/>
  <c r="C42" i="54"/>
  <c r="E49" i="54"/>
  <c r="D49" i="54"/>
  <c r="C49" i="54"/>
  <c r="C41" i="54"/>
  <c r="E41" i="54"/>
  <c r="D41" i="54"/>
  <c r="E35" i="54"/>
  <c r="C35" i="54"/>
  <c r="E34" i="54"/>
  <c r="C34" i="54"/>
  <c r="E7" i="54"/>
  <c r="C7" i="54"/>
  <c r="G27" i="54"/>
  <c r="F28" i="54"/>
  <c r="F27" i="54"/>
  <c r="G20" i="54"/>
  <c r="F21" i="54"/>
  <c r="F20" i="54"/>
  <c r="E28" i="54"/>
  <c r="E27" i="54"/>
  <c r="D28" i="54"/>
  <c r="D27" i="54"/>
  <c r="C28" i="54"/>
  <c r="C27" i="54"/>
  <c r="E21" i="54"/>
  <c r="E20" i="54"/>
  <c r="D21" i="54"/>
  <c r="D20" i="54"/>
  <c r="C21" i="54"/>
  <c r="C20" i="54"/>
  <c r="G13" i="54"/>
  <c r="F14" i="54"/>
  <c r="F13" i="54"/>
  <c r="E14" i="54"/>
  <c r="E13" i="54"/>
  <c r="D13" i="54"/>
  <c r="C14" i="54"/>
  <c r="C13" i="54"/>
  <c r="D6" i="54"/>
  <c r="E6" i="54"/>
  <c r="C6" i="54"/>
  <c r="E5" i="54"/>
  <c r="D5" i="54"/>
  <c r="C5" i="54"/>
  <c r="I71" i="53"/>
  <c r="H71" i="53"/>
  <c r="G71" i="53"/>
  <c r="F71" i="53"/>
  <c r="M70" i="53"/>
  <c r="L70" i="53"/>
  <c r="K70" i="53"/>
  <c r="J70" i="53"/>
  <c r="I70" i="53"/>
  <c r="H70" i="53"/>
  <c r="G70" i="53"/>
  <c r="F70" i="53"/>
  <c r="E70" i="53"/>
  <c r="E71" i="53" s="1"/>
  <c r="D70" i="53"/>
  <c r="C70" i="53"/>
  <c r="B70" i="53"/>
  <c r="N70" i="53" s="1"/>
  <c r="M69" i="53"/>
  <c r="M71" i="53" s="1"/>
  <c r="L69" i="53"/>
  <c r="L71" i="53" s="1"/>
  <c r="K69" i="53"/>
  <c r="K71" i="53" s="1"/>
  <c r="J69" i="53"/>
  <c r="J71" i="53" s="1"/>
  <c r="I69" i="53"/>
  <c r="H69" i="53"/>
  <c r="G69" i="53"/>
  <c r="F69" i="53"/>
  <c r="E69" i="53"/>
  <c r="D69" i="53"/>
  <c r="D71" i="53" s="1"/>
  <c r="C69" i="53"/>
  <c r="C71" i="53" s="1"/>
  <c r="B69" i="53"/>
  <c r="N69" i="53" s="1"/>
  <c r="M66" i="53"/>
  <c r="M73" i="53" s="1"/>
  <c r="L66" i="53"/>
  <c r="K66" i="53"/>
  <c r="K73" i="53" s="1"/>
  <c r="J66" i="53"/>
  <c r="I66" i="53"/>
  <c r="H66" i="53"/>
  <c r="G66" i="53"/>
  <c r="G73" i="53" s="1"/>
  <c r="F66" i="53"/>
  <c r="E66" i="53"/>
  <c r="D66" i="53"/>
  <c r="C66" i="53"/>
  <c r="B66" i="53"/>
  <c r="M65" i="53"/>
  <c r="L65" i="53"/>
  <c r="K65" i="53"/>
  <c r="J65" i="53"/>
  <c r="N65" i="53" s="1"/>
  <c r="I65" i="53"/>
  <c r="H65" i="53"/>
  <c r="G65" i="53"/>
  <c r="F65" i="53"/>
  <c r="E65" i="53"/>
  <c r="D65" i="53"/>
  <c r="C65" i="53"/>
  <c r="B65" i="53"/>
  <c r="M58" i="53"/>
  <c r="M72" i="53" s="1"/>
  <c r="L58" i="53"/>
  <c r="L72" i="53" s="1"/>
  <c r="K58" i="53"/>
  <c r="K72" i="53" s="1"/>
  <c r="L57" i="53"/>
  <c r="L62" i="53" s="1"/>
  <c r="K57" i="53"/>
  <c r="K62" i="53" s="1"/>
  <c r="J57" i="53"/>
  <c r="J62" i="53" s="1"/>
  <c r="I57" i="53"/>
  <c r="I62" i="53" s="1"/>
  <c r="H57" i="53"/>
  <c r="H62" i="53" s="1"/>
  <c r="I56" i="53"/>
  <c r="I60" i="53" s="1"/>
  <c r="H56" i="53"/>
  <c r="H60" i="53" s="1"/>
  <c r="G56" i="53"/>
  <c r="G60" i="53" s="1"/>
  <c r="F56" i="53"/>
  <c r="F60" i="53" s="1"/>
  <c r="E56" i="53"/>
  <c r="E60" i="53" s="1"/>
  <c r="M55" i="53"/>
  <c r="M56" i="53" s="1"/>
  <c r="L55" i="53"/>
  <c r="L56" i="53" s="1"/>
  <c r="K55" i="53"/>
  <c r="K56" i="53" s="1"/>
  <c r="J55" i="53"/>
  <c r="J56" i="53" s="1"/>
  <c r="I55" i="53"/>
  <c r="I58" i="53" s="1"/>
  <c r="I72" i="53" s="1"/>
  <c r="H55" i="53"/>
  <c r="H58" i="53" s="1"/>
  <c r="H72" i="53" s="1"/>
  <c r="G55" i="53"/>
  <c r="G58" i="53" s="1"/>
  <c r="G72" i="53" s="1"/>
  <c r="F55" i="53"/>
  <c r="F57" i="53" s="1"/>
  <c r="F62" i="53" s="1"/>
  <c r="E55" i="53"/>
  <c r="E57" i="53" s="1"/>
  <c r="E62" i="53" s="1"/>
  <c r="D55" i="53"/>
  <c r="D57" i="53" s="1"/>
  <c r="D62" i="53" s="1"/>
  <c r="C55" i="53"/>
  <c r="C56" i="53" s="1"/>
  <c r="B55" i="53"/>
  <c r="B56" i="53" s="1"/>
  <c r="B30" i="53"/>
  <c r="B31" i="53" s="1"/>
  <c r="C30" i="53"/>
  <c r="D30" i="53"/>
  <c r="D33" i="53" s="1"/>
  <c r="D47" i="53" s="1"/>
  <c r="E30" i="53"/>
  <c r="F30" i="53"/>
  <c r="G30" i="53"/>
  <c r="H30" i="53"/>
  <c r="I30" i="53"/>
  <c r="J30" i="53"/>
  <c r="K30" i="53"/>
  <c r="L30" i="53"/>
  <c r="M30" i="53"/>
  <c r="M33" i="53" s="1"/>
  <c r="M47" i="53" s="1"/>
  <c r="F32" i="53"/>
  <c r="F37" i="53" s="1"/>
  <c r="G32" i="53"/>
  <c r="G37" i="53" s="1"/>
  <c r="H31" i="53"/>
  <c r="I31" i="53"/>
  <c r="G46" i="53"/>
  <c r="F46" i="53"/>
  <c r="M45" i="53"/>
  <c r="L45" i="53"/>
  <c r="K45" i="53"/>
  <c r="J45" i="53"/>
  <c r="I45" i="53"/>
  <c r="H45" i="53"/>
  <c r="G45" i="53"/>
  <c r="F45" i="53"/>
  <c r="E45" i="53"/>
  <c r="D45" i="53"/>
  <c r="C45" i="53"/>
  <c r="N45" i="53" s="1"/>
  <c r="B45" i="53"/>
  <c r="M44" i="53"/>
  <c r="M46" i="53" s="1"/>
  <c r="L44" i="53"/>
  <c r="L46" i="53" s="1"/>
  <c r="K44" i="53"/>
  <c r="K46" i="53" s="1"/>
  <c r="J44" i="53"/>
  <c r="J46" i="53" s="1"/>
  <c r="I44" i="53"/>
  <c r="I46" i="53" s="1"/>
  <c r="H44" i="53"/>
  <c r="H46" i="53" s="1"/>
  <c r="G44" i="53"/>
  <c r="F44" i="53"/>
  <c r="E44" i="53"/>
  <c r="E46" i="53" s="1"/>
  <c r="D44" i="53"/>
  <c r="D46" i="53" s="1"/>
  <c r="C44" i="53"/>
  <c r="C46" i="53" s="1"/>
  <c r="B44" i="53"/>
  <c r="N44" i="53" s="1"/>
  <c r="N46" i="53" s="1"/>
  <c r="M41" i="53"/>
  <c r="L41" i="53"/>
  <c r="K41" i="53"/>
  <c r="J41" i="53"/>
  <c r="I41" i="53"/>
  <c r="H41" i="53"/>
  <c r="G41" i="53"/>
  <c r="F41" i="53"/>
  <c r="E41" i="53"/>
  <c r="D41" i="53"/>
  <c r="C41" i="53"/>
  <c r="B41" i="53"/>
  <c r="M40" i="53"/>
  <c r="L40" i="53"/>
  <c r="K40" i="53"/>
  <c r="J40" i="53"/>
  <c r="I40" i="53"/>
  <c r="H40" i="53"/>
  <c r="G40" i="53"/>
  <c r="F40" i="53"/>
  <c r="E40" i="53"/>
  <c r="D40" i="53"/>
  <c r="C40" i="53"/>
  <c r="B40" i="53"/>
  <c r="N40" i="53" s="1"/>
  <c r="L33" i="53"/>
  <c r="L47" i="53" s="1"/>
  <c r="E33" i="53"/>
  <c r="E47" i="53" s="1"/>
  <c r="C33" i="53"/>
  <c r="C47" i="53" s="1"/>
  <c r="M31" i="53"/>
  <c r="M36" i="53" s="1"/>
  <c r="G31" i="53"/>
  <c r="G36" i="53" s="1"/>
  <c r="E31" i="53"/>
  <c r="E35" i="53" s="1"/>
  <c r="L31" i="53"/>
  <c r="K31" i="53"/>
  <c r="J32" i="53"/>
  <c r="J37" i="53" s="1"/>
  <c r="H33" i="53"/>
  <c r="H47" i="53" s="1"/>
  <c r="E32" i="53"/>
  <c r="E37" i="53" s="1"/>
  <c r="D32" i="53"/>
  <c r="D37" i="53" s="1"/>
  <c r="C31" i="53"/>
  <c r="N5" i="53"/>
  <c r="C55" i="52"/>
  <c r="D55" i="52"/>
  <c r="E55" i="52"/>
  <c r="F55" i="52"/>
  <c r="F56" i="52" s="1"/>
  <c r="F60" i="52" s="1"/>
  <c r="G55" i="52"/>
  <c r="H55" i="52"/>
  <c r="H56" i="52" s="1"/>
  <c r="H60" i="52" s="1"/>
  <c r="I55" i="52"/>
  <c r="J55" i="52"/>
  <c r="K55" i="52"/>
  <c r="L55" i="52"/>
  <c r="L58" i="52" s="1"/>
  <c r="L72" i="52" s="1"/>
  <c r="L73" i="52" s="1"/>
  <c r="M55" i="52"/>
  <c r="M58" i="52" s="1"/>
  <c r="M72" i="52" s="1"/>
  <c r="B55" i="52"/>
  <c r="I72" i="52"/>
  <c r="L71" i="52"/>
  <c r="J71" i="52"/>
  <c r="I71" i="52"/>
  <c r="H71" i="52"/>
  <c r="G71" i="52"/>
  <c r="F71" i="52"/>
  <c r="M70" i="52"/>
  <c r="L70" i="52"/>
  <c r="K70" i="52"/>
  <c r="K71" i="52" s="1"/>
  <c r="J70" i="52"/>
  <c r="I70" i="52"/>
  <c r="H70" i="52"/>
  <c r="G70" i="52"/>
  <c r="F70" i="52"/>
  <c r="E70" i="52"/>
  <c r="D70" i="52"/>
  <c r="C70" i="52"/>
  <c r="N70" i="52" s="1"/>
  <c r="B70" i="52"/>
  <c r="M69" i="52"/>
  <c r="M71" i="52" s="1"/>
  <c r="L69" i="52"/>
  <c r="K69" i="52"/>
  <c r="J69" i="52"/>
  <c r="I69" i="52"/>
  <c r="H69" i="52"/>
  <c r="G69" i="52"/>
  <c r="F69" i="52"/>
  <c r="E69" i="52"/>
  <c r="E71" i="52" s="1"/>
  <c r="D69" i="52"/>
  <c r="D71" i="52" s="1"/>
  <c r="C69" i="52"/>
  <c r="C71" i="52" s="1"/>
  <c r="B69" i="52"/>
  <c r="N69" i="52" s="1"/>
  <c r="N71" i="52" s="1"/>
  <c r="M66" i="52"/>
  <c r="N66" i="52" s="1"/>
  <c r="L66" i="52"/>
  <c r="K66" i="52"/>
  <c r="J66" i="52"/>
  <c r="I66" i="52"/>
  <c r="H66" i="52"/>
  <c r="G66" i="52"/>
  <c r="F66" i="52"/>
  <c r="E66" i="52"/>
  <c r="D66" i="52"/>
  <c r="C66" i="52"/>
  <c r="B66" i="52"/>
  <c r="M65" i="52"/>
  <c r="L65" i="52"/>
  <c r="K65" i="52"/>
  <c r="J65" i="52"/>
  <c r="N65" i="52" s="1"/>
  <c r="I65" i="52"/>
  <c r="H65" i="52"/>
  <c r="G65" i="52"/>
  <c r="F65" i="52"/>
  <c r="E65" i="52"/>
  <c r="D65" i="52"/>
  <c r="C65" i="52"/>
  <c r="B65" i="52"/>
  <c r="K58" i="52"/>
  <c r="K72" i="52" s="1"/>
  <c r="I58" i="52"/>
  <c r="M57" i="52"/>
  <c r="M62" i="52" s="1"/>
  <c r="L57" i="52"/>
  <c r="L62" i="52" s="1"/>
  <c r="K57" i="52"/>
  <c r="K62" i="52" s="1"/>
  <c r="J57" i="52"/>
  <c r="J62" i="52" s="1"/>
  <c r="I57" i="52"/>
  <c r="I62" i="52" s="1"/>
  <c r="H57" i="52"/>
  <c r="H62" i="52" s="1"/>
  <c r="M56" i="52"/>
  <c r="M60" i="52" s="1"/>
  <c r="K56" i="52"/>
  <c r="K60" i="52" s="1"/>
  <c r="I56" i="52"/>
  <c r="I60" i="52" s="1"/>
  <c r="G56" i="52"/>
  <c r="G60" i="52" s="1"/>
  <c r="E56" i="52"/>
  <c r="E61" i="52" s="1"/>
  <c r="L56" i="52"/>
  <c r="J58" i="52"/>
  <c r="J72" i="52" s="1"/>
  <c r="G57" i="52"/>
  <c r="G62" i="52" s="1"/>
  <c r="F57" i="52"/>
  <c r="F62" i="52" s="1"/>
  <c r="E57" i="52"/>
  <c r="E62" i="52" s="1"/>
  <c r="D56" i="52"/>
  <c r="C56" i="52"/>
  <c r="B56" i="52"/>
  <c r="C30" i="52"/>
  <c r="D30" i="52"/>
  <c r="E30" i="52"/>
  <c r="F30" i="52"/>
  <c r="F32" i="52" s="1"/>
  <c r="F37" i="52" s="1"/>
  <c r="G30" i="52"/>
  <c r="G33" i="52" s="1"/>
  <c r="G47" i="52" s="1"/>
  <c r="H30" i="52"/>
  <c r="H33" i="52" s="1"/>
  <c r="H47" i="52" s="1"/>
  <c r="I30" i="52"/>
  <c r="I31" i="52" s="1"/>
  <c r="I35" i="52" s="1"/>
  <c r="J30" i="52"/>
  <c r="K30" i="52"/>
  <c r="K31" i="52" s="1"/>
  <c r="K35" i="52" s="1"/>
  <c r="L30" i="52"/>
  <c r="L31" i="52" s="1"/>
  <c r="L35" i="52" s="1"/>
  <c r="M30" i="52"/>
  <c r="M31" i="52" s="1"/>
  <c r="B30" i="52"/>
  <c r="I46" i="52"/>
  <c r="B46" i="52"/>
  <c r="M45" i="52"/>
  <c r="L45" i="52"/>
  <c r="K45" i="52"/>
  <c r="J45" i="52"/>
  <c r="I45" i="52"/>
  <c r="H45" i="52"/>
  <c r="G45" i="52"/>
  <c r="F45" i="52"/>
  <c r="E45" i="52"/>
  <c r="D45" i="52"/>
  <c r="C45" i="52"/>
  <c r="B45" i="52"/>
  <c r="N45" i="52" s="1"/>
  <c r="M44" i="52"/>
  <c r="M46" i="52" s="1"/>
  <c r="L44" i="52"/>
  <c r="L46" i="52" s="1"/>
  <c r="K44" i="52"/>
  <c r="K46" i="52" s="1"/>
  <c r="J44" i="52"/>
  <c r="J46" i="52" s="1"/>
  <c r="I44" i="52"/>
  <c r="H44" i="52"/>
  <c r="H46" i="52" s="1"/>
  <c r="G44" i="52"/>
  <c r="G46" i="52" s="1"/>
  <c r="F44" i="52"/>
  <c r="F46" i="52" s="1"/>
  <c r="E44" i="52"/>
  <c r="E46" i="52" s="1"/>
  <c r="D44" i="52"/>
  <c r="D46" i="52" s="1"/>
  <c r="C44" i="52"/>
  <c r="C46" i="52" s="1"/>
  <c r="B44" i="52"/>
  <c r="N44" i="52" s="1"/>
  <c r="M41" i="52"/>
  <c r="L41" i="52"/>
  <c r="K41" i="52"/>
  <c r="J41" i="52"/>
  <c r="I41" i="52"/>
  <c r="H41" i="52"/>
  <c r="G41" i="52"/>
  <c r="F41" i="52"/>
  <c r="E41" i="52"/>
  <c r="D41" i="52"/>
  <c r="C41" i="52"/>
  <c r="B41" i="52"/>
  <c r="M40" i="52"/>
  <c r="L40" i="52"/>
  <c r="K40" i="52"/>
  <c r="J40" i="52"/>
  <c r="I40" i="52"/>
  <c r="H40" i="52"/>
  <c r="G40" i="52"/>
  <c r="F40" i="52"/>
  <c r="E40" i="52"/>
  <c r="D40" i="52"/>
  <c r="C40" i="52"/>
  <c r="B40" i="52"/>
  <c r="N40" i="52" s="1"/>
  <c r="D32" i="52"/>
  <c r="D37" i="52" s="1"/>
  <c r="J31" i="52"/>
  <c r="J36" i="52" s="1"/>
  <c r="F31" i="52"/>
  <c r="F35" i="52" s="1"/>
  <c r="K33" i="52"/>
  <c r="K47" i="52" s="1"/>
  <c r="J33" i="52"/>
  <c r="J47" i="52" s="1"/>
  <c r="I33" i="52"/>
  <c r="I47" i="52" s="1"/>
  <c r="E32" i="52"/>
  <c r="E37" i="52" s="1"/>
  <c r="D31" i="52"/>
  <c r="C31" i="52"/>
  <c r="B31" i="52"/>
  <c r="N23" i="53"/>
  <c r="D22" i="53"/>
  <c r="C20" i="53"/>
  <c r="D20" i="53"/>
  <c r="E20" i="53"/>
  <c r="F20" i="53"/>
  <c r="G20" i="53"/>
  <c r="H20" i="53"/>
  <c r="H21" i="53" s="1"/>
  <c r="I20" i="53"/>
  <c r="J20" i="53"/>
  <c r="K20" i="53"/>
  <c r="L20" i="53"/>
  <c r="M20" i="53"/>
  <c r="B20" i="53"/>
  <c r="B19" i="53"/>
  <c r="C12" i="53"/>
  <c r="D12" i="53"/>
  <c r="E12" i="53"/>
  <c r="F12" i="53"/>
  <c r="G12" i="53"/>
  <c r="H12" i="53"/>
  <c r="I12" i="53"/>
  <c r="N12" i="53" s="1"/>
  <c r="J12" i="53"/>
  <c r="K12" i="53"/>
  <c r="L12" i="53"/>
  <c r="M12" i="53"/>
  <c r="C11" i="53"/>
  <c r="D11" i="53"/>
  <c r="E11" i="53"/>
  <c r="F11" i="53"/>
  <c r="N11" i="53" s="1"/>
  <c r="G11" i="53"/>
  <c r="H11" i="53"/>
  <c r="I11" i="53"/>
  <c r="J11" i="53"/>
  <c r="K11" i="53"/>
  <c r="L11" i="53"/>
  <c r="M11" i="53"/>
  <c r="B11" i="53"/>
  <c r="C10" i="53"/>
  <c r="D10" i="53"/>
  <c r="E10" i="53"/>
  <c r="F10" i="53"/>
  <c r="G10" i="53"/>
  <c r="H10" i="53"/>
  <c r="I10" i="53"/>
  <c r="J10" i="53"/>
  <c r="K10" i="53"/>
  <c r="L10" i="53"/>
  <c r="M10" i="53"/>
  <c r="B10" i="53"/>
  <c r="C19" i="53"/>
  <c r="D19" i="53"/>
  <c r="E19" i="53"/>
  <c r="F19" i="53"/>
  <c r="F21" i="53" s="1"/>
  <c r="G19" i="53"/>
  <c r="H19" i="53"/>
  <c r="I19" i="53"/>
  <c r="I21" i="53" s="1"/>
  <c r="J19" i="53"/>
  <c r="K19" i="53"/>
  <c r="L19" i="53"/>
  <c r="M19" i="53"/>
  <c r="M21" i="53" s="1"/>
  <c r="B21" i="53"/>
  <c r="C16" i="53"/>
  <c r="D16" i="53"/>
  <c r="E16" i="53"/>
  <c r="F16" i="53"/>
  <c r="G16" i="53"/>
  <c r="H16" i="53"/>
  <c r="N16" i="53" s="1"/>
  <c r="I16" i="53"/>
  <c r="J16" i="53"/>
  <c r="K16" i="53"/>
  <c r="L16" i="53"/>
  <c r="M16" i="53"/>
  <c r="B16" i="53"/>
  <c r="C15" i="53"/>
  <c r="D15" i="53"/>
  <c r="E15" i="53"/>
  <c r="F15" i="53"/>
  <c r="G15" i="53"/>
  <c r="H15" i="53"/>
  <c r="I15" i="53"/>
  <c r="N15" i="53" s="1"/>
  <c r="J15" i="53"/>
  <c r="K15" i="53"/>
  <c r="L15" i="53"/>
  <c r="M15" i="53"/>
  <c r="B15" i="53"/>
  <c r="B12" i="53"/>
  <c r="C5" i="53"/>
  <c r="D5" i="53"/>
  <c r="E5" i="53"/>
  <c r="F5" i="53"/>
  <c r="F8" i="53" s="1"/>
  <c r="F22" i="53" s="1"/>
  <c r="G5" i="53"/>
  <c r="G6" i="53" s="1"/>
  <c r="H5" i="53"/>
  <c r="H7" i="53" s="1"/>
  <c r="I5" i="53"/>
  <c r="I7" i="53" s="1"/>
  <c r="J5" i="53"/>
  <c r="K5" i="53"/>
  <c r="L5" i="53"/>
  <c r="L8" i="53" s="1"/>
  <c r="L22" i="53" s="1"/>
  <c r="M5" i="53"/>
  <c r="B5" i="53"/>
  <c r="B8" i="53" s="1"/>
  <c r="B22" i="53" s="1"/>
  <c r="C6" i="53"/>
  <c r="D6" i="53"/>
  <c r="E6" i="53"/>
  <c r="I6" i="53"/>
  <c r="J6" i="53"/>
  <c r="K6" i="53"/>
  <c r="M6" i="53"/>
  <c r="G21" i="53"/>
  <c r="N20" i="53"/>
  <c r="L21" i="53"/>
  <c r="K21" i="53"/>
  <c r="J21" i="53"/>
  <c r="E21" i="53"/>
  <c r="D21" i="53"/>
  <c r="C21" i="53"/>
  <c r="M8" i="53"/>
  <c r="M22" i="53" s="1"/>
  <c r="K8" i="53"/>
  <c r="K22" i="53" s="1"/>
  <c r="J8" i="53"/>
  <c r="J22" i="53" s="1"/>
  <c r="I8" i="53"/>
  <c r="I22" i="53" s="1"/>
  <c r="E8" i="53"/>
  <c r="E22" i="53" s="1"/>
  <c r="D8" i="53"/>
  <c r="C8" i="53"/>
  <c r="C22" i="53" s="1"/>
  <c r="M7" i="53"/>
  <c r="K7" i="53"/>
  <c r="J7" i="53"/>
  <c r="E7" i="53"/>
  <c r="D7" i="53"/>
  <c r="C7" i="53"/>
  <c r="C25" i="52"/>
  <c r="D25" i="52"/>
  <c r="E25" i="52"/>
  <c r="F25" i="52"/>
  <c r="G25" i="52"/>
  <c r="H25" i="52"/>
  <c r="I25" i="52"/>
  <c r="J25" i="52"/>
  <c r="K25" i="52"/>
  <c r="L25" i="52"/>
  <c r="M25" i="52"/>
  <c r="N25" i="52"/>
  <c r="B25" i="52"/>
  <c r="C23" i="52"/>
  <c r="D23" i="52"/>
  <c r="E23" i="52"/>
  <c r="F23" i="52"/>
  <c r="G23" i="52"/>
  <c r="H23" i="52"/>
  <c r="I23" i="52"/>
  <c r="J23" i="52"/>
  <c r="K23" i="52"/>
  <c r="L23" i="52"/>
  <c r="M23" i="52"/>
  <c r="B23" i="52"/>
  <c r="C21" i="52"/>
  <c r="D21" i="52"/>
  <c r="E21" i="52"/>
  <c r="F21" i="52"/>
  <c r="G21" i="52"/>
  <c r="H21" i="52"/>
  <c r="I21" i="52"/>
  <c r="J21" i="52"/>
  <c r="K21" i="52"/>
  <c r="L21" i="52"/>
  <c r="M21" i="52"/>
  <c r="B21" i="52"/>
  <c r="C13" i="52"/>
  <c r="D13" i="52"/>
  <c r="E13" i="52"/>
  <c r="F13" i="52"/>
  <c r="G13" i="52"/>
  <c r="H13" i="52"/>
  <c r="I13" i="52"/>
  <c r="J13" i="52"/>
  <c r="K13" i="52"/>
  <c r="L13" i="52"/>
  <c r="M13" i="52"/>
  <c r="B13" i="52"/>
  <c r="N23" i="52"/>
  <c r="N22" i="52"/>
  <c r="C22" i="52"/>
  <c r="D22" i="52"/>
  <c r="E22" i="52"/>
  <c r="F22" i="52"/>
  <c r="G22" i="52"/>
  <c r="H22" i="52"/>
  <c r="I22" i="52"/>
  <c r="J22" i="52"/>
  <c r="K22" i="52"/>
  <c r="L22" i="52"/>
  <c r="M22" i="52"/>
  <c r="B22" i="52"/>
  <c r="N21" i="52"/>
  <c r="N20" i="52"/>
  <c r="N19" i="52"/>
  <c r="C20" i="52"/>
  <c r="D20" i="52"/>
  <c r="E20" i="52"/>
  <c r="F20" i="52"/>
  <c r="G20" i="52"/>
  <c r="H20" i="52"/>
  <c r="I20" i="52"/>
  <c r="J20" i="52"/>
  <c r="K20" i="52"/>
  <c r="L20" i="52"/>
  <c r="M20" i="52"/>
  <c r="B20" i="52"/>
  <c r="N16" i="52"/>
  <c r="C15" i="52"/>
  <c r="D15" i="52"/>
  <c r="E15" i="52"/>
  <c r="F15" i="52"/>
  <c r="G15" i="52"/>
  <c r="N15" i="52" s="1"/>
  <c r="H15" i="52"/>
  <c r="I15" i="52"/>
  <c r="J15" i="52"/>
  <c r="K15" i="52"/>
  <c r="L15" i="52"/>
  <c r="M15" i="52"/>
  <c r="C16" i="52"/>
  <c r="D16" i="52"/>
  <c r="E16" i="52"/>
  <c r="F16" i="52"/>
  <c r="G16" i="52"/>
  <c r="H16" i="52"/>
  <c r="I16" i="52"/>
  <c r="J16" i="52"/>
  <c r="K16" i="52"/>
  <c r="L16" i="52"/>
  <c r="M16" i="52"/>
  <c r="B16" i="52"/>
  <c r="B15" i="52"/>
  <c r="C19" i="52"/>
  <c r="D19" i="52"/>
  <c r="E19" i="52"/>
  <c r="F19" i="52"/>
  <c r="G19" i="52"/>
  <c r="H19" i="52"/>
  <c r="I19" i="52"/>
  <c r="J19" i="52"/>
  <c r="K19" i="52"/>
  <c r="L19" i="52"/>
  <c r="M19" i="52"/>
  <c r="B19" i="52"/>
  <c r="F8" i="50"/>
  <c r="F9" i="50"/>
  <c r="N13" i="52"/>
  <c r="N10" i="52"/>
  <c r="G8" i="52"/>
  <c r="N8" i="52" s="1"/>
  <c r="N11" i="52"/>
  <c r="N12" i="52"/>
  <c r="C12" i="52"/>
  <c r="D12" i="52"/>
  <c r="E12" i="52"/>
  <c r="F12" i="52"/>
  <c r="G12" i="52"/>
  <c r="H12" i="52"/>
  <c r="I12" i="52"/>
  <c r="J12" i="52"/>
  <c r="K12" i="52"/>
  <c r="L12" i="52"/>
  <c r="M12" i="52"/>
  <c r="B12" i="52"/>
  <c r="C11" i="52"/>
  <c r="D11" i="52"/>
  <c r="E11" i="52"/>
  <c r="F11" i="52"/>
  <c r="G11" i="52"/>
  <c r="H11" i="52"/>
  <c r="I11" i="52"/>
  <c r="J11" i="52"/>
  <c r="K11" i="52"/>
  <c r="L11" i="52"/>
  <c r="M11" i="52"/>
  <c r="B11" i="52"/>
  <c r="C10" i="52"/>
  <c r="D10" i="52"/>
  <c r="E10" i="52"/>
  <c r="F10" i="52"/>
  <c r="G10" i="52"/>
  <c r="H10" i="52"/>
  <c r="I10" i="52"/>
  <c r="J10" i="52"/>
  <c r="K10" i="52"/>
  <c r="L10" i="52"/>
  <c r="M10" i="52"/>
  <c r="B10" i="52"/>
  <c r="C8" i="52"/>
  <c r="D8" i="52"/>
  <c r="E8" i="52"/>
  <c r="F8" i="52"/>
  <c r="H8" i="52"/>
  <c r="I8" i="52"/>
  <c r="J8" i="52"/>
  <c r="K8" i="52"/>
  <c r="L8" i="52"/>
  <c r="M8" i="52"/>
  <c r="B8" i="52"/>
  <c r="N7" i="52"/>
  <c r="N6" i="52"/>
  <c r="D6" i="52"/>
  <c r="N5" i="52"/>
  <c r="C7" i="52"/>
  <c r="D7" i="52"/>
  <c r="E7" i="52"/>
  <c r="F7" i="52"/>
  <c r="G7" i="52"/>
  <c r="H7" i="52"/>
  <c r="I7" i="52"/>
  <c r="J7" i="52"/>
  <c r="K7" i="52"/>
  <c r="L7" i="52"/>
  <c r="M7" i="52"/>
  <c r="B7" i="52"/>
  <c r="C6" i="52"/>
  <c r="E6" i="52"/>
  <c r="F6" i="52"/>
  <c r="G6" i="52"/>
  <c r="H6" i="52"/>
  <c r="I6" i="52"/>
  <c r="J6" i="52"/>
  <c r="K6" i="52"/>
  <c r="L6" i="52"/>
  <c r="M6" i="52"/>
  <c r="B6" i="52"/>
  <c r="M5" i="52"/>
  <c r="L5" i="52"/>
  <c r="K5" i="52"/>
  <c r="J5" i="52"/>
  <c r="I5" i="52"/>
  <c r="H5" i="52"/>
  <c r="G5" i="52"/>
  <c r="F5" i="52"/>
  <c r="E5" i="52"/>
  <c r="D5" i="52"/>
  <c r="C5" i="52"/>
  <c r="B5" i="52"/>
  <c r="E2" i="53"/>
  <c r="G2" i="53"/>
  <c r="F2" i="53"/>
  <c r="G2" i="52"/>
  <c r="F2" i="52"/>
  <c r="E2" i="52"/>
  <c r="F7" i="50"/>
  <c r="F6" i="50"/>
  <c r="H39" i="51"/>
  <c r="I39" i="51" s="1"/>
  <c r="H40" i="51"/>
  <c r="H41" i="51"/>
  <c r="H42" i="51"/>
  <c r="H43" i="51"/>
  <c r="H44" i="51"/>
  <c r="H45" i="51"/>
  <c r="H46" i="51"/>
  <c r="H47" i="51"/>
  <c r="H48" i="51"/>
  <c r="H49" i="51"/>
  <c r="H38" i="51"/>
  <c r="I45" i="51"/>
  <c r="E42" i="51"/>
  <c r="I40" i="51"/>
  <c r="I41" i="51"/>
  <c r="I42" i="51"/>
  <c r="I43" i="51"/>
  <c r="I44" i="51"/>
  <c r="I46" i="51"/>
  <c r="I47" i="51"/>
  <c r="I48" i="51"/>
  <c r="I49" i="51"/>
  <c r="I38" i="51"/>
  <c r="D50" i="54" l="1"/>
  <c r="F50" i="54" s="1"/>
  <c r="C52" i="54" s="1"/>
  <c r="D35" i="54"/>
  <c r="F35" i="54" s="1"/>
  <c r="D58" i="54"/>
  <c r="F58" i="54" s="1"/>
  <c r="G58" i="54" s="1"/>
  <c r="D34" i="54"/>
  <c r="F34" i="54" s="1"/>
  <c r="G34" i="54" s="1"/>
  <c r="B60" i="53"/>
  <c r="B61" i="53"/>
  <c r="C60" i="53"/>
  <c r="C61" i="53"/>
  <c r="D73" i="53"/>
  <c r="J60" i="53"/>
  <c r="J63" i="53" s="1"/>
  <c r="J61" i="53"/>
  <c r="K60" i="53"/>
  <c r="K63" i="53" s="1"/>
  <c r="K75" i="53" s="1"/>
  <c r="K61" i="53"/>
  <c r="L60" i="53"/>
  <c r="L63" i="53" s="1"/>
  <c r="L61" i="53"/>
  <c r="N71" i="53"/>
  <c r="M61" i="53"/>
  <c r="M60" i="53"/>
  <c r="M63" i="53" s="1"/>
  <c r="M75" i="53" s="1"/>
  <c r="H73" i="53"/>
  <c r="L73" i="53"/>
  <c r="E63" i="53"/>
  <c r="I73" i="53"/>
  <c r="D56" i="53"/>
  <c r="G57" i="53"/>
  <c r="G62" i="53" s="1"/>
  <c r="J58" i="53"/>
  <c r="J72" i="53" s="1"/>
  <c r="J73" i="53" s="1"/>
  <c r="N66" i="53"/>
  <c r="E61" i="53"/>
  <c r="M57" i="53"/>
  <c r="M62" i="53" s="1"/>
  <c r="F61" i="53"/>
  <c r="F63" i="53" s="1"/>
  <c r="F75" i="53" s="1"/>
  <c r="G61" i="53"/>
  <c r="G63" i="53" s="1"/>
  <c r="G75" i="53" s="1"/>
  <c r="B58" i="53"/>
  <c r="H61" i="53"/>
  <c r="H63" i="53" s="1"/>
  <c r="H75" i="53" s="1"/>
  <c r="C58" i="53"/>
  <c r="C72" i="53" s="1"/>
  <c r="C73" i="53" s="1"/>
  <c r="I61" i="53"/>
  <c r="I63" i="53" s="1"/>
  <c r="I75" i="53" s="1"/>
  <c r="D58" i="53"/>
  <c r="D72" i="53" s="1"/>
  <c r="B57" i="53"/>
  <c r="E58" i="53"/>
  <c r="E72" i="53" s="1"/>
  <c r="E73" i="53" s="1"/>
  <c r="C57" i="53"/>
  <c r="C62" i="53" s="1"/>
  <c r="F58" i="53"/>
  <c r="F72" i="53" s="1"/>
  <c r="F73" i="53" s="1"/>
  <c r="N55" i="53"/>
  <c r="B71" i="53"/>
  <c r="L48" i="53"/>
  <c r="I36" i="53"/>
  <c r="I35" i="53"/>
  <c r="H36" i="53"/>
  <c r="H35" i="53"/>
  <c r="I33" i="53"/>
  <c r="I47" i="53" s="1"/>
  <c r="I48" i="53" s="1"/>
  <c r="F33" i="53"/>
  <c r="F47" i="53" s="1"/>
  <c r="F48" i="53" s="1"/>
  <c r="G33" i="53"/>
  <c r="G47" i="53" s="1"/>
  <c r="G48" i="53" s="1"/>
  <c r="F31" i="53"/>
  <c r="H32" i="53"/>
  <c r="H37" i="53" s="1"/>
  <c r="I32" i="53"/>
  <c r="I37" i="53" s="1"/>
  <c r="G35" i="53"/>
  <c r="G38" i="53" s="1"/>
  <c r="C48" i="53"/>
  <c r="C35" i="53"/>
  <c r="C36" i="53"/>
  <c r="H48" i="53"/>
  <c r="M48" i="53"/>
  <c r="K36" i="53"/>
  <c r="K35" i="53"/>
  <c r="D48" i="53"/>
  <c r="L35" i="53"/>
  <c r="L36" i="53"/>
  <c r="H38" i="53"/>
  <c r="E48" i="53"/>
  <c r="B35" i="53"/>
  <c r="B36" i="53"/>
  <c r="D31" i="53"/>
  <c r="J33" i="53"/>
  <c r="J47" i="53" s="1"/>
  <c r="J48" i="53" s="1"/>
  <c r="M35" i="53"/>
  <c r="K33" i="53"/>
  <c r="K47" i="53" s="1"/>
  <c r="K48" i="53" s="1"/>
  <c r="L32" i="53"/>
  <c r="L37" i="53" s="1"/>
  <c r="E36" i="53"/>
  <c r="E38" i="53" s="1"/>
  <c r="J31" i="53"/>
  <c r="M32" i="53"/>
  <c r="M37" i="53" s="1"/>
  <c r="K32" i="53"/>
  <c r="K37" i="53" s="1"/>
  <c r="N41" i="53"/>
  <c r="B33" i="53"/>
  <c r="B46" i="53"/>
  <c r="B32" i="53"/>
  <c r="C32" i="53"/>
  <c r="C37" i="53" s="1"/>
  <c r="N30" i="53"/>
  <c r="I73" i="52"/>
  <c r="H58" i="52"/>
  <c r="H72" i="52" s="1"/>
  <c r="L60" i="52"/>
  <c r="L61" i="52"/>
  <c r="H73" i="52"/>
  <c r="B61" i="52"/>
  <c r="B60" i="52"/>
  <c r="C61" i="52"/>
  <c r="C60" i="52"/>
  <c r="J73" i="52"/>
  <c r="D61" i="52"/>
  <c r="D60" i="52"/>
  <c r="K73" i="52"/>
  <c r="M73" i="52"/>
  <c r="J56" i="52"/>
  <c r="F61" i="52"/>
  <c r="F63" i="52" s="1"/>
  <c r="G61" i="52"/>
  <c r="G63" i="52" s="1"/>
  <c r="B58" i="52"/>
  <c r="E60" i="52"/>
  <c r="E63" i="52" s="1"/>
  <c r="H61" i="52"/>
  <c r="H63" i="52" s="1"/>
  <c r="H75" i="52" s="1"/>
  <c r="D58" i="52"/>
  <c r="D72" i="52" s="1"/>
  <c r="D73" i="52" s="1"/>
  <c r="B57" i="52"/>
  <c r="E58" i="52"/>
  <c r="E72" i="52" s="1"/>
  <c r="E73" i="52" s="1"/>
  <c r="K61" i="52"/>
  <c r="K63" i="52" s="1"/>
  <c r="C58" i="52"/>
  <c r="C72" i="52" s="1"/>
  <c r="C73" i="52" s="1"/>
  <c r="I61" i="52"/>
  <c r="I63" i="52" s="1"/>
  <c r="I75" i="52" s="1"/>
  <c r="C57" i="52"/>
  <c r="C62" i="52" s="1"/>
  <c r="F58" i="52"/>
  <c r="F72" i="52" s="1"/>
  <c r="F73" i="52" s="1"/>
  <c r="N55" i="52"/>
  <c r="D57" i="52"/>
  <c r="D62" i="52" s="1"/>
  <c r="G58" i="52"/>
  <c r="G72" i="52" s="1"/>
  <c r="G73" i="52" s="1"/>
  <c r="M61" i="52"/>
  <c r="M63" i="52" s="1"/>
  <c r="M75" i="52" s="1"/>
  <c r="B71" i="52"/>
  <c r="M35" i="52"/>
  <c r="M36" i="52"/>
  <c r="J35" i="52"/>
  <c r="L32" i="52"/>
  <c r="L37" i="52" s="1"/>
  <c r="M32" i="52"/>
  <c r="M37" i="52" s="1"/>
  <c r="J48" i="52"/>
  <c r="H31" i="52"/>
  <c r="H35" i="52" s="1"/>
  <c r="K48" i="52"/>
  <c r="K32" i="52"/>
  <c r="K37" i="52" s="1"/>
  <c r="N30" i="52"/>
  <c r="I48" i="52"/>
  <c r="G32" i="52"/>
  <c r="G37" i="52" s="1"/>
  <c r="D35" i="52"/>
  <c r="D36" i="52"/>
  <c r="M38" i="52"/>
  <c r="K38" i="52"/>
  <c r="K50" i="52" s="1"/>
  <c r="H48" i="52"/>
  <c r="N46" i="52"/>
  <c r="B35" i="52"/>
  <c r="B36" i="52"/>
  <c r="C35" i="52"/>
  <c r="C36" i="52"/>
  <c r="G48" i="52"/>
  <c r="E31" i="52"/>
  <c r="H32" i="52"/>
  <c r="H37" i="52" s="1"/>
  <c r="I32" i="52"/>
  <c r="I37" i="52" s="1"/>
  <c r="L33" i="52"/>
  <c r="L47" i="52" s="1"/>
  <c r="L48" i="52" s="1"/>
  <c r="N41" i="52"/>
  <c r="G31" i="52"/>
  <c r="J32" i="52"/>
  <c r="J37" i="52" s="1"/>
  <c r="M33" i="52"/>
  <c r="M47" i="52" s="1"/>
  <c r="M48" i="52" s="1"/>
  <c r="F36" i="52"/>
  <c r="F38" i="52" s="1"/>
  <c r="B33" i="52"/>
  <c r="C33" i="52"/>
  <c r="C47" i="52" s="1"/>
  <c r="C48" i="52" s="1"/>
  <c r="I36" i="52"/>
  <c r="D33" i="52"/>
  <c r="D47" i="52" s="1"/>
  <c r="D48" i="52" s="1"/>
  <c r="B32" i="52"/>
  <c r="E33" i="52"/>
  <c r="E47" i="52" s="1"/>
  <c r="E48" i="52" s="1"/>
  <c r="K36" i="52"/>
  <c r="C32" i="52"/>
  <c r="C37" i="52" s="1"/>
  <c r="F33" i="52"/>
  <c r="F47" i="52" s="1"/>
  <c r="F48" i="52" s="1"/>
  <c r="L36" i="52"/>
  <c r="L38" i="52" s="1"/>
  <c r="M13" i="53"/>
  <c r="D13" i="53"/>
  <c r="L6" i="53"/>
  <c r="F7" i="53"/>
  <c r="F6" i="53"/>
  <c r="L7" i="53"/>
  <c r="C13" i="53"/>
  <c r="F23" i="53"/>
  <c r="G8" i="53"/>
  <c r="G22" i="53" s="1"/>
  <c r="G23" i="53" s="1"/>
  <c r="H8" i="53"/>
  <c r="H22" i="53" s="1"/>
  <c r="H23" i="53" s="1"/>
  <c r="G7" i="53"/>
  <c r="G13" i="53" s="1"/>
  <c r="E23" i="53"/>
  <c r="H6" i="53"/>
  <c r="H13" i="53" s="1"/>
  <c r="H25" i="53" s="1"/>
  <c r="B7" i="53"/>
  <c r="B6" i="53"/>
  <c r="J13" i="53"/>
  <c r="L13" i="53"/>
  <c r="I23" i="53"/>
  <c r="L23" i="53"/>
  <c r="B23" i="53"/>
  <c r="J23" i="53"/>
  <c r="M23" i="53"/>
  <c r="I13" i="53"/>
  <c r="I25" i="53" s="1"/>
  <c r="C23" i="53"/>
  <c r="K13" i="53"/>
  <c r="K23" i="53"/>
  <c r="N19" i="53"/>
  <c r="N21" i="53" s="1"/>
  <c r="I50" i="51"/>
  <c r="D60" i="53" l="1"/>
  <c r="D61" i="53"/>
  <c r="E75" i="53"/>
  <c r="J75" i="53"/>
  <c r="B62" i="53"/>
  <c r="N62" i="53" s="1"/>
  <c r="N57" i="53"/>
  <c r="C63" i="53"/>
  <c r="C75" i="53" s="1"/>
  <c r="N61" i="53"/>
  <c r="B63" i="53"/>
  <c r="N60" i="53"/>
  <c r="N56" i="53"/>
  <c r="B72" i="53"/>
  <c r="N72" i="53" s="1"/>
  <c r="N73" i="53" s="1"/>
  <c r="N58" i="53"/>
  <c r="G50" i="53"/>
  <c r="E50" i="53"/>
  <c r="H50" i="53"/>
  <c r="F36" i="53"/>
  <c r="F35" i="53"/>
  <c r="F38" i="53" s="1"/>
  <c r="F50" i="53" s="1"/>
  <c r="I38" i="53"/>
  <c r="I50" i="53" s="1"/>
  <c r="L38" i="53"/>
  <c r="J35" i="53"/>
  <c r="J36" i="53"/>
  <c r="D35" i="53"/>
  <c r="D36" i="53"/>
  <c r="N36" i="53" s="1"/>
  <c r="M38" i="53"/>
  <c r="M50" i="53" s="1"/>
  <c r="B37" i="53"/>
  <c r="N37" i="53" s="1"/>
  <c r="N32" i="53"/>
  <c r="K38" i="53"/>
  <c r="K50" i="53" s="1"/>
  <c r="N31" i="53"/>
  <c r="B47" i="53"/>
  <c r="N33" i="53"/>
  <c r="C38" i="53"/>
  <c r="C50" i="53" s="1"/>
  <c r="G75" i="52"/>
  <c r="F75" i="52"/>
  <c r="J60" i="52"/>
  <c r="J61" i="52"/>
  <c r="E75" i="52"/>
  <c r="D63" i="52"/>
  <c r="D75" i="52" s="1"/>
  <c r="L63" i="52"/>
  <c r="L75" i="52" s="1"/>
  <c r="N60" i="52"/>
  <c r="N61" i="52"/>
  <c r="B72" i="52"/>
  <c r="N72" i="52" s="1"/>
  <c r="N73" i="52" s="1"/>
  <c r="N58" i="52"/>
  <c r="N56" i="52"/>
  <c r="K75" i="52"/>
  <c r="B62" i="52"/>
  <c r="N62" i="52" s="1"/>
  <c r="N57" i="52"/>
  <c r="C63" i="52"/>
  <c r="C75" i="52" s="1"/>
  <c r="L50" i="52"/>
  <c r="I38" i="52"/>
  <c r="I50" i="52" s="1"/>
  <c r="H36" i="52"/>
  <c r="H38" i="52" s="1"/>
  <c r="H50" i="52" s="1"/>
  <c r="J38" i="52"/>
  <c r="J50" i="52" s="1"/>
  <c r="F50" i="52"/>
  <c r="M50" i="52"/>
  <c r="C38" i="52"/>
  <c r="C50" i="52" s="1"/>
  <c r="B37" i="52"/>
  <c r="N37" i="52" s="1"/>
  <c r="N32" i="52"/>
  <c r="G35" i="52"/>
  <c r="G36" i="52"/>
  <c r="E35" i="52"/>
  <c r="E36" i="52"/>
  <c r="N36" i="52" s="1"/>
  <c r="D38" i="52"/>
  <c r="D50" i="52" s="1"/>
  <c r="N35" i="52"/>
  <c r="B47" i="52"/>
  <c r="N33" i="52"/>
  <c r="N31" i="52"/>
  <c r="M25" i="53"/>
  <c r="G25" i="53"/>
  <c r="C25" i="53"/>
  <c r="F13" i="53"/>
  <c r="F25" i="53" s="1"/>
  <c r="N7" i="53"/>
  <c r="N8" i="53"/>
  <c r="N6" i="53"/>
  <c r="B13" i="53"/>
  <c r="E13" i="53"/>
  <c r="E25" i="53" s="1"/>
  <c r="J25" i="53"/>
  <c r="K25" i="53"/>
  <c r="E41" i="51"/>
  <c r="E5" i="51"/>
  <c r="E6" i="51"/>
  <c r="E7" i="51"/>
  <c r="E8" i="51"/>
  <c r="E9" i="51"/>
  <c r="E10" i="51"/>
  <c r="F10" i="51" s="1"/>
  <c r="E11" i="51"/>
  <c r="E12" i="51"/>
  <c r="E13" i="51"/>
  <c r="F3" i="51"/>
  <c r="F4" i="51"/>
  <c r="F5" i="51"/>
  <c r="F6" i="51"/>
  <c r="F7" i="51"/>
  <c r="F8" i="51"/>
  <c r="F9" i="51"/>
  <c r="F11" i="51"/>
  <c r="F12" i="51"/>
  <c r="F13" i="51"/>
  <c r="F14" i="51"/>
  <c r="F15" i="51"/>
  <c r="F16" i="51"/>
  <c r="F17" i="51"/>
  <c r="F18" i="51"/>
  <c r="F19" i="51"/>
  <c r="F20" i="51"/>
  <c r="F21" i="51"/>
  <c r="F22" i="51"/>
  <c r="F23" i="51"/>
  <c r="F24" i="51"/>
  <c r="F25" i="51"/>
  <c r="F26" i="51"/>
  <c r="F27" i="51"/>
  <c r="F28" i="51"/>
  <c r="F29" i="51"/>
  <c r="F30" i="51"/>
  <c r="F31" i="51"/>
  <c r="F32" i="51"/>
  <c r="F33" i="51"/>
  <c r="F34" i="51"/>
  <c r="F35" i="51"/>
  <c r="F36" i="51"/>
  <c r="F37" i="51"/>
  <c r="E51" i="51"/>
  <c r="C55" i="51"/>
  <c r="C53" i="51"/>
  <c r="F2" i="51"/>
  <c r="E4" i="51"/>
  <c r="E3" i="51"/>
  <c r="E2" i="51"/>
  <c r="D27" i="51"/>
  <c r="D28" i="51"/>
  <c r="D29" i="51"/>
  <c r="D30" i="51"/>
  <c r="D31" i="51"/>
  <c r="D32" i="51"/>
  <c r="D33" i="51"/>
  <c r="D34" i="51"/>
  <c r="D35" i="51"/>
  <c r="D36" i="51"/>
  <c r="D37" i="51"/>
  <c r="D26" i="51"/>
  <c r="D15" i="51"/>
  <c r="D16" i="51"/>
  <c r="D17" i="51"/>
  <c r="D18" i="51"/>
  <c r="D19" i="51"/>
  <c r="D20" i="51"/>
  <c r="D21" i="51"/>
  <c r="D22" i="51"/>
  <c r="D23" i="51"/>
  <c r="D24" i="51"/>
  <c r="D25" i="51"/>
  <c r="D14" i="51"/>
  <c r="D3" i="51"/>
  <c r="D4" i="51"/>
  <c r="D5" i="51"/>
  <c r="D6" i="51"/>
  <c r="D7" i="51"/>
  <c r="D8" i="51"/>
  <c r="D9" i="51"/>
  <c r="D10" i="51"/>
  <c r="D11" i="51"/>
  <c r="D12" i="51"/>
  <c r="D13" i="51"/>
  <c r="D2" i="51"/>
  <c r="C51" i="51"/>
  <c r="C37" i="51"/>
  <c r="C25" i="51"/>
  <c r="C13" i="51"/>
  <c r="H4" i="54"/>
  <c r="D63" i="53" l="1"/>
  <c r="D75" i="53" s="1"/>
  <c r="B73" i="53"/>
  <c r="B75" i="53" s="1"/>
  <c r="B38" i="53"/>
  <c r="B50" i="53" s="1"/>
  <c r="N35" i="53"/>
  <c r="N47" i="53"/>
  <c r="N48" i="53" s="1"/>
  <c r="B48" i="53"/>
  <c r="D38" i="53"/>
  <c r="D50" i="53" s="1"/>
  <c r="J38" i="53"/>
  <c r="J50" i="53" s="1"/>
  <c r="N63" i="52"/>
  <c r="N75" i="52" s="1"/>
  <c r="B63" i="52"/>
  <c r="J63" i="52"/>
  <c r="J75" i="52" s="1"/>
  <c r="B73" i="52"/>
  <c r="E38" i="52"/>
  <c r="E50" i="52" s="1"/>
  <c r="B38" i="52"/>
  <c r="B50" i="52" s="1"/>
  <c r="N47" i="52"/>
  <c r="N48" i="52" s="1"/>
  <c r="B48" i="52"/>
  <c r="G38" i="52"/>
  <c r="G50" i="52" s="1"/>
  <c r="N38" i="52"/>
  <c r="B25" i="53"/>
  <c r="N13" i="53"/>
  <c r="N10" i="53"/>
  <c r="F53" i="51"/>
  <c r="F51" i="51"/>
  <c r="N63" i="53" l="1"/>
  <c r="N75" i="53" s="1"/>
  <c r="N38" i="53"/>
  <c r="N50" i="53" s="1"/>
  <c r="B75" i="52"/>
  <c r="N50" i="52"/>
  <c r="D23" i="53"/>
  <c r="D25" i="53" s="1"/>
  <c r="N22" i="53"/>
  <c r="N25" i="53"/>
</calcChain>
</file>

<file path=xl/sharedStrings.xml><?xml version="1.0" encoding="utf-8"?>
<sst xmlns="http://schemas.openxmlformats.org/spreadsheetml/2006/main" count="385" uniqueCount="176">
  <si>
    <t>Do Not Alter or Delete this Worksheet or you submission cannot be graded!</t>
  </si>
  <si>
    <t>DirVer</t>
  </si>
  <si>
    <t>Action</t>
  </si>
  <si>
    <t>Name</t>
  </si>
  <si>
    <t>Panther ID</t>
  </si>
  <si>
    <t>Date/Time</t>
  </si>
  <si>
    <t>S01</t>
  </si>
  <si>
    <t>Start S01</t>
  </si>
  <si>
    <t>Ahadu Solomon</t>
  </si>
  <si>
    <t>Microsoft Office User</t>
  </si>
  <si>
    <t>Starter Sheet</t>
  </si>
  <si>
    <t>None</t>
  </si>
  <si>
    <t>Welcome to Microsoft Excel version 16.53 build 912 running on Macintosh (Intel) Version 11.2.3 (Build 20D91)!</t>
  </si>
  <si>
    <t xml:space="preserve">Donut Information </t>
  </si>
  <si>
    <t>Spring 2021</t>
  </si>
  <si>
    <r>
      <t xml:space="preserve">Based on the below data, create the profit model for </t>
    </r>
    <r>
      <rPr>
        <b/>
        <i/>
        <sz val="12"/>
        <color theme="1"/>
        <rFont val="Calibri"/>
        <family val="2"/>
        <scheme val="minor"/>
      </rPr>
      <t>Donuts to Go.</t>
    </r>
  </si>
  <si>
    <t>Assume that each customer will buy one donut and one cup of coffee</t>
  </si>
  <si>
    <t xml:space="preserve"> </t>
  </si>
  <si>
    <t xml:space="preserve">Enter totals </t>
  </si>
  <si>
    <t>Time period</t>
  </si>
  <si>
    <t>Fixed Costs</t>
  </si>
  <si>
    <t>Revenue: Cup of Coffee</t>
  </si>
  <si>
    <t>Varible Costs</t>
  </si>
  <si>
    <t>Revenue: Donut</t>
  </si>
  <si>
    <t>Coffee</t>
  </si>
  <si>
    <t>Donut ingredients per donunt)</t>
  </si>
  <si>
    <t>per donut</t>
  </si>
  <si>
    <t>Donut</t>
  </si>
  <si>
    <t>paper products: napkins, plates etc</t>
  </si>
  <si>
    <t>Insurance</t>
  </si>
  <si>
    <t>month</t>
  </si>
  <si>
    <t>Maintenance &amp; Repairs to equipment</t>
  </si>
  <si>
    <t>Marketing &amp; Promotion: Advertising</t>
  </si>
  <si>
    <t xml:space="preserve">Coffee </t>
  </si>
  <si>
    <t>per cup</t>
  </si>
  <si>
    <t xml:space="preserve">Coffee cups </t>
  </si>
  <si>
    <t xml:space="preserve">RULE OF GOOD SPREAD SHEET: </t>
  </si>
  <si>
    <t>Payroll:  Wages (Owner/ Manager)</t>
  </si>
  <si>
    <t>Data should only be entered once, after that point you will reference the cell value!</t>
  </si>
  <si>
    <t>Payroll:  Wages (per Employees)</t>
  </si>
  <si>
    <t>Violations of this will decrease your grade for the project by 10% for each violation</t>
  </si>
  <si>
    <t xml:space="preserve">Donut and Coffee equipment rent </t>
  </si>
  <si>
    <t>Professional Fees: Accounting</t>
  </si>
  <si>
    <t>Professional Fees: Legal</t>
  </si>
  <si>
    <t>Powdered and Liquid Beverages</t>
  </si>
  <si>
    <t>Rent</t>
  </si>
  <si>
    <t>Previous research expense for Donuts advancements</t>
  </si>
  <si>
    <t>Supplies: Office</t>
  </si>
  <si>
    <t>Utilities</t>
  </si>
  <si>
    <t>Additional Data</t>
  </si>
  <si>
    <t>Operations</t>
  </si>
  <si>
    <t>Monthly Production</t>
  </si>
  <si>
    <t>Lost Sales</t>
  </si>
  <si>
    <t>Day old revenue</t>
  </si>
  <si>
    <t>High demand, % above Average</t>
  </si>
  <si>
    <t>Low Demand, % below average</t>
  </si>
  <si>
    <t>Franchise  Operations</t>
  </si>
  <si>
    <t>Monthly Fixed Expense increase</t>
  </si>
  <si>
    <t>Monthly Production Increase</t>
  </si>
  <si>
    <t>Monthly demand increase</t>
  </si>
  <si>
    <t xml:space="preserve">States of Natures </t>
  </si>
  <si>
    <t xml:space="preserve">probabilities </t>
  </si>
  <si>
    <t>Low</t>
  </si>
  <si>
    <t>Average demand</t>
  </si>
  <si>
    <t xml:space="preserve">High    </t>
  </si>
  <si>
    <t xml:space="preserve">Total </t>
  </si>
  <si>
    <t>Month</t>
  </si>
  <si>
    <t>Demand</t>
  </si>
  <si>
    <t>Yearly average</t>
  </si>
  <si>
    <t>Seasonal Index</t>
  </si>
  <si>
    <t>Average SI</t>
  </si>
  <si>
    <t>Deseasonalized</t>
  </si>
  <si>
    <t>Regression Output</t>
  </si>
  <si>
    <r>
      <t xml:space="preserve">CLICK CELL J2 as </t>
    </r>
    <r>
      <rPr>
        <b/>
        <sz val="11"/>
        <color theme="1"/>
        <rFont val="Calibri"/>
        <family val="2"/>
        <scheme val="minor"/>
      </rPr>
      <t>output cell</t>
    </r>
    <r>
      <rPr>
        <sz val="11"/>
        <color theme="1"/>
        <rFont val="Calibri"/>
        <family val="2"/>
        <scheme val="minor"/>
      </rPr>
      <t xml:space="preserve"> for regression</t>
    </r>
  </si>
  <si>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</si>
  <si>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</si>
  <si>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</si>
  <si>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</si>
  <si>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</si>
  <si>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</si>
  <si>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</si>
  <si>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</si>
  <si>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</si>
  <si>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</si>
  <si>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</si>
  <si>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</si>
  <si>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</si>
  <si>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</si>
  <si>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</si>
  <si>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</si>
  <si>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</si>
  <si>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</si>
  <si>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</si>
  <si>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</si>
  <si>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</si>
  <si>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</si>
  <si>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</si>
  <si>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</si>
  <si>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Use the average seasonal Index in the column for 2019</t>
  </si>
  <si>
    <t>Deseasonalized forecast</t>
  </si>
  <si>
    <t>Seasonalized forecast</t>
  </si>
  <si>
    <t>Highest yearly average</t>
  </si>
  <si>
    <t>Highest Average SI</t>
  </si>
  <si>
    <t>Total 3 year deseasonalized demand</t>
  </si>
  <si>
    <t>Put yearly average in cell I50</t>
  </si>
  <si>
    <t>When you move your forecast to the profit models, you must use an equation, not just copy the values</t>
  </si>
  <si>
    <t>Total 3 year demand</t>
  </si>
  <si>
    <t>Average 3 year deseasonalized demand</t>
  </si>
  <si>
    <t>Average 3 year demand</t>
  </si>
  <si>
    <t>CURRENT OPERATIONS</t>
  </si>
  <si>
    <t>Reminder: Format Cells to show 2 decimal places</t>
  </si>
  <si>
    <t>test</t>
  </si>
  <si>
    <t>Part 2</t>
  </si>
  <si>
    <t xml:space="preserve">Summer 2020 </t>
  </si>
  <si>
    <t>AVERAGE DEMAND</t>
  </si>
  <si>
    <t xml:space="preserve">Month </t>
  </si>
  <si>
    <t xml:space="preserve">Yearly Total </t>
  </si>
  <si>
    <t>satisfied demand</t>
  </si>
  <si>
    <t xml:space="preserve">Extra donuts(over) </t>
  </si>
  <si>
    <t>Unsatisfied customers (short)</t>
  </si>
  <si>
    <t>Revenue</t>
  </si>
  <si>
    <t xml:space="preserve">coffee </t>
  </si>
  <si>
    <t>donut</t>
  </si>
  <si>
    <t xml:space="preserve">Revenue from day old sales </t>
  </si>
  <si>
    <t>Total Revenue</t>
  </si>
  <si>
    <t>Expenses</t>
  </si>
  <si>
    <t>Fixed Expenses</t>
  </si>
  <si>
    <t>Total Fixed Expense</t>
  </si>
  <si>
    <t>Variable Expenses</t>
  </si>
  <si>
    <t>Coffee Variable expense</t>
  </si>
  <si>
    <t>Donut Variable expense</t>
  </si>
  <si>
    <t>Total Variable Expenses</t>
  </si>
  <si>
    <t>Expenses: due to lost sales</t>
  </si>
  <si>
    <t>Total  Expenses</t>
  </si>
  <si>
    <t>Profit Donuts and Coffee</t>
  </si>
  <si>
    <t>Part 3</t>
  </si>
  <si>
    <t>You should be able to copy from average to high and low and then just make some modifications</t>
  </si>
  <si>
    <t>HIGH DEMAND</t>
  </si>
  <si>
    <t>LOW DEMAND</t>
  </si>
  <si>
    <t>FRANCHISE</t>
  </si>
  <si>
    <t>Remember that we use profits to fill in payoff tables like the ones we forecasted in the previous two sheets. It would help if you filled in the table in C5:E6 and referenced those values to the other tables below. Use the probabilities found in Finanicl Information B42:44 for the regret tables</t>
  </si>
  <si>
    <t>PAYOFF TABLE</t>
  </si>
  <si>
    <t>State of Nature</t>
  </si>
  <si>
    <t xml:space="preserve">Summary of Results </t>
  </si>
  <si>
    <t xml:space="preserve">Methods </t>
  </si>
  <si>
    <t>Fill in the space below for each method solved under each Decision Alternative.  This is just a summary of the results on the left.</t>
  </si>
  <si>
    <t>Decision Alternatives</t>
  </si>
  <si>
    <t xml:space="preserve">Low </t>
  </si>
  <si>
    <t xml:space="preserve">Average </t>
  </si>
  <si>
    <t xml:space="preserve">High </t>
  </si>
  <si>
    <t>Maximin</t>
  </si>
  <si>
    <t>MaxiMax</t>
  </si>
  <si>
    <t xml:space="preserve">Laplace </t>
  </si>
  <si>
    <t>MinMax regret</t>
  </si>
  <si>
    <t>EVUII</t>
  </si>
  <si>
    <t>EOL</t>
  </si>
  <si>
    <t>DM UNDER IGNORANCE</t>
  </si>
  <si>
    <t>Kiana should choose to:</t>
  </si>
  <si>
    <t>Because:</t>
  </si>
  <si>
    <t>Maximax</t>
  </si>
  <si>
    <t>Laplace</t>
  </si>
  <si>
    <t>Minimax Regret</t>
  </si>
  <si>
    <t>Regret table</t>
  </si>
  <si>
    <t>DM UNDER RISK</t>
  </si>
  <si>
    <t>Probability</t>
  </si>
  <si>
    <t>EVUPI</t>
  </si>
  <si>
    <t>Payoff</t>
  </si>
  <si>
    <t>EVPI</t>
  </si>
  <si>
    <t>min</t>
  </si>
  <si>
    <t>max</t>
  </si>
  <si>
    <t>maximin</t>
  </si>
  <si>
    <t>avr</t>
  </si>
  <si>
    <t>leplace</t>
  </si>
  <si>
    <t>sumproduct</t>
  </si>
  <si>
    <t>evuii</t>
  </si>
  <si>
    <t>CURRENT OPERATIONS because it has the lowest EOL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</si>
</sst>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9]m/d/yy\ h:mm\ AM/PM;@"/>
    <numFmt numFmtId="165" formatCode="mmm\-dd\ hh:mm"/>
    <numFmt numFmtId="166" formatCode="&quot;$&quot;#,##0.00"/>
    <numFmt numFmtId="167" formatCode="dd\-mmm\-yyyy\ hh:mm"/>
    <numFmt numFmtId="168" formatCode="0.0000"/>
  </numFmts>
  <fonts count="28">
    <font>
      <sz val="11"/>
      <color theme="1"/>
      <name val="Calibri"/>
      <family val="2"/>
      <scheme val="minor"/>
    </font>
    <font>
      <sz val="11"/>
      <color theme="0"/>
      <name val="Calibri"/>
      <family val="2"/>
      <scheme val="minor"/>
    </font>
    <font>
      <sz val="11"/>
      <name val="Calibri"/>
      <family val="2"/>
      <scheme val="minor"/>
    </font>
    <font>
      <i/>
      <sz val="11"/>
      <color rgb="FFFF0000"/>
      <name val="Calibri"/>
      <family val="2"/>
      <scheme val="minor"/>
    </font>
    <font>
      <u/>
      <sz val="11"/>
      <color theme="10"/>
      <name val="Calibri"/>
      <family val="2"/>
      <scheme val="minor"/>
    </font>
    <font>
      <u/>
      <sz val="11"/>
      <color theme="11"/>
      <name val="Calibri"/>
      <family val="2"/>
      <scheme val="minor"/>
    </font>
    <font>
      <sz val="12"/>
      <color theme="1"/>
      <name val="Calibri"/>
      <family val="2"/>
      <scheme val="minor"/>
    </font>
    <font>
      <i/>
      <sz val="11"/>
      <color theme="1"/>
      <name val="Calibri"/>
      <family val="2"/>
      <scheme val="minor"/>
    </font>
    <font>
      <b/>
      <sz val="11"/>
      <color theme="1"/>
      <name val="Calibri"/>
      <family val="2"/>
      <scheme val="minor"/>
    </font>
    <font>
      <b/>
      <sz val="16"/>
      <color theme="1"/>
      <name val="Calibri"/>
      <family val="2"/>
      <scheme val="minor"/>
    </font>
    <font>
      <b/>
      <i/>
      <sz val="12"/>
      <color theme="1"/>
      <name val="Calibri"/>
      <family val="2"/>
      <scheme val="minor"/>
    </font>
    <font>
      <b/>
      <sz val="12"/>
      <color rgb="FFFF0000"/>
      <name val="Calibri"/>
      <family val="2"/>
      <scheme val="minor"/>
    </font>
    <font>
      <sz val="10"/>
      <name val="Arial"/>
      <family val="2"/>
    </font>
    <font>
      <b/>
      <sz val="10"/>
      <name val="Arial"/>
      <family val="2"/>
    </font>
    <font>
      <sz val="10"/>
      <color theme="1"/>
      <name val="Arial"/>
      <family val="2"/>
    </font>
    <font>
      <b/>
      <sz val="12"/>
      <name val="Arial"/>
      <family val="2"/>
    </font>
    <font>
      <b/>
      <sz val="12"/>
      <color theme="1"/>
      <name val="Calibri"/>
      <family val="2"/>
      <scheme val="minor"/>
    </font>
    <font>
      <b/>
      <sz val="16"/>
      <name val="Calibri"/>
      <family val="2"/>
      <scheme val="minor"/>
    </font>
    <font>
      <b/>
      <sz val="11"/>
      <name val="Calibri"/>
      <family val="2"/>
      <scheme val="minor"/>
    </font>
    <font>
      <b/>
      <sz val="8"/>
      <color theme="1"/>
      <name val="Arial Unicode MS"/>
      <family val="2"/>
    </font>
    <font>
      <sz val="8"/>
      <name val="Arial Unicode MS"/>
      <family val="2"/>
    </font>
    <font>
      <b/>
      <i/>
      <sz val="14"/>
      <color theme="1"/>
      <name val="Calibri"/>
      <family val="2"/>
      <scheme val="minor"/>
    </font>
    <font>
      <b/>
      <sz val="8"/>
      <color theme="1"/>
      <name val="Calibri"/>
      <family val="2"/>
      <scheme val="minor"/>
    </font>
    <font>
      <sz val="10"/>
      <color theme="1"/>
      <name val="Calibri (Body)"/>
    </font>
    <font>
      <sz val="14"/>
      <color theme="1"/>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FF0000"/>
        <bgColor indexed="64"/>
      </patternFill>
    </fill>
  </fills>
  <borders count="62">
    <border>
      <left/>
      <right/>
      <top/>
      <bottom/>
      <diagonal/>
    </border>
    <border>
      <left style="medium">
        <color auto="1"/>
      </left>
      <right style="medium">
        <color auto="1"/>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auto="1"/>
      </left>
      <right/>
      <top style="thin">
        <color auto="1"/>
      </top>
      <bottom style="thin">
        <color auto="1"/>
      </bottom>
      <diagonal/>
    </border>
    <border>
      <left style="medium">
        <color indexed="64"/>
      </left>
      <right/>
      <top/>
      <bottom style="thin">
        <color indexed="64"/>
      </bottom>
      <diagonal/>
    </border>
    <border>
      <left style="medium">
        <color indexed="64"/>
      </left>
      <right/>
      <top/>
      <bottom/>
      <diagonal/>
    </border>
    <border>
      <left style="medium">
        <color indexed="64"/>
      </left>
      <right style="thin">
        <color indexed="64"/>
      </right>
      <top/>
      <bottom style="medium">
        <color theme="1"/>
      </bottom>
      <diagonal/>
    </border>
    <border>
      <left style="thin">
        <color theme="1"/>
      </left>
      <right style="thin">
        <color theme="1"/>
      </right>
      <top style="thin">
        <color theme="1"/>
      </top>
      <bottom style="thin">
        <color theme="1"/>
      </bottom>
      <diagonal/>
    </border>
    <border>
      <left style="medium">
        <color theme="1"/>
      </left>
      <right style="medium">
        <color theme="1"/>
      </right>
      <top style="medium">
        <color theme="1"/>
      </top>
      <bottom style="medium">
        <color theme="1"/>
      </bottom>
      <diagonal/>
    </border>
    <border>
      <left style="medium">
        <color theme="1"/>
      </left>
      <right style="medium">
        <color theme="1"/>
      </right>
      <top/>
      <bottom style="medium">
        <color theme="1"/>
      </bottom>
      <diagonal/>
    </border>
    <border>
      <left style="thin">
        <color theme="1"/>
      </left>
      <right/>
      <top style="medium">
        <color theme="1"/>
      </top>
      <bottom style="thin">
        <color theme="1"/>
      </bottom>
      <diagonal/>
    </border>
    <border>
      <left/>
      <right/>
      <top style="medium">
        <color theme="1"/>
      </top>
      <bottom style="thin">
        <color theme="1"/>
      </bottom>
      <diagonal/>
    </border>
    <border>
      <left/>
      <right/>
      <top/>
      <bottom style="medium">
        <color theme="1"/>
      </bottom>
      <diagonal/>
    </border>
    <border>
      <left style="thin">
        <color indexed="64"/>
      </left>
      <right/>
      <top style="thin">
        <color indexed="64"/>
      </top>
      <bottom style="double">
        <color theme="1"/>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double">
        <color indexed="64"/>
      </bottom>
      <diagonal/>
    </border>
    <border>
      <left/>
      <right style="medium">
        <color indexed="64"/>
      </right>
      <top style="double">
        <color theme="1"/>
      </top>
      <bottom style="medium">
        <color indexed="64"/>
      </bottom>
      <diagonal/>
    </border>
    <border>
      <left/>
      <right style="thin">
        <color indexed="64"/>
      </right>
      <top style="medium">
        <color theme="1"/>
      </top>
      <bottom style="thin">
        <color theme="1"/>
      </bottom>
      <diagonal/>
    </border>
    <border>
      <left style="thin">
        <color indexed="64"/>
      </left>
      <right/>
      <top style="thin">
        <color indexed="64"/>
      </top>
      <bottom style="double">
        <color indexed="64"/>
      </bottom>
      <diagonal/>
    </border>
    <border>
      <left style="thin">
        <color indexed="64"/>
      </left>
      <right/>
      <top/>
      <bottom/>
      <diagonal/>
    </border>
    <border>
      <left style="medium">
        <color indexed="64"/>
      </left>
      <right style="medium">
        <color indexed="64"/>
      </right>
      <top style="medium">
        <color theme="1"/>
      </top>
      <bottom style="medium">
        <color theme="1"/>
      </bottom>
      <diagonal/>
    </border>
    <border>
      <left/>
      <right style="medium">
        <color indexed="64"/>
      </right>
      <top style="thin">
        <color indexed="64"/>
      </top>
      <bottom style="double">
        <color theme="1"/>
      </bottom>
      <diagonal/>
    </border>
    <border>
      <left/>
      <right/>
      <top style="medium">
        <color indexed="64"/>
      </top>
      <bottom style="thin">
        <color indexed="64"/>
      </bottom>
      <diagonal/>
    </border>
  </borders>
  <cellStyleXfs count="9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0" fontId="12" fillId="0" borderId="0"/>
    <xf numFmtId="9" fontId="27" fillId="0" borderId="0" applyFont="0" applyFill="0" applyBorder="0" applyAlignment="0" applyProtection="0"/>
    <xf numFmtId="0" fontId="27" fillId="0" borderId="0"/>
  </cellStyleXfs>
  <cellXfs count="179">
    <xf numFmtId="0" fontId="0" fillId="0" borderId="0" xfId="0"/>
    <xf numFmtId="0" fontId="1" fillId="0" borderId="0" xfId="0" applyFont="1"/>
    <xf numFmtId="0" fontId="2" fillId="0" borderId="0" xfId="0" applyFont="1"/>
    <xf numFmtId="165" fontId="2" fillId="0" borderId="0" xfId="0" applyNumberFormat="1" applyFont="1"/>
    <xf numFmtId="0" fontId="3" fillId="0" borderId="0" xfId="0" applyFont="1"/>
    <xf numFmtId="165" fontId="1" fillId="0" borderId="0" xfId="0" applyNumberFormat="1" applyFont="1"/>
    <xf numFmtId="164" fontId="1" fillId="0" borderId="0" xfId="0" applyNumberFormat="1" applyFont="1"/>
    <xf numFmtId="165" fontId="0" fillId="0" borderId="0" xfId="0" applyNumberFormat="1"/>
    <xf numFmtId="0" fontId="8" fillId="0" borderId="0" xfId="0" applyFont="1"/>
    <xf numFmtId="0" fontId="8" fillId="0" borderId="0" xfId="0" applyFont="1" applyAlignment="1">
      <alignment vertical="center"/>
    </xf>
    <xf numFmtId="0" fontId="9" fillId="0" borderId="0" xfId="0" applyFont="1"/>
    <xf numFmtId="0" fontId="6" fillId="0" borderId="0" xfId="0" applyFont="1"/>
    <xf numFmtId="0" fontId="11" fillId="0" borderId="0" xfId="0" applyFont="1"/>
    <xf numFmtId="166" fontId="0" fillId="0" borderId="0" xfId="0" applyNumberFormat="1"/>
    <xf numFmtId="0" fontId="13" fillId="0" borderId="2" xfId="94" applyFont="1" applyBorder="1"/>
    <xf numFmtId="0" fontId="8" fillId="0" borderId="3" xfId="0" applyFont="1" applyBorder="1"/>
    <xf numFmtId="166" fontId="13" fillId="0" borderId="4" xfId="94" applyNumberFormat="1" applyFont="1" applyBorder="1"/>
    <xf numFmtId="0" fontId="12" fillId="0" borderId="5" xfId="94" applyBorder="1"/>
    <xf numFmtId="0" fontId="8" fillId="0" borderId="6" xfId="0" applyFont="1" applyBorder="1"/>
    <xf numFmtId="166" fontId="12" fillId="2" borderId="7" xfId="94" applyNumberFormat="1" applyFill="1" applyBorder="1"/>
    <xf numFmtId="0" fontId="8" fillId="0" borderId="8" xfId="0" applyFont="1" applyBorder="1"/>
    <xf numFmtId="0" fontId="12" fillId="0" borderId="9" xfId="94" applyBorder="1"/>
    <xf numFmtId="166" fontId="12" fillId="0" borderId="6" xfId="94" applyNumberFormat="1" applyBorder="1"/>
    <xf numFmtId="166" fontId="12" fillId="0" borderId="10" xfId="94" applyNumberFormat="1" applyBorder="1"/>
    <xf numFmtId="0" fontId="14" fillId="0" borderId="11" xfId="94" applyFont="1" applyBorder="1" applyAlignment="1">
      <alignment horizontal="left" vertical="center"/>
    </xf>
    <xf numFmtId="0" fontId="14" fillId="0" borderId="11" xfId="94" applyFont="1" applyBorder="1" applyAlignment="1">
      <alignment horizontal="left" vertical="center" wrapText="1"/>
    </xf>
    <xf numFmtId="0" fontId="12" fillId="0" borderId="12" xfId="94" applyBorder="1"/>
    <xf numFmtId="166" fontId="12" fillId="0" borderId="13" xfId="94" applyNumberFormat="1" applyBorder="1"/>
    <xf numFmtId="166" fontId="12" fillId="0" borderId="14" xfId="94" applyNumberFormat="1" applyBorder="1"/>
    <xf numFmtId="4" fontId="0" fillId="0" borderId="0" xfId="0" applyNumberFormat="1"/>
    <xf numFmtId="166" fontId="12" fillId="0" borderId="0" xfId="94" applyNumberFormat="1"/>
    <xf numFmtId="0" fontId="15" fillId="0" borderId="0" xfId="94" applyFont="1"/>
    <xf numFmtId="0" fontId="12" fillId="0" borderId="0" xfId="94"/>
    <xf numFmtId="0" fontId="14" fillId="0" borderId="0" xfId="94" applyFont="1" applyAlignment="1">
      <alignment horizontal="left" vertical="center"/>
    </xf>
    <xf numFmtId="0" fontId="14" fillId="0" borderId="0" xfId="94" applyFont="1" applyAlignment="1">
      <alignment horizontal="left" vertical="center" wrapText="1"/>
    </xf>
    <xf numFmtId="0" fontId="19" fillId="0" borderId="0" xfId="94" applyFont="1" applyAlignment="1">
      <alignment horizontal="left" vertical="center"/>
    </xf>
    <xf numFmtId="0" fontId="20" fillId="0" borderId="0" xfId="94" applyFont="1" applyAlignment="1">
      <alignment horizontal="left" vertical="center"/>
    </xf>
    <xf numFmtId="0" fontId="16" fillId="4" borderId="16" xfId="0" applyFont="1" applyFill="1" applyBorder="1"/>
    <xf numFmtId="0" fontId="16" fillId="4" borderId="17" xfId="0" applyFont="1" applyFill="1" applyBorder="1"/>
    <xf numFmtId="0" fontId="16" fillId="4" borderId="18" xfId="0" applyFont="1" applyFill="1" applyBorder="1"/>
    <xf numFmtId="0" fontId="16" fillId="4" borderId="0" xfId="0" applyFont="1" applyFill="1"/>
    <xf numFmtId="0" fontId="0" fillId="4" borderId="0" xfId="0" applyFill="1"/>
    <xf numFmtId="14" fontId="0" fillId="5" borderId="15" xfId="0" applyNumberFormat="1" applyFill="1" applyBorder="1"/>
    <xf numFmtId="0" fontId="0" fillId="0" borderId="19" xfId="0" applyBorder="1"/>
    <xf numFmtId="0" fontId="0" fillId="0" borderId="20" xfId="0" applyBorder="1"/>
    <xf numFmtId="0" fontId="0" fillId="6" borderId="8" xfId="0" applyFill="1" applyBorder="1"/>
    <xf numFmtId="0" fontId="8" fillId="0" borderId="0" xfId="0" applyFont="1" applyAlignment="1">
      <alignment horizontal="center"/>
    </xf>
    <xf numFmtId="0" fontId="0" fillId="2" borderId="6" xfId="0" applyFill="1" applyBorder="1"/>
    <xf numFmtId="0" fontId="0" fillId="5" borderId="15" xfId="0" applyFill="1" applyBorder="1"/>
    <xf numFmtId="0" fontId="0" fillId="5" borderId="5" xfId="0" applyFill="1" applyBorder="1"/>
    <xf numFmtId="0" fontId="0" fillId="0" borderId="31" xfId="0" applyBorder="1"/>
    <xf numFmtId="0" fontId="0" fillId="2" borderId="34" xfId="0" applyFill="1" applyBorder="1"/>
    <xf numFmtId="0" fontId="0" fillId="2" borderId="8" xfId="0" applyFill="1" applyBorder="1"/>
    <xf numFmtId="0" fontId="0" fillId="2" borderId="26" xfId="0" applyFill="1" applyBorder="1"/>
    <xf numFmtId="0" fontId="8" fillId="0" borderId="0" xfId="0" applyFont="1" applyAlignment="1">
      <alignment wrapText="1"/>
    </xf>
    <xf numFmtId="0" fontId="21" fillId="0" borderId="0" xfId="0" applyFont="1"/>
    <xf numFmtId="0" fontId="8" fillId="0" borderId="1" xfId="0" applyFont="1" applyBorder="1" applyAlignment="1">
      <alignment wrapText="1"/>
    </xf>
    <xf numFmtId="0" fontId="8" fillId="0" borderId="1" xfId="0" applyFont="1" applyBorder="1" applyAlignment="1">
      <alignment vertical="center" wrapText="1"/>
    </xf>
    <xf numFmtId="0" fontId="8" fillId="0" borderId="18" xfId="0" applyFont="1" applyBorder="1" applyAlignment="1">
      <alignment vertical="center" wrapText="1"/>
    </xf>
    <xf numFmtId="0" fontId="8" fillId="0" borderId="0" xfId="0" applyFont="1" applyAlignment="1">
      <alignment horizontal="right"/>
    </xf>
    <xf numFmtId="0" fontId="8" fillId="0" borderId="37" xfId="0" applyFont="1" applyBorder="1" applyAlignment="1">
      <alignment vertical="center"/>
    </xf>
    <xf numFmtId="0" fontId="8" fillId="0" borderId="38" xfId="0" applyFont="1" applyBorder="1" applyAlignment="1">
      <alignment vertical="center" wrapText="1"/>
    </xf>
    <xf numFmtId="0" fontId="18" fillId="0" borderId="0" xfId="0" applyFont="1" applyAlignment="1">
      <alignment vertical="center" wrapText="1"/>
    </xf>
    <xf numFmtId="0" fontId="8" fillId="5" borderId="0" xfId="0" applyFont="1" applyFill="1"/>
    <xf numFmtId="0" fontId="0" fillId="2" borderId="0" xfId="0" applyFill="1"/>
    <xf numFmtId="0" fontId="8" fillId="0" borderId="39" xfId="0" applyFont="1" applyBorder="1" applyAlignment="1">
      <alignment wrapText="1"/>
    </xf>
    <xf numFmtId="0" fontId="8" fillId="0" borderId="40" xfId="0" applyFont="1" applyBorder="1" applyAlignment="1">
      <alignment vertical="center" wrapText="1"/>
    </xf>
    <xf numFmtId="0" fontId="8" fillId="0" borderId="28" xfId="0" applyFont="1" applyBorder="1" applyAlignment="1">
      <alignment vertical="center" wrapText="1"/>
    </xf>
    <xf numFmtId="0" fontId="0" fillId="0" borderId="41" xfId="0" applyBorder="1" applyAlignment="1">
      <alignment wrapText="1"/>
    </xf>
    <xf numFmtId="0" fontId="8" fillId="0" borderId="42" xfId="0" applyFont="1" applyBorder="1" applyAlignment="1">
      <alignment vertical="center"/>
    </xf>
    <xf numFmtId="0" fontId="22" fillId="0" borderId="0" xfId="0" applyFont="1" applyAlignment="1">
      <alignment horizontal="left" vertical="top" wrapText="1"/>
    </xf>
    <xf numFmtId="166" fontId="8" fillId="0" borderId="0" xfId="0" applyNumberFormat="1" applyFont="1"/>
    <xf numFmtId="9" fontId="0" fillId="2" borderId="20" xfId="0" applyNumberFormat="1" applyFill="1" applyBorder="1"/>
    <xf numFmtId="0" fontId="17" fillId="3" borderId="39" xfId="94" applyFont="1" applyFill="1" applyBorder="1" applyAlignment="1">
      <alignment horizontal="center" vertical="center"/>
    </xf>
    <xf numFmtId="0" fontId="0" fillId="3" borderId="28" xfId="0" applyFill="1" applyBorder="1" applyAlignment="1">
      <alignment horizontal="center"/>
    </xf>
    <xf numFmtId="0" fontId="8" fillId="0" borderId="0" xfId="0" applyFont="1" applyAlignment="1">
      <alignment horizontal="center" wrapText="1"/>
    </xf>
    <xf numFmtId="0" fontId="18" fillId="3" borderId="43" xfId="0" applyFont="1" applyFill="1" applyBorder="1"/>
    <xf numFmtId="4" fontId="0" fillId="2" borderId="20" xfId="0" applyNumberFormat="1" applyFill="1" applyBorder="1"/>
    <xf numFmtId="9" fontId="0" fillId="0" borderId="0" xfId="0" applyNumberFormat="1"/>
    <xf numFmtId="0" fontId="8" fillId="3" borderId="43" xfId="0" applyFont="1" applyFill="1" applyBorder="1"/>
    <xf numFmtId="9" fontId="0" fillId="2" borderId="33" xfId="0" applyNumberFormat="1" applyFill="1" applyBorder="1"/>
    <xf numFmtId="0" fontId="9" fillId="3" borderId="39" xfId="0" applyFont="1" applyFill="1" applyBorder="1" applyAlignment="1">
      <alignment horizontal="center" wrapText="1"/>
    </xf>
    <xf numFmtId="0" fontId="0" fillId="3" borderId="43" xfId="0" applyFill="1" applyBorder="1"/>
    <xf numFmtId="10" fontId="12" fillId="2" borderId="0" xfId="94" applyNumberFormat="1" applyFill="1"/>
    <xf numFmtId="166" fontId="12" fillId="0" borderId="20" xfId="94" applyNumberFormat="1" applyBorder="1"/>
    <xf numFmtId="0" fontId="12" fillId="3" borderId="43" xfId="94" applyFill="1" applyBorder="1"/>
    <xf numFmtId="0" fontId="12" fillId="3" borderId="38" xfId="94" applyFill="1" applyBorder="1"/>
    <xf numFmtId="10" fontId="12" fillId="2" borderId="24" xfId="94" applyNumberFormat="1" applyFill="1" applyBorder="1"/>
    <xf numFmtId="166" fontId="12" fillId="0" borderId="33" xfId="94" applyNumberFormat="1" applyBorder="1"/>
    <xf numFmtId="0" fontId="8" fillId="0" borderId="0" xfId="0" applyFont="1" applyAlignment="1">
      <alignment horizontal="center" vertical="center"/>
    </xf>
    <xf numFmtId="167" fontId="2" fillId="0" borderId="0" xfId="0" applyNumberFormat="1" applyFont="1"/>
    <xf numFmtId="14" fontId="0" fillId="5" borderId="44" xfId="0" applyNumberFormat="1" applyFill="1" applyBorder="1"/>
    <xf numFmtId="0" fontId="0" fillId="5" borderId="15" xfId="0" applyFill="1" applyBorder="1" applyAlignment="1">
      <alignment horizontal="right"/>
    </xf>
    <xf numFmtId="0" fontId="0" fillId="0" borderId="46" xfId="0" applyBorder="1"/>
    <xf numFmtId="17" fontId="0" fillId="4" borderId="48" xfId="0" applyNumberFormat="1" applyFill="1" applyBorder="1"/>
    <xf numFmtId="17" fontId="0" fillId="4" borderId="49" xfId="0" applyNumberFormat="1" applyFill="1" applyBorder="1"/>
    <xf numFmtId="0" fontId="0" fillId="0" borderId="50" xfId="0" applyBorder="1"/>
    <xf numFmtId="0" fontId="8" fillId="4" borderId="27" xfId="0" applyFont="1" applyFill="1" applyBorder="1" applyAlignment="1">
      <alignment horizontal="center" vertical="center"/>
    </xf>
    <xf numFmtId="0" fontId="8" fillId="5" borderId="30" xfId="0" applyFont="1" applyFill="1" applyBorder="1" applyAlignment="1">
      <alignment horizontal="center"/>
    </xf>
    <xf numFmtId="0" fontId="8" fillId="5" borderId="45" xfId="0" applyFont="1" applyFill="1" applyBorder="1" applyAlignment="1">
      <alignment horizontal="right"/>
    </xf>
    <xf numFmtId="0" fontId="8" fillId="5" borderId="15" xfId="0" applyFont="1" applyFill="1" applyBorder="1" applyAlignment="1">
      <alignment horizontal="center"/>
    </xf>
    <xf numFmtId="0" fontId="8" fillId="5" borderId="22" xfId="0" applyFont="1" applyFill="1" applyBorder="1" applyAlignment="1">
      <alignment horizontal="right"/>
    </xf>
    <xf numFmtId="0" fontId="0" fillId="0" borderId="6" xfId="0" applyBorder="1"/>
    <xf numFmtId="0" fontId="0" fillId="0" borderId="1" xfId="0" applyBorder="1"/>
    <xf numFmtId="17" fontId="0" fillId="4" borderId="53" xfId="0" applyNumberFormat="1" applyFill="1" applyBorder="1"/>
    <xf numFmtId="2" fontId="0" fillId="0" borderId="32" xfId="0" applyNumberFormat="1" applyBorder="1"/>
    <xf numFmtId="2" fontId="0" fillId="0" borderId="20" xfId="0" applyNumberFormat="1" applyBorder="1"/>
    <xf numFmtId="2" fontId="0" fillId="0" borderId="21" xfId="0" applyNumberFormat="1" applyBorder="1"/>
    <xf numFmtId="2" fontId="0" fillId="0" borderId="54" xfId="0" applyNumberFormat="1" applyBorder="1"/>
    <xf numFmtId="2" fontId="0" fillId="0" borderId="55" xfId="0" applyNumberFormat="1" applyBorder="1"/>
    <xf numFmtId="17" fontId="0" fillId="4" borderId="56" xfId="0" applyNumberFormat="1" applyFill="1" applyBorder="1"/>
    <xf numFmtId="2" fontId="0" fillId="0" borderId="0" xfId="0" applyNumberFormat="1"/>
    <xf numFmtId="1" fontId="0" fillId="0" borderId="29" xfId="0" applyNumberFormat="1" applyBorder="1"/>
    <xf numFmtId="2" fontId="0" fillId="0" borderId="29" xfId="0" applyNumberFormat="1" applyBorder="1"/>
    <xf numFmtId="2" fontId="0" fillId="0" borderId="31" xfId="0" applyNumberFormat="1" applyBorder="1"/>
    <xf numFmtId="2" fontId="0" fillId="0" borderId="57" xfId="0" applyNumberFormat="1" applyBorder="1"/>
    <xf numFmtId="2" fontId="0" fillId="0" borderId="58" xfId="0" applyNumberFormat="1" applyBorder="1"/>
    <xf numFmtId="1" fontId="0" fillId="0" borderId="57" xfId="0" applyNumberFormat="1" applyBorder="1"/>
    <xf numFmtId="2" fontId="0" fillId="0" borderId="51" xfId="0" applyNumberFormat="1" applyBorder="1"/>
    <xf numFmtId="2" fontId="0" fillId="0" borderId="24" xfId="0" applyNumberFormat="1" applyBorder="1"/>
    <xf numFmtId="0" fontId="0" fillId="3" borderId="20" xfId="0" applyFill="1" applyBorder="1" applyAlignment="1">
      <alignment horizontal="center"/>
    </xf>
    <xf numFmtId="0" fontId="0" fillId="0" borderId="43" xfId="0" applyBorder="1"/>
    <xf numFmtId="0" fontId="17" fillId="3" borderId="3" xfId="94" applyFont="1" applyFill="1" applyBorder="1" applyAlignment="1">
      <alignment horizontal="center" vertical="center"/>
    </xf>
    <xf numFmtId="0" fontId="12" fillId="0" borderId="43" xfId="94" applyBorder="1"/>
    <xf numFmtId="0" fontId="23" fillId="2" borderId="0" xfId="0" applyFont="1" applyFill="1"/>
    <xf numFmtId="0" fontId="24" fillId="2" borderId="20" xfId="0" applyFont="1" applyFill="1" applyBorder="1" applyAlignment="1">
      <alignment wrapText="1"/>
    </xf>
    <xf numFmtId="166" fontId="0" fillId="2" borderId="0" xfId="0" applyNumberFormat="1" applyFill="1"/>
    <xf numFmtId="2" fontId="0" fillId="6" borderId="8" xfId="0" applyNumberFormat="1" applyFill="1" applyBorder="1"/>
    <xf numFmtId="168" fontId="0" fillId="0" borderId="19" xfId="0" applyNumberFormat="1" applyBorder="1"/>
    <xf numFmtId="2" fontId="0" fillId="0" borderId="19" xfId="0" applyNumberFormat="1" applyBorder="1"/>
    <xf numFmtId="2" fontId="0" fillId="0" borderId="8" xfId="0" applyNumberFormat="1" applyBorder="1"/>
    <xf numFmtId="168" fontId="25" fillId="0" borderId="19" xfId="0" applyNumberFormat="1" applyFont="1" applyBorder="1"/>
    <xf numFmtId="2" fontId="0" fillId="5" borderId="0" xfId="0" applyNumberFormat="1" applyFill="1"/>
    <xf numFmtId="0" fontId="8" fillId="4" borderId="1" xfId="0" applyFont="1" applyFill="1" applyBorder="1"/>
    <xf numFmtId="2" fontId="0" fillId="0" borderId="46" xfId="0" applyNumberFormat="1" applyBorder="1"/>
    <xf numFmtId="2" fontId="6" fillId="0" borderId="40" xfId="91" applyNumberFormat="1" applyBorder="1" applyAlignment="1">
      <alignment wrapText="1"/>
    </xf>
    <xf numFmtId="2" fontId="0" fillId="5" borderId="59" xfId="0" applyNumberFormat="1" applyFill="1" applyBorder="1"/>
    <xf numFmtId="2" fontId="6" fillId="0" borderId="52" xfId="91" applyNumberFormat="1" applyBorder="1" applyAlignment="1">
      <alignment wrapText="1"/>
    </xf>
    <xf numFmtId="2" fontId="0" fillId="5" borderId="47" xfId="0" applyNumberFormat="1" applyFill="1" applyBorder="1"/>
    <xf numFmtId="168" fontId="0" fillId="5" borderId="1" xfId="0" applyNumberFormat="1" applyFill="1" applyBorder="1"/>
    <xf numFmtId="2" fontId="0" fillId="5" borderId="52" xfId="0" applyNumberFormat="1" applyFill="1" applyBorder="1"/>
    <xf numFmtId="2" fontId="0" fillId="5" borderId="1" xfId="0" applyNumberFormat="1" applyFill="1" applyBorder="1"/>
    <xf numFmtId="2" fontId="0" fillId="0" borderId="5" xfId="0" applyNumberFormat="1" applyBorder="1"/>
    <xf numFmtId="0" fontId="26" fillId="0" borderId="37" xfId="0" applyFont="1" applyBorder="1" applyAlignment="1">
      <alignment vertical="center"/>
    </xf>
    <xf numFmtId="0" fontId="26" fillId="0" borderId="38" xfId="0" applyFont="1" applyBorder="1" applyAlignment="1">
      <alignment vertical="center" wrapText="1"/>
    </xf>
    <xf numFmtId="2" fontId="0" fillId="0" borderId="13" xfId="0" applyNumberFormat="1" applyBorder="1"/>
    <xf numFmtId="2" fontId="0" fillId="0" borderId="12" xfId="0" applyNumberFormat="1" applyBorder="1"/>
    <xf numFmtId="2" fontId="0" fillId="0" borderId="7" xfId="0" applyNumberFormat="1" applyBorder="1"/>
    <xf numFmtId="2" fontId="0" fillId="0" borderId="14" xfId="0" applyNumberFormat="1" applyBorder="1"/>
    <xf numFmtId="17" fontId="0" fillId="0" borderId="60" xfId="0" applyNumberFormat="1" applyBorder="1"/>
    <xf numFmtId="0" fontId="16" fillId="3" borderId="0" xfId="0" applyFont="1" applyFill="1" applyAlignment="1">
      <alignment horizontal="left" vertical="center" wrapText="1"/>
    </xf>
    <xf numFmtId="0" fontId="16" fillId="3" borderId="0" xfId="0" applyFont="1" applyFill="1" applyAlignment="1">
      <alignment wrapText="1"/>
    </xf>
    <xf numFmtId="9" fontId="0" fillId="2" borderId="0" xfId="0" applyNumberFormat="1" applyFill="1"/>
    <xf numFmtId="0" fontId="8" fillId="7" borderId="0" xfId="0" applyFont="1" applyFill="1"/>
    <xf numFmtId="0" fontId="27" fillId="0" borderId="23" xfId="96" applyBorder="1"/>
    <xf numFmtId="0" fontId="27" fillId="0" borderId="19" xfId="96" applyBorder="1"/>
    <xf numFmtId="0" fontId="27" fillId="0" borderId="8" xfId="96" applyBorder="1"/>
    <xf numFmtId="0" fontId="0" fillId="0" borderId="24" xfId="0" applyBorder="1"/>
    <xf numFmtId="0" fontId="7" fillId="0" borderId="61" xfId="0" applyFont="1" applyBorder="1" applyAlignment="1">
      <alignment horizontal="center"/>
    </xf>
    <xf numFmtId="0" fontId="7" fillId="0" borderId="61" xfId="0" applyFont="1" applyBorder="1" applyAlignment="1">
      <alignment horizontal="centerContinuous"/>
    </xf>
    <xf numFmtId="0" fontId="9" fillId="3" borderId="3" xfId="0" applyFont="1" applyFill="1" applyBorder="1" applyAlignment="1">
      <alignment horizontal="center"/>
    </xf>
    <xf numFmtId="0" fontId="9" fillId="3" borderId="28" xfId="0" applyFont="1" applyFill="1" applyBorder="1" applyAlignment="1">
      <alignment horizontal="center"/>
    </xf>
    <xf numFmtId="0" fontId="0" fillId="2" borderId="0" xfId="0" applyFill="1" applyAlignment="1">
      <alignment horizontal="center" vertical="top" wrapText="1"/>
    </xf>
    <xf numFmtId="0" fontId="0" fillId="2" borderId="0" xfId="0" applyFill="1" applyAlignment="1">
      <alignment horizontal="center" vertical="center" wrapText="1"/>
    </xf>
    <xf numFmtId="0" fontId="0" fillId="2" borderId="25" xfId="0" applyFill="1" applyBorder="1" applyAlignment="1">
      <alignment horizontal="center" vertical="center" wrapText="1"/>
    </xf>
    <xf numFmtId="0" fontId="0" fillId="2" borderId="0" xfId="0" applyFill="1" applyAlignment="1">
      <alignment horizontal="center" wrapText="1"/>
    </xf>
    <xf numFmtId="0" fontId="0" fillId="2" borderId="0" xfId="0" applyFill="1" applyAlignment="1">
      <alignment horizontal="center"/>
    </xf>
    <xf numFmtId="0" fontId="8" fillId="0" borderId="35" xfId="0" applyFont="1" applyBorder="1" applyAlignment="1">
      <alignment horizontal="center"/>
    </xf>
    <xf numFmtId="0" fontId="8" fillId="0" borderId="36" xfId="0" applyFont="1" applyBorder="1" applyAlignment="1">
      <alignment horizontal="center"/>
    </xf>
    <xf numFmtId="0" fontId="8" fillId="0" borderId="18" xfId="0" applyFont="1" applyBorder="1" applyAlignment="1">
      <alignment horizontal="center"/>
    </xf>
    <xf numFmtId="0" fontId="0" fillId="2" borderId="0" xfId="0" applyFill="1" applyAlignment="1">
      <alignment horizontal="center" vertical="center"/>
    </xf>
    <xf numFmtId="0" fontId="0" fillId="2" borderId="25" xfId="0" applyFill="1" applyBorder="1" applyAlignment="1">
      <alignment horizontal="center" vertical="center"/>
    </xf>
    <xf numFmtId="0" fontId="8" fillId="0" borderId="9" xfId="0" applyNumberFormat="1" applyFont="1" applyBorder="1" applyAlignment="1">
      <alignment vertical="center" wrapText="1"/>
    </xf>
    <xf numFmtId="0" fontId="8" fillId="0" borderId="6" xfId="0" applyNumberFormat="1" applyFont="1" applyBorder="1" applyAlignment="1">
      <alignment vertical="center" wrapText="1"/>
    </xf>
    <xf numFmtId="0" fontId="8" fillId="0" borderId="10" xfId="95" applyNumberFormat="1" applyFont="1" applyBorder="1" applyAlignment="1">
      <alignment vertical="center" wrapText="1"/>
    </xf>
    <xf numFmtId="0" fontId="8" fillId="0" borderId="20" xfId="0" applyFont="1" applyFill="1" applyBorder="1" applyAlignment="1">
      <alignment vertical="center" wrapText="1"/>
    </xf>
    <xf numFmtId="2" fontId="0" fillId="2" borderId="0" xfId="0" applyNumberFormat="1" applyFill="1"/>
    <xf numFmtId="0" fontId="8" fillId="0" borderId="0" xfId="0" applyFont="1" applyFill="1" applyBorder="1" applyAlignment="1">
      <alignment vertical="center" wrapText="1"/>
    </xf>
    <xf numFmtId="2" fontId="0" fillId="2" borderId="6" xfId="0" applyNumberFormat="1" applyFill="1" applyBorder="1"/>
  </cellXfs>
  <cellStyles count="97">
    <cellStyle name="Comma 2" xfId="92" xr:uid="{00000000-0005-0000-0000-000000000000}"/>
    <cellStyle name="Followed Hyperlink" xfId="70" builtinId="9" hidden="1"/>
    <cellStyle name="Followed Hyperlink" xfId="74" builtinId="9" hidden="1"/>
    <cellStyle name="Followed Hyperlink" xfId="78" builtinId="9" hidden="1"/>
    <cellStyle name="Followed Hyperlink" xfId="82" builtinId="9" hidden="1"/>
    <cellStyle name="Followed Hyperlink" xfId="86" builtinId="9" hidden="1"/>
    <cellStyle name="Followed Hyperlink" xfId="90" builtinId="9" hidden="1"/>
    <cellStyle name="Followed Hyperlink" xfId="88" builtinId="9" hidden="1"/>
    <cellStyle name="Followed Hyperlink" xfId="84" builtinId="9" hidden="1"/>
    <cellStyle name="Followed Hyperlink" xfId="80" builtinId="9" hidden="1"/>
    <cellStyle name="Followed Hyperlink" xfId="76" builtinId="9" hidden="1"/>
    <cellStyle name="Followed Hyperlink" xfId="72" builtinId="9" hidden="1"/>
    <cellStyle name="Followed Hyperlink" xfId="68" builtinId="9" hidden="1"/>
    <cellStyle name="Followed Hyperlink" xfId="24" builtinId="9" hidden="1"/>
    <cellStyle name="Followed Hyperlink" xfId="26" builtinId="9" hidden="1"/>
    <cellStyle name="Followed Hyperlink" xfId="30" builtinId="9" hidden="1"/>
    <cellStyle name="Followed Hyperlink" xfId="32" builtinId="9" hidden="1"/>
    <cellStyle name="Followed Hyperlink" xfId="34" builtinId="9" hidden="1"/>
    <cellStyle name="Followed Hyperlink" xfId="38" builtinId="9" hidden="1"/>
    <cellStyle name="Followed Hyperlink" xfId="40" builtinId="9" hidden="1"/>
    <cellStyle name="Followed Hyperlink" xfId="42"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2" builtinId="9" hidden="1"/>
    <cellStyle name="Followed Hyperlink" xfId="64" builtinId="9" hidden="1"/>
    <cellStyle name="Followed Hyperlink" xfId="66" builtinId="9" hidden="1"/>
    <cellStyle name="Followed Hyperlink" xfId="60" builtinId="9" hidden="1"/>
    <cellStyle name="Followed Hyperlink" xfId="52" builtinId="9" hidden="1"/>
    <cellStyle name="Followed Hyperlink" xfId="44" builtinId="9" hidden="1"/>
    <cellStyle name="Followed Hyperlink" xfId="36" builtinId="9" hidden="1"/>
    <cellStyle name="Followed Hyperlink" xfId="28" builtinId="9" hidden="1"/>
    <cellStyle name="Followed Hyperlink" xfId="10"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12"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57" builtinId="8" hidden="1"/>
    <cellStyle name="Hyperlink" xfId="59" builtinId="8" hidden="1"/>
    <cellStyle name="Hyperlink" xfId="63" builtinId="8" hidden="1"/>
    <cellStyle name="Hyperlink" xfId="65" builtinId="8" hidden="1"/>
    <cellStyle name="Hyperlink" xfId="67" builtinId="8" hidden="1"/>
    <cellStyle name="Hyperlink" xfId="71" builtinId="8" hidden="1"/>
    <cellStyle name="Hyperlink" xfId="73" builtinId="8" hidden="1"/>
    <cellStyle name="Hyperlink" xfId="75" builtinId="8" hidden="1"/>
    <cellStyle name="Hyperlink" xfId="79" builtinId="8" hidden="1"/>
    <cellStyle name="Hyperlink" xfId="81" builtinId="8" hidden="1"/>
    <cellStyle name="Hyperlink" xfId="83" builtinId="8" hidden="1"/>
    <cellStyle name="Hyperlink" xfId="87" builtinId="8" hidden="1"/>
    <cellStyle name="Hyperlink" xfId="89" builtinId="8" hidden="1"/>
    <cellStyle name="Hyperlink" xfId="85" builtinId="8" hidden="1"/>
    <cellStyle name="Hyperlink" xfId="77" builtinId="8" hidden="1"/>
    <cellStyle name="Hyperlink" xfId="69" builtinId="8" hidden="1"/>
    <cellStyle name="Hyperlink" xfId="61"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5" builtinId="8" hidden="1"/>
    <cellStyle name="Hyperlink" xfId="53" builtinId="8" hidden="1"/>
    <cellStyle name="Hyperlink" xfId="37"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3" builtinId="8" hidden="1"/>
    <cellStyle name="Hyperlink" xfId="21" builtinId="8" hidden="1"/>
    <cellStyle name="Hyperlink" xfId="5" builtinId="8" hidden="1"/>
    <cellStyle name="Hyperlink" xfId="7" builtinId="8" hidden="1"/>
    <cellStyle name="Hyperlink" xfId="9" builtinId="8" hidden="1"/>
    <cellStyle name="Hyperlink" xfId="3" builtinId="8" hidden="1"/>
    <cellStyle name="Hyperlink" xfId="1" builtinId="8" hidden="1"/>
    <cellStyle name="Normal" xfId="0" builtinId="0"/>
    <cellStyle name="Normal 2" xfId="91" xr:uid="{00000000-0005-0000-0000-00005C000000}"/>
    <cellStyle name="Normal 2 2" xfId="94" xr:uid="{3360A7AF-A590-45B8-B575-FE3ED16F2727}"/>
    <cellStyle name="Normal 2 3" xfId="96" xr:uid="{57A04107-C0E5-4CB3-BDD3-EEAA27D444F8}"/>
    <cellStyle name="Percent" xfId="95" builtinId="5"/>
    <cellStyle name="Percent 2" xfId="93" xr:uid="{00000000-0005-0000-0000-00005D00000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33"/>
  <sheetViews>
    <sheetView workbookViewId="0">
      <selection activeCell="C7" sqref="C7"/>
    </sheetView>
  </sheetViews>
  <sheetFormatPr defaultColWidth="8.88671875" defaultRowHeight="14.4"/>
  <cols>
    <col min="1" max="3" width="14.44140625" style="1" customWidth="1"/>
    <col min="4" max="4" width="32.109375" style="1" customWidth="1"/>
  </cols>
  <sheetData>
    <row r="1" spans="1:5">
      <c r="A1" s="4" t="s">
        <v>0</v>
      </c>
      <c r="E1" t="s">
        <v>1</v>
      </c>
    </row>
    <row r="2" spans="1:5">
      <c r="A2" s="2" t="s">
        <v>2</v>
      </c>
      <c r="B2" s="2" t="s">
        <v>3</v>
      </c>
      <c r="C2" s="2" t="s">
        <v>4</v>
      </c>
      <c r="D2" s="2" t="s">
        <v>5</v>
      </c>
      <c r="E2" t="s">
        <v>6</v>
      </c>
    </row>
    <row r="3" spans="1:5">
      <c r="A3" s="2" t="s">
        <v>7</v>
      </c>
      <c r="B3" s="2" t="s">
        <v>8</v>
      </c>
      <c r="C3" s="2">
        <v>202020202</v>
      </c>
      <c r="D3" s="90">
        <v>44459.23012847222</v>
      </c>
      <c r="E3" t="s">
        <v>9</v>
      </c>
    </row>
    <row r="4" spans="1:5">
      <c r="A4" t="s">
        <v>10</v>
      </c>
      <c r="B4" t="s">
        <v>11</v>
      </c>
      <c r="C4">
        <v>0</v>
      </c>
      <c r="D4" s="7">
        <v>43831</v>
      </c>
    </row>
    <row r="5" spans="1:5">
      <c r="A5"/>
      <c r="B5"/>
      <c r="C5"/>
      <c r="D5" s="7"/>
      <c r="E5" t="s">
        <v>12</v>
      </c>
    </row>
    <row r="6" spans="1:5">
      <c r="A6"/>
      <c r="B6"/>
      <c r="C6"/>
      <c r="D6" s="7"/>
    </row>
    <row r="7" spans="1:5">
      <c r="A7"/>
      <c r="B7"/>
      <c r="C7"/>
      <c r="D7" s="7"/>
    </row>
    <row r="8" spans="1:5">
      <c r="A8"/>
      <c r="B8"/>
      <c r="C8"/>
      <c r="D8" s="7"/>
    </row>
    <row r="9" spans="1:5">
      <c r="A9"/>
      <c r="B9"/>
      <c r="C9" s="7"/>
      <c r="D9"/>
    </row>
    <row r="10" spans="1:5">
      <c r="A10"/>
      <c r="B10"/>
      <c r="C10" s="7"/>
      <c r="D10"/>
    </row>
    <row r="11" spans="1:5">
      <c r="A11"/>
      <c r="B11"/>
      <c r="C11" s="7"/>
      <c r="D11"/>
    </row>
    <row r="12" spans="1:5">
      <c r="A12"/>
      <c r="B12"/>
      <c r="C12" s="7"/>
      <c r="D12"/>
    </row>
    <row r="13" spans="1:5">
      <c r="A13"/>
      <c r="B13"/>
      <c r="C13" s="7"/>
      <c r="D13"/>
    </row>
    <row r="14" spans="1:5">
      <c r="A14"/>
      <c r="B14"/>
      <c r="C14" s="7"/>
      <c r="D14"/>
    </row>
    <row r="15" spans="1:5">
      <c r="A15"/>
      <c r="B15"/>
      <c r="C15" s="7"/>
      <c r="D15"/>
    </row>
    <row r="16" spans="1:5">
      <c r="A16"/>
      <c r="B16"/>
      <c r="C16" s="7"/>
      <c r="D16"/>
    </row>
    <row r="17" spans="1:4">
      <c r="A17"/>
      <c r="B17"/>
      <c r="C17" s="7"/>
      <c r="D17"/>
    </row>
    <row r="18" spans="1:4">
      <c r="A18"/>
      <c r="B18"/>
      <c r="C18" s="7"/>
      <c r="D18"/>
    </row>
    <row r="19" spans="1:4">
      <c r="A19"/>
      <c r="B19"/>
      <c r="C19" s="7"/>
      <c r="D19"/>
    </row>
    <row r="20" spans="1:4">
      <c r="C20" s="5"/>
    </row>
    <row r="21" spans="1:4">
      <c r="C21" s="5"/>
    </row>
    <row r="22" spans="1:4">
      <c r="A22" s="2"/>
      <c r="B22" s="2"/>
      <c r="C22" s="3"/>
      <c r="D22" s="2"/>
    </row>
    <row r="23" spans="1:4">
      <c r="A23" s="2"/>
      <c r="B23" s="2"/>
      <c r="C23" s="3"/>
      <c r="D23" s="2"/>
    </row>
    <row r="24" spans="1:4">
      <c r="A24" s="2"/>
      <c r="B24" s="2"/>
      <c r="C24" s="3"/>
      <c r="D24" s="2"/>
    </row>
    <row r="25" spans="1:4">
      <c r="C25" s="5"/>
    </row>
    <row r="26" spans="1:4">
      <c r="A26" s="2"/>
      <c r="B26" s="2"/>
      <c r="C26" s="3"/>
      <c r="D26" s="2"/>
    </row>
    <row r="27" spans="1:4">
      <c r="A27" s="2"/>
      <c r="B27" s="2"/>
      <c r="C27" s="3"/>
      <c r="D27" s="2"/>
    </row>
    <row r="28" spans="1:4">
      <c r="A28" s="2"/>
      <c r="B28" s="2"/>
      <c r="C28" s="3"/>
      <c r="D28" s="2"/>
    </row>
    <row r="29" spans="1:4">
      <c r="A29" s="2"/>
      <c r="B29" s="2"/>
      <c r="C29" s="3"/>
      <c r="D29" s="2"/>
    </row>
    <row r="30" spans="1:4">
      <c r="A30" s="2"/>
      <c r="B30" s="2"/>
      <c r="C30" s="3"/>
      <c r="D30" s="2"/>
    </row>
    <row r="31" spans="1:4">
      <c r="A31" s="2"/>
      <c r="B31" s="2"/>
      <c r="C31" s="3"/>
      <c r="D31" s="2"/>
    </row>
    <row r="32" spans="1:4">
      <c r="A32" s="2"/>
      <c r="B32" s="2"/>
      <c r="C32" s="3"/>
      <c r="D32" s="2"/>
    </row>
    <row r="33" spans="1:4">
      <c r="A33" s="2"/>
      <c r="B33" s="2"/>
      <c r="C33" s="3"/>
      <c r="D33" s="2"/>
    </row>
    <row r="34" spans="1:4">
      <c r="A34" s="2"/>
      <c r="B34" s="2"/>
      <c r="C34" s="3"/>
      <c r="D34" s="2"/>
    </row>
    <row r="35" spans="1:4">
      <c r="A35" s="2"/>
      <c r="B35" s="2"/>
      <c r="C35" s="3"/>
      <c r="D35" s="2"/>
    </row>
    <row r="36" spans="1:4">
      <c r="A36" s="2"/>
      <c r="B36" s="2"/>
      <c r="C36" s="3"/>
      <c r="D36" s="2"/>
    </row>
    <row r="37" spans="1:4">
      <c r="A37" s="2"/>
      <c r="B37" s="2"/>
      <c r="C37" s="3"/>
      <c r="D37" s="2"/>
    </row>
    <row r="38" spans="1:4">
      <c r="A38" s="2"/>
      <c r="B38" s="2"/>
      <c r="C38" s="3"/>
      <c r="D38" s="2"/>
    </row>
    <row r="39" spans="1:4">
      <c r="A39" s="2"/>
      <c r="B39" s="2"/>
      <c r="C39" s="3"/>
      <c r="D39" s="2"/>
    </row>
    <row r="40" spans="1:4">
      <c r="A40" s="2"/>
      <c r="B40" s="2"/>
      <c r="C40" s="3"/>
      <c r="D40" s="2"/>
    </row>
    <row r="41" spans="1:4">
      <c r="A41" s="2"/>
      <c r="B41" s="2"/>
      <c r="C41" s="3"/>
      <c r="D41" s="2"/>
    </row>
    <row r="42" spans="1:4">
      <c r="A42" s="2"/>
      <c r="B42" s="2"/>
      <c r="C42" s="3"/>
      <c r="D42" s="2"/>
    </row>
    <row r="43" spans="1:4">
      <c r="A43" s="2"/>
      <c r="B43" s="2"/>
      <c r="C43" s="3"/>
      <c r="D43" s="2"/>
    </row>
    <row r="44" spans="1:4">
      <c r="A44" s="2"/>
      <c r="B44" s="2"/>
      <c r="C44" s="3"/>
      <c r="D44" s="2"/>
    </row>
    <row r="45" spans="1:4">
      <c r="A45" s="2"/>
      <c r="B45" s="2"/>
      <c r="C45" s="3"/>
      <c r="D45" s="2"/>
    </row>
    <row r="46" spans="1:4">
      <c r="A46" s="2"/>
      <c r="B46" s="2"/>
      <c r="C46" s="3"/>
      <c r="D46" s="2"/>
    </row>
    <row r="47" spans="1:4">
      <c r="A47" s="2"/>
      <c r="B47" s="2"/>
      <c r="C47" s="3"/>
      <c r="D47" s="2"/>
    </row>
    <row r="48" spans="1:4">
      <c r="A48" s="2"/>
      <c r="B48" s="2"/>
      <c r="C48" s="3"/>
      <c r="D48" s="2"/>
    </row>
    <row r="49" spans="1:4">
      <c r="A49" s="2"/>
      <c r="B49" s="2"/>
      <c r="C49" s="3"/>
      <c r="D49" s="2"/>
    </row>
    <row r="50" spans="1:4">
      <c r="A50" s="2"/>
      <c r="B50" s="2"/>
      <c r="C50" s="3"/>
      <c r="D50" s="2"/>
    </row>
    <row r="51" spans="1:4">
      <c r="A51" s="2"/>
      <c r="B51" s="2"/>
      <c r="C51" s="3"/>
      <c r="D51" s="2"/>
    </row>
    <row r="52" spans="1:4">
      <c r="A52" s="2"/>
      <c r="B52" s="2"/>
      <c r="C52" s="3"/>
      <c r="D52" s="2"/>
    </row>
    <row r="53" spans="1:4">
      <c r="A53" s="2"/>
      <c r="B53" s="2"/>
      <c r="C53" s="3"/>
      <c r="D53" s="2"/>
    </row>
    <row r="54" spans="1:4">
      <c r="A54" s="2"/>
      <c r="B54" s="2"/>
      <c r="C54" s="3"/>
      <c r="D54" s="2"/>
    </row>
    <row r="55" spans="1:4">
      <c r="A55" s="2"/>
      <c r="B55" s="2"/>
      <c r="C55" s="3"/>
      <c r="D55" s="2"/>
    </row>
    <row r="56" spans="1:4">
      <c r="A56" s="2"/>
      <c r="B56" s="2"/>
      <c r="C56" s="3"/>
      <c r="D56" s="2"/>
    </row>
    <row r="57" spans="1:4">
      <c r="A57" s="2"/>
      <c r="B57" s="2"/>
      <c r="C57" s="3"/>
      <c r="D57" s="2"/>
    </row>
    <row r="58" spans="1:4">
      <c r="A58" s="2"/>
      <c r="B58" s="2"/>
      <c r="C58" s="3"/>
      <c r="D58" s="2"/>
    </row>
    <row r="59" spans="1:4">
      <c r="A59" s="2"/>
      <c r="B59" s="2"/>
      <c r="C59" s="3"/>
      <c r="D59" s="2"/>
    </row>
    <row r="60" spans="1:4">
      <c r="A60" s="2"/>
      <c r="B60" s="2"/>
      <c r="C60" s="3"/>
      <c r="D60" s="2"/>
    </row>
    <row r="61" spans="1:4">
      <c r="A61" s="2"/>
      <c r="B61" s="2"/>
      <c r="C61" s="3"/>
      <c r="D61" s="2"/>
    </row>
    <row r="62" spans="1:4">
      <c r="A62" s="2"/>
      <c r="B62" s="2"/>
      <c r="C62" s="3"/>
      <c r="D62" s="2"/>
    </row>
    <row r="63" spans="1:4">
      <c r="A63" s="2"/>
      <c r="B63" s="2"/>
      <c r="C63" s="3"/>
      <c r="D63" s="2"/>
    </row>
    <row r="64" spans="1:4">
      <c r="A64" s="2"/>
      <c r="B64" s="2"/>
      <c r="C64" s="3"/>
      <c r="D64" s="2"/>
    </row>
    <row r="65" spans="1:4">
      <c r="A65" s="2"/>
      <c r="B65" s="2"/>
      <c r="C65" s="3"/>
      <c r="D65" s="2"/>
    </row>
    <row r="66" spans="1:4">
      <c r="A66" s="2"/>
      <c r="B66" s="2"/>
      <c r="C66" s="3"/>
      <c r="D66" s="2"/>
    </row>
    <row r="67" spans="1:4">
      <c r="A67" s="2"/>
      <c r="B67" s="2"/>
      <c r="C67" s="3"/>
      <c r="D67" s="2"/>
    </row>
    <row r="68" spans="1:4">
      <c r="A68" s="2"/>
      <c r="B68" s="2"/>
      <c r="C68" s="3"/>
      <c r="D68" s="2"/>
    </row>
    <row r="69" spans="1:4">
      <c r="A69" s="2"/>
      <c r="B69" s="2"/>
      <c r="C69" s="3"/>
      <c r="D69" s="2"/>
    </row>
    <row r="70" spans="1:4">
      <c r="A70" s="2"/>
      <c r="B70" s="3"/>
      <c r="C70" s="2"/>
      <c r="D70" s="2"/>
    </row>
    <row r="71" spans="1:4">
      <c r="A71" s="2"/>
      <c r="B71" s="3"/>
      <c r="C71" s="2"/>
      <c r="D71" s="2"/>
    </row>
    <row r="72" spans="1:4">
      <c r="A72" s="2"/>
      <c r="B72" s="3"/>
      <c r="C72" s="2"/>
      <c r="D72" s="2"/>
    </row>
    <row r="73" spans="1:4">
      <c r="A73" s="2"/>
      <c r="B73" s="3"/>
      <c r="C73" s="2"/>
      <c r="D73" s="2"/>
    </row>
    <row r="74" spans="1:4">
      <c r="A74" s="2"/>
      <c r="B74" s="3"/>
      <c r="C74" s="2"/>
      <c r="D74" s="2"/>
    </row>
    <row r="75" spans="1:4">
      <c r="A75" s="2"/>
      <c r="B75" s="3"/>
      <c r="C75" s="2"/>
      <c r="D75" s="2"/>
    </row>
    <row r="76" spans="1:4">
      <c r="A76" s="2"/>
      <c r="B76" s="3"/>
      <c r="C76" s="2"/>
      <c r="D76" s="2"/>
    </row>
    <row r="77" spans="1:4">
      <c r="A77" s="2"/>
      <c r="B77" s="3"/>
      <c r="C77" s="2"/>
      <c r="D77" s="2"/>
    </row>
    <row r="78" spans="1:4">
      <c r="A78" s="2"/>
      <c r="B78" s="3"/>
      <c r="C78" s="2"/>
      <c r="D78" s="2"/>
    </row>
    <row r="79" spans="1:4">
      <c r="A79" s="2"/>
      <c r="B79" s="3"/>
      <c r="C79" s="2"/>
      <c r="D79" s="2"/>
    </row>
    <row r="80" spans="1:4">
      <c r="A80" s="2"/>
      <c r="B80" s="3"/>
      <c r="C80" s="2"/>
      <c r="D80" s="2"/>
    </row>
    <row r="81" spans="1:4">
      <c r="A81" s="2"/>
      <c r="B81" s="3"/>
      <c r="C81" s="2"/>
      <c r="D81" s="2"/>
    </row>
    <row r="82" spans="1:4">
      <c r="A82" s="2"/>
      <c r="B82" s="3"/>
      <c r="C82" s="2"/>
      <c r="D82" s="2"/>
    </row>
    <row r="83" spans="1:4">
      <c r="A83" s="2"/>
      <c r="B83" s="3"/>
      <c r="C83" s="2"/>
      <c r="D83" s="2"/>
    </row>
    <row r="84" spans="1:4">
      <c r="A84" s="2"/>
      <c r="B84" s="3"/>
      <c r="C84" s="2"/>
      <c r="D84" s="2"/>
    </row>
    <row r="85" spans="1:4">
      <c r="A85" s="2"/>
      <c r="B85" s="3"/>
      <c r="C85" s="2"/>
      <c r="D85" s="2"/>
    </row>
    <row r="86" spans="1:4">
      <c r="A86" s="2"/>
      <c r="B86" s="3"/>
      <c r="C86" s="2"/>
      <c r="D86" s="2"/>
    </row>
    <row r="87" spans="1:4">
      <c r="A87" s="2"/>
      <c r="B87" s="3"/>
      <c r="C87" s="2"/>
      <c r="D87" s="2"/>
    </row>
    <row r="88" spans="1:4">
      <c r="A88" s="2"/>
      <c r="B88" s="3"/>
      <c r="C88" s="2"/>
      <c r="D88" s="2"/>
    </row>
    <row r="89" spans="1:4">
      <c r="A89" s="2"/>
      <c r="B89" s="3"/>
      <c r="C89" s="2"/>
      <c r="D89" s="2"/>
    </row>
    <row r="90" spans="1:4">
      <c r="A90" s="2"/>
      <c r="B90" s="3"/>
      <c r="C90" s="2"/>
      <c r="D90" s="2"/>
    </row>
    <row r="91" spans="1:4">
      <c r="A91" s="2"/>
      <c r="B91" s="3"/>
      <c r="C91" s="2"/>
      <c r="D91" s="2"/>
    </row>
    <row r="92" spans="1:4">
      <c r="B92" s="5"/>
    </row>
    <row r="93" spans="1:4">
      <c r="B93" s="5"/>
    </row>
    <row r="94" spans="1:4">
      <c r="B94" s="5"/>
    </row>
    <row r="95" spans="1:4">
      <c r="B95" s="5"/>
    </row>
    <row r="96" spans="1:4">
      <c r="B96" s="5"/>
    </row>
    <row r="97" spans="2:2">
      <c r="B97" s="5"/>
    </row>
    <row r="98" spans="2:2">
      <c r="B98" s="5"/>
    </row>
    <row r="99" spans="2:2">
      <c r="B99" s="5"/>
    </row>
    <row r="100" spans="2:2">
      <c r="B100" s="5"/>
    </row>
    <row r="102" spans="2:2">
      <c r="B102" s="5"/>
    </row>
    <row r="103" spans="2:2">
      <c r="B103" s="5"/>
    </row>
    <row r="104" spans="2:2">
      <c r="B104" s="5"/>
    </row>
    <row r="106" spans="2:2">
      <c r="B106" s="5"/>
    </row>
    <row r="107" spans="2:2">
      <c r="B107" s="5"/>
    </row>
    <row r="108" spans="2:2">
      <c r="B108" s="5"/>
    </row>
    <row r="109" spans="2:2">
      <c r="B109" s="5"/>
    </row>
    <row r="110" spans="2:2">
      <c r="B110" s="5"/>
    </row>
    <row r="111" spans="2:2">
      <c r="B111" s="5"/>
    </row>
    <row r="112" spans="2:2">
      <c r="B112" s="5"/>
    </row>
    <row r="113" spans="2:2">
      <c r="B113" s="5"/>
    </row>
    <row r="114" spans="2:2">
      <c r="B114" s="5"/>
    </row>
    <row r="115" spans="2:2">
      <c r="B115" s="5"/>
    </row>
    <row r="116" spans="2:2">
      <c r="B116" s="5"/>
    </row>
    <row r="119" spans="2:2">
      <c r="B119" s="5"/>
    </row>
    <row r="120" spans="2:2">
      <c r="B120" s="5"/>
    </row>
    <row r="121" spans="2:2">
      <c r="B121" s="5"/>
    </row>
    <row r="122" spans="2:2">
      <c r="B122" s="5"/>
    </row>
    <row r="123" spans="2:2">
      <c r="B123" s="5"/>
    </row>
    <row r="124" spans="2:2">
      <c r="B124" s="5"/>
    </row>
    <row r="125" spans="2:2">
      <c r="B125" s="5"/>
    </row>
    <row r="126" spans="2:2">
      <c r="B126" s="5"/>
    </row>
    <row r="127" spans="2:2">
      <c r="B127" s="5"/>
    </row>
    <row r="128" spans="2:2">
      <c r="B128" s="5"/>
    </row>
    <row r="129" spans="2:2">
      <c r="B129" s="5"/>
    </row>
    <row r="130" spans="2:2">
      <c r="B130" s="5"/>
    </row>
    <row r="131" spans="2:2">
      <c r="B131" s="5"/>
    </row>
    <row r="133" spans="2:2">
      <c r="B133" s="6"/>
    </row>
  </sheetData>
  <sheetProtection formatCells="0" formatColumns="0" formatRows="0" insertColumns="0" insertRows="0" selectLockedCells="1"/>
  <protectedRanges>
    <protectedRange sqref="D81:D96 A81:B96 A97:D1048576 A2:D80" name="Range1"/>
  </protectedRange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D7277-A9D4-40A7-A8B3-0CDA728FEE8D}">
  <sheetPr codeName="Sheet4"/>
  <dimension ref="A1:Z63"/>
  <sheetViews>
    <sheetView topLeftCell="A21" zoomScale="85" zoomScaleNormal="85" workbookViewId="0">
      <selection activeCell="C7" sqref="C7"/>
    </sheetView>
  </sheetViews>
  <sheetFormatPr defaultColWidth="8.88671875" defaultRowHeight="14.4"/>
  <cols>
    <col min="1" max="1" width="32.88671875" customWidth="1"/>
    <col min="2" max="2" width="10.88671875" customWidth="1"/>
    <col min="3" max="3" width="13.88671875" customWidth="1"/>
    <col min="4" max="4" width="14.109375" customWidth="1"/>
    <col min="5" max="5" width="19.33203125" customWidth="1"/>
    <col min="6" max="6" width="14" customWidth="1"/>
  </cols>
  <sheetData>
    <row r="1" spans="1:26" ht="21">
      <c r="A1" s="10" t="s">
        <v>13</v>
      </c>
      <c r="Z1" t="s">
        <v>14</v>
      </c>
    </row>
    <row r="2" spans="1:26" ht="15.6">
      <c r="A2" s="11" t="s">
        <v>15</v>
      </c>
      <c r="B2" s="11"/>
      <c r="C2" s="11"/>
      <c r="D2" s="11"/>
      <c r="Z2" t="s">
        <v>8</v>
      </c>
    </row>
    <row r="3" spans="1:26" ht="15.6">
      <c r="A3" s="12" t="s">
        <v>16</v>
      </c>
      <c r="B3" s="11"/>
      <c r="C3" s="11"/>
      <c r="D3" s="11"/>
    </row>
    <row r="4" spans="1:26" ht="15.6">
      <c r="A4" t="s">
        <v>17</v>
      </c>
      <c r="B4" s="11"/>
      <c r="C4" s="11"/>
      <c r="D4" s="11"/>
    </row>
    <row r="5" spans="1:26" ht="15" thickBot="1">
      <c r="F5" s="71" t="s">
        <v>18</v>
      </c>
    </row>
    <row r="6" spans="1:26">
      <c r="A6" s="14"/>
      <c r="B6" s="15" t="s">
        <v>19</v>
      </c>
      <c r="C6" s="16"/>
      <c r="E6" s="8" t="s">
        <v>20</v>
      </c>
      <c r="F6" s="126">
        <f>C11+C13+C14+C17+C18+C19+C20+C21+C23+C25+C26</f>
        <v>5800</v>
      </c>
    </row>
    <row r="7" spans="1:26">
      <c r="A7" s="17" t="s">
        <v>21</v>
      </c>
      <c r="B7" s="18"/>
      <c r="C7" s="19">
        <v>2.99</v>
      </c>
      <c r="D7" s="8"/>
      <c r="E7" s="8" t="s">
        <v>22</v>
      </c>
      <c r="F7" s="13">
        <f>C15+C16</f>
        <v>0.5</v>
      </c>
    </row>
    <row r="8" spans="1:26">
      <c r="A8" s="17" t="s">
        <v>23</v>
      </c>
      <c r="B8" s="20" t="s">
        <v>17</v>
      </c>
      <c r="C8" s="19">
        <v>2.5</v>
      </c>
      <c r="E8" s="59" t="s">
        <v>24</v>
      </c>
      <c r="F8" s="126">
        <f>C15+C16</f>
        <v>0.5</v>
      </c>
    </row>
    <row r="9" spans="1:26">
      <c r="A9" s="21" t="s">
        <v>25</v>
      </c>
      <c r="B9" s="22" t="s">
        <v>26</v>
      </c>
      <c r="C9" s="23">
        <v>0.6</v>
      </c>
      <c r="E9" s="59" t="s">
        <v>27</v>
      </c>
      <c r="F9" s="126">
        <f>C8</f>
        <v>2.5</v>
      </c>
    </row>
    <row r="10" spans="1:26">
      <c r="A10" s="21" t="s">
        <v>28</v>
      </c>
      <c r="B10" s="22"/>
      <c r="C10" s="23"/>
      <c r="G10" s="13"/>
    </row>
    <row r="11" spans="1:26">
      <c r="A11" s="21" t="s">
        <v>29</v>
      </c>
      <c r="B11" s="22" t="s">
        <v>30</v>
      </c>
      <c r="C11" s="23">
        <v>300</v>
      </c>
    </row>
    <row r="12" spans="1:26">
      <c r="A12" s="21" t="s">
        <v>17</v>
      </c>
      <c r="B12" s="22"/>
      <c r="C12" s="23"/>
      <c r="G12" s="13"/>
    </row>
    <row r="13" spans="1:26">
      <c r="A13" s="21" t="s">
        <v>31</v>
      </c>
      <c r="B13" s="22" t="s">
        <v>30</v>
      </c>
      <c r="C13" s="23">
        <v>0</v>
      </c>
    </row>
    <row r="14" spans="1:26">
      <c r="A14" s="21" t="s">
        <v>32</v>
      </c>
      <c r="B14" s="22" t="s">
        <v>30</v>
      </c>
      <c r="C14" s="23">
        <v>100</v>
      </c>
    </row>
    <row r="15" spans="1:26">
      <c r="A15" s="21" t="s">
        <v>33</v>
      </c>
      <c r="B15" s="22" t="s">
        <v>34</v>
      </c>
      <c r="C15" s="23">
        <v>0.35</v>
      </c>
    </row>
    <row r="16" spans="1:26">
      <c r="A16" s="21" t="s">
        <v>35</v>
      </c>
      <c r="B16" s="22" t="s">
        <v>34</v>
      </c>
      <c r="C16" s="23">
        <v>0.15</v>
      </c>
      <c r="E16" s="153" t="s">
        <v>36</v>
      </c>
      <c r="F16" s="153"/>
      <c r="G16" s="153"/>
      <c r="H16" s="153"/>
      <c r="I16" s="153"/>
      <c r="J16" s="153"/>
      <c r="K16" s="153"/>
    </row>
    <row r="17" spans="1:11">
      <c r="A17" s="21" t="s">
        <v>37</v>
      </c>
      <c r="B17" s="22" t="s">
        <v>30</v>
      </c>
      <c r="C17" s="23">
        <v>2400</v>
      </c>
      <c r="E17" s="153" t="s">
        <v>38</v>
      </c>
      <c r="F17" s="153"/>
      <c r="G17" s="153"/>
      <c r="H17" s="153"/>
      <c r="I17" s="153"/>
      <c r="J17" s="153"/>
      <c r="K17" s="153"/>
    </row>
    <row r="18" spans="1:11">
      <c r="A18" s="21" t="s">
        <v>39</v>
      </c>
      <c r="B18" s="22" t="s">
        <v>30</v>
      </c>
      <c r="C18" s="23">
        <v>1200</v>
      </c>
      <c r="E18" s="153" t="s">
        <v>40</v>
      </c>
      <c r="F18" s="153"/>
      <c r="G18" s="153"/>
      <c r="H18" s="153"/>
      <c r="I18" s="153"/>
      <c r="J18" s="153"/>
      <c r="K18" s="153"/>
    </row>
    <row r="19" spans="1:11">
      <c r="A19" s="21" t="s">
        <v>41</v>
      </c>
      <c r="B19" s="22" t="s">
        <v>30</v>
      </c>
      <c r="C19" s="23">
        <v>500</v>
      </c>
    </row>
    <row r="20" spans="1:11">
      <c r="A20" s="21" t="s">
        <v>42</v>
      </c>
      <c r="B20" s="22" t="s">
        <v>30</v>
      </c>
      <c r="C20" s="23">
        <v>50</v>
      </c>
    </row>
    <row r="21" spans="1:11">
      <c r="A21" s="21" t="s">
        <v>43</v>
      </c>
      <c r="B21" s="22" t="s">
        <v>30</v>
      </c>
      <c r="C21" s="23">
        <v>25</v>
      </c>
    </row>
    <row r="22" spans="1:11">
      <c r="A22" s="24" t="s">
        <v>44</v>
      </c>
      <c r="B22" s="22"/>
      <c r="C22" s="23">
        <v>0</v>
      </c>
    </row>
    <row r="23" spans="1:11">
      <c r="A23" s="21" t="s">
        <v>45</v>
      </c>
      <c r="B23" s="22" t="s">
        <v>30</v>
      </c>
      <c r="C23" s="23">
        <v>1000</v>
      </c>
    </row>
    <row r="24" spans="1:11" ht="26.4">
      <c r="A24" s="25" t="s">
        <v>46</v>
      </c>
      <c r="B24" s="22"/>
      <c r="C24" s="23">
        <v>1500</v>
      </c>
    </row>
    <row r="25" spans="1:11">
      <c r="A25" s="21" t="s">
        <v>47</v>
      </c>
      <c r="B25" s="22" t="s">
        <v>30</v>
      </c>
      <c r="C25" s="23">
        <v>25</v>
      </c>
    </row>
    <row r="26" spans="1:11" ht="15" thickBot="1">
      <c r="A26" s="26" t="s">
        <v>48</v>
      </c>
      <c r="B26" s="27" t="s">
        <v>30</v>
      </c>
      <c r="C26" s="28">
        <v>200</v>
      </c>
      <c r="D26" s="13" t="s">
        <v>17</v>
      </c>
    </row>
    <row r="27" spans="1:11">
      <c r="A27" s="21" t="s">
        <v>17</v>
      </c>
      <c r="B27" s="22"/>
      <c r="C27" s="23" t="s">
        <v>17</v>
      </c>
    </row>
    <row r="28" spans="1:11">
      <c r="A28" s="123"/>
      <c r="B28" s="50"/>
      <c r="E28" s="2"/>
      <c r="F28" s="29"/>
    </row>
    <row r="29" spans="1:11">
      <c r="B29" s="30"/>
      <c r="C29" s="30"/>
    </row>
    <row r="30" spans="1:11" ht="16.2" thickBot="1">
      <c r="A30" s="31" t="s">
        <v>49</v>
      </c>
      <c r="B30" s="30"/>
      <c r="C30" s="30"/>
    </row>
    <row r="31" spans="1:11" ht="21">
      <c r="A31" s="122" t="s">
        <v>50</v>
      </c>
      <c r="B31" s="74"/>
    </row>
    <row r="32" spans="1:11" ht="18">
      <c r="A32" s="150" t="s">
        <v>51</v>
      </c>
      <c r="B32" s="125">
        <v>4000</v>
      </c>
    </row>
    <row r="33" spans="1:7" ht="18">
      <c r="A33" s="151" t="s">
        <v>52</v>
      </c>
      <c r="B33" s="125">
        <v>3</v>
      </c>
    </row>
    <row r="34" spans="1:7" ht="18">
      <c r="A34" s="151" t="s">
        <v>53</v>
      </c>
      <c r="B34" s="125">
        <v>1.25</v>
      </c>
    </row>
    <row r="35" spans="1:7" ht="15.6">
      <c r="A35" s="151" t="s">
        <v>54</v>
      </c>
      <c r="B35" s="152">
        <v>0.22</v>
      </c>
      <c r="C35" s="121"/>
    </row>
    <row r="36" spans="1:7" ht="16.2" thickBot="1">
      <c r="A36" s="151" t="s">
        <v>55</v>
      </c>
      <c r="B36" s="80">
        <v>0.26</v>
      </c>
    </row>
    <row r="37" spans="1:7" ht="18" customHeight="1">
      <c r="A37" s="73" t="s">
        <v>56</v>
      </c>
      <c r="B37" s="120"/>
      <c r="C37" s="75"/>
    </row>
    <row r="38" spans="1:7">
      <c r="A38" s="76" t="s">
        <v>57</v>
      </c>
      <c r="B38" s="77">
        <v>4350</v>
      </c>
    </row>
    <row r="39" spans="1:7">
      <c r="A39" s="76" t="s">
        <v>58</v>
      </c>
      <c r="B39" s="72">
        <v>0.32</v>
      </c>
      <c r="C39" s="78"/>
    </row>
    <row r="40" spans="1:7" ht="15" thickBot="1">
      <c r="A40" s="79" t="s">
        <v>59</v>
      </c>
      <c r="B40" s="80">
        <v>0.22</v>
      </c>
    </row>
    <row r="41" spans="1:7" ht="21">
      <c r="A41" s="81" t="s">
        <v>60</v>
      </c>
      <c r="B41" s="160" t="s">
        <v>61</v>
      </c>
      <c r="C41" s="161"/>
    </row>
    <row r="42" spans="1:7">
      <c r="A42" s="82" t="s">
        <v>62</v>
      </c>
      <c r="B42" s="83">
        <v>0.2</v>
      </c>
      <c r="C42" s="84"/>
    </row>
    <row r="43" spans="1:7">
      <c r="A43" s="85" t="s">
        <v>63</v>
      </c>
      <c r="B43" s="83">
        <v>0.55000000000000004</v>
      </c>
      <c r="C43" s="84"/>
    </row>
    <row r="44" spans="1:7" ht="15" thickBot="1">
      <c r="A44" s="86" t="s">
        <v>64</v>
      </c>
      <c r="B44" s="87">
        <v>0.25</v>
      </c>
      <c r="C44" s="88"/>
    </row>
    <row r="45" spans="1:7">
      <c r="A45" s="32"/>
      <c r="B45" s="30"/>
      <c r="C45" s="30"/>
    </row>
    <row r="46" spans="1:7">
      <c r="A46" s="32"/>
      <c r="B46" s="30"/>
      <c r="C46" s="30"/>
      <c r="E46" s="32"/>
      <c r="F46" s="30"/>
      <c r="G46" s="30"/>
    </row>
    <row r="47" spans="1:7">
      <c r="A47" s="32"/>
      <c r="B47" s="30"/>
      <c r="C47" s="30"/>
    </row>
    <row r="48" spans="1:7">
      <c r="A48" s="32"/>
      <c r="B48" s="30"/>
      <c r="C48" s="30"/>
    </row>
    <row r="49" spans="1:3">
      <c r="A49" s="33"/>
      <c r="B49" s="30"/>
      <c r="C49" s="30"/>
    </row>
    <row r="50" spans="1:3">
      <c r="A50" s="32"/>
      <c r="B50" s="30"/>
      <c r="C50" s="30"/>
    </row>
    <row r="51" spans="1:3">
      <c r="A51" s="34"/>
      <c r="B51" s="30"/>
      <c r="C51" s="30"/>
    </row>
    <row r="52" spans="1:3">
      <c r="A52" s="32"/>
      <c r="B52" s="30"/>
      <c r="C52" s="30"/>
    </row>
    <row r="53" spans="1:3">
      <c r="A53" s="32"/>
      <c r="B53" s="30"/>
      <c r="C53" s="30"/>
    </row>
    <row r="54" spans="1:3">
      <c r="A54" s="32"/>
      <c r="B54" s="30"/>
      <c r="C54" s="30"/>
    </row>
    <row r="55" spans="1:3">
      <c r="A55" s="32"/>
      <c r="B55" s="30"/>
      <c r="C55" s="30"/>
    </row>
    <row r="62" spans="1:3">
      <c r="A62" s="35" t="s">
        <v>65</v>
      </c>
    </row>
    <row r="63" spans="1:3">
      <c r="A63" s="36"/>
    </row>
  </sheetData>
  <mergeCells count="1">
    <mergeCell ref="B41:C4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70229-FA71-48E2-8592-D469F6B149C8}">
  <sheetPr codeName="Sheet5"/>
  <dimension ref="A1:Z102"/>
  <sheetViews>
    <sheetView topLeftCell="A24" zoomScale="75" workbookViewId="0">
      <selection activeCell="I50" sqref="I50"/>
    </sheetView>
  </sheetViews>
  <sheetFormatPr defaultColWidth="8.88671875" defaultRowHeight="14.4"/>
  <cols>
    <col min="1" max="1" width="10.88671875" bestFit="1" customWidth="1"/>
    <col min="2" max="2" width="19.44140625" customWidth="1"/>
    <col min="3" max="3" width="25.88671875" customWidth="1"/>
    <col min="4" max="4" width="19.44140625" customWidth="1"/>
    <col min="5" max="5" width="25.88671875" customWidth="1"/>
    <col min="6" max="7" width="19.44140625" customWidth="1"/>
    <col min="8" max="8" width="21.6640625" bestFit="1" customWidth="1"/>
    <col min="9" max="9" width="38.33203125" customWidth="1"/>
  </cols>
  <sheetData>
    <row r="1" spans="1:15" ht="27" customHeight="1" thickBot="1">
      <c r="A1" s="37" t="s">
        <v>66</v>
      </c>
      <c r="B1" s="38" t="s">
        <v>67</v>
      </c>
      <c r="C1" s="38" t="s">
        <v>68</v>
      </c>
      <c r="D1" s="38" t="s">
        <v>69</v>
      </c>
      <c r="E1" s="38" t="s">
        <v>70</v>
      </c>
      <c r="F1" s="38" t="s">
        <v>71</v>
      </c>
      <c r="G1" s="39" t="s">
        <v>19</v>
      </c>
      <c r="J1" s="40" t="s">
        <v>72</v>
      </c>
      <c r="K1" s="41"/>
    </row>
    <row r="2" spans="1:15">
      <c r="A2" s="42">
        <v>43466</v>
      </c>
      <c r="B2" s="155">
        <v>2231</v>
      </c>
      <c r="C2" s="43"/>
      <c r="D2" s="128">
        <f>B2/$C$13</f>
        <v>0.80406054781355119</v>
      </c>
      <c r="E2" s="128">
        <f>AVERAGE(D2,D14,D26)</f>
        <v>0.77011887191321371</v>
      </c>
      <c r="F2" s="129">
        <f>B2/E2</f>
        <v>2896.9553680167651</v>
      </c>
      <c r="G2" s="44">
        <v>1</v>
      </c>
      <c r="I2" s="64" t="s">
        <v>73</v>
      </c>
      <c r="J2" t="s">
        <v>74</v>
      </c>
    </row>
    <row r="3" spans="1:15" ht="15" thickBot="1">
      <c r="A3" s="42">
        <v>43497</v>
      </c>
      <c r="B3" s="155">
        <v>2364</v>
      </c>
      <c r="C3" s="43"/>
      <c r="D3" s="128">
        <f t="shared" ref="D3:D13" si="0">B3/$C$13</f>
        <v>0.85199423354156656</v>
      </c>
      <c r="E3" s="128">
        <f>AVERAGE(D3,D15,D27)</f>
        <v>0.786650861459954</v>
      </c>
      <c r="F3" s="129">
        <f t="shared" ref="F3:F37" si="1">B3/E3</f>
        <v>3005.1451232286536</v>
      </c>
      <c r="G3" s="44">
        <v>2</v>
      </c>
    </row>
    <row r="4" spans="1:15">
      <c r="A4" s="42">
        <v>43525</v>
      </c>
      <c r="B4" s="155">
        <v>2849</v>
      </c>
      <c r="C4" s="43"/>
      <c r="D4" s="128">
        <f t="shared" si="0"/>
        <v>1.0267900048053822</v>
      </c>
      <c r="E4" s="128">
        <f>AVERAGE(D4,D16,D28)</f>
        <v>0.8618111204894765</v>
      </c>
      <c r="F4" s="129">
        <f t="shared" si="1"/>
        <v>3305.8287741539871</v>
      </c>
      <c r="G4" s="44">
        <v>3</v>
      </c>
      <c r="J4" s="159" t="s">
        <v>75</v>
      </c>
      <c r="K4" s="159"/>
    </row>
    <row r="5" spans="1:15">
      <c r="A5" s="42">
        <v>43556</v>
      </c>
      <c r="B5" s="155">
        <v>2769</v>
      </c>
      <c r="C5" s="43"/>
      <c r="D5" s="128">
        <f t="shared" si="0"/>
        <v>0.9979577126381548</v>
      </c>
      <c r="E5" s="128">
        <f t="shared" ref="E5:E13" si="2">AVERAGE(D5,D17,D29)</f>
        <v>0.97127800724357505</v>
      </c>
      <c r="F5" s="129">
        <f t="shared" si="1"/>
        <v>2850.8830420841559</v>
      </c>
      <c r="G5" s="44">
        <v>4</v>
      </c>
      <c r="J5" t="s">
        <v>76</v>
      </c>
      <c r="K5">
        <v>0.80869963637775455</v>
      </c>
    </row>
    <row r="6" spans="1:15">
      <c r="A6" s="42">
        <v>43586</v>
      </c>
      <c r="B6" s="155">
        <v>2380</v>
      </c>
      <c r="C6" s="43"/>
      <c r="D6" s="128">
        <f t="shared" si="0"/>
        <v>0.85776069197501204</v>
      </c>
      <c r="E6" s="128">
        <f t="shared" si="2"/>
        <v>0.98332918235946798</v>
      </c>
      <c r="F6" s="129">
        <f t="shared" si="1"/>
        <v>2420.3492001419745</v>
      </c>
      <c r="G6" s="44">
        <v>5</v>
      </c>
      <c r="J6" t="s">
        <v>77</v>
      </c>
      <c r="K6">
        <v>0.65399510187751242</v>
      </c>
    </row>
    <row r="7" spans="1:15">
      <c r="A7" s="42">
        <v>43617</v>
      </c>
      <c r="B7" s="155">
        <v>3466</v>
      </c>
      <c r="C7" s="43"/>
      <c r="D7" s="128">
        <f t="shared" si="0"/>
        <v>1.2491590581451226</v>
      </c>
      <c r="E7" s="128">
        <f t="shared" si="2"/>
        <v>1.1183335930545024</v>
      </c>
      <c r="F7" s="129">
        <f t="shared" si="1"/>
        <v>3099.2541237479245</v>
      </c>
      <c r="G7" s="44">
        <v>6</v>
      </c>
      <c r="J7" t="s">
        <v>78</v>
      </c>
      <c r="K7">
        <v>0.64381848722685109</v>
      </c>
    </row>
    <row r="8" spans="1:15">
      <c r="A8" s="42">
        <v>43647</v>
      </c>
      <c r="B8" s="155">
        <v>2574</v>
      </c>
      <c r="C8" s="43"/>
      <c r="D8" s="128">
        <f t="shared" si="0"/>
        <v>0.92767900048053831</v>
      </c>
      <c r="E8" s="128">
        <f t="shared" si="2"/>
        <v>0.82377130138107268</v>
      </c>
      <c r="F8" s="129">
        <f t="shared" si="1"/>
        <v>3124.6536455987557</v>
      </c>
      <c r="G8" s="44">
        <v>7</v>
      </c>
      <c r="J8" t="s">
        <v>79</v>
      </c>
      <c r="K8">
        <v>267.00635023943056</v>
      </c>
    </row>
    <row r="9" spans="1:15" ht="15" thickBot="1">
      <c r="A9" s="42">
        <v>43678</v>
      </c>
      <c r="B9" s="155">
        <v>2280</v>
      </c>
      <c r="C9" s="43"/>
      <c r="D9" s="128">
        <f t="shared" si="0"/>
        <v>0.82172032676597795</v>
      </c>
      <c r="E9" s="128">
        <f t="shared" si="2"/>
        <v>0.86325582513150001</v>
      </c>
      <c r="F9" s="129">
        <f t="shared" si="1"/>
        <v>2641.1637589038996</v>
      </c>
      <c r="G9" s="44">
        <v>8</v>
      </c>
      <c r="J9" s="157" t="s">
        <v>80</v>
      </c>
      <c r="K9" s="157">
        <v>36</v>
      </c>
    </row>
    <row r="10" spans="1:15">
      <c r="A10" s="42">
        <v>43709</v>
      </c>
      <c r="B10" s="155">
        <v>2285</v>
      </c>
      <c r="C10" s="43"/>
      <c r="D10" s="128">
        <f t="shared" si="0"/>
        <v>0.82352234502642963</v>
      </c>
      <c r="E10" s="128">
        <f t="shared" si="2"/>
        <v>0.87436263790533741</v>
      </c>
      <c r="F10" s="129">
        <f t="shared" si="1"/>
        <v>2613.3321586956749</v>
      </c>
      <c r="G10" s="44">
        <v>9</v>
      </c>
    </row>
    <row r="11" spans="1:15" ht="15" thickBot="1">
      <c r="A11" s="42">
        <v>43739</v>
      </c>
      <c r="B11" s="155">
        <v>2615</v>
      </c>
      <c r="C11" s="43"/>
      <c r="D11" s="128">
        <f t="shared" si="0"/>
        <v>0.94245555021624228</v>
      </c>
      <c r="E11" s="128">
        <f t="shared" si="2"/>
        <v>1.0646998517526038</v>
      </c>
      <c r="F11" s="129">
        <f t="shared" si="1"/>
        <v>2456.091259612223</v>
      </c>
      <c r="G11" s="44">
        <v>10</v>
      </c>
      <c r="J11" t="s">
        <v>81</v>
      </c>
    </row>
    <row r="12" spans="1:15">
      <c r="A12" s="42">
        <v>43770</v>
      </c>
      <c r="B12" s="155">
        <v>3461</v>
      </c>
      <c r="C12" s="43"/>
      <c r="D12" s="128">
        <f t="shared" si="0"/>
        <v>1.2473570398846709</v>
      </c>
      <c r="E12" s="128">
        <f t="shared" si="2"/>
        <v>1.3088851994782027</v>
      </c>
      <c r="F12" s="129">
        <f t="shared" si="1"/>
        <v>2644.2349576416286</v>
      </c>
      <c r="G12" s="44">
        <v>11</v>
      </c>
      <c r="J12" s="158"/>
      <c r="K12" s="158" t="s">
        <v>82</v>
      </c>
      <c r="L12" s="158" t="s">
        <v>83</v>
      </c>
      <c r="M12" s="158" t="s">
        <v>84</v>
      </c>
      <c r="N12" s="158" t="s">
        <v>85</v>
      </c>
      <c r="O12" s="158" t="s">
        <v>86</v>
      </c>
    </row>
    <row r="13" spans="1:15" ht="15" thickBot="1">
      <c r="A13" s="91">
        <v>43800</v>
      </c>
      <c r="B13" s="156">
        <v>4022</v>
      </c>
      <c r="C13" s="127">
        <f>AVERAGE(B2:B13)</f>
        <v>2774.6666666666665</v>
      </c>
      <c r="D13" s="128">
        <f t="shared" si="0"/>
        <v>1.4495434887073524</v>
      </c>
      <c r="E13" s="128">
        <f t="shared" si="2"/>
        <v>1.5735035478310941</v>
      </c>
      <c r="F13" s="129">
        <f t="shared" si="1"/>
        <v>2556.0793971795588</v>
      </c>
      <c r="G13" s="44">
        <v>12</v>
      </c>
      <c r="J13" t="s">
        <v>87</v>
      </c>
      <c r="K13">
        <v>1</v>
      </c>
      <c r="L13">
        <v>4581570.2136954293</v>
      </c>
      <c r="M13">
        <v>4581570.2136954293</v>
      </c>
      <c r="N13">
        <v>64.264504879823463</v>
      </c>
      <c r="O13">
        <v>2.4179250976860613E-9</v>
      </c>
    </row>
    <row r="14" spans="1:15">
      <c r="A14" s="42">
        <v>43831</v>
      </c>
      <c r="B14" s="155">
        <v>2539</v>
      </c>
      <c r="C14" s="43"/>
      <c r="D14" s="128">
        <f>B14/$C$25</f>
        <v>0.79888824794168545</v>
      </c>
      <c r="E14" s="128">
        <v>0.77011887191321371</v>
      </c>
      <c r="F14" s="129">
        <f t="shared" si="1"/>
        <v>3296.8936259052293</v>
      </c>
      <c r="G14" s="44">
        <v>13</v>
      </c>
      <c r="J14" t="s">
        <v>88</v>
      </c>
      <c r="K14">
        <v>34</v>
      </c>
      <c r="L14">
        <v>2423941.2963181692</v>
      </c>
      <c r="M14">
        <v>71292.391068181445</v>
      </c>
    </row>
    <row r="15" spans="1:15" ht="15" thickBot="1">
      <c r="A15" s="42">
        <v>43862</v>
      </c>
      <c r="B15" s="155">
        <v>2365</v>
      </c>
      <c r="C15" s="43"/>
      <c r="D15" s="128">
        <f t="shared" ref="D15:D25" si="3">B15/$C$25</f>
        <v>0.7441397031831769</v>
      </c>
      <c r="E15" s="128">
        <v>0.786650861459954</v>
      </c>
      <c r="F15" s="129">
        <f t="shared" si="1"/>
        <v>3006.4163352097148</v>
      </c>
      <c r="G15" s="44">
        <v>14</v>
      </c>
      <c r="J15" s="157" t="s">
        <v>89</v>
      </c>
      <c r="K15" s="157">
        <v>35</v>
      </c>
      <c r="L15" s="157">
        <v>7005511.5100135989</v>
      </c>
      <c r="M15" s="157"/>
      <c r="N15" s="157"/>
      <c r="O15" s="157"/>
    </row>
    <row r="16" spans="1:15" ht="15" thickBot="1">
      <c r="A16" s="42">
        <v>43891</v>
      </c>
      <c r="B16" s="155">
        <v>2487</v>
      </c>
      <c r="C16" s="43"/>
      <c r="D16" s="128">
        <f t="shared" si="3"/>
        <v>0.78252661387592426</v>
      </c>
      <c r="E16" s="128">
        <v>0.8618111204894765</v>
      </c>
      <c r="F16" s="129">
        <f t="shared" si="1"/>
        <v>2885.7831384067972</v>
      </c>
      <c r="G16" s="44">
        <v>15</v>
      </c>
    </row>
    <row r="17" spans="1:18">
      <c r="A17" s="42">
        <v>43922</v>
      </c>
      <c r="B17" s="155">
        <v>3076</v>
      </c>
      <c r="C17" s="43"/>
      <c r="D17" s="128">
        <f t="shared" si="3"/>
        <v>0.96785358435156543</v>
      </c>
      <c r="E17" s="128">
        <v>0.97127800724357505</v>
      </c>
      <c r="F17" s="129">
        <f t="shared" si="1"/>
        <v>3166.9614436442266</v>
      </c>
      <c r="G17" s="44">
        <v>16</v>
      </c>
      <c r="J17" s="158"/>
      <c r="K17" s="158" t="s">
        <v>90</v>
      </c>
      <c r="L17" s="158" t="s">
        <v>79</v>
      </c>
      <c r="M17" s="158" t="s">
        <v>91</v>
      </c>
      <c r="N17" s="158" t="s">
        <v>92</v>
      </c>
      <c r="O17" s="158" t="s">
        <v>93</v>
      </c>
      <c r="P17" s="158" t="s">
        <v>94</v>
      </c>
      <c r="Q17" s="158" t="s">
        <v>95</v>
      </c>
      <c r="R17" s="158" t="s">
        <v>96</v>
      </c>
    </row>
    <row r="18" spans="1:18">
      <c r="A18" s="42">
        <v>43952</v>
      </c>
      <c r="B18" s="155">
        <v>3560</v>
      </c>
      <c r="C18" s="43"/>
      <c r="D18" s="128">
        <f t="shared" si="3"/>
        <v>1.1201426398867271</v>
      </c>
      <c r="E18" s="128">
        <v>0.98332918235946798</v>
      </c>
      <c r="F18" s="129">
        <f t="shared" si="1"/>
        <v>3620.3542657585836</v>
      </c>
      <c r="G18" s="44">
        <v>17</v>
      </c>
      <c r="J18" t="s">
        <v>97</v>
      </c>
      <c r="K18">
        <v>2593.104806504366</v>
      </c>
      <c r="L18">
        <v>90.889297289992527</v>
      </c>
      <c r="M18">
        <v>28.530364782453685</v>
      </c>
      <c r="N18">
        <v>2.4772075972110588E-25</v>
      </c>
      <c r="O18">
        <v>2408.3955311310328</v>
      </c>
      <c r="P18">
        <v>2777.8140818776992</v>
      </c>
      <c r="Q18">
        <v>2408.3955311310328</v>
      </c>
      <c r="R18">
        <v>2777.8140818776992</v>
      </c>
    </row>
    <row r="19" spans="1:18" ht="15" thickBot="1">
      <c r="A19" s="42">
        <v>43983</v>
      </c>
      <c r="B19" s="155">
        <v>3390</v>
      </c>
      <c r="C19" s="43"/>
      <c r="D19" s="128">
        <f t="shared" si="3"/>
        <v>1.0666526823640463</v>
      </c>
      <c r="E19" s="128">
        <v>1.1183335930545024</v>
      </c>
      <c r="F19" s="129">
        <f t="shared" si="1"/>
        <v>3031.2958682935559</v>
      </c>
      <c r="G19" s="44">
        <v>18</v>
      </c>
      <c r="J19" s="157" t="s">
        <v>19</v>
      </c>
      <c r="K19" s="157">
        <v>34.340899119017763</v>
      </c>
      <c r="L19" s="157">
        <v>4.2837693462218196</v>
      </c>
      <c r="M19" s="157">
        <v>8.0165145094251162</v>
      </c>
      <c r="N19" s="157">
        <v>2.4179250976860961E-9</v>
      </c>
      <c r="O19" s="157">
        <v>25.635232385974916</v>
      </c>
      <c r="P19" s="157">
        <v>43.04656585206061</v>
      </c>
      <c r="Q19" s="157">
        <v>25.635232385974916</v>
      </c>
      <c r="R19" s="157">
        <v>43.04656585206061</v>
      </c>
    </row>
    <row r="20" spans="1:18">
      <c r="A20" s="42">
        <v>44013</v>
      </c>
      <c r="B20" s="155">
        <v>2441</v>
      </c>
      <c r="C20" s="43"/>
      <c r="D20" s="128">
        <f t="shared" si="3"/>
        <v>0.76805286066390477</v>
      </c>
      <c r="E20" s="128">
        <v>0.82377130138107268</v>
      </c>
      <c r="F20" s="129">
        <f t="shared" si="1"/>
        <v>2963.2010679512673</v>
      </c>
      <c r="G20" s="44">
        <v>19</v>
      </c>
    </row>
    <row r="21" spans="1:18">
      <c r="A21" s="42">
        <v>44044</v>
      </c>
      <c r="B21" s="155">
        <v>2805</v>
      </c>
      <c r="C21" s="43"/>
      <c r="D21" s="128">
        <f t="shared" si="3"/>
        <v>0.88258429912423308</v>
      </c>
      <c r="E21" s="128">
        <v>0.86325582513150001</v>
      </c>
      <c r="F21" s="129">
        <f t="shared" si="1"/>
        <v>3249.3264665462448</v>
      </c>
      <c r="G21" s="44">
        <v>20</v>
      </c>
    </row>
    <row r="22" spans="1:18">
      <c r="A22" s="42">
        <v>44075</v>
      </c>
      <c r="B22" s="155">
        <v>2827</v>
      </c>
      <c r="C22" s="43"/>
      <c r="D22" s="128">
        <f t="shared" si="3"/>
        <v>0.8895065289212859</v>
      </c>
      <c r="E22" s="128">
        <v>0.87436263790533741</v>
      </c>
      <c r="F22" s="129">
        <f t="shared" si="1"/>
        <v>3233.2122593578433</v>
      </c>
      <c r="G22" s="44">
        <v>21</v>
      </c>
    </row>
    <row r="23" spans="1:18">
      <c r="A23" s="42">
        <v>44105</v>
      </c>
      <c r="B23" s="155">
        <v>3409</v>
      </c>
      <c r="C23" s="43"/>
      <c r="D23" s="128">
        <f t="shared" si="3"/>
        <v>1.0726309717342284</v>
      </c>
      <c r="E23" s="128">
        <v>1.0646998517526038</v>
      </c>
      <c r="F23" s="129">
        <f t="shared" si="1"/>
        <v>3201.8413399686688</v>
      </c>
      <c r="G23" s="44">
        <v>22</v>
      </c>
    </row>
    <row r="24" spans="1:18">
      <c r="A24" s="42">
        <v>44136</v>
      </c>
      <c r="B24" s="155">
        <v>4119</v>
      </c>
      <c r="C24" s="43"/>
      <c r="D24" s="128">
        <f t="shared" si="3"/>
        <v>1.2960302060936599</v>
      </c>
      <c r="E24" s="128">
        <v>1.3088851994782027</v>
      </c>
      <c r="F24" s="129">
        <f t="shared" si="1"/>
        <v>3146.952843260869</v>
      </c>
      <c r="G24" s="44">
        <v>23</v>
      </c>
    </row>
    <row r="25" spans="1:18" ht="15" thickBot="1">
      <c r="A25" s="91">
        <v>44166</v>
      </c>
      <c r="B25" s="156">
        <v>5120</v>
      </c>
      <c r="C25" s="45">
        <f>AVERAGE(B14:B25)</f>
        <v>3178.1666666666665</v>
      </c>
      <c r="D25" s="128">
        <f t="shared" si="3"/>
        <v>1.6109916618595628</v>
      </c>
      <c r="E25" s="128">
        <v>1.5735035478310941</v>
      </c>
      <c r="F25" s="129">
        <f t="shared" si="1"/>
        <v>3253.8852594627897</v>
      </c>
      <c r="G25" s="44">
        <v>24</v>
      </c>
    </row>
    <row r="26" spans="1:18">
      <c r="A26" s="42">
        <v>44197</v>
      </c>
      <c r="B26" s="155">
        <v>2646</v>
      </c>
      <c r="C26" s="43"/>
      <c r="D26" s="128">
        <f>B26/$C$37</f>
        <v>0.70740781998440461</v>
      </c>
      <c r="E26" s="128">
        <v>0.77011887191321371</v>
      </c>
      <c r="F26" s="129">
        <f t="shared" si="1"/>
        <v>3435.8332154963514</v>
      </c>
      <c r="G26" s="44">
        <v>25</v>
      </c>
    </row>
    <row r="27" spans="1:18">
      <c r="A27" s="42">
        <v>44228</v>
      </c>
      <c r="B27" s="155">
        <v>2857</v>
      </c>
      <c r="C27" s="43"/>
      <c r="D27" s="128">
        <f t="shared" ref="D27:D37" si="4">B27/$C$37</f>
        <v>0.76381864765511864</v>
      </c>
      <c r="E27" s="128">
        <v>0.786650861459954</v>
      </c>
      <c r="F27" s="129">
        <f t="shared" si="1"/>
        <v>3631.8526298918205</v>
      </c>
      <c r="G27" s="44">
        <v>26</v>
      </c>
    </row>
    <row r="28" spans="1:18">
      <c r="A28" s="42">
        <v>44256</v>
      </c>
      <c r="B28" s="155">
        <v>2903</v>
      </c>
      <c r="C28" s="43"/>
      <c r="D28" s="128">
        <f t="shared" si="4"/>
        <v>0.77611674278712273</v>
      </c>
      <c r="E28" s="128">
        <v>0.8618111204894765</v>
      </c>
      <c r="F28" s="129">
        <f t="shared" si="1"/>
        <v>3368.4875153980429</v>
      </c>
      <c r="G28" s="44">
        <v>27</v>
      </c>
    </row>
    <row r="29" spans="1:18">
      <c r="A29" s="42">
        <v>44287</v>
      </c>
      <c r="B29" s="155">
        <v>3546</v>
      </c>
      <c r="C29" s="43"/>
      <c r="D29" s="128">
        <f t="shared" si="4"/>
        <v>0.9480227247410048</v>
      </c>
      <c r="E29" s="128">
        <v>0.97127800724357505</v>
      </c>
      <c r="F29" s="129">
        <f t="shared" si="1"/>
        <v>3650.8599737199047</v>
      </c>
      <c r="G29" s="44">
        <v>28</v>
      </c>
    </row>
    <row r="30" spans="1:18">
      <c r="A30" s="42">
        <v>44317</v>
      </c>
      <c r="B30" s="155">
        <v>3636</v>
      </c>
      <c r="C30" s="43"/>
      <c r="D30" s="128">
        <f t="shared" si="4"/>
        <v>0.97208421521666488</v>
      </c>
      <c r="E30" s="128">
        <v>0.98332918235946798</v>
      </c>
      <c r="F30" s="129">
        <f t="shared" si="1"/>
        <v>3697.6427276118566</v>
      </c>
      <c r="G30" s="44">
        <v>29</v>
      </c>
    </row>
    <row r="31" spans="1:18">
      <c r="A31" s="42">
        <v>44348</v>
      </c>
      <c r="B31" s="155">
        <v>3887</v>
      </c>
      <c r="C31" s="43"/>
      <c r="D31" s="128">
        <f t="shared" si="4"/>
        <v>1.039189038654339</v>
      </c>
      <c r="E31" s="128">
        <v>1.1183335930545024</v>
      </c>
      <c r="F31" s="129">
        <f t="shared" si="1"/>
        <v>3475.7070914622573</v>
      </c>
      <c r="G31" s="44">
        <v>30</v>
      </c>
    </row>
    <row r="32" spans="1:18">
      <c r="A32" s="42">
        <v>44378</v>
      </c>
      <c r="B32" s="155">
        <v>2901</v>
      </c>
      <c r="C32" s="43"/>
      <c r="D32" s="128">
        <f t="shared" si="4"/>
        <v>0.77558204299877465</v>
      </c>
      <c r="E32" s="128">
        <v>0.82377130138107268</v>
      </c>
      <c r="F32" s="129">
        <f t="shared" si="1"/>
        <v>3521.6084793636323</v>
      </c>
      <c r="G32" s="44">
        <v>31</v>
      </c>
    </row>
    <row r="33" spans="1:9">
      <c r="A33" s="42">
        <v>44409</v>
      </c>
      <c r="B33" s="155">
        <v>3312</v>
      </c>
      <c r="C33" s="43"/>
      <c r="D33" s="128">
        <f t="shared" si="4"/>
        <v>0.88546284950428877</v>
      </c>
      <c r="E33" s="128">
        <v>0.86325582513150001</v>
      </c>
      <c r="F33" s="129">
        <f t="shared" si="1"/>
        <v>3836.6378813551382</v>
      </c>
      <c r="G33" s="44">
        <v>32</v>
      </c>
    </row>
    <row r="34" spans="1:9">
      <c r="A34" s="42">
        <v>44440</v>
      </c>
      <c r="B34" s="155">
        <v>3404</v>
      </c>
      <c r="C34" s="43"/>
      <c r="D34" s="128">
        <f t="shared" si="4"/>
        <v>0.91005903976829683</v>
      </c>
      <c r="E34" s="128">
        <v>0.87436263790533741</v>
      </c>
      <c r="F34" s="129">
        <f t="shared" si="1"/>
        <v>3893.1215178118496</v>
      </c>
      <c r="G34" s="44">
        <v>33</v>
      </c>
    </row>
    <row r="35" spans="1:9">
      <c r="A35" s="42">
        <v>44470</v>
      </c>
      <c r="B35" s="155">
        <v>4410</v>
      </c>
      <c r="C35" s="43"/>
      <c r="D35" s="128">
        <f t="shared" si="4"/>
        <v>1.179013033307341</v>
      </c>
      <c r="E35" s="128">
        <v>1.0646998517526038</v>
      </c>
      <c r="F35" s="129">
        <f t="shared" si="1"/>
        <v>4142.0124110477645</v>
      </c>
      <c r="G35" s="44">
        <v>34</v>
      </c>
    </row>
    <row r="36" spans="1:9" ht="15" thickBot="1">
      <c r="A36" s="42">
        <v>44501</v>
      </c>
      <c r="B36" s="155">
        <v>5174</v>
      </c>
      <c r="C36" s="43"/>
      <c r="D36" s="128">
        <f t="shared" si="4"/>
        <v>1.3832683524562772</v>
      </c>
      <c r="E36" s="128">
        <v>1.3088851994782027</v>
      </c>
      <c r="F36" s="129">
        <f t="shared" si="1"/>
        <v>3952.9822799300164</v>
      </c>
      <c r="G36" s="44">
        <v>35</v>
      </c>
      <c r="I36" s="124" t="s">
        <v>98</v>
      </c>
    </row>
    <row r="37" spans="1:9" ht="15" thickBot="1">
      <c r="A37" s="91">
        <v>44531</v>
      </c>
      <c r="B37" s="154">
        <v>6209</v>
      </c>
      <c r="C37" s="127">
        <f>AVERAGE(B26:B37)</f>
        <v>3740.4166666666665</v>
      </c>
      <c r="D37" s="128">
        <f t="shared" si="4"/>
        <v>1.6599754929263675</v>
      </c>
      <c r="E37" s="128">
        <v>1.5735035478310941</v>
      </c>
      <c r="F37" s="129">
        <f t="shared" si="1"/>
        <v>3945.9714015633713</v>
      </c>
      <c r="G37" s="44">
        <v>36</v>
      </c>
      <c r="H37" s="133" t="s">
        <v>99</v>
      </c>
      <c r="I37" s="133" t="s">
        <v>100</v>
      </c>
    </row>
    <row r="38" spans="1:9">
      <c r="A38" s="42">
        <v>44562</v>
      </c>
      <c r="E38" s="131"/>
      <c r="G38" s="44">
        <v>37</v>
      </c>
      <c r="H38" s="132">
        <f>$K$18+$K$19*G38</f>
        <v>3863.7180739080231</v>
      </c>
      <c r="I38" s="132">
        <f>H38*E2</f>
        <v>2975.5222044687416</v>
      </c>
    </row>
    <row r="39" spans="1:9">
      <c r="A39" s="42">
        <v>44593</v>
      </c>
      <c r="E39" s="131"/>
      <c r="G39" s="44">
        <v>38</v>
      </c>
      <c r="H39" s="132">
        <f t="shared" ref="H39:H49" si="5">$K$18+$K$19*G39</f>
        <v>3898.0589730270412</v>
      </c>
      <c r="I39" s="132">
        <f t="shared" ref="I39:I49" si="6">H39*E3</f>
        <v>3066.4114491534256</v>
      </c>
    </row>
    <row r="40" spans="1:9">
      <c r="A40" s="42">
        <v>44621</v>
      </c>
      <c r="E40" s="131"/>
      <c r="G40" s="44">
        <v>39</v>
      </c>
      <c r="H40" s="132">
        <f t="shared" si="5"/>
        <v>3932.3998721460589</v>
      </c>
      <c r="I40" s="132">
        <f t="shared" si="6"/>
        <v>3388.9859400268692</v>
      </c>
    </row>
    <row r="41" spans="1:9" ht="15" thickBot="1">
      <c r="A41" s="91">
        <v>44652</v>
      </c>
      <c r="E41" s="131">
        <f>AVERAGE(E2:E13)</f>
        <v>1</v>
      </c>
      <c r="G41" s="44">
        <v>40</v>
      </c>
      <c r="H41" s="132">
        <f t="shared" si="5"/>
        <v>3966.7407712650765</v>
      </c>
      <c r="I41" s="132">
        <f t="shared" si="6"/>
        <v>3852.8080715661854</v>
      </c>
    </row>
    <row r="42" spans="1:9">
      <c r="A42" s="42">
        <v>44682</v>
      </c>
      <c r="E42" s="131">
        <f>E41*12</f>
        <v>12</v>
      </c>
      <c r="G42" s="44">
        <v>41</v>
      </c>
      <c r="H42" s="132">
        <f t="shared" si="5"/>
        <v>4001.0816703840942</v>
      </c>
      <c r="I42" s="132">
        <f t="shared" si="6"/>
        <v>3934.3803674922456</v>
      </c>
    </row>
    <row r="43" spans="1:9">
      <c r="A43" s="42">
        <v>44713</v>
      </c>
      <c r="E43" s="131"/>
      <c r="G43" s="44">
        <v>42</v>
      </c>
      <c r="H43" s="132">
        <f t="shared" si="5"/>
        <v>4035.4225695031118</v>
      </c>
      <c r="I43" s="132">
        <f t="shared" si="6"/>
        <v>4512.948621645648</v>
      </c>
    </row>
    <row r="44" spans="1:9">
      <c r="A44" s="42">
        <v>44743</v>
      </c>
      <c r="E44" s="131"/>
      <c r="G44" s="44">
        <v>43</v>
      </c>
      <c r="H44" s="132">
        <f t="shared" si="5"/>
        <v>4069.7634686221299</v>
      </c>
      <c r="I44" s="132">
        <f t="shared" si="6"/>
        <v>3352.5543488600006</v>
      </c>
    </row>
    <row r="45" spans="1:9" ht="15" thickBot="1">
      <c r="A45" s="91">
        <v>44774</v>
      </c>
      <c r="E45" s="131"/>
      <c r="G45" s="44">
        <v>44</v>
      </c>
      <c r="H45" s="132">
        <f t="shared" si="5"/>
        <v>4104.1043677411471</v>
      </c>
      <c r="I45" s="132">
        <f t="shared" si="6"/>
        <v>3542.8920024001773</v>
      </c>
    </row>
    <row r="46" spans="1:9">
      <c r="A46" s="42">
        <v>44805</v>
      </c>
      <c r="E46" s="131"/>
      <c r="G46" s="44">
        <v>45</v>
      </c>
      <c r="H46" s="132">
        <f t="shared" si="5"/>
        <v>4138.4452668601652</v>
      </c>
      <c r="I46" s="132">
        <f t="shared" si="6"/>
        <v>3618.5019203587121</v>
      </c>
    </row>
    <row r="47" spans="1:9">
      <c r="A47" s="42">
        <v>44835</v>
      </c>
      <c r="E47" s="131"/>
      <c r="G47" s="44">
        <v>46</v>
      </c>
      <c r="H47" s="132">
        <f t="shared" si="5"/>
        <v>4172.7861659791834</v>
      </c>
      <c r="I47" s="132">
        <f t="shared" si="6"/>
        <v>4442.7648123133531</v>
      </c>
    </row>
    <row r="48" spans="1:9">
      <c r="A48" s="42">
        <v>44866</v>
      </c>
      <c r="E48" s="131"/>
      <c r="G48" s="44">
        <v>47</v>
      </c>
      <c r="H48" s="132">
        <f t="shared" si="5"/>
        <v>4207.1270650982005</v>
      </c>
      <c r="I48" s="132">
        <f t="shared" si="6"/>
        <v>5506.6463478312035</v>
      </c>
    </row>
    <row r="49" spans="1:9" ht="15" thickBot="1">
      <c r="A49" s="91">
        <v>44896</v>
      </c>
      <c r="E49" s="131"/>
      <c r="G49" s="44">
        <v>48</v>
      </c>
      <c r="H49" s="132">
        <f t="shared" si="5"/>
        <v>4241.4679642172187</v>
      </c>
      <c r="I49" s="132">
        <f t="shared" si="6"/>
        <v>6673.9648897077223</v>
      </c>
    </row>
    <row r="50" spans="1:9" ht="47.4" thickBot="1">
      <c r="C50" s="93" t="s">
        <v>101</v>
      </c>
      <c r="E50" s="103" t="s">
        <v>102</v>
      </c>
      <c r="F50" s="135" t="s">
        <v>103</v>
      </c>
      <c r="H50" t="s">
        <v>104</v>
      </c>
      <c r="I50" s="134">
        <f>AVERAGE(I38:I49)</f>
        <v>4072.36508131869</v>
      </c>
    </row>
    <row r="51" spans="1:9" ht="15.9" customHeight="1" thickBot="1">
      <c r="C51" s="141">
        <f>MAX(C13,C25,C37)</f>
        <v>3740.4166666666665</v>
      </c>
      <c r="E51" s="139">
        <f>MAX(E2:E37)</f>
        <v>1.5735035478310941</v>
      </c>
      <c r="F51" s="136">
        <f>SUM(F2:F37)</f>
        <v>116222.811847423</v>
      </c>
      <c r="H51" s="162" t="s">
        <v>105</v>
      </c>
      <c r="I51" s="162"/>
    </row>
    <row r="52" spans="1:9" ht="47.4" thickBot="1">
      <c r="C52" s="93" t="s">
        <v>106</v>
      </c>
      <c r="F52" s="137" t="s">
        <v>107</v>
      </c>
      <c r="H52" s="162"/>
      <c r="I52" s="162"/>
    </row>
    <row r="53" spans="1:9" ht="15" thickBot="1">
      <c r="C53" s="141">
        <f>SUM(B2:B37)</f>
        <v>116319</v>
      </c>
      <c r="F53" s="138">
        <f>AVERAGE(F2:F37)</f>
        <v>3228.4114402061946</v>
      </c>
    </row>
    <row r="54" spans="1:9" ht="15" thickBot="1">
      <c r="C54" s="103" t="s">
        <v>108</v>
      </c>
    </row>
    <row r="55" spans="1:9" ht="15" thickBot="1">
      <c r="C55" s="140">
        <f>AVERAGE(B2:B37)</f>
        <v>3231.0833333333335</v>
      </c>
    </row>
    <row r="100" spans="26:26">
      <c r="Z100" t="s">
        <v>8</v>
      </c>
    </row>
    <row r="102" spans="26:26">
      <c r="Z102" t="s">
        <v>14</v>
      </c>
    </row>
  </sheetData>
  <mergeCells count="1">
    <mergeCell ref="H51:I5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15334-9214-44BF-9E53-91B8F829E777}">
  <sheetPr codeName="Sheet6"/>
  <dimension ref="A1:Z201"/>
  <sheetViews>
    <sheetView topLeftCell="A17" zoomScale="57" zoomScaleNormal="40" workbookViewId="0">
      <selection activeCell="N30" sqref="N30"/>
    </sheetView>
  </sheetViews>
  <sheetFormatPr defaultColWidth="8.88671875" defaultRowHeight="14.4"/>
  <cols>
    <col min="1" max="1" width="27.5546875" bestFit="1" customWidth="1"/>
    <col min="2" max="13" width="13.44140625" customWidth="1"/>
    <col min="14" max="14" width="14.44140625" bestFit="1" customWidth="1"/>
  </cols>
  <sheetData>
    <row r="1" spans="1:26">
      <c r="A1" s="46" t="s">
        <v>109</v>
      </c>
      <c r="B1" s="163" t="s">
        <v>110</v>
      </c>
      <c r="C1" s="163"/>
      <c r="D1" s="164"/>
      <c r="E1" s="47" t="s">
        <v>51</v>
      </c>
      <c r="F1" s="47" t="s">
        <v>52</v>
      </c>
      <c r="G1" s="47" t="s">
        <v>53</v>
      </c>
      <c r="Z1" t="s">
        <v>111</v>
      </c>
    </row>
    <row r="2" spans="1:26">
      <c r="A2" s="89" t="s">
        <v>112</v>
      </c>
      <c r="B2" s="163"/>
      <c r="C2" s="163"/>
      <c r="D2" s="164"/>
      <c r="E2" s="47">
        <f>'Financial information '!B32</f>
        <v>4000</v>
      </c>
      <c r="F2" s="47">
        <f>'Financial information '!B33</f>
        <v>3</v>
      </c>
      <c r="G2" s="47">
        <f>'Financial information '!B34</f>
        <v>1.25</v>
      </c>
      <c r="Z2" t="s">
        <v>113</v>
      </c>
    </row>
    <row r="3" spans="1:26" ht="15" thickBot="1">
      <c r="A3" s="46" t="s">
        <v>114</v>
      </c>
    </row>
    <row r="4" spans="1:26">
      <c r="A4" s="97" t="s">
        <v>115</v>
      </c>
      <c r="B4" s="94">
        <v>44562</v>
      </c>
      <c r="C4" s="95">
        <v>44593</v>
      </c>
      <c r="D4" s="95">
        <v>44621</v>
      </c>
      <c r="E4" s="95">
        <v>44652</v>
      </c>
      <c r="F4" s="95">
        <v>44682</v>
      </c>
      <c r="G4" s="95">
        <v>44713</v>
      </c>
      <c r="H4" s="95">
        <v>44743</v>
      </c>
      <c r="I4" s="95">
        <v>44774</v>
      </c>
      <c r="J4" s="95">
        <v>44805</v>
      </c>
      <c r="K4" s="95">
        <v>44835</v>
      </c>
      <c r="L4" s="95">
        <v>44866</v>
      </c>
      <c r="M4" s="110">
        <v>44896</v>
      </c>
      <c r="N4" s="104" t="s">
        <v>116</v>
      </c>
    </row>
    <row r="5" spans="1:26">
      <c r="A5" s="48" t="s">
        <v>67</v>
      </c>
      <c r="B5" s="111">
        <f>'SI and regression Pt 1'!I38</f>
        <v>2975.5222044687416</v>
      </c>
      <c r="C5" s="111">
        <f>'SI and regression Pt 1'!I39</f>
        <v>3066.4114491534256</v>
      </c>
      <c r="D5" s="111">
        <f>'SI and regression Pt 1'!I40</f>
        <v>3388.9859400268692</v>
      </c>
      <c r="E5" s="111">
        <f>'SI and regression Pt 1'!I41</f>
        <v>3852.8080715661854</v>
      </c>
      <c r="F5" s="111">
        <f>'SI and regression Pt 1'!I42</f>
        <v>3934.3803674922456</v>
      </c>
      <c r="G5" s="111">
        <f>'SI and regression Pt 1'!I43</f>
        <v>4512.948621645648</v>
      </c>
      <c r="H5" s="111">
        <f>'SI and regression Pt 1'!I44</f>
        <v>3352.5543488600006</v>
      </c>
      <c r="I5" s="111">
        <f>'SI and regression Pt 1'!I45</f>
        <v>3542.8920024001773</v>
      </c>
      <c r="J5" s="111">
        <f>'SI and regression Pt 1'!I46</f>
        <v>3618.5019203587121</v>
      </c>
      <c r="K5" s="111">
        <f>'SI and regression Pt 1'!I47</f>
        <v>4442.7648123133531</v>
      </c>
      <c r="L5" s="111">
        <f>'SI and regression Pt 1'!I48</f>
        <v>5506.6463478312035</v>
      </c>
      <c r="M5" s="111">
        <f>'SI and regression Pt 1'!I49</f>
        <v>6673.9648897077223</v>
      </c>
      <c r="N5" s="105">
        <f>SUM(B5:M5)</f>
        <v>48868.380975824279</v>
      </c>
    </row>
    <row r="6" spans="1:26">
      <c r="A6" s="48" t="s">
        <v>117</v>
      </c>
      <c r="B6" s="111">
        <f>MIN(B5,$E$2)</f>
        <v>2975.5222044687416</v>
      </c>
      <c r="C6" s="111">
        <f t="shared" ref="C6:M6" si="0">MIN(C5,$E$2)</f>
        <v>3066.4114491534256</v>
      </c>
      <c r="D6" s="111">
        <f>MIN(D5,$E$2)</f>
        <v>3388.9859400268692</v>
      </c>
      <c r="E6" s="111">
        <f t="shared" si="0"/>
        <v>3852.8080715661854</v>
      </c>
      <c r="F6" s="111">
        <f t="shared" si="0"/>
        <v>3934.3803674922456</v>
      </c>
      <c r="G6" s="111">
        <f t="shared" si="0"/>
        <v>4000</v>
      </c>
      <c r="H6" s="111">
        <f t="shared" si="0"/>
        <v>3352.5543488600006</v>
      </c>
      <c r="I6" s="111">
        <f t="shared" si="0"/>
        <v>3542.8920024001773</v>
      </c>
      <c r="J6" s="111">
        <f t="shared" si="0"/>
        <v>3618.5019203587121</v>
      </c>
      <c r="K6" s="111">
        <f t="shared" si="0"/>
        <v>4000</v>
      </c>
      <c r="L6" s="111">
        <f t="shared" si="0"/>
        <v>4000</v>
      </c>
      <c r="M6" s="111">
        <f t="shared" si="0"/>
        <v>4000</v>
      </c>
      <c r="N6" s="106">
        <f>SUM(B6:M6)</f>
        <v>43732.056304326354</v>
      </c>
    </row>
    <row r="7" spans="1:26">
      <c r="A7" s="48" t="s">
        <v>118</v>
      </c>
      <c r="B7" s="111">
        <f>IF($E$2&gt;B5,$E$2-B5,0)</f>
        <v>1024.4777955312584</v>
      </c>
      <c r="C7" s="111">
        <f t="shared" ref="C7:M7" si="1">IF($E$2&gt;C5,$E$2-C5,0)</f>
        <v>933.58855084657444</v>
      </c>
      <c r="D7" s="111">
        <f t="shared" si="1"/>
        <v>611.01405997313077</v>
      </c>
      <c r="E7" s="111">
        <f t="shared" si="1"/>
        <v>147.19192843381461</v>
      </c>
      <c r="F7" s="111">
        <f t="shared" si="1"/>
        <v>65.619632507754432</v>
      </c>
      <c r="G7" s="111">
        <f t="shared" si="1"/>
        <v>0</v>
      </c>
      <c r="H7" s="111">
        <f t="shared" si="1"/>
        <v>647.44565113999943</v>
      </c>
      <c r="I7" s="111">
        <f t="shared" si="1"/>
        <v>457.10799759982274</v>
      </c>
      <c r="J7" s="111">
        <f t="shared" si="1"/>
        <v>381.49807964128786</v>
      </c>
      <c r="K7" s="111">
        <f t="shared" si="1"/>
        <v>0</v>
      </c>
      <c r="L7" s="111">
        <f t="shared" si="1"/>
        <v>0</v>
      </c>
      <c r="M7" s="111">
        <f t="shared" si="1"/>
        <v>0</v>
      </c>
      <c r="N7" s="106">
        <f>SUM(B7:M7)</f>
        <v>4267.9436956736427</v>
      </c>
    </row>
    <row r="8" spans="1:26">
      <c r="A8" s="49" t="s">
        <v>119</v>
      </c>
      <c r="B8" s="113">
        <f>IF(B5&gt;$E$2,B5-$E$2,0)</f>
        <v>0</v>
      </c>
      <c r="C8" s="113">
        <f t="shared" ref="C8:M8" si="2">IF(C5&gt;$E$2,C5-$E$2,0)</f>
        <v>0</v>
      </c>
      <c r="D8" s="113">
        <f t="shared" si="2"/>
        <v>0</v>
      </c>
      <c r="E8" s="113">
        <f t="shared" si="2"/>
        <v>0</v>
      </c>
      <c r="F8" s="113">
        <f t="shared" si="2"/>
        <v>0</v>
      </c>
      <c r="G8" s="113">
        <f>IF(G5&gt;$E$2,G5-$E$2,0)</f>
        <v>512.94862164564802</v>
      </c>
      <c r="H8" s="113">
        <f t="shared" si="2"/>
        <v>0</v>
      </c>
      <c r="I8" s="113">
        <f t="shared" si="2"/>
        <v>0</v>
      </c>
      <c r="J8" s="113">
        <f t="shared" si="2"/>
        <v>0</v>
      </c>
      <c r="K8" s="113">
        <f t="shared" si="2"/>
        <v>442.7648123133531</v>
      </c>
      <c r="L8" s="113">
        <f t="shared" si="2"/>
        <v>1506.6463478312035</v>
      </c>
      <c r="M8" s="113">
        <f t="shared" si="2"/>
        <v>2673.9648897077223</v>
      </c>
      <c r="N8" s="107">
        <f>SUM(B8:M8)</f>
        <v>5136.3246714979268</v>
      </c>
    </row>
    <row r="9" spans="1:26">
      <c r="A9" s="98" t="s">
        <v>120</v>
      </c>
      <c r="B9" s="114"/>
      <c r="C9" s="114"/>
      <c r="D9" s="114"/>
      <c r="E9" s="114"/>
      <c r="F9" s="114"/>
      <c r="G9" s="114"/>
      <c r="H9" s="114"/>
      <c r="I9" s="114"/>
      <c r="J9" s="114"/>
      <c r="K9" s="114"/>
      <c r="L9" s="114"/>
      <c r="M9" s="114"/>
      <c r="N9" s="105"/>
    </row>
    <row r="10" spans="1:26">
      <c r="A10" s="48" t="s">
        <v>121</v>
      </c>
      <c r="B10" s="111">
        <f>B6*'Financial information '!$C$7</f>
        <v>8896.811391361538</v>
      </c>
      <c r="C10" s="111">
        <f>C6*'Financial information '!$C$7</f>
        <v>9168.5702329687429</v>
      </c>
      <c r="D10" s="111">
        <f>D6*'Financial information '!$C$7</f>
        <v>10133.067960680341</v>
      </c>
      <c r="E10" s="111">
        <f>E6*'Financial information '!$C$7</f>
        <v>11519.896133982895</v>
      </c>
      <c r="F10" s="111">
        <f>F6*'Financial information '!$C$7</f>
        <v>11763.797298801815</v>
      </c>
      <c r="G10" s="111">
        <f>G6*'Financial information '!$C$7</f>
        <v>11960</v>
      </c>
      <c r="H10" s="111">
        <f>H6*'Financial information '!$C$7</f>
        <v>10024.137503091402</v>
      </c>
      <c r="I10" s="111">
        <f>I6*'Financial information '!$C$7</f>
        <v>10593.247087176531</v>
      </c>
      <c r="J10" s="111">
        <f>J6*'Financial information '!$C$7</f>
        <v>10819.320741872551</v>
      </c>
      <c r="K10" s="111">
        <f>K6*'Financial information '!$C$7</f>
        <v>11960</v>
      </c>
      <c r="L10" s="111">
        <f>L6*'Financial information '!$C$7</f>
        <v>11960</v>
      </c>
      <c r="M10" s="111">
        <f>M6*'Financial information '!$C$7</f>
        <v>11960</v>
      </c>
      <c r="N10" s="106">
        <f>SUM(B10:M10)</f>
        <v>130758.84834993581</v>
      </c>
    </row>
    <row r="11" spans="1:26">
      <c r="A11" s="48" t="s">
        <v>122</v>
      </c>
      <c r="B11" s="111">
        <f>'Financial information '!$C$8*'Current operations Pt2 &amp; Pt3 '!B6</f>
        <v>7438.8055111718541</v>
      </c>
      <c r="C11" s="111">
        <f>'Financial information '!$C$8*'Current operations Pt2 &amp; Pt3 '!C6</f>
        <v>7666.0286228835639</v>
      </c>
      <c r="D11" s="111">
        <f>'Financial information '!$C$8*'Current operations Pt2 &amp; Pt3 '!D6</f>
        <v>8472.4648500671738</v>
      </c>
      <c r="E11" s="111">
        <f>'Financial information '!$C$8*'Current operations Pt2 &amp; Pt3 '!E6</f>
        <v>9632.0201789154635</v>
      </c>
      <c r="F11" s="111">
        <f>'Financial information '!$C$8*'Current operations Pt2 &amp; Pt3 '!F6</f>
        <v>9835.9509187306139</v>
      </c>
      <c r="G11" s="111">
        <f>'Financial information '!$C$8*'Current operations Pt2 &amp; Pt3 '!G6</f>
        <v>10000</v>
      </c>
      <c r="H11" s="111">
        <f>'Financial information '!$C$8*'Current operations Pt2 &amp; Pt3 '!H6</f>
        <v>8381.3858721500019</v>
      </c>
      <c r="I11" s="111">
        <f>'Financial information '!$C$8*'Current operations Pt2 &amp; Pt3 '!I6</f>
        <v>8857.2300060004436</v>
      </c>
      <c r="J11" s="111">
        <f>'Financial information '!$C$8*'Current operations Pt2 &amp; Pt3 '!J6</f>
        <v>9046.2548008967806</v>
      </c>
      <c r="K11" s="111">
        <f>'Financial information '!$C$8*'Current operations Pt2 &amp; Pt3 '!K6</f>
        <v>10000</v>
      </c>
      <c r="L11" s="111">
        <f>'Financial information '!$C$8*'Current operations Pt2 &amp; Pt3 '!L6</f>
        <v>10000</v>
      </c>
      <c r="M11" s="111">
        <f>'Financial information '!$C$8*'Current operations Pt2 &amp; Pt3 '!M6</f>
        <v>10000</v>
      </c>
      <c r="N11" s="106">
        <f t="shared" ref="N11:N12" si="3">SUM(B11:M11)</f>
        <v>109330.14076081591</v>
      </c>
    </row>
    <row r="12" spans="1:26" ht="15" thickBot="1">
      <c r="A12" s="48" t="s">
        <v>123</v>
      </c>
      <c r="B12" s="115">
        <f>B7*$G$2</f>
        <v>1280.597244414073</v>
      </c>
      <c r="C12" s="115">
        <f t="shared" ref="C12:M12" si="4">C7*$G$2</f>
        <v>1166.985688558218</v>
      </c>
      <c r="D12" s="115">
        <f t="shared" si="4"/>
        <v>763.76757496641346</v>
      </c>
      <c r="E12" s="115">
        <f t="shared" si="4"/>
        <v>183.98991054226826</v>
      </c>
      <c r="F12" s="115">
        <f t="shared" si="4"/>
        <v>82.024540634693039</v>
      </c>
      <c r="G12" s="115">
        <f t="shared" si="4"/>
        <v>0</v>
      </c>
      <c r="H12" s="115">
        <f t="shared" si="4"/>
        <v>809.30706392499928</v>
      </c>
      <c r="I12" s="115">
        <f t="shared" si="4"/>
        <v>571.38499699977842</v>
      </c>
      <c r="J12" s="115">
        <f t="shared" si="4"/>
        <v>476.87259955160982</v>
      </c>
      <c r="K12" s="115">
        <f t="shared" si="4"/>
        <v>0</v>
      </c>
      <c r="L12" s="115">
        <f t="shared" si="4"/>
        <v>0</v>
      </c>
      <c r="M12" s="115">
        <f t="shared" si="4"/>
        <v>0</v>
      </c>
      <c r="N12" s="106">
        <f t="shared" si="3"/>
        <v>5334.9296195920533</v>
      </c>
    </row>
    <row r="13" spans="1:26" ht="15" thickTop="1">
      <c r="A13" s="99" t="s">
        <v>124</v>
      </c>
      <c r="B13" s="113">
        <f>SUM(B10:B12)</f>
        <v>17616.214146947463</v>
      </c>
      <c r="C13" s="113">
        <f t="shared" ref="C13:M13" si="5">SUM(C10:C12)</f>
        <v>18001.584544410525</v>
      </c>
      <c r="D13" s="113">
        <f t="shared" si="5"/>
        <v>19369.300385713927</v>
      </c>
      <c r="E13" s="113">
        <f t="shared" si="5"/>
        <v>21335.906223440623</v>
      </c>
      <c r="F13" s="113">
        <f t="shared" si="5"/>
        <v>21681.772758167121</v>
      </c>
      <c r="G13" s="113">
        <f t="shared" si="5"/>
        <v>21960</v>
      </c>
      <c r="H13" s="113">
        <f t="shared" si="5"/>
        <v>19214.830439166406</v>
      </c>
      <c r="I13" s="113">
        <f t="shared" si="5"/>
        <v>20021.862090176754</v>
      </c>
      <c r="J13" s="113">
        <f t="shared" si="5"/>
        <v>20342.44814232094</v>
      </c>
      <c r="K13" s="113">
        <f t="shared" si="5"/>
        <v>21960</v>
      </c>
      <c r="L13" s="113">
        <f t="shared" si="5"/>
        <v>21960</v>
      </c>
      <c r="M13" s="113">
        <f t="shared" si="5"/>
        <v>21960</v>
      </c>
      <c r="N13" s="107">
        <f>SUM(N10:N12)</f>
        <v>245423.91873034378</v>
      </c>
    </row>
    <row r="14" spans="1:26">
      <c r="A14" s="100" t="s">
        <v>125</v>
      </c>
      <c r="B14" s="114"/>
      <c r="C14" s="114"/>
      <c r="D14" s="114"/>
      <c r="E14" s="114"/>
      <c r="F14" s="114"/>
      <c r="G14" s="114"/>
      <c r="H14" s="114"/>
      <c r="I14" s="114"/>
      <c r="J14" s="114"/>
      <c r="K14" s="114"/>
      <c r="L14" s="114"/>
      <c r="M14" s="114"/>
      <c r="N14" s="105"/>
    </row>
    <row r="15" spans="1:26">
      <c r="A15" s="48" t="s">
        <v>126</v>
      </c>
      <c r="B15" s="111">
        <f>'Financial information '!$F$6</f>
        <v>5800</v>
      </c>
      <c r="C15" s="111">
        <f>'Financial information '!$F$6</f>
        <v>5800</v>
      </c>
      <c r="D15" s="111">
        <f>'Financial information '!$F$6</f>
        <v>5800</v>
      </c>
      <c r="E15" s="111">
        <f>'Financial information '!$F$6</f>
        <v>5800</v>
      </c>
      <c r="F15" s="111">
        <f>'Financial information '!$F$6</f>
        <v>5800</v>
      </c>
      <c r="G15" s="111">
        <f>'Financial information '!$F$6</f>
        <v>5800</v>
      </c>
      <c r="H15" s="111">
        <f>'Financial information '!$F$6</f>
        <v>5800</v>
      </c>
      <c r="I15" s="111">
        <f>'Financial information '!$F$6</f>
        <v>5800</v>
      </c>
      <c r="J15" s="111">
        <f>'Financial information '!$F$6</f>
        <v>5800</v>
      </c>
      <c r="K15" s="111">
        <f>'Financial information '!$F$6</f>
        <v>5800</v>
      </c>
      <c r="L15" s="111">
        <f>'Financial information '!$F$6</f>
        <v>5800</v>
      </c>
      <c r="M15" s="111">
        <f>'Financial information '!$F$6</f>
        <v>5800</v>
      </c>
      <c r="N15" s="106">
        <f>SUM(B15:M15)</f>
        <v>69600</v>
      </c>
    </row>
    <row r="16" spans="1:26">
      <c r="A16" s="92" t="s">
        <v>127</v>
      </c>
      <c r="B16" s="111">
        <f>'Financial information '!$F$6</f>
        <v>5800</v>
      </c>
      <c r="C16" s="111">
        <f>'Financial information '!$F$6</f>
        <v>5800</v>
      </c>
      <c r="D16" s="111">
        <f>'Financial information '!$F$6</f>
        <v>5800</v>
      </c>
      <c r="E16" s="111">
        <f>'Financial information '!$F$6</f>
        <v>5800</v>
      </c>
      <c r="F16" s="111">
        <f>'Financial information '!$F$6</f>
        <v>5800</v>
      </c>
      <c r="G16" s="111">
        <f>'Financial information '!$F$6</f>
        <v>5800</v>
      </c>
      <c r="H16" s="111">
        <f>'Financial information '!$F$6</f>
        <v>5800</v>
      </c>
      <c r="I16" s="111">
        <f>'Financial information '!$F$6</f>
        <v>5800</v>
      </c>
      <c r="J16" s="111">
        <f>'Financial information '!$F$6</f>
        <v>5800</v>
      </c>
      <c r="K16" s="111">
        <f>'Financial information '!$F$6</f>
        <v>5800</v>
      </c>
      <c r="L16" s="111">
        <f>'Financial information '!$F$6</f>
        <v>5800</v>
      </c>
      <c r="M16" s="111">
        <f>'Financial information '!$F$6</f>
        <v>5800</v>
      </c>
      <c r="N16" s="106">
        <f>SUM(B16:M16)</f>
        <v>69600</v>
      </c>
      <c r="P16" s="111"/>
    </row>
    <row r="17" spans="1:16">
      <c r="A17" s="48"/>
      <c r="B17" s="111"/>
      <c r="C17" s="111"/>
      <c r="D17" s="111"/>
      <c r="E17" s="111"/>
      <c r="F17" s="111"/>
      <c r="G17" s="111"/>
      <c r="H17" s="111"/>
      <c r="I17" s="111"/>
      <c r="J17" s="111"/>
      <c r="K17" s="111"/>
      <c r="L17" s="111"/>
      <c r="M17" s="111"/>
      <c r="N17" s="106"/>
      <c r="P17" s="111"/>
    </row>
    <row r="18" spans="1:16">
      <c r="A18" s="48" t="s">
        <v>128</v>
      </c>
      <c r="B18" s="111"/>
      <c r="C18" s="111"/>
      <c r="D18" s="111"/>
      <c r="E18" s="111"/>
      <c r="F18" s="111"/>
      <c r="G18" s="111"/>
      <c r="H18" s="111"/>
      <c r="I18" s="111"/>
      <c r="J18" s="111"/>
      <c r="K18" s="111"/>
      <c r="L18" s="111"/>
      <c r="M18" s="111"/>
      <c r="N18" s="106"/>
      <c r="P18" s="111"/>
    </row>
    <row r="19" spans="1:16">
      <c r="A19" s="48" t="s">
        <v>129</v>
      </c>
      <c r="B19" s="111">
        <f>('Financial information '!$C$15+'Financial information '!$C$16)*'Current operations Pt2 &amp; Pt3 '!$E$2</f>
        <v>2000</v>
      </c>
      <c r="C19" s="111">
        <f>('Financial information '!$C$15+'Financial information '!$C$16)*'Current operations Pt2 &amp; Pt3 '!$E$2</f>
        <v>2000</v>
      </c>
      <c r="D19" s="111">
        <f>('Financial information '!$C$15+'Financial information '!$C$16)*'Current operations Pt2 &amp; Pt3 '!$E$2</f>
        <v>2000</v>
      </c>
      <c r="E19" s="111">
        <f>('Financial information '!$C$15+'Financial information '!$C$16)*'Current operations Pt2 &amp; Pt3 '!$E$2</f>
        <v>2000</v>
      </c>
      <c r="F19" s="111">
        <f>('Financial information '!$C$15+'Financial information '!$C$16)*'Current operations Pt2 &amp; Pt3 '!$E$2</f>
        <v>2000</v>
      </c>
      <c r="G19" s="111">
        <f>('Financial information '!$C$15+'Financial information '!$C$16)*'Current operations Pt2 &amp; Pt3 '!$E$2</f>
        <v>2000</v>
      </c>
      <c r="H19" s="111">
        <f>('Financial information '!$C$15+'Financial information '!$C$16)*'Current operations Pt2 &amp; Pt3 '!$E$2</f>
        <v>2000</v>
      </c>
      <c r="I19" s="111">
        <f>('Financial information '!$C$15+'Financial information '!$C$16)*'Current operations Pt2 &amp; Pt3 '!$E$2</f>
        <v>2000</v>
      </c>
      <c r="J19" s="111">
        <f>('Financial information '!$C$15+'Financial information '!$C$16)*'Current operations Pt2 &amp; Pt3 '!$E$2</f>
        <v>2000</v>
      </c>
      <c r="K19" s="111">
        <f>('Financial information '!$C$15+'Financial information '!$C$16)*'Current operations Pt2 &amp; Pt3 '!$E$2</f>
        <v>2000</v>
      </c>
      <c r="L19" s="111">
        <f>('Financial information '!$C$15+'Financial information '!$C$16)*'Current operations Pt2 &amp; Pt3 '!$E$2</f>
        <v>2000</v>
      </c>
      <c r="M19" s="111">
        <f>('Financial information '!$C$15+'Financial information '!$C$16)*'Current operations Pt2 &amp; Pt3 '!$E$2</f>
        <v>2000</v>
      </c>
      <c r="N19" s="106">
        <f>SUM(B19:M19)</f>
        <v>24000</v>
      </c>
      <c r="P19" s="111"/>
    </row>
    <row r="20" spans="1:16">
      <c r="A20" s="48" t="s">
        <v>130</v>
      </c>
      <c r="B20" s="111">
        <f>'Financial information '!$C$9*'Current operations Pt2 &amp; Pt3 '!$E$2</f>
        <v>2400</v>
      </c>
      <c r="C20" s="111">
        <f>'Financial information '!$C$9*'Current operations Pt2 &amp; Pt3 '!$E$2</f>
        <v>2400</v>
      </c>
      <c r="D20" s="111">
        <f>'Financial information '!$C$9*'Current operations Pt2 &amp; Pt3 '!$E$2</f>
        <v>2400</v>
      </c>
      <c r="E20" s="111">
        <f>'Financial information '!$C$9*'Current operations Pt2 &amp; Pt3 '!$E$2</f>
        <v>2400</v>
      </c>
      <c r="F20" s="111">
        <f>'Financial information '!$C$9*'Current operations Pt2 &amp; Pt3 '!$E$2</f>
        <v>2400</v>
      </c>
      <c r="G20" s="111">
        <f>'Financial information '!$C$9*'Current operations Pt2 &amp; Pt3 '!$E$2</f>
        <v>2400</v>
      </c>
      <c r="H20" s="111">
        <f>'Financial information '!$C$9*'Current operations Pt2 &amp; Pt3 '!$E$2</f>
        <v>2400</v>
      </c>
      <c r="I20" s="111">
        <f>'Financial information '!$C$9*'Current operations Pt2 &amp; Pt3 '!$E$2</f>
        <v>2400</v>
      </c>
      <c r="J20" s="111">
        <f>'Financial information '!$C$9*'Current operations Pt2 &amp; Pt3 '!$E$2</f>
        <v>2400</v>
      </c>
      <c r="K20" s="111">
        <f>'Financial information '!$C$9*'Current operations Pt2 &amp; Pt3 '!$E$2</f>
        <v>2400</v>
      </c>
      <c r="L20" s="111">
        <f>'Financial information '!$C$9*'Current operations Pt2 &amp; Pt3 '!$E$2</f>
        <v>2400</v>
      </c>
      <c r="M20" s="111">
        <f>'Financial information '!$C$9*'Current operations Pt2 &amp; Pt3 '!$E$2</f>
        <v>2400</v>
      </c>
      <c r="N20" s="106">
        <f>SUM(B20:M20)</f>
        <v>28800</v>
      </c>
    </row>
    <row r="21" spans="1:16">
      <c r="A21" s="92" t="s">
        <v>131</v>
      </c>
      <c r="B21" s="116">
        <f>SUM(B19:B20)</f>
        <v>4400</v>
      </c>
      <c r="C21" s="116">
        <f t="shared" ref="C21:M21" si="6">SUM(C19:C20)</f>
        <v>4400</v>
      </c>
      <c r="D21" s="116">
        <f t="shared" si="6"/>
        <v>4400</v>
      </c>
      <c r="E21" s="116">
        <f t="shared" si="6"/>
        <v>4400</v>
      </c>
      <c r="F21" s="116">
        <f t="shared" si="6"/>
        <v>4400</v>
      </c>
      <c r="G21" s="116">
        <f t="shared" si="6"/>
        <v>4400</v>
      </c>
      <c r="H21" s="116">
        <f t="shared" si="6"/>
        <v>4400</v>
      </c>
      <c r="I21" s="116">
        <f t="shared" si="6"/>
        <v>4400</v>
      </c>
      <c r="J21" s="116">
        <f t="shared" si="6"/>
        <v>4400</v>
      </c>
      <c r="K21" s="116">
        <f t="shared" si="6"/>
        <v>4400</v>
      </c>
      <c r="L21" s="116">
        <f t="shared" si="6"/>
        <v>4400</v>
      </c>
      <c r="M21" s="116">
        <f t="shared" si="6"/>
        <v>4400</v>
      </c>
      <c r="N21" s="106">
        <f>SUM(N19:N20)</f>
        <v>52800</v>
      </c>
    </row>
    <row r="22" spans="1:16" ht="15" thickBot="1">
      <c r="A22" s="48" t="s">
        <v>132</v>
      </c>
      <c r="B22" s="117">
        <f>B8*$F$2</f>
        <v>0</v>
      </c>
      <c r="C22" s="117">
        <f t="shared" ref="C22:M22" si="7">C8*$F$2</f>
        <v>0</v>
      </c>
      <c r="D22" s="117">
        <f t="shared" si="7"/>
        <v>0</v>
      </c>
      <c r="E22" s="117">
        <f t="shared" si="7"/>
        <v>0</v>
      </c>
      <c r="F22" s="117">
        <f t="shared" si="7"/>
        <v>0</v>
      </c>
      <c r="G22" s="117">
        <f t="shared" si="7"/>
        <v>1538.8458649369441</v>
      </c>
      <c r="H22" s="117">
        <f t="shared" si="7"/>
        <v>0</v>
      </c>
      <c r="I22" s="117">
        <f t="shared" si="7"/>
        <v>0</v>
      </c>
      <c r="J22" s="117">
        <f t="shared" si="7"/>
        <v>0</v>
      </c>
      <c r="K22" s="117">
        <f t="shared" si="7"/>
        <v>1328.2944369400593</v>
      </c>
      <c r="L22" s="117">
        <f t="shared" si="7"/>
        <v>4519.9390434936104</v>
      </c>
      <c r="M22" s="117">
        <f t="shared" si="7"/>
        <v>8021.8946691231668</v>
      </c>
      <c r="N22" s="108">
        <f>SUM(B22:M22)</f>
        <v>15408.97401449378</v>
      </c>
    </row>
    <row r="23" spans="1:16" ht="15" thickTop="1">
      <c r="A23" s="99" t="s">
        <v>133</v>
      </c>
      <c r="B23" s="113">
        <f>B16+B21+B22</f>
        <v>10200</v>
      </c>
      <c r="C23" s="113">
        <f t="shared" ref="C23:M23" si="8">C16+C21+C22</f>
        <v>10200</v>
      </c>
      <c r="D23" s="113">
        <f t="shared" si="8"/>
        <v>10200</v>
      </c>
      <c r="E23" s="113">
        <f t="shared" si="8"/>
        <v>10200</v>
      </c>
      <c r="F23" s="113">
        <f t="shared" si="8"/>
        <v>10200</v>
      </c>
      <c r="G23" s="113">
        <f t="shared" si="8"/>
        <v>11738.845864936944</v>
      </c>
      <c r="H23" s="113">
        <f t="shared" si="8"/>
        <v>10200</v>
      </c>
      <c r="I23" s="113">
        <f t="shared" si="8"/>
        <v>10200</v>
      </c>
      <c r="J23" s="113">
        <f t="shared" si="8"/>
        <v>10200</v>
      </c>
      <c r="K23" s="113">
        <f t="shared" si="8"/>
        <v>11528.294436940059</v>
      </c>
      <c r="L23" s="113">
        <f t="shared" si="8"/>
        <v>14719.93904349361</v>
      </c>
      <c r="M23" s="113">
        <f t="shared" si="8"/>
        <v>18221.894669123169</v>
      </c>
      <c r="N23" s="106">
        <f>N16+N21+N22</f>
        <v>137808.97401449378</v>
      </c>
    </row>
    <row r="24" spans="1:16" ht="15" thickBot="1">
      <c r="A24" s="48"/>
      <c r="B24" s="118"/>
      <c r="C24" s="118"/>
      <c r="D24" s="118"/>
      <c r="E24" s="118"/>
      <c r="F24" s="118"/>
      <c r="G24" s="118"/>
      <c r="H24" s="118"/>
      <c r="I24" s="118"/>
      <c r="J24" s="118"/>
      <c r="K24" s="118"/>
      <c r="L24" s="118"/>
      <c r="M24" s="118"/>
      <c r="N24" s="149"/>
    </row>
    <row r="25" spans="1:16" ht="15.6" thickTop="1" thickBot="1">
      <c r="A25" s="101" t="s">
        <v>134</v>
      </c>
      <c r="B25" s="119">
        <f>B13-B23</f>
        <v>7416.2141469474627</v>
      </c>
      <c r="C25" s="119">
        <f t="shared" ref="C25:N25" si="9">C13-C23</f>
        <v>7801.5845444105253</v>
      </c>
      <c r="D25" s="119">
        <f t="shared" si="9"/>
        <v>9169.3003857139265</v>
      </c>
      <c r="E25" s="119">
        <f t="shared" si="9"/>
        <v>11135.906223440623</v>
      </c>
      <c r="F25" s="119">
        <f t="shared" si="9"/>
        <v>11481.772758167121</v>
      </c>
      <c r="G25" s="119">
        <f t="shared" si="9"/>
        <v>10221.154135063056</v>
      </c>
      <c r="H25" s="119">
        <f t="shared" si="9"/>
        <v>9014.830439166406</v>
      </c>
      <c r="I25" s="119">
        <f t="shared" si="9"/>
        <v>9821.8620901767536</v>
      </c>
      <c r="J25" s="119">
        <f t="shared" si="9"/>
        <v>10142.44814232094</v>
      </c>
      <c r="K25" s="119">
        <f t="shared" si="9"/>
        <v>10431.705563059941</v>
      </c>
      <c r="L25" s="119">
        <f t="shared" si="9"/>
        <v>7240.0609565063896</v>
      </c>
      <c r="M25" s="119">
        <f t="shared" si="9"/>
        <v>3738.1053308768314</v>
      </c>
      <c r="N25" s="119">
        <f t="shared" si="9"/>
        <v>107614.94471585</v>
      </c>
    </row>
    <row r="27" spans="1:16">
      <c r="A27" s="89" t="s">
        <v>135</v>
      </c>
      <c r="B27" s="64" t="s">
        <v>136</v>
      </c>
      <c r="C27" s="64"/>
      <c r="D27" s="64"/>
      <c r="E27" s="64"/>
      <c r="F27" s="64"/>
      <c r="G27" s="64"/>
    </row>
    <row r="28" spans="1:16" ht="15" thickBot="1">
      <c r="A28" s="46" t="s">
        <v>137</v>
      </c>
    </row>
    <row r="29" spans="1:16">
      <c r="A29" s="97" t="s">
        <v>115</v>
      </c>
      <c r="B29" s="94">
        <v>44562</v>
      </c>
      <c r="C29" s="95">
        <v>44593</v>
      </c>
      <c r="D29" s="95">
        <v>44621</v>
      </c>
      <c r="E29" s="95">
        <v>44652</v>
      </c>
      <c r="F29" s="95">
        <v>44682</v>
      </c>
      <c r="G29" s="95">
        <v>44713</v>
      </c>
      <c r="H29" s="95">
        <v>44743</v>
      </c>
      <c r="I29" s="95">
        <v>44774</v>
      </c>
      <c r="J29" s="95">
        <v>44805</v>
      </c>
      <c r="K29" s="95">
        <v>44835</v>
      </c>
      <c r="L29" s="95">
        <v>44866</v>
      </c>
      <c r="M29" s="110">
        <v>44896</v>
      </c>
      <c r="N29" s="104" t="s">
        <v>116</v>
      </c>
    </row>
    <row r="30" spans="1:16">
      <c r="A30" s="48" t="s">
        <v>67</v>
      </c>
      <c r="B30" s="111">
        <f>B5*(1+'Financial information '!$B$35)</f>
        <v>3630.1370894518645</v>
      </c>
      <c r="C30" s="111">
        <f>C5*(1+'Financial information '!$B$35)</f>
        <v>3741.0219679671791</v>
      </c>
      <c r="D30" s="111">
        <f>D5*(1+'Financial information '!$B$35)</f>
        <v>4134.5628468327805</v>
      </c>
      <c r="E30" s="111">
        <f>E5*(1+'Financial information '!$B$35)</f>
        <v>4700.4258473107457</v>
      </c>
      <c r="F30" s="111">
        <f>F5*(1+'Financial information '!$B$35)</f>
        <v>4799.9440483405397</v>
      </c>
      <c r="G30" s="111">
        <f>G5*(1+'Financial information '!$B$35)</f>
        <v>5505.7973184076909</v>
      </c>
      <c r="H30" s="111">
        <f>H5*(1+'Financial information '!$B$35)</f>
        <v>4090.1163056092005</v>
      </c>
      <c r="I30" s="111">
        <f>I5*(1+'Financial information '!$B$35)</f>
        <v>4322.3282429282162</v>
      </c>
      <c r="J30" s="111">
        <f>J5*(1+'Financial information '!$B$35)</f>
        <v>4414.5723428376286</v>
      </c>
      <c r="K30" s="111">
        <f>K5*(1+'Financial information '!$B$35)</f>
        <v>5420.173071022291</v>
      </c>
      <c r="L30" s="111">
        <f>L5*(1+'Financial information '!$B$35)</f>
        <v>6718.1085443540678</v>
      </c>
      <c r="M30" s="111">
        <f>M5*(1+'Financial information '!$B$35)</f>
        <v>8142.237165443421</v>
      </c>
      <c r="N30" s="105">
        <f>SUM(B30:M30)</f>
        <v>59619.424790505625</v>
      </c>
    </row>
    <row r="31" spans="1:16">
      <c r="A31" s="48" t="s">
        <v>117</v>
      </c>
      <c r="B31" s="111">
        <f>MIN(B30,$E$2)</f>
        <v>3630.1370894518645</v>
      </c>
      <c r="C31" s="111">
        <f t="shared" ref="C31:M31" si="10">MIN(C30,$E$2)</f>
        <v>3741.0219679671791</v>
      </c>
      <c r="D31" s="111">
        <f>MIN(D30,$E$2)</f>
        <v>4000</v>
      </c>
      <c r="E31" s="111">
        <f t="shared" ref="E31:N31" si="11">MIN(E30,$E$2)</f>
        <v>4000</v>
      </c>
      <c r="F31" s="111">
        <f t="shared" si="11"/>
        <v>4000</v>
      </c>
      <c r="G31" s="111">
        <f t="shared" si="11"/>
        <v>4000</v>
      </c>
      <c r="H31" s="111">
        <f t="shared" si="11"/>
        <v>4000</v>
      </c>
      <c r="I31" s="111">
        <f t="shared" si="11"/>
        <v>4000</v>
      </c>
      <c r="J31" s="111">
        <f t="shared" si="11"/>
        <v>4000</v>
      </c>
      <c r="K31" s="111">
        <f t="shared" si="11"/>
        <v>4000</v>
      </c>
      <c r="L31" s="111">
        <f t="shared" si="11"/>
        <v>4000</v>
      </c>
      <c r="M31" s="111">
        <f t="shared" si="11"/>
        <v>4000</v>
      </c>
      <c r="N31" s="106">
        <f>SUM(B31:M31)</f>
        <v>47371.159057419041</v>
      </c>
    </row>
    <row r="32" spans="1:16">
      <c r="A32" s="48" t="s">
        <v>118</v>
      </c>
      <c r="B32" s="111">
        <f>IF($E$2&gt;B30,$E$2-B30,0)</f>
        <v>369.86291054813546</v>
      </c>
      <c r="C32" s="111">
        <f t="shared" ref="C32:M32" si="12">IF($E$2&gt;C30,$E$2-C30,0)</f>
        <v>258.97803203282092</v>
      </c>
      <c r="D32" s="111">
        <f t="shared" si="12"/>
        <v>0</v>
      </c>
      <c r="E32" s="111">
        <f t="shared" si="12"/>
        <v>0</v>
      </c>
      <c r="F32" s="111">
        <f t="shared" si="12"/>
        <v>0</v>
      </c>
      <c r="G32" s="111">
        <f t="shared" si="12"/>
        <v>0</v>
      </c>
      <c r="H32" s="111">
        <f t="shared" si="12"/>
        <v>0</v>
      </c>
      <c r="I32" s="111">
        <f t="shared" si="12"/>
        <v>0</v>
      </c>
      <c r="J32" s="111">
        <f t="shared" si="12"/>
        <v>0</v>
      </c>
      <c r="K32" s="111">
        <f t="shared" si="12"/>
        <v>0</v>
      </c>
      <c r="L32" s="111">
        <f t="shared" si="12"/>
        <v>0</v>
      </c>
      <c r="M32" s="111">
        <f t="shared" si="12"/>
        <v>0</v>
      </c>
      <c r="N32" s="106">
        <f>SUM(B32:M32)</f>
        <v>628.84094258095638</v>
      </c>
    </row>
    <row r="33" spans="1:14">
      <c r="A33" s="49" t="s">
        <v>119</v>
      </c>
      <c r="B33" s="113">
        <f>IF(B30&gt;$E$2,B30-$E$2,0)</f>
        <v>0</v>
      </c>
      <c r="C33" s="113">
        <f t="shared" ref="C33:M33" si="13">IF(C30&gt;$E$2,C30-$E$2,0)</f>
        <v>0</v>
      </c>
      <c r="D33" s="113">
        <f t="shared" si="13"/>
        <v>134.56284683278045</v>
      </c>
      <c r="E33" s="113">
        <f t="shared" si="13"/>
        <v>700.42584731074567</v>
      </c>
      <c r="F33" s="113">
        <f t="shared" si="13"/>
        <v>799.94404834053967</v>
      </c>
      <c r="G33" s="113">
        <f>IF(G30&gt;$E$2,G30-$E$2,0)</f>
        <v>1505.7973184076909</v>
      </c>
      <c r="H33" s="113">
        <f t="shared" ref="H33:N33" si="14">IF(H30&gt;$E$2,H30-$E$2,0)</f>
        <v>90.116305609200481</v>
      </c>
      <c r="I33" s="113">
        <f t="shared" si="14"/>
        <v>322.32824292821624</v>
      </c>
      <c r="J33" s="113">
        <f t="shared" si="14"/>
        <v>414.57234283762864</v>
      </c>
      <c r="K33" s="113">
        <f t="shared" si="14"/>
        <v>1420.173071022291</v>
      </c>
      <c r="L33" s="113">
        <f t="shared" si="14"/>
        <v>2718.1085443540678</v>
      </c>
      <c r="M33" s="113">
        <f t="shared" si="14"/>
        <v>4142.237165443421</v>
      </c>
      <c r="N33" s="107">
        <f>SUM(B33:M33)</f>
        <v>12248.26573308658</v>
      </c>
    </row>
    <row r="34" spans="1:14">
      <c r="A34" s="98" t="s">
        <v>120</v>
      </c>
      <c r="B34" s="114"/>
      <c r="C34" s="114"/>
      <c r="D34" s="114"/>
      <c r="E34" s="114"/>
      <c r="F34" s="114"/>
      <c r="G34" s="114"/>
      <c r="H34" s="114"/>
      <c r="I34" s="114"/>
      <c r="J34" s="114"/>
      <c r="K34" s="114"/>
      <c r="L34" s="114"/>
      <c r="M34" s="114"/>
      <c r="N34" s="105"/>
    </row>
    <row r="35" spans="1:14">
      <c r="A35" s="48" t="s">
        <v>121</v>
      </c>
      <c r="B35" s="111">
        <f>B31*'Financial information '!$C$7</f>
        <v>10854.109897461076</v>
      </c>
      <c r="C35" s="111">
        <f>C31*'Financial information '!$C$7</f>
        <v>11185.655684221867</v>
      </c>
      <c r="D35" s="111">
        <f>D31*'Financial information '!$C$7</f>
        <v>11960</v>
      </c>
      <c r="E35" s="111">
        <f>E31*'Financial information '!$C$7</f>
        <v>11960</v>
      </c>
      <c r="F35" s="111">
        <f>F31*'Financial information '!$C$7</f>
        <v>11960</v>
      </c>
      <c r="G35" s="111">
        <f>G31*'Financial information '!$C$7</f>
        <v>11960</v>
      </c>
      <c r="H35" s="111">
        <f>H31*'Financial information '!$C$7</f>
        <v>11960</v>
      </c>
      <c r="I35" s="111">
        <f>I31*'Financial information '!$C$7</f>
        <v>11960</v>
      </c>
      <c r="J35" s="111">
        <f>J31*'Financial information '!$C$7</f>
        <v>11960</v>
      </c>
      <c r="K35" s="111">
        <f>K31*'Financial information '!$C$7</f>
        <v>11960</v>
      </c>
      <c r="L35" s="111">
        <f>L31*'Financial information '!$C$7</f>
        <v>11960</v>
      </c>
      <c r="M35" s="111">
        <f>M31*'Financial information '!$C$7</f>
        <v>11960</v>
      </c>
      <c r="N35" s="106">
        <f>SUM(B35:M35)</f>
        <v>141639.76558168294</v>
      </c>
    </row>
    <row r="36" spans="1:14">
      <c r="A36" s="48" t="s">
        <v>122</v>
      </c>
      <c r="B36" s="111">
        <f>'Financial information '!$C$8*'Current operations Pt2 &amp; Pt3 '!B31</f>
        <v>9075.3427236296611</v>
      </c>
      <c r="C36" s="111">
        <f>'Financial information '!$C$8*'Current operations Pt2 &amp; Pt3 '!C31</f>
        <v>9352.5549199179477</v>
      </c>
      <c r="D36" s="111">
        <f>'Financial information '!$C$8*'Current operations Pt2 &amp; Pt3 '!D31</f>
        <v>10000</v>
      </c>
      <c r="E36" s="111">
        <f>'Financial information '!$C$8*'Current operations Pt2 &amp; Pt3 '!E31</f>
        <v>10000</v>
      </c>
      <c r="F36" s="111">
        <f>'Financial information '!$C$8*'Current operations Pt2 &amp; Pt3 '!F31</f>
        <v>10000</v>
      </c>
      <c r="G36" s="111">
        <f>'Financial information '!$C$8*'Current operations Pt2 &amp; Pt3 '!G31</f>
        <v>10000</v>
      </c>
      <c r="H36" s="111">
        <f>'Financial information '!$C$8*'Current operations Pt2 &amp; Pt3 '!H31</f>
        <v>10000</v>
      </c>
      <c r="I36" s="111">
        <f>'Financial information '!$C$8*'Current operations Pt2 &amp; Pt3 '!I31</f>
        <v>10000</v>
      </c>
      <c r="J36" s="111">
        <f>'Financial information '!$C$8*'Current operations Pt2 &amp; Pt3 '!J31</f>
        <v>10000</v>
      </c>
      <c r="K36" s="111">
        <f>'Financial information '!$C$8*'Current operations Pt2 &amp; Pt3 '!K31</f>
        <v>10000</v>
      </c>
      <c r="L36" s="111">
        <f>'Financial information '!$C$8*'Current operations Pt2 &amp; Pt3 '!L31</f>
        <v>10000</v>
      </c>
      <c r="M36" s="111">
        <f>'Financial information '!$C$8*'Current operations Pt2 &amp; Pt3 '!M31</f>
        <v>10000</v>
      </c>
      <c r="N36" s="106">
        <f t="shared" ref="N36:N37" si="15">SUM(B36:M36)</f>
        <v>118427.89764354761</v>
      </c>
    </row>
    <row r="37" spans="1:14" ht="15" thickBot="1">
      <c r="A37" s="48" t="s">
        <v>123</v>
      </c>
      <c r="B37" s="115">
        <f>B32*$G$2</f>
        <v>462.32863818516932</v>
      </c>
      <c r="C37" s="115">
        <f t="shared" ref="C37:M37" si="16">C32*$G$2</f>
        <v>323.72254004102615</v>
      </c>
      <c r="D37" s="115">
        <f t="shared" si="16"/>
        <v>0</v>
      </c>
      <c r="E37" s="115">
        <f t="shared" si="16"/>
        <v>0</v>
      </c>
      <c r="F37" s="115">
        <f t="shared" si="16"/>
        <v>0</v>
      </c>
      <c r="G37" s="115">
        <f t="shared" si="16"/>
        <v>0</v>
      </c>
      <c r="H37" s="115">
        <f t="shared" si="16"/>
        <v>0</v>
      </c>
      <c r="I37" s="115">
        <f t="shared" si="16"/>
        <v>0</v>
      </c>
      <c r="J37" s="115">
        <f t="shared" si="16"/>
        <v>0</v>
      </c>
      <c r="K37" s="115">
        <f t="shared" si="16"/>
        <v>0</v>
      </c>
      <c r="L37" s="115">
        <f t="shared" si="16"/>
        <v>0</v>
      </c>
      <c r="M37" s="115">
        <f t="shared" si="16"/>
        <v>0</v>
      </c>
      <c r="N37" s="106">
        <f t="shared" si="15"/>
        <v>786.05117822619547</v>
      </c>
    </row>
    <row r="38" spans="1:14" ht="15" thickTop="1">
      <c r="A38" s="99" t="s">
        <v>124</v>
      </c>
      <c r="B38" s="113">
        <f>SUM(B35:B37)</f>
        <v>20391.781259275904</v>
      </c>
      <c r="C38" s="113">
        <f t="shared" ref="C38:M38" si="17">SUM(C35:C37)</f>
        <v>20861.933144180839</v>
      </c>
      <c r="D38" s="113">
        <f t="shared" si="17"/>
        <v>21960</v>
      </c>
      <c r="E38" s="113">
        <f t="shared" si="17"/>
        <v>21960</v>
      </c>
      <c r="F38" s="113">
        <f t="shared" si="17"/>
        <v>21960</v>
      </c>
      <c r="G38" s="113">
        <f t="shared" si="17"/>
        <v>21960</v>
      </c>
      <c r="H38" s="113">
        <f t="shared" si="17"/>
        <v>21960</v>
      </c>
      <c r="I38" s="113">
        <f t="shared" si="17"/>
        <v>21960</v>
      </c>
      <c r="J38" s="113">
        <f t="shared" si="17"/>
        <v>21960</v>
      </c>
      <c r="K38" s="113">
        <f t="shared" si="17"/>
        <v>21960</v>
      </c>
      <c r="L38" s="113">
        <f t="shared" si="17"/>
        <v>21960</v>
      </c>
      <c r="M38" s="113">
        <f t="shared" si="17"/>
        <v>21960</v>
      </c>
      <c r="N38" s="107">
        <f>SUM(N35:N37)</f>
        <v>260853.71440345672</v>
      </c>
    </row>
    <row r="39" spans="1:14">
      <c r="A39" s="100" t="s">
        <v>125</v>
      </c>
      <c r="B39" s="114"/>
      <c r="C39" s="114"/>
      <c r="D39" s="114"/>
      <c r="E39" s="114"/>
      <c r="F39" s="114"/>
      <c r="G39" s="114"/>
      <c r="H39" s="114"/>
      <c r="I39" s="114"/>
      <c r="J39" s="114"/>
      <c r="K39" s="114"/>
      <c r="L39" s="114"/>
      <c r="M39" s="114"/>
      <c r="N39" s="105"/>
    </row>
    <row r="40" spans="1:14">
      <c r="A40" s="48" t="s">
        <v>126</v>
      </c>
      <c r="B40" s="111">
        <f>'Financial information '!$F$6</f>
        <v>5800</v>
      </c>
      <c r="C40" s="111">
        <f>'Financial information '!$F$6</f>
        <v>5800</v>
      </c>
      <c r="D40" s="111">
        <f>'Financial information '!$F$6</f>
        <v>5800</v>
      </c>
      <c r="E40" s="111">
        <f>'Financial information '!$F$6</f>
        <v>5800</v>
      </c>
      <c r="F40" s="111">
        <f>'Financial information '!$F$6</f>
        <v>5800</v>
      </c>
      <c r="G40" s="111">
        <f>'Financial information '!$F$6</f>
        <v>5800</v>
      </c>
      <c r="H40" s="111">
        <f>'Financial information '!$F$6</f>
        <v>5800</v>
      </c>
      <c r="I40" s="111">
        <f>'Financial information '!$F$6</f>
        <v>5800</v>
      </c>
      <c r="J40" s="111">
        <f>'Financial information '!$F$6</f>
        <v>5800</v>
      </c>
      <c r="K40" s="111">
        <f>'Financial information '!$F$6</f>
        <v>5800</v>
      </c>
      <c r="L40" s="111">
        <f>'Financial information '!$F$6</f>
        <v>5800</v>
      </c>
      <c r="M40" s="111">
        <f>'Financial information '!$F$6</f>
        <v>5800</v>
      </c>
      <c r="N40" s="106">
        <f>SUM(B40:M40)</f>
        <v>69600</v>
      </c>
    </row>
    <row r="41" spans="1:14">
      <c r="A41" s="92" t="s">
        <v>127</v>
      </c>
      <c r="B41" s="111">
        <f>'Financial information '!$F$6</f>
        <v>5800</v>
      </c>
      <c r="C41" s="111">
        <f>'Financial information '!$F$6</f>
        <v>5800</v>
      </c>
      <c r="D41" s="111">
        <f>'Financial information '!$F$6</f>
        <v>5800</v>
      </c>
      <c r="E41" s="111">
        <f>'Financial information '!$F$6</f>
        <v>5800</v>
      </c>
      <c r="F41" s="111">
        <f>'Financial information '!$F$6</f>
        <v>5800</v>
      </c>
      <c r="G41" s="111">
        <f>'Financial information '!$F$6</f>
        <v>5800</v>
      </c>
      <c r="H41" s="111">
        <f>'Financial information '!$F$6</f>
        <v>5800</v>
      </c>
      <c r="I41" s="111">
        <f>'Financial information '!$F$6</f>
        <v>5800</v>
      </c>
      <c r="J41" s="111">
        <f>'Financial information '!$F$6</f>
        <v>5800</v>
      </c>
      <c r="K41" s="111">
        <f>'Financial information '!$F$6</f>
        <v>5800</v>
      </c>
      <c r="L41" s="111">
        <f>'Financial information '!$F$6</f>
        <v>5800</v>
      </c>
      <c r="M41" s="111">
        <f>'Financial information '!$F$6</f>
        <v>5800</v>
      </c>
      <c r="N41" s="106">
        <f>SUM(B41:M41)</f>
        <v>69600</v>
      </c>
    </row>
    <row r="42" spans="1:14">
      <c r="A42" s="48"/>
      <c r="B42" s="111"/>
      <c r="C42" s="111"/>
      <c r="D42" s="111"/>
      <c r="E42" s="111"/>
      <c r="F42" s="111"/>
      <c r="G42" s="111"/>
      <c r="H42" s="111"/>
      <c r="I42" s="111"/>
      <c r="J42" s="111"/>
      <c r="K42" s="111"/>
      <c r="L42" s="111"/>
      <c r="M42" s="111"/>
      <c r="N42" s="106"/>
    </row>
    <row r="43" spans="1:14">
      <c r="A43" s="48" t="s">
        <v>128</v>
      </c>
      <c r="B43" s="111"/>
      <c r="C43" s="111"/>
      <c r="D43" s="111"/>
      <c r="E43" s="111"/>
      <c r="F43" s="111"/>
      <c r="G43" s="111"/>
      <c r="H43" s="111"/>
      <c r="I43" s="111"/>
      <c r="J43" s="111"/>
      <c r="K43" s="111"/>
      <c r="L43" s="111"/>
      <c r="M43" s="111"/>
      <c r="N43" s="106"/>
    </row>
    <row r="44" spans="1:14">
      <c r="A44" s="48" t="s">
        <v>129</v>
      </c>
      <c r="B44" s="111">
        <f>('Financial information '!$C$15+'Financial information '!$C$16)*'Current operations Pt2 &amp; Pt3 '!$E$2</f>
        <v>2000</v>
      </c>
      <c r="C44" s="111">
        <f>('Financial information '!$C$15+'Financial information '!$C$16)*'Current operations Pt2 &amp; Pt3 '!$E$2</f>
        <v>2000</v>
      </c>
      <c r="D44" s="111">
        <f>('Financial information '!$C$15+'Financial information '!$C$16)*'Current operations Pt2 &amp; Pt3 '!$E$2</f>
        <v>2000</v>
      </c>
      <c r="E44" s="111">
        <f>('Financial information '!$C$15+'Financial information '!$C$16)*'Current operations Pt2 &amp; Pt3 '!$E$2</f>
        <v>2000</v>
      </c>
      <c r="F44" s="111">
        <f>('Financial information '!$C$15+'Financial information '!$C$16)*'Current operations Pt2 &amp; Pt3 '!$E$2</f>
        <v>2000</v>
      </c>
      <c r="G44" s="111">
        <f>('Financial information '!$C$15+'Financial information '!$C$16)*'Current operations Pt2 &amp; Pt3 '!$E$2</f>
        <v>2000</v>
      </c>
      <c r="H44" s="111">
        <f>('Financial information '!$C$15+'Financial information '!$C$16)*'Current operations Pt2 &amp; Pt3 '!$E$2</f>
        <v>2000</v>
      </c>
      <c r="I44" s="111">
        <f>('Financial information '!$C$15+'Financial information '!$C$16)*'Current operations Pt2 &amp; Pt3 '!$E$2</f>
        <v>2000</v>
      </c>
      <c r="J44" s="111">
        <f>('Financial information '!$C$15+'Financial information '!$C$16)*'Current operations Pt2 &amp; Pt3 '!$E$2</f>
        <v>2000</v>
      </c>
      <c r="K44" s="111">
        <f>('Financial information '!$C$15+'Financial information '!$C$16)*'Current operations Pt2 &amp; Pt3 '!$E$2</f>
        <v>2000</v>
      </c>
      <c r="L44" s="111">
        <f>('Financial information '!$C$15+'Financial information '!$C$16)*'Current operations Pt2 &amp; Pt3 '!$E$2</f>
        <v>2000</v>
      </c>
      <c r="M44" s="111">
        <f>('Financial information '!$C$15+'Financial information '!$C$16)*'Current operations Pt2 &amp; Pt3 '!$E$2</f>
        <v>2000</v>
      </c>
      <c r="N44" s="106">
        <f>SUM(B44:M44)</f>
        <v>24000</v>
      </c>
    </row>
    <row r="45" spans="1:14">
      <c r="A45" s="48" t="s">
        <v>130</v>
      </c>
      <c r="B45" s="111">
        <f>'Financial information '!$C$9*'Current operations Pt2 &amp; Pt3 '!$E$2</f>
        <v>2400</v>
      </c>
      <c r="C45" s="111">
        <f>'Financial information '!$C$9*'Current operations Pt2 &amp; Pt3 '!$E$2</f>
        <v>2400</v>
      </c>
      <c r="D45" s="111">
        <f>'Financial information '!$C$9*'Current operations Pt2 &amp; Pt3 '!$E$2</f>
        <v>2400</v>
      </c>
      <c r="E45" s="111">
        <f>'Financial information '!$C$9*'Current operations Pt2 &amp; Pt3 '!$E$2</f>
        <v>2400</v>
      </c>
      <c r="F45" s="111">
        <f>'Financial information '!$C$9*'Current operations Pt2 &amp; Pt3 '!$E$2</f>
        <v>2400</v>
      </c>
      <c r="G45" s="111">
        <f>'Financial information '!$C$9*'Current operations Pt2 &amp; Pt3 '!$E$2</f>
        <v>2400</v>
      </c>
      <c r="H45" s="111">
        <f>'Financial information '!$C$9*'Current operations Pt2 &amp; Pt3 '!$E$2</f>
        <v>2400</v>
      </c>
      <c r="I45" s="111">
        <f>'Financial information '!$C$9*'Current operations Pt2 &amp; Pt3 '!$E$2</f>
        <v>2400</v>
      </c>
      <c r="J45" s="111">
        <f>'Financial information '!$C$9*'Current operations Pt2 &amp; Pt3 '!$E$2</f>
        <v>2400</v>
      </c>
      <c r="K45" s="111">
        <f>'Financial information '!$C$9*'Current operations Pt2 &amp; Pt3 '!$E$2</f>
        <v>2400</v>
      </c>
      <c r="L45" s="111">
        <f>'Financial information '!$C$9*'Current operations Pt2 &amp; Pt3 '!$E$2</f>
        <v>2400</v>
      </c>
      <c r="M45" s="111">
        <f>'Financial information '!$C$9*'Current operations Pt2 &amp; Pt3 '!$E$2</f>
        <v>2400</v>
      </c>
      <c r="N45" s="106">
        <f>SUM(B45:M45)</f>
        <v>28800</v>
      </c>
    </row>
    <row r="46" spans="1:14">
      <c r="A46" s="92" t="s">
        <v>131</v>
      </c>
      <c r="B46" s="116">
        <f>SUM(B44:B45)</f>
        <v>4400</v>
      </c>
      <c r="C46" s="116">
        <f t="shared" ref="C46:M46" si="18">SUM(C44:C45)</f>
        <v>4400</v>
      </c>
      <c r="D46" s="116">
        <f t="shared" si="18"/>
        <v>4400</v>
      </c>
      <c r="E46" s="116">
        <f t="shared" si="18"/>
        <v>4400</v>
      </c>
      <c r="F46" s="116">
        <f t="shared" si="18"/>
        <v>4400</v>
      </c>
      <c r="G46" s="116">
        <f t="shared" si="18"/>
        <v>4400</v>
      </c>
      <c r="H46" s="116">
        <f t="shared" si="18"/>
        <v>4400</v>
      </c>
      <c r="I46" s="116">
        <f t="shared" si="18"/>
        <v>4400</v>
      </c>
      <c r="J46" s="116">
        <f t="shared" si="18"/>
        <v>4400</v>
      </c>
      <c r="K46" s="116">
        <f t="shared" si="18"/>
        <v>4400</v>
      </c>
      <c r="L46" s="116">
        <f t="shared" si="18"/>
        <v>4400</v>
      </c>
      <c r="M46" s="116">
        <f t="shared" si="18"/>
        <v>4400</v>
      </c>
      <c r="N46" s="106">
        <f>SUM(N44:N45)</f>
        <v>52800</v>
      </c>
    </row>
    <row r="47" spans="1:14" ht="15" thickBot="1">
      <c r="A47" s="48" t="s">
        <v>132</v>
      </c>
      <c r="B47" s="117">
        <f>B33*$F$2</f>
        <v>0</v>
      </c>
      <c r="C47" s="117">
        <f t="shared" ref="C47:M47" si="19">C33*$F$2</f>
        <v>0</v>
      </c>
      <c r="D47" s="117">
        <f t="shared" si="19"/>
        <v>403.68854049834135</v>
      </c>
      <c r="E47" s="117">
        <f t="shared" si="19"/>
        <v>2101.277541932237</v>
      </c>
      <c r="F47" s="117">
        <f t="shared" si="19"/>
        <v>2399.832145021619</v>
      </c>
      <c r="G47" s="117">
        <f t="shared" si="19"/>
        <v>4517.3919552230727</v>
      </c>
      <c r="H47" s="117">
        <f t="shared" si="19"/>
        <v>270.34891682760144</v>
      </c>
      <c r="I47" s="117">
        <f t="shared" si="19"/>
        <v>966.98472878464872</v>
      </c>
      <c r="J47" s="117">
        <f t="shared" si="19"/>
        <v>1243.7170285128859</v>
      </c>
      <c r="K47" s="117">
        <f t="shared" si="19"/>
        <v>4260.5192130668729</v>
      </c>
      <c r="L47" s="117">
        <f t="shared" si="19"/>
        <v>8154.3256330622035</v>
      </c>
      <c r="M47" s="117">
        <f t="shared" si="19"/>
        <v>12426.711496330263</v>
      </c>
      <c r="N47" s="108">
        <f>SUM(B47:M47)</f>
        <v>36744.797199259745</v>
      </c>
    </row>
    <row r="48" spans="1:14" ht="15" thickTop="1">
      <c r="A48" s="99" t="s">
        <v>133</v>
      </c>
      <c r="B48" s="113">
        <f>B41+B46+B47</f>
        <v>10200</v>
      </c>
      <c r="C48" s="113">
        <f t="shared" ref="C48:M48" si="20">C41+C46+C47</f>
        <v>10200</v>
      </c>
      <c r="D48" s="113">
        <f t="shared" si="20"/>
        <v>10603.68854049834</v>
      </c>
      <c r="E48" s="113">
        <f t="shared" si="20"/>
        <v>12301.277541932237</v>
      </c>
      <c r="F48" s="113">
        <f t="shared" si="20"/>
        <v>12599.832145021619</v>
      </c>
      <c r="G48" s="113">
        <f t="shared" si="20"/>
        <v>14717.391955223073</v>
      </c>
      <c r="H48" s="113">
        <f t="shared" si="20"/>
        <v>10470.348916827601</v>
      </c>
      <c r="I48" s="113">
        <f t="shared" si="20"/>
        <v>11166.98472878465</v>
      </c>
      <c r="J48" s="113">
        <f t="shared" si="20"/>
        <v>11443.717028512885</v>
      </c>
      <c r="K48" s="113">
        <f t="shared" si="20"/>
        <v>14460.519213066873</v>
      </c>
      <c r="L48" s="113">
        <f t="shared" si="20"/>
        <v>18354.325633062203</v>
      </c>
      <c r="M48" s="113">
        <f t="shared" si="20"/>
        <v>22626.711496330263</v>
      </c>
      <c r="N48" s="106">
        <f>N41+N46+N47</f>
        <v>159144.79719925974</v>
      </c>
    </row>
    <row r="49" spans="1:14" ht="15" thickBot="1">
      <c r="A49" s="48"/>
      <c r="B49" s="118"/>
      <c r="C49" s="118"/>
      <c r="D49" s="118"/>
      <c r="E49" s="118"/>
      <c r="F49" s="118"/>
      <c r="G49" s="118"/>
      <c r="H49" s="118"/>
      <c r="I49" s="118"/>
      <c r="J49" s="118"/>
      <c r="K49" s="118"/>
      <c r="L49" s="118"/>
      <c r="M49" s="118"/>
      <c r="N49" s="149"/>
    </row>
    <row r="50" spans="1:14" ht="15.6" thickTop="1" thickBot="1">
      <c r="A50" s="101" t="s">
        <v>134</v>
      </c>
      <c r="B50" s="119">
        <f>B38-B48</f>
        <v>10191.781259275904</v>
      </c>
      <c r="C50" s="119">
        <f t="shared" ref="C50:N50" si="21">C38-C48</f>
        <v>10661.933144180839</v>
      </c>
      <c r="D50" s="119">
        <f t="shared" si="21"/>
        <v>11356.31145950166</v>
      </c>
      <c r="E50" s="119">
        <f t="shared" si="21"/>
        <v>9658.722458067763</v>
      </c>
      <c r="F50" s="119">
        <f t="shared" si="21"/>
        <v>9360.167854978381</v>
      </c>
      <c r="G50" s="119">
        <f t="shared" si="21"/>
        <v>7242.6080447769273</v>
      </c>
      <c r="H50" s="119">
        <f t="shared" si="21"/>
        <v>11489.651083172399</v>
      </c>
      <c r="I50" s="119">
        <f t="shared" si="21"/>
        <v>10793.01527121535</v>
      </c>
      <c r="J50" s="119">
        <f t="shared" si="21"/>
        <v>10516.282971487115</v>
      </c>
      <c r="K50" s="119">
        <f t="shared" si="21"/>
        <v>7499.4807869331271</v>
      </c>
      <c r="L50" s="119">
        <f t="shared" si="21"/>
        <v>3605.6743669377975</v>
      </c>
      <c r="M50" s="119">
        <f t="shared" si="21"/>
        <v>-666.71149633026289</v>
      </c>
      <c r="N50" s="119">
        <f t="shared" si="21"/>
        <v>101708.91720419697</v>
      </c>
    </row>
    <row r="52" spans="1:14">
      <c r="A52" s="89" t="s">
        <v>135</v>
      </c>
    </row>
    <row r="53" spans="1:14" ht="15" thickBot="1">
      <c r="A53" s="46" t="s">
        <v>138</v>
      </c>
      <c r="M53" s="96"/>
    </row>
    <row r="54" spans="1:14">
      <c r="A54" s="97" t="s">
        <v>115</v>
      </c>
      <c r="B54" s="94">
        <v>44562</v>
      </c>
      <c r="C54" s="95">
        <v>44593</v>
      </c>
      <c r="D54" s="95">
        <v>44621</v>
      </c>
      <c r="E54" s="95">
        <v>44652</v>
      </c>
      <c r="F54" s="95">
        <v>44682</v>
      </c>
      <c r="G54" s="95">
        <v>44713</v>
      </c>
      <c r="H54" s="95">
        <v>44743</v>
      </c>
      <c r="I54" s="95">
        <v>44774</v>
      </c>
      <c r="J54" s="95">
        <v>44805</v>
      </c>
      <c r="K54" s="95">
        <v>44835</v>
      </c>
      <c r="L54" s="95">
        <v>44866</v>
      </c>
      <c r="M54" s="110">
        <v>44896</v>
      </c>
      <c r="N54" s="104" t="s">
        <v>116</v>
      </c>
    </row>
    <row r="55" spans="1:14">
      <c r="A55" s="48" t="s">
        <v>67</v>
      </c>
      <c r="B55" s="111">
        <f>B5*(1-'Financial information '!$B$36)</f>
        <v>2201.8864313068689</v>
      </c>
      <c r="C55" s="111">
        <f>C5*(1-'Financial information '!$B$36)</f>
        <v>2269.1444723735349</v>
      </c>
      <c r="D55" s="111">
        <f>D5*(1-'Financial information '!$B$36)</f>
        <v>2507.8495956198831</v>
      </c>
      <c r="E55" s="111">
        <f>E5*(1-'Financial information '!$B$36)</f>
        <v>2851.0779729589772</v>
      </c>
      <c r="F55" s="111">
        <f>F5*(1-'Financial information '!$B$36)</f>
        <v>2911.4414719442616</v>
      </c>
      <c r="G55" s="111">
        <f>G5*(1-'Financial information '!$B$36)</f>
        <v>3339.5819800177796</v>
      </c>
      <c r="H55" s="111">
        <f>H5*(1-'Financial information '!$B$36)</f>
        <v>2480.8902181564004</v>
      </c>
      <c r="I55" s="111">
        <f>I5*(1-'Financial information '!$B$36)</f>
        <v>2621.7400817761313</v>
      </c>
      <c r="J55" s="111">
        <f>J5*(1-'Financial information '!$B$36)</f>
        <v>2677.6914210654468</v>
      </c>
      <c r="K55" s="111">
        <f>K5*(1-'Financial information '!$B$36)</f>
        <v>3287.6459611118812</v>
      </c>
      <c r="L55" s="111">
        <f>L5*(1-'Financial information '!$B$36)</f>
        <v>4074.9182973950906</v>
      </c>
      <c r="M55" s="111">
        <f>M5*(1-'Financial information '!$B$36)</f>
        <v>4938.7340183837141</v>
      </c>
      <c r="N55" s="105">
        <f>SUM(B55:M55)</f>
        <v>36162.60192210997</v>
      </c>
    </row>
    <row r="56" spans="1:14">
      <c r="A56" s="48" t="s">
        <v>117</v>
      </c>
      <c r="B56" s="111">
        <f>MIN(B55,$E$2)</f>
        <v>2201.8864313068689</v>
      </c>
      <c r="C56" s="111">
        <f t="shared" ref="C56:M56" si="22">MIN(C55,$E$2)</f>
        <v>2269.1444723735349</v>
      </c>
      <c r="D56" s="111">
        <f>MIN(D55,$E$2)</f>
        <v>2507.8495956198831</v>
      </c>
      <c r="E56" s="111">
        <f t="shared" ref="E56:N56" si="23">MIN(E55,$E$2)</f>
        <v>2851.0779729589772</v>
      </c>
      <c r="F56" s="111">
        <f t="shared" si="23"/>
        <v>2911.4414719442616</v>
      </c>
      <c r="G56" s="111">
        <f t="shared" si="23"/>
        <v>3339.5819800177796</v>
      </c>
      <c r="H56" s="111">
        <f t="shared" si="23"/>
        <v>2480.8902181564004</v>
      </c>
      <c r="I56" s="111">
        <f t="shared" si="23"/>
        <v>2621.7400817761313</v>
      </c>
      <c r="J56" s="111">
        <f t="shared" si="23"/>
        <v>2677.6914210654468</v>
      </c>
      <c r="K56" s="111">
        <f t="shared" si="23"/>
        <v>3287.6459611118812</v>
      </c>
      <c r="L56" s="111">
        <f t="shared" si="23"/>
        <v>4000</v>
      </c>
      <c r="M56" s="111">
        <f t="shared" si="23"/>
        <v>4000</v>
      </c>
      <c r="N56" s="106">
        <f>SUM(B56:M56)</f>
        <v>35148.949606331167</v>
      </c>
    </row>
    <row r="57" spans="1:14">
      <c r="A57" s="48" t="s">
        <v>118</v>
      </c>
      <c r="B57" s="111">
        <f>IF($E$2&gt;B55,$E$2-B55,0)</f>
        <v>1798.1135686931311</v>
      </c>
      <c r="C57" s="111">
        <f t="shared" ref="C57:M57" si="24">IF($E$2&gt;C55,$E$2-C55,0)</f>
        <v>1730.8555276264651</v>
      </c>
      <c r="D57" s="111">
        <f t="shared" si="24"/>
        <v>1492.1504043801169</v>
      </c>
      <c r="E57" s="111">
        <f t="shared" si="24"/>
        <v>1148.9220270410228</v>
      </c>
      <c r="F57" s="111">
        <f t="shared" si="24"/>
        <v>1088.5585280557384</v>
      </c>
      <c r="G57" s="111">
        <f t="shared" si="24"/>
        <v>660.41801998222036</v>
      </c>
      <c r="H57" s="111">
        <f t="shared" si="24"/>
        <v>1519.1097818435996</v>
      </c>
      <c r="I57" s="111">
        <f t="shared" si="24"/>
        <v>1378.2599182238687</v>
      </c>
      <c r="J57" s="111">
        <f t="shared" si="24"/>
        <v>1322.3085789345532</v>
      </c>
      <c r="K57" s="111">
        <f t="shared" si="24"/>
        <v>712.35403888811879</v>
      </c>
      <c r="L57" s="111">
        <f t="shared" si="24"/>
        <v>0</v>
      </c>
      <c r="M57" s="111">
        <f t="shared" si="24"/>
        <v>0</v>
      </c>
      <c r="N57" s="106">
        <f>SUM(B57:M57)</f>
        <v>12851.050393668835</v>
      </c>
    </row>
    <row r="58" spans="1:14">
      <c r="A58" s="49" t="s">
        <v>119</v>
      </c>
      <c r="B58" s="113">
        <f>IF(B55&gt;$E$2,B55-$E$2,0)</f>
        <v>0</v>
      </c>
      <c r="C58" s="113">
        <f t="shared" ref="C58:M58" si="25">IF(C55&gt;$E$2,C55-$E$2,0)</f>
        <v>0</v>
      </c>
      <c r="D58" s="113">
        <f t="shared" si="25"/>
        <v>0</v>
      </c>
      <c r="E58" s="113">
        <f t="shared" si="25"/>
        <v>0</v>
      </c>
      <c r="F58" s="113">
        <f t="shared" si="25"/>
        <v>0</v>
      </c>
      <c r="G58" s="113">
        <f>IF(G55&gt;$E$2,G55-$E$2,0)</f>
        <v>0</v>
      </c>
      <c r="H58" s="113">
        <f t="shared" ref="H58:N58" si="26">IF(H55&gt;$E$2,H55-$E$2,0)</f>
        <v>0</v>
      </c>
      <c r="I58" s="113">
        <f t="shared" si="26"/>
        <v>0</v>
      </c>
      <c r="J58" s="113">
        <f t="shared" si="26"/>
        <v>0</v>
      </c>
      <c r="K58" s="113">
        <f t="shared" si="26"/>
        <v>0</v>
      </c>
      <c r="L58" s="113">
        <f t="shared" si="26"/>
        <v>74.918297395090576</v>
      </c>
      <c r="M58" s="113">
        <f t="shared" si="26"/>
        <v>938.7340183837141</v>
      </c>
      <c r="N58" s="107">
        <f>SUM(B58:M58)</f>
        <v>1013.6523157788047</v>
      </c>
    </row>
    <row r="59" spans="1:14">
      <c r="A59" s="98" t="s">
        <v>120</v>
      </c>
      <c r="B59" s="114"/>
      <c r="C59" s="114"/>
      <c r="D59" s="114"/>
      <c r="E59" s="114"/>
      <c r="F59" s="114"/>
      <c r="G59" s="114"/>
      <c r="H59" s="114"/>
      <c r="I59" s="114"/>
      <c r="J59" s="114"/>
      <c r="K59" s="114"/>
      <c r="L59" s="114"/>
      <c r="M59" s="114"/>
      <c r="N59" s="105"/>
    </row>
    <row r="60" spans="1:14">
      <c r="A60" s="48" t="s">
        <v>121</v>
      </c>
      <c r="B60" s="111">
        <f>B56*'Financial information '!$C$7</f>
        <v>6583.640429607538</v>
      </c>
      <c r="C60" s="111">
        <f>C56*'Financial information '!$C$7</f>
        <v>6784.7419723968696</v>
      </c>
      <c r="D60" s="111">
        <f>D56*'Financial information '!$C$7</f>
        <v>7498.4702909034513</v>
      </c>
      <c r="E60" s="111">
        <f>E56*'Financial information '!$C$7</f>
        <v>8524.7231391473415</v>
      </c>
      <c r="F60" s="111">
        <f>F56*'Financial information '!$C$7</f>
        <v>8705.2100011133425</v>
      </c>
      <c r="G60" s="111">
        <f>G56*'Financial information '!$C$7</f>
        <v>9985.3501202531625</v>
      </c>
      <c r="H60" s="111">
        <f>H56*'Financial information '!$C$7</f>
        <v>7417.8617522876375</v>
      </c>
      <c r="I60" s="111">
        <f>I56*'Financial information '!$C$7</f>
        <v>7839.0028445106336</v>
      </c>
      <c r="J60" s="111">
        <f>J56*'Financial information '!$C$7</f>
        <v>8006.2973489856868</v>
      </c>
      <c r="K60" s="111">
        <f>K56*'Financial information '!$C$7</f>
        <v>9830.0614237245263</v>
      </c>
      <c r="L60" s="111">
        <f>L56*'Financial information '!$C$7</f>
        <v>11960</v>
      </c>
      <c r="M60" s="111">
        <f>M56*'Financial information '!$C$7</f>
        <v>11960</v>
      </c>
      <c r="N60" s="106">
        <f>SUM(B60:M60)</f>
        <v>105095.35932293019</v>
      </c>
    </row>
    <row r="61" spans="1:14">
      <c r="A61" s="48" t="s">
        <v>122</v>
      </c>
      <c r="B61" s="111">
        <f>'Financial information '!$C$8*'Current operations Pt2 &amp; Pt3 '!B56</f>
        <v>5504.7160782671726</v>
      </c>
      <c r="C61" s="111">
        <f>'Financial information '!$C$8*'Current operations Pt2 &amp; Pt3 '!C56</f>
        <v>5672.8611809338372</v>
      </c>
      <c r="D61" s="111">
        <f>'Financial information '!$C$8*'Current operations Pt2 &amp; Pt3 '!D56</f>
        <v>6269.6239890497072</v>
      </c>
      <c r="E61" s="111">
        <f>'Financial information '!$C$8*'Current operations Pt2 &amp; Pt3 '!E56</f>
        <v>7127.6949323974432</v>
      </c>
      <c r="F61" s="111">
        <f>'Financial information '!$C$8*'Current operations Pt2 &amp; Pt3 '!F56</f>
        <v>7278.6036798606538</v>
      </c>
      <c r="G61" s="111">
        <f>'Financial information '!$C$8*'Current operations Pt2 &amp; Pt3 '!G56</f>
        <v>8348.9549500444482</v>
      </c>
      <c r="H61" s="111">
        <f>'Financial information '!$C$8*'Current operations Pt2 &amp; Pt3 '!H56</f>
        <v>6202.2255453910011</v>
      </c>
      <c r="I61" s="111">
        <f>'Financial information '!$C$8*'Current operations Pt2 &amp; Pt3 '!I56</f>
        <v>6554.3502044403285</v>
      </c>
      <c r="J61" s="111">
        <f>'Financial information '!$C$8*'Current operations Pt2 &amp; Pt3 '!J56</f>
        <v>6694.2285526636169</v>
      </c>
      <c r="K61" s="111">
        <f>'Financial information '!$C$8*'Current operations Pt2 &amp; Pt3 '!K56</f>
        <v>8219.1149027797037</v>
      </c>
      <c r="L61" s="111">
        <f>'Financial information '!$C$8*'Current operations Pt2 &amp; Pt3 '!L56</f>
        <v>10000</v>
      </c>
      <c r="M61" s="111">
        <f>'Financial information '!$C$8*'Current operations Pt2 &amp; Pt3 '!M56</f>
        <v>10000</v>
      </c>
      <c r="N61" s="106">
        <f t="shared" ref="N61:N62" si="27">SUM(B61:M61)</f>
        <v>87872.374015827925</v>
      </c>
    </row>
    <row r="62" spans="1:14" ht="15" thickBot="1">
      <c r="A62" s="48" t="s">
        <v>123</v>
      </c>
      <c r="B62" s="115">
        <f>B57*$G$2</f>
        <v>2247.6419608664137</v>
      </c>
      <c r="C62" s="115">
        <f t="shared" ref="C62:M62" si="28">C57*$G$2</f>
        <v>2163.5694095330814</v>
      </c>
      <c r="D62" s="115">
        <f t="shared" si="28"/>
        <v>1865.1880054751462</v>
      </c>
      <c r="E62" s="115">
        <f t="shared" si="28"/>
        <v>1436.1525338012784</v>
      </c>
      <c r="F62" s="115">
        <f t="shared" si="28"/>
        <v>1360.6981600696731</v>
      </c>
      <c r="G62" s="115">
        <f t="shared" si="28"/>
        <v>825.52252497777545</v>
      </c>
      <c r="H62" s="115">
        <f t="shared" si="28"/>
        <v>1898.8872273044994</v>
      </c>
      <c r="I62" s="115">
        <f t="shared" si="28"/>
        <v>1722.8248977798357</v>
      </c>
      <c r="J62" s="115">
        <f t="shared" si="28"/>
        <v>1652.8857236681915</v>
      </c>
      <c r="K62" s="115">
        <f t="shared" si="28"/>
        <v>890.44254861014849</v>
      </c>
      <c r="L62" s="115">
        <f t="shared" si="28"/>
        <v>0</v>
      </c>
      <c r="M62" s="115">
        <f t="shared" si="28"/>
        <v>0</v>
      </c>
      <c r="N62" s="106">
        <f t="shared" si="27"/>
        <v>16063.812992086043</v>
      </c>
    </row>
    <row r="63" spans="1:14" ht="15" thickTop="1">
      <c r="A63" s="99" t="s">
        <v>124</v>
      </c>
      <c r="B63" s="113">
        <f>SUM(B60:B62)</f>
        <v>14335.998468741123</v>
      </c>
      <c r="C63" s="113">
        <f t="shared" ref="C63:M63" si="29">SUM(C60:C62)</f>
        <v>14621.172562863789</v>
      </c>
      <c r="D63" s="113">
        <f t="shared" si="29"/>
        <v>15633.282285428304</v>
      </c>
      <c r="E63" s="113">
        <f t="shared" si="29"/>
        <v>17088.570605346064</v>
      </c>
      <c r="F63" s="113">
        <f t="shared" si="29"/>
        <v>17344.51184104367</v>
      </c>
      <c r="G63" s="113">
        <f t="shared" si="29"/>
        <v>19159.827595275387</v>
      </c>
      <c r="H63" s="113">
        <f t="shared" si="29"/>
        <v>15518.974524983138</v>
      </c>
      <c r="I63" s="113">
        <f t="shared" si="29"/>
        <v>16116.177946730797</v>
      </c>
      <c r="J63" s="113">
        <f t="shared" si="29"/>
        <v>16353.411625317494</v>
      </c>
      <c r="K63" s="113">
        <f t="shared" si="29"/>
        <v>18939.618875114382</v>
      </c>
      <c r="L63" s="113">
        <f t="shared" si="29"/>
        <v>21960</v>
      </c>
      <c r="M63" s="113">
        <f t="shared" si="29"/>
        <v>21960</v>
      </c>
      <c r="N63" s="107">
        <f>SUM(N60:N62)</f>
        <v>209031.54633084417</v>
      </c>
    </row>
    <row r="64" spans="1:14">
      <c r="A64" s="100" t="s">
        <v>125</v>
      </c>
      <c r="B64" s="114"/>
      <c r="C64" s="114"/>
      <c r="D64" s="114"/>
      <c r="E64" s="114"/>
      <c r="F64" s="114"/>
      <c r="G64" s="114"/>
      <c r="H64" s="114"/>
      <c r="I64" s="114"/>
      <c r="J64" s="114"/>
      <c r="K64" s="114"/>
      <c r="L64" s="114"/>
      <c r="M64" s="114"/>
      <c r="N64" s="105"/>
    </row>
    <row r="65" spans="1:14">
      <c r="A65" s="48" t="s">
        <v>126</v>
      </c>
      <c r="B65" s="111">
        <f>'Financial information '!$F$6</f>
        <v>5800</v>
      </c>
      <c r="C65" s="111">
        <f>'Financial information '!$F$6</f>
        <v>5800</v>
      </c>
      <c r="D65" s="111">
        <f>'Financial information '!$F$6</f>
        <v>5800</v>
      </c>
      <c r="E65" s="111">
        <f>'Financial information '!$F$6</f>
        <v>5800</v>
      </c>
      <c r="F65" s="111">
        <f>'Financial information '!$F$6</f>
        <v>5800</v>
      </c>
      <c r="G65" s="111">
        <f>'Financial information '!$F$6</f>
        <v>5800</v>
      </c>
      <c r="H65" s="111">
        <f>'Financial information '!$F$6</f>
        <v>5800</v>
      </c>
      <c r="I65" s="111">
        <f>'Financial information '!$F$6</f>
        <v>5800</v>
      </c>
      <c r="J65" s="111">
        <f>'Financial information '!$F$6</f>
        <v>5800</v>
      </c>
      <c r="K65" s="111">
        <f>'Financial information '!$F$6</f>
        <v>5800</v>
      </c>
      <c r="L65" s="111">
        <f>'Financial information '!$F$6</f>
        <v>5800</v>
      </c>
      <c r="M65" s="111">
        <f>'Financial information '!$F$6</f>
        <v>5800</v>
      </c>
      <c r="N65" s="106">
        <f>SUM(B65:M65)</f>
        <v>69600</v>
      </c>
    </row>
    <row r="66" spans="1:14">
      <c r="A66" s="92" t="s">
        <v>127</v>
      </c>
      <c r="B66" s="111">
        <f>'Financial information '!$F$6</f>
        <v>5800</v>
      </c>
      <c r="C66" s="111">
        <f>'Financial information '!$F$6</f>
        <v>5800</v>
      </c>
      <c r="D66" s="111">
        <f>'Financial information '!$F$6</f>
        <v>5800</v>
      </c>
      <c r="E66" s="111">
        <f>'Financial information '!$F$6</f>
        <v>5800</v>
      </c>
      <c r="F66" s="111">
        <f>'Financial information '!$F$6</f>
        <v>5800</v>
      </c>
      <c r="G66" s="111">
        <f>'Financial information '!$F$6</f>
        <v>5800</v>
      </c>
      <c r="H66" s="111">
        <f>'Financial information '!$F$6</f>
        <v>5800</v>
      </c>
      <c r="I66" s="111">
        <f>'Financial information '!$F$6</f>
        <v>5800</v>
      </c>
      <c r="J66" s="111">
        <f>'Financial information '!$F$6</f>
        <v>5800</v>
      </c>
      <c r="K66" s="111">
        <f>'Financial information '!$F$6</f>
        <v>5800</v>
      </c>
      <c r="L66" s="111">
        <f>'Financial information '!$F$6</f>
        <v>5800</v>
      </c>
      <c r="M66" s="111">
        <f>'Financial information '!$F$6</f>
        <v>5800</v>
      </c>
      <c r="N66" s="106">
        <f>SUM(B66:M66)</f>
        <v>69600</v>
      </c>
    </row>
    <row r="67" spans="1:14">
      <c r="A67" s="48"/>
      <c r="B67" s="111"/>
      <c r="C67" s="111"/>
      <c r="D67" s="111"/>
      <c r="E67" s="111"/>
      <c r="F67" s="111"/>
      <c r="G67" s="111"/>
      <c r="H67" s="111"/>
      <c r="I67" s="111"/>
      <c r="J67" s="111"/>
      <c r="K67" s="111"/>
      <c r="L67" s="111"/>
      <c r="M67" s="111"/>
      <c r="N67" s="106"/>
    </row>
    <row r="68" spans="1:14">
      <c r="A68" s="48" t="s">
        <v>128</v>
      </c>
      <c r="B68" s="111"/>
      <c r="C68" s="111"/>
      <c r="D68" s="111"/>
      <c r="E68" s="111"/>
      <c r="F68" s="111"/>
      <c r="G68" s="111"/>
      <c r="H68" s="111"/>
      <c r="I68" s="111"/>
      <c r="J68" s="111"/>
      <c r="K68" s="111"/>
      <c r="L68" s="111"/>
      <c r="M68" s="111"/>
      <c r="N68" s="106"/>
    </row>
    <row r="69" spans="1:14">
      <c r="A69" s="48" t="s">
        <v>129</v>
      </c>
      <c r="B69" s="111">
        <f>('Financial information '!$C$15+'Financial information '!$C$16)*'Current operations Pt2 &amp; Pt3 '!$E$2</f>
        <v>2000</v>
      </c>
      <c r="C69" s="111">
        <f>('Financial information '!$C$15+'Financial information '!$C$16)*'Current operations Pt2 &amp; Pt3 '!$E$2</f>
        <v>2000</v>
      </c>
      <c r="D69" s="111">
        <f>('Financial information '!$C$15+'Financial information '!$C$16)*'Current operations Pt2 &amp; Pt3 '!$E$2</f>
        <v>2000</v>
      </c>
      <c r="E69" s="111">
        <f>('Financial information '!$C$15+'Financial information '!$C$16)*'Current operations Pt2 &amp; Pt3 '!$E$2</f>
        <v>2000</v>
      </c>
      <c r="F69" s="111">
        <f>('Financial information '!$C$15+'Financial information '!$C$16)*'Current operations Pt2 &amp; Pt3 '!$E$2</f>
        <v>2000</v>
      </c>
      <c r="G69" s="111">
        <f>('Financial information '!$C$15+'Financial information '!$C$16)*'Current operations Pt2 &amp; Pt3 '!$E$2</f>
        <v>2000</v>
      </c>
      <c r="H69" s="111">
        <f>('Financial information '!$C$15+'Financial information '!$C$16)*'Current operations Pt2 &amp; Pt3 '!$E$2</f>
        <v>2000</v>
      </c>
      <c r="I69" s="111">
        <f>('Financial information '!$C$15+'Financial information '!$C$16)*'Current operations Pt2 &amp; Pt3 '!$E$2</f>
        <v>2000</v>
      </c>
      <c r="J69" s="111">
        <f>('Financial information '!$C$15+'Financial information '!$C$16)*'Current operations Pt2 &amp; Pt3 '!$E$2</f>
        <v>2000</v>
      </c>
      <c r="K69" s="111">
        <f>('Financial information '!$C$15+'Financial information '!$C$16)*'Current operations Pt2 &amp; Pt3 '!$E$2</f>
        <v>2000</v>
      </c>
      <c r="L69" s="111">
        <f>('Financial information '!$C$15+'Financial information '!$C$16)*'Current operations Pt2 &amp; Pt3 '!$E$2</f>
        <v>2000</v>
      </c>
      <c r="M69" s="111">
        <f>('Financial information '!$C$15+'Financial information '!$C$16)*'Current operations Pt2 &amp; Pt3 '!$E$2</f>
        <v>2000</v>
      </c>
      <c r="N69" s="106">
        <f>SUM(B69:M69)</f>
        <v>24000</v>
      </c>
    </row>
    <row r="70" spans="1:14">
      <c r="A70" s="48" t="s">
        <v>130</v>
      </c>
      <c r="B70" s="111">
        <f>'Financial information '!$C$9*'Current operations Pt2 &amp; Pt3 '!$E$2</f>
        <v>2400</v>
      </c>
      <c r="C70" s="111">
        <f>'Financial information '!$C$9*'Current operations Pt2 &amp; Pt3 '!$E$2</f>
        <v>2400</v>
      </c>
      <c r="D70" s="111">
        <f>'Financial information '!$C$9*'Current operations Pt2 &amp; Pt3 '!$E$2</f>
        <v>2400</v>
      </c>
      <c r="E70" s="111">
        <f>'Financial information '!$C$9*'Current operations Pt2 &amp; Pt3 '!$E$2</f>
        <v>2400</v>
      </c>
      <c r="F70" s="111">
        <f>'Financial information '!$C$9*'Current operations Pt2 &amp; Pt3 '!$E$2</f>
        <v>2400</v>
      </c>
      <c r="G70" s="111">
        <f>'Financial information '!$C$9*'Current operations Pt2 &amp; Pt3 '!$E$2</f>
        <v>2400</v>
      </c>
      <c r="H70" s="111">
        <f>'Financial information '!$C$9*'Current operations Pt2 &amp; Pt3 '!$E$2</f>
        <v>2400</v>
      </c>
      <c r="I70" s="111">
        <f>'Financial information '!$C$9*'Current operations Pt2 &amp; Pt3 '!$E$2</f>
        <v>2400</v>
      </c>
      <c r="J70" s="111">
        <f>'Financial information '!$C$9*'Current operations Pt2 &amp; Pt3 '!$E$2</f>
        <v>2400</v>
      </c>
      <c r="K70" s="111">
        <f>'Financial information '!$C$9*'Current operations Pt2 &amp; Pt3 '!$E$2</f>
        <v>2400</v>
      </c>
      <c r="L70" s="111">
        <f>'Financial information '!$C$9*'Current operations Pt2 &amp; Pt3 '!$E$2</f>
        <v>2400</v>
      </c>
      <c r="M70" s="111">
        <f>'Financial information '!$C$9*'Current operations Pt2 &amp; Pt3 '!$E$2</f>
        <v>2400</v>
      </c>
      <c r="N70" s="106">
        <f>SUM(B70:M70)</f>
        <v>28800</v>
      </c>
    </row>
    <row r="71" spans="1:14">
      <c r="A71" s="92" t="s">
        <v>131</v>
      </c>
      <c r="B71" s="116">
        <f>SUM(B69:B70)</f>
        <v>4400</v>
      </c>
      <c r="C71" s="116">
        <f t="shared" ref="C71:M71" si="30">SUM(C69:C70)</f>
        <v>4400</v>
      </c>
      <c r="D71" s="116">
        <f t="shared" si="30"/>
        <v>4400</v>
      </c>
      <c r="E71" s="116">
        <f t="shared" si="30"/>
        <v>4400</v>
      </c>
      <c r="F71" s="116">
        <f t="shared" si="30"/>
        <v>4400</v>
      </c>
      <c r="G71" s="116">
        <f t="shared" si="30"/>
        <v>4400</v>
      </c>
      <c r="H71" s="116">
        <f t="shared" si="30"/>
        <v>4400</v>
      </c>
      <c r="I71" s="116">
        <f t="shared" si="30"/>
        <v>4400</v>
      </c>
      <c r="J71" s="116">
        <f t="shared" si="30"/>
        <v>4400</v>
      </c>
      <c r="K71" s="116">
        <f t="shared" si="30"/>
        <v>4400</v>
      </c>
      <c r="L71" s="116">
        <f t="shared" si="30"/>
        <v>4400</v>
      </c>
      <c r="M71" s="116">
        <f t="shared" si="30"/>
        <v>4400</v>
      </c>
      <c r="N71" s="106">
        <f>SUM(N69:N70)</f>
        <v>52800</v>
      </c>
    </row>
    <row r="72" spans="1:14" ht="15" thickBot="1">
      <c r="A72" s="48" t="s">
        <v>132</v>
      </c>
      <c r="B72" s="117">
        <f>B58*$F$2</f>
        <v>0</v>
      </c>
      <c r="C72" s="117">
        <f t="shared" ref="C72:M72" si="31">C58*$F$2</f>
        <v>0</v>
      </c>
      <c r="D72" s="117">
        <f t="shared" si="31"/>
        <v>0</v>
      </c>
      <c r="E72" s="117">
        <f t="shared" si="31"/>
        <v>0</v>
      </c>
      <c r="F72" s="117">
        <f t="shared" si="31"/>
        <v>0</v>
      </c>
      <c r="G72" s="117">
        <f t="shared" si="31"/>
        <v>0</v>
      </c>
      <c r="H72" s="117">
        <f t="shared" si="31"/>
        <v>0</v>
      </c>
      <c r="I72" s="117">
        <f t="shared" si="31"/>
        <v>0</v>
      </c>
      <c r="J72" s="117">
        <f t="shared" si="31"/>
        <v>0</v>
      </c>
      <c r="K72" s="117">
        <f t="shared" si="31"/>
        <v>0</v>
      </c>
      <c r="L72" s="117">
        <f t="shared" si="31"/>
        <v>224.75489218527173</v>
      </c>
      <c r="M72" s="117">
        <f t="shared" si="31"/>
        <v>2816.2020551511423</v>
      </c>
      <c r="N72" s="108">
        <f>SUM(B72:M72)</f>
        <v>3040.956947336414</v>
      </c>
    </row>
    <row r="73" spans="1:14" ht="15" thickTop="1">
      <c r="A73" s="99" t="s">
        <v>133</v>
      </c>
      <c r="B73" s="113">
        <f>B66+B71+B72</f>
        <v>10200</v>
      </c>
      <c r="C73" s="113">
        <f t="shared" ref="C73:M73" si="32">C66+C71+C72</f>
        <v>10200</v>
      </c>
      <c r="D73" s="113">
        <f t="shared" si="32"/>
        <v>10200</v>
      </c>
      <c r="E73" s="113">
        <f t="shared" si="32"/>
        <v>10200</v>
      </c>
      <c r="F73" s="113">
        <f t="shared" si="32"/>
        <v>10200</v>
      </c>
      <c r="G73" s="113">
        <f t="shared" si="32"/>
        <v>10200</v>
      </c>
      <c r="H73" s="113">
        <f t="shared" si="32"/>
        <v>10200</v>
      </c>
      <c r="I73" s="113">
        <f t="shared" si="32"/>
        <v>10200</v>
      </c>
      <c r="J73" s="113">
        <f t="shared" si="32"/>
        <v>10200</v>
      </c>
      <c r="K73" s="113">
        <f t="shared" si="32"/>
        <v>10200</v>
      </c>
      <c r="L73" s="113">
        <f t="shared" si="32"/>
        <v>10424.754892185272</v>
      </c>
      <c r="M73" s="113">
        <f t="shared" si="32"/>
        <v>13016.202055151141</v>
      </c>
      <c r="N73" s="106">
        <f>N66+N71+N72</f>
        <v>125440.95694733641</v>
      </c>
    </row>
    <row r="74" spans="1:14" ht="15" thickBot="1">
      <c r="A74" s="48"/>
      <c r="B74" s="118"/>
      <c r="C74" s="118"/>
      <c r="D74" s="118"/>
      <c r="E74" s="118"/>
      <c r="F74" s="118"/>
      <c r="G74" s="118"/>
      <c r="H74" s="118"/>
      <c r="I74" s="118"/>
      <c r="J74" s="118"/>
      <c r="K74" s="118"/>
      <c r="L74" s="118"/>
      <c r="M74" s="118"/>
      <c r="N74" s="149"/>
    </row>
    <row r="75" spans="1:14" ht="15.6" thickTop="1" thickBot="1">
      <c r="A75" s="101" t="s">
        <v>134</v>
      </c>
      <c r="B75" s="119">
        <f>B63-B73</f>
        <v>4135.9984687411234</v>
      </c>
      <c r="C75" s="119">
        <f t="shared" ref="C75:N75" si="33">C63-C73</f>
        <v>4421.1725628637887</v>
      </c>
      <c r="D75" s="119">
        <f t="shared" si="33"/>
        <v>5433.282285428304</v>
      </c>
      <c r="E75" s="119">
        <f t="shared" si="33"/>
        <v>6888.5706053460635</v>
      </c>
      <c r="F75" s="119">
        <f t="shared" si="33"/>
        <v>7144.5118410436698</v>
      </c>
      <c r="G75" s="119">
        <f t="shared" si="33"/>
        <v>8959.8275952753866</v>
      </c>
      <c r="H75" s="119">
        <f t="shared" si="33"/>
        <v>5318.9745249831376</v>
      </c>
      <c r="I75" s="119">
        <f t="shared" si="33"/>
        <v>5916.177946730797</v>
      </c>
      <c r="J75" s="119">
        <f t="shared" si="33"/>
        <v>6153.4116253174943</v>
      </c>
      <c r="K75" s="119">
        <f t="shared" si="33"/>
        <v>8739.6188751143818</v>
      </c>
      <c r="L75" s="119">
        <f t="shared" si="33"/>
        <v>11535.245107814728</v>
      </c>
      <c r="M75" s="119">
        <f t="shared" si="33"/>
        <v>8943.7979448488586</v>
      </c>
      <c r="N75" s="119">
        <f t="shared" si="33"/>
        <v>83590.589383507759</v>
      </c>
    </row>
    <row r="200" spans="26:26">
      <c r="Z200" t="s">
        <v>8</v>
      </c>
    </row>
    <row r="201" spans="26:26">
      <c r="Z201" t="s">
        <v>14</v>
      </c>
    </row>
  </sheetData>
  <mergeCells count="1">
    <mergeCell ref="B1: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DBF12-166F-4CC4-8926-9C87680F07BC}">
  <sheetPr codeName="Sheet7"/>
  <dimension ref="A1:N75"/>
  <sheetViews>
    <sheetView topLeftCell="B1" zoomScale="81" zoomScaleNormal="81" workbookViewId="0">
      <selection activeCell="N75" sqref="N75"/>
    </sheetView>
  </sheetViews>
  <sheetFormatPr defaultColWidth="8.88671875" defaultRowHeight="14.4"/>
  <cols>
    <col min="1" max="1" width="25.109375" bestFit="1" customWidth="1"/>
    <col min="2" max="13" width="13.44140625" customWidth="1"/>
    <col min="14" max="14" width="14.44140625" bestFit="1" customWidth="1"/>
  </cols>
  <sheetData>
    <row r="1" spans="1:14">
      <c r="A1" s="46" t="s">
        <v>139</v>
      </c>
      <c r="B1" s="163" t="s">
        <v>110</v>
      </c>
      <c r="C1" s="163"/>
      <c r="D1" s="164"/>
      <c r="E1" s="47" t="s">
        <v>51</v>
      </c>
      <c r="F1" s="47" t="s">
        <v>52</v>
      </c>
      <c r="G1" s="51" t="s">
        <v>53</v>
      </c>
    </row>
    <row r="2" spans="1:14">
      <c r="A2" s="89" t="s">
        <v>112</v>
      </c>
      <c r="B2" s="163"/>
      <c r="C2" s="163"/>
      <c r="D2" s="164"/>
      <c r="E2" s="52">
        <f>'Financial information '!B32*(1+'Financial information '!B39)</f>
        <v>5280</v>
      </c>
      <c r="F2" s="52">
        <f>'Financial information '!B33</f>
        <v>3</v>
      </c>
      <c r="G2" s="53">
        <f>'Financial information '!B34</f>
        <v>1.25</v>
      </c>
    </row>
    <row r="3" spans="1:14" ht="15" thickBot="1">
      <c r="A3" s="46" t="s">
        <v>114</v>
      </c>
    </row>
    <row r="4" spans="1:14">
      <c r="A4" s="97" t="s">
        <v>115</v>
      </c>
      <c r="B4" s="94">
        <v>44562</v>
      </c>
      <c r="C4" s="95">
        <v>44593</v>
      </c>
      <c r="D4" s="95">
        <v>44621</v>
      </c>
      <c r="E4" s="95">
        <v>44652</v>
      </c>
      <c r="F4" s="95">
        <v>44682</v>
      </c>
      <c r="G4" s="95">
        <v>44713</v>
      </c>
      <c r="H4" s="95">
        <v>44743</v>
      </c>
      <c r="I4" s="95">
        <v>44774</v>
      </c>
      <c r="J4" s="95">
        <v>44805</v>
      </c>
      <c r="K4" s="95">
        <v>44835</v>
      </c>
      <c r="L4" s="95">
        <v>44866</v>
      </c>
      <c r="M4" s="110">
        <v>44896</v>
      </c>
      <c r="N4" s="104" t="s">
        <v>116</v>
      </c>
    </row>
    <row r="5" spans="1:14">
      <c r="A5" s="48" t="s">
        <v>67</v>
      </c>
      <c r="B5" s="111">
        <f>'Current operations Pt2 &amp; Pt3 '!B5*(1+'Financial information '!$B$40)</f>
        <v>3630.1370894518645</v>
      </c>
      <c r="C5" s="111">
        <f>'Current operations Pt2 &amp; Pt3 '!C5*(1+'Financial information '!$B$40)</f>
        <v>3741.0219679671791</v>
      </c>
      <c r="D5" s="111">
        <f>'Current operations Pt2 &amp; Pt3 '!D5*(1+'Financial information '!$B$40)</f>
        <v>4134.5628468327805</v>
      </c>
      <c r="E5" s="111">
        <f>'Current operations Pt2 &amp; Pt3 '!E5*(1+'Financial information '!$B$40)</f>
        <v>4700.4258473107457</v>
      </c>
      <c r="F5" s="111">
        <f>'Current operations Pt2 &amp; Pt3 '!F5*(1+'Financial information '!$B$40)</f>
        <v>4799.9440483405397</v>
      </c>
      <c r="G5" s="111">
        <f>'Current operations Pt2 &amp; Pt3 '!G5*(1+'Financial information '!$B$40)</f>
        <v>5505.7973184076909</v>
      </c>
      <c r="H5" s="111">
        <f>'Current operations Pt2 &amp; Pt3 '!H5*(1+'Financial information '!$B$40)</f>
        <v>4090.1163056092005</v>
      </c>
      <c r="I5" s="111">
        <f>'Current operations Pt2 &amp; Pt3 '!I5*(1+'Financial information '!$B$40)</f>
        <v>4322.3282429282162</v>
      </c>
      <c r="J5" s="111">
        <f>'Current operations Pt2 &amp; Pt3 '!J5*(1+'Financial information '!$B$40)</f>
        <v>4414.5723428376286</v>
      </c>
      <c r="K5" s="111">
        <f>'Current operations Pt2 &amp; Pt3 '!K5*(1+'Financial information '!$B$40)</f>
        <v>5420.173071022291</v>
      </c>
      <c r="L5" s="111">
        <f>'Current operations Pt2 &amp; Pt3 '!L5*(1+'Financial information '!$B$40)</f>
        <v>6718.1085443540678</v>
      </c>
      <c r="M5" s="111">
        <f>'Current operations Pt2 &amp; Pt3 '!M5*(1+'Financial information '!$B$40)</f>
        <v>8142.237165443421</v>
      </c>
      <c r="N5" s="105">
        <f>SUM(B5:M5)</f>
        <v>59619.424790505625</v>
      </c>
    </row>
    <row r="6" spans="1:14">
      <c r="A6" s="48" t="s">
        <v>117</v>
      </c>
      <c r="B6" s="111">
        <f>MIN(B5,$E$2)</f>
        <v>3630.1370894518645</v>
      </c>
      <c r="C6" s="111">
        <f t="shared" ref="C6:M6" si="0">MIN(C5,$E$2)</f>
        <v>3741.0219679671791</v>
      </c>
      <c r="D6" s="111">
        <f t="shared" si="0"/>
        <v>4134.5628468327805</v>
      </c>
      <c r="E6" s="111">
        <f t="shared" si="0"/>
        <v>4700.4258473107457</v>
      </c>
      <c r="F6" s="111">
        <f t="shared" si="0"/>
        <v>4799.9440483405397</v>
      </c>
      <c r="G6" s="111">
        <f t="shared" si="0"/>
        <v>5280</v>
      </c>
      <c r="H6" s="111">
        <f t="shared" si="0"/>
        <v>4090.1163056092005</v>
      </c>
      <c r="I6" s="111">
        <f t="shared" si="0"/>
        <v>4322.3282429282162</v>
      </c>
      <c r="J6" s="111">
        <f t="shared" si="0"/>
        <v>4414.5723428376286</v>
      </c>
      <c r="K6" s="111">
        <f t="shared" si="0"/>
        <v>5280</v>
      </c>
      <c r="L6" s="111">
        <f t="shared" si="0"/>
        <v>5280</v>
      </c>
      <c r="M6" s="111">
        <f t="shared" si="0"/>
        <v>5280</v>
      </c>
      <c r="N6" s="106">
        <f>SUM(B6:M6)</f>
        <v>54953.108691278154</v>
      </c>
    </row>
    <row r="7" spans="1:14">
      <c r="A7" s="48" t="s">
        <v>118</v>
      </c>
      <c r="B7" s="111">
        <f>IF($E$2&gt;B5,$E$2-B5,0)</f>
        <v>1649.8629105481355</v>
      </c>
      <c r="C7" s="111">
        <f t="shared" ref="C7:M7" si="1">IF($E$2&gt;C5,$E$2-C5,0)</f>
        <v>1538.9780320328209</v>
      </c>
      <c r="D7" s="111">
        <f t="shared" si="1"/>
        <v>1145.4371531672195</v>
      </c>
      <c r="E7" s="111">
        <f t="shared" si="1"/>
        <v>579.57415268925433</v>
      </c>
      <c r="F7" s="111">
        <f t="shared" si="1"/>
        <v>480.05595165946033</v>
      </c>
      <c r="G7" s="111">
        <f t="shared" si="1"/>
        <v>0</v>
      </c>
      <c r="H7" s="111">
        <f t="shared" si="1"/>
        <v>1189.8836943907995</v>
      </c>
      <c r="I7" s="111">
        <f t="shared" si="1"/>
        <v>957.67175707178376</v>
      </c>
      <c r="J7" s="111">
        <f t="shared" si="1"/>
        <v>865.42765716237136</v>
      </c>
      <c r="K7" s="111">
        <f t="shared" si="1"/>
        <v>0</v>
      </c>
      <c r="L7" s="111">
        <f t="shared" si="1"/>
        <v>0</v>
      </c>
      <c r="M7" s="111">
        <f t="shared" si="1"/>
        <v>0</v>
      </c>
      <c r="N7" s="106">
        <f>SUM(B7:M7)</f>
        <v>8406.8913087218443</v>
      </c>
    </row>
    <row r="8" spans="1:14">
      <c r="A8" s="49" t="s">
        <v>119</v>
      </c>
      <c r="B8" s="112">
        <f>IF(B5&gt;$E$2,B5-$E$2,0)</f>
        <v>0</v>
      </c>
      <c r="C8" s="112">
        <f t="shared" ref="C8:M8" si="2">IF(C5&gt;$E$2,C5-$E$2,0)</f>
        <v>0</v>
      </c>
      <c r="D8" s="112">
        <f t="shared" si="2"/>
        <v>0</v>
      </c>
      <c r="E8" s="112">
        <f t="shared" si="2"/>
        <v>0</v>
      </c>
      <c r="F8" s="112">
        <f t="shared" si="2"/>
        <v>0</v>
      </c>
      <c r="G8" s="112">
        <f>IF(G5&gt;$E$2,G5-$E$2,0)</f>
        <v>225.79731840769091</v>
      </c>
      <c r="H8" s="112">
        <f t="shared" si="2"/>
        <v>0</v>
      </c>
      <c r="I8" s="112">
        <f t="shared" si="2"/>
        <v>0</v>
      </c>
      <c r="J8" s="112">
        <f t="shared" si="2"/>
        <v>0</v>
      </c>
      <c r="K8" s="112">
        <f t="shared" si="2"/>
        <v>140.17307102229097</v>
      </c>
      <c r="L8" s="112">
        <f t="shared" si="2"/>
        <v>1438.1085443540678</v>
      </c>
      <c r="M8" s="112">
        <f t="shared" si="2"/>
        <v>2862.237165443421</v>
      </c>
      <c r="N8" s="107">
        <f>SUM(B8:M8)</f>
        <v>4666.3160992274707</v>
      </c>
    </row>
    <row r="9" spans="1:14">
      <c r="A9" s="98" t="s">
        <v>120</v>
      </c>
      <c r="B9" s="114"/>
      <c r="C9" s="114"/>
      <c r="D9" s="114"/>
      <c r="E9" s="114"/>
      <c r="F9" s="114"/>
      <c r="G9" s="114"/>
      <c r="H9" s="114"/>
      <c r="I9" s="114"/>
      <c r="J9" s="114"/>
      <c r="K9" s="114"/>
      <c r="L9" s="114"/>
      <c r="M9" s="114"/>
      <c r="N9" s="105"/>
    </row>
    <row r="10" spans="1:14">
      <c r="A10" s="48" t="s">
        <v>121</v>
      </c>
      <c r="B10" s="111">
        <f>B6*'Financial information '!$C$7</f>
        <v>10854.109897461076</v>
      </c>
      <c r="C10" s="111">
        <f>C6*'Financial information '!$C$7</f>
        <v>11185.655684221867</v>
      </c>
      <c r="D10" s="111">
        <f>D6*'Financial information '!$C$7</f>
        <v>12362.342912030015</v>
      </c>
      <c r="E10" s="111">
        <f>E6*'Financial information '!$C$7</f>
        <v>14054.27328345913</v>
      </c>
      <c r="F10" s="111">
        <f>F6*'Financial information '!$C$7</f>
        <v>14351.832704538214</v>
      </c>
      <c r="G10" s="111">
        <f>G6*'Financial information '!$C$7</f>
        <v>15787.2</v>
      </c>
      <c r="H10" s="111">
        <f>H6*'Financial information '!$C$7</f>
        <v>12229.44775377151</v>
      </c>
      <c r="I10" s="111">
        <f>I6*'Financial information '!$C$7</f>
        <v>12923.761446355367</v>
      </c>
      <c r="J10" s="111">
        <f>J6*'Financial information '!$C$7</f>
        <v>13199.57130508451</v>
      </c>
      <c r="K10" s="111">
        <f>K6*'Financial information '!$C$7</f>
        <v>15787.2</v>
      </c>
      <c r="L10" s="111">
        <f>L6*'Financial information '!$C$7</f>
        <v>15787.2</v>
      </c>
      <c r="M10" s="111">
        <f>M6*'Financial information '!$C$7</f>
        <v>15787.2</v>
      </c>
      <c r="N10" s="106">
        <f>SUM(B10:M10)</f>
        <v>164309.79498692171</v>
      </c>
    </row>
    <row r="11" spans="1:14">
      <c r="A11" s="48" t="s">
        <v>122</v>
      </c>
      <c r="B11" s="111">
        <f>'Financial information '!$C$8*B6</f>
        <v>9075.3427236296611</v>
      </c>
      <c r="C11" s="111">
        <f>'Financial information '!$C$8*C6</f>
        <v>9352.5549199179477</v>
      </c>
      <c r="D11" s="111">
        <f>'Financial information '!$C$8*D6</f>
        <v>10336.407117081952</v>
      </c>
      <c r="E11" s="111">
        <f>'Financial information '!$C$8*E6</f>
        <v>11751.064618276865</v>
      </c>
      <c r="F11" s="111">
        <f>'Financial information '!$C$8*F6</f>
        <v>11999.86012085135</v>
      </c>
      <c r="G11" s="111">
        <f>'Financial information '!$C$8*G6</f>
        <v>13200</v>
      </c>
      <c r="H11" s="111">
        <f>'Financial information '!$C$8*H6</f>
        <v>10225.290764023001</v>
      </c>
      <c r="I11" s="111">
        <f>'Financial information '!$C$8*I6</f>
        <v>10805.82060732054</v>
      </c>
      <c r="J11" s="111">
        <f>'Financial information '!$C$8*J6</f>
        <v>11036.430857094072</v>
      </c>
      <c r="K11" s="111">
        <f>'Financial information '!$C$8*K6</f>
        <v>13200</v>
      </c>
      <c r="L11" s="111">
        <f>'Financial information '!$C$8*L6</f>
        <v>13200</v>
      </c>
      <c r="M11" s="111">
        <f>'Financial information '!$C$8*M6</f>
        <v>13200</v>
      </c>
      <c r="N11" s="106">
        <f t="shared" ref="N11" si="3">SUM(B11:M11)</f>
        <v>137382.7717281954</v>
      </c>
    </row>
    <row r="12" spans="1:14" ht="15" thickBot="1">
      <c r="A12" s="48" t="s">
        <v>123</v>
      </c>
      <c r="B12" s="115">
        <f>B7*$G$2</f>
        <v>2062.3286381851694</v>
      </c>
      <c r="C12" s="115">
        <f t="shared" ref="C12:M12" si="4">C7*$G$2</f>
        <v>1923.7225400410261</v>
      </c>
      <c r="D12" s="115">
        <f t="shared" si="4"/>
        <v>1431.7964414590244</v>
      </c>
      <c r="E12" s="115">
        <f t="shared" si="4"/>
        <v>724.46769086156792</v>
      </c>
      <c r="F12" s="115">
        <f t="shared" si="4"/>
        <v>600.06993957432542</v>
      </c>
      <c r="G12" s="115">
        <f t="shared" si="4"/>
        <v>0</v>
      </c>
      <c r="H12" s="115">
        <f t="shared" si="4"/>
        <v>1487.3546179884993</v>
      </c>
      <c r="I12" s="115">
        <f t="shared" si="4"/>
        <v>1197.0896963397297</v>
      </c>
      <c r="J12" s="115">
        <f t="shared" si="4"/>
        <v>1081.7845714529642</v>
      </c>
      <c r="K12" s="115">
        <f t="shared" si="4"/>
        <v>0</v>
      </c>
      <c r="L12" s="115">
        <f t="shared" si="4"/>
        <v>0</v>
      </c>
      <c r="M12" s="115">
        <f t="shared" si="4"/>
        <v>0</v>
      </c>
      <c r="N12" s="108">
        <f>SUM(B12:M12)</f>
        <v>10508.614135902308</v>
      </c>
    </row>
    <row r="13" spans="1:14" ht="15" thickTop="1">
      <c r="A13" s="99" t="s">
        <v>124</v>
      </c>
      <c r="B13" s="113">
        <f>SUM(B10:B12)</f>
        <v>21991.781259275904</v>
      </c>
      <c r="C13" s="113">
        <f t="shared" ref="C13:M13" si="5">SUM(C10:C12)</f>
        <v>22461.933144180839</v>
      </c>
      <c r="D13" s="113">
        <f t="shared" si="5"/>
        <v>24130.546470570989</v>
      </c>
      <c r="E13" s="113">
        <f t="shared" si="5"/>
        <v>26529.805592597564</v>
      </c>
      <c r="F13" s="113">
        <f t="shared" si="5"/>
        <v>26951.762764963889</v>
      </c>
      <c r="G13" s="113">
        <f t="shared" si="5"/>
        <v>28987.200000000001</v>
      </c>
      <c r="H13" s="113">
        <f t="shared" si="5"/>
        <v>23942.093135783009</v>
      </c>
      <c r="I13" s="113">
        <f t="shared" si="5"/>
        <v>24926.671750015634</v>
      </c>
      <c r="J13" s="113">
        <f t="shared" si="5"/>
        <v>25317.786733631547</v>
      </c>
      <c r="K13" s="113">
        <f t="shared" si="5"/>
        <v>28987.200000000001</v>
      </c>
      <c r="L13" s="113">
        <f t="shared" si="5"/>
        <v>28987.200000000001</v>
      </c>
      <c r="M13" s="113">
        <f t="shared" si="5"/>
        <v>28987.200000000001</v>
      </c>
      <c r="N13" s="107">
        <f>SUM(B13:M13)</f>
        <v>312201.1808510194</v>
      </c>
    </row>
    <row r="14" spans="1:14">
      <c r="A14" s="100" t="s">
        <v>125</v>
      </c>
      <c r="B14" s="114"/>
      <c r="C14" s="114"/>
      <c r="D14" s="114"/>
      <c r="E14" s="114"/>
      <c r="F14" s="114"/>
      <c r="G14" s="114"/>
      <c r="H14" s="114"/>
      <c r="I14" s="114"/>
      <c r="J14" s="114"/>
      <c r="K14" s="114"/>
      <c r="L14" s="114"/>
      <c r="M14" s="114"/>
      <c r="N14" s="105"/>
    </row>
    <row r="15" spans="1:14">
      <c r="A15" s="48" t="s">
        <v>126</v>
      </c>
      <c r="B15" s="111">
        <f>'Financial information '!$F$6+'Financial information '!$B$38</f>
        <v>10150</v>
      </c>
      <c r="C15" s="111">
        <f>'Financial information '!$F$6+'Financial information '!$B$38</f>
        <v>10150</v>
      </c>
      <c r="D15" s="111">
        <f>'Financial information '!$F$6+'Financial information '!$B$38</f>
        <v>10150</v>
      </c>
      <c r="E15" s="111">
        <f>'Financial information '!$F$6+'Financial information '!$B$38</f>
        <v>10150</v>
      </c>
      <c r="F15" s="111">
        <f>'Financial information '!$F$6+'Financial information '!$B$38</f>
        <v>10150</v>
      </c>
      <c r="G15" s="111">
        <f>'Financial information '!$F$6+'Financial information '!$B$38</f>
        <v>10150</v>
      </c>
      <c r="H15" s="111">
        <f>'Financial information '!$F$6+'Financial information '!$B$38</f>
        <v>10150</v>
      </c>
      <c r="I15" s="111">
        <f>'Financial information '!$F$6+'Financial information '!$B$38</f>
        <v>10150</v>
      </c>
      <c r="J15" s="111">
        <f>'Financial information '!$F$6+'Financial information '!$B$38</f>
        <v>10150</v>
      </c>
      <c r="K15" s="111">
        <f>'Financial information '!$F$6+'Financial information '!$B$38</f>
        <v>10150</v>
      </c>
      <c r="L15" s="111">
        <f>'Financial information '!$F$6+'Financial information '!$B$38</f>
        <v>10150</v>
      </c>
      <c r="M15" s="111">
        <f>'Financial information '!$F$6+'Financial information '!$B$38</f>
        <v>10150</v>
      </c>
      <c r="N15" s="106">
        <f>SUM(B15:M15)</f>
        <v>121800</v>
      </c>
    </row>
    <row r="16" spans="1:14">
      <c r="A16" s="92" t="s">
        <v>127</v>
      </c>
      <c r="B16" s="111">
        <f>'Financial information '!$F$6+'Financial information '!$B$38</f>
        <v>10150</v>
      </c>
      <c r="C16" s="111">
        <f>'Financial information '!$F$6+'Financial information '!$B$38</f>
        <v>10150</v>
      </c>
      <c r="D16" s="111">
        <f>'Financial information '!$F$6+'Financial information '!$B$38</f>
        <v>10150</v>
      </c>
      <c r="E16" s="111">
        <f>'Financial information '!$F$6+'Financial information '!$B$38</f>
        <v>10150</v>
      </c>
      <c r="F16" s="111">
        <f>'Financial information '!$F$6+'Financial information '!$B$38</f>
        <v>10150</v>
      </c>
      <c r="G16" s="111">
        <f>'Financial information '!$F$6+'Financial information '!$B$38</f>
        <v>10150</v>
      </c>
      <c r="H16" s="111">
        <f>'Financial information '!$F$6+'Financial information '!$B$38</f>
        <v>10150</v>
      </c>
      <c r="I16" s="111">
        <f>'Financial information '!$F$6+'Financial information '!$B$38</f>
        <v>10150</v>
      </c>
      <c r="J16" s="111">
        <f>'Financial information '!$F$6+'Financial information '!$B$38</f>
        <v>10150</v>
      </c>
      <c r="K16" s="111">
        <f>'Financial information '!$F$6+'Financial information '!$B$38</f>
        <v>10150</v>
      </c>
      <c r="L16" s="111">
        <f>'Financial information '!$F$6+'Financial information '!$B$38</f>
        <v>10150</v>
      </c>
      <c r="M16" s="111">
        <f>'Financial information '!$F$6+'Financial information '!$B$38</f>
        <v>10150</v>
      </c>
      <c r="N16" s="106">
        <f>SUM(B16:M16)</f>
        <v>121800</v>
      </c>
    </row>
    <row r="17" spans="1:14">
      <c r="A17" s="48"/>
      <c r="B17" s="111"/>
      <c r="C17" s="111"/>
      <c r="D17" s="111"/>
      <c r="E17" s="111"/>
      <c r="F17" s="111"/>
      <c r="G17" s="111"/>
      <c r="H17" s="111"/>
      <c r="I17" s="111"/>
      <c r="J17" s="111"/>
      <c r="K17" s="111"/>
      <c r="L17" s="111"/>
      <c r="M17" s="111"/>
      <c r="N17" s="106"/>
    </row>
    <row r="18" spans="1:14">
      <c r="A18" s="48" t="s">
        <v>128</v>
      </c>
      <c r="B18" s="111"/>
      <c r="C18" s="111"/>
      <c r="D18" s="111"/>
      <c r="E18" s="111"/>
      <c r="F18" s="111"/>
      <c r="G18" s="111"/>
      <c r="H18" s="111"/>
      <c r="I18" s="111"/>
      <c r="J18" s="111"/>
      <c r="K18" s="111"/>
      <c r="L18" s="111"/>
      <c r="M18" s="111"/>
      <c r="N18" s="106"/>
    </row>
    <row r="19" spans="1:14">
      <c r="A19" s="48" t="s">
        <v>129</v>
      </c>
      <c r="B19" s="111">
        <f>('Financial information '!$C$15+'Financial information '!$C$16)*$E$2</f>
        <v>2640</v>
      </c>
      <c r="C19" s="111">
        <f>('Financial information '!$C$15+'Financial information '!$C$16)*$E$2</f>
        <v>2640</v>
      </c>
      <c r="D19" s="111">
        <f>('Financial information '!$C$15+'Financial information '!$C$16)*$E$2</f>
        <v>2640</v>
      </c>
      <c r="E19" s="111">
        <f>('Financial information '!$C$15+'Financial information '!$C$16)*$E$2</f>
        <v>2640</v>
      </c>
      <c r="F19" s="111">
        <f>('Financial information '!$C$15+'Financial information '!$C$16)*$E$2</f>
        <v>2640</v>
      </c>
      <c r="G19" s="111">
        <f>('Financial information '!$C$15+'Financial information '!$C$16)*$E$2</f>
        <v>2640</v>
      </c>
      <c r="H19" s="111">
        <f>('Financial information '!$C$15+'Financial information '!$C$16)*$E$2</f>
        <v>2640</v>
      </c>
      <c r="I19" s="111">
        <f>('Financial information '!$C$15+'Financial information '!$C$16)*$E$2</f>
        <v>2640</v>
      </c>
      <c r="J19" s="111">
        <f>('Financial information '!$C$15+'Financial information '!$C$16)*$E$2</f>
        <v>2640</v>
      </c>
      <c r="K19" s="111">
        <f>('Financial information '!$C$15+'Financial information '!$C$16)*$E$2</f>
        <v>2640</v>
      </c>
      <c r="L19" s="111">
        <f>('Financial information '!$C$15+'Financial information '!$C$16)*$E$2</f>
        <v>2640</v>
      </c>
      <c r="M19" s="111">
        <f>('Financial information '!$C$15+'Financial information '!$C$16)*$E$2</f>
        <v>2640</v>
      </c>
      <c r="N19" s="106">
        <f>SUM(B19:M19)</f>
        <v>31680</v>
      </c>
    </row>
    <row r="20" spans="1:14">
      <c r="A20" s="48" t="s">
        <v>130</v>
      </c>
      <c r="B20" s="111">
        <f>'Financial information '!$C$9*$E$2</f>
        <v>3168</v>
      </c>
      <c r="C20" s="111">
        <f>'Financial information '!$C$9*$E$2</f>
        <v>3168</v>
      </c>
      <c r="D20" s="111">
        <f>'Financial information '!$C$9*$E$2</f>
        <v>3168</v>
      </c>
      <c r="E20" s="111">
        <f>'Financial information '!$C$9*$E$2</f>
        <v>3168</v>
      </c>
      <c r="F20" s="111">
        <f>'Financial information '!$C$9*$E$2</f>
        <v>3168</v>
      </c>
      <c r="G20" s="111">
        <f>'Financial information '!$C$9*$E$2</f>
        <v>3168</v>
      </c>
      <c r="H20" s="111">
        <f>'Financial information '!$C$9*$E$2</f>
        <v>3168</v>
      </c>
      <c r="I20" s="111">
        <f>'Financial information '!$C$9*$E$2</f>
        <v>3168</v>
      </c>
      <c r="J20" s="111">
        <f>'Financial information '!$C$9*$E$2</f>
        <v>3168</v>
      </c>
      <c r="K20" s="111">
        <f>'Financial information '!$C$9*$E$2</f>
        <v>3168</v>
      </c>
      <c r="L20" s="111">
        <f>'Financial information '!$C$9*$E$2</f>
        <v>3168</v>
      </c>
      <c r="M20" s="111">
        <f>'Financial information '!$C$9*$E$2</f>
        <v>3168</v>
      </c>
      <c r="N20" s="106">
        <f>SUM(B20:M20)</f>
        <v>38016</v>
      </c>
    </row>
    <row r="21" spans="1:14">
      <c r="A21" s="92" t="s">
        <v>131</v>
      </c>
      <c r="B21" s="116">
        <f>SUM(B19:B20)</f>
        <v>5808</v>
      </c>
      <c r="C21" s="116">
        <f t="shared" ref="C21:M21" si="6">SUM(C19:C20)</f>
        <v>5808</v>
      </c>
      <c r="D21" s="116">
        <f t="shared" si="6"/>
        <v>5808</v>
      </c>
      <c r="E21" s="116">
        <f t="shared" si="6"/>
        <v>5808</v>
      </c>
      <c r="F21" s="116">
        <f t="shared" si="6"/>
        <v>5808</v>
      </c>
      <c r="G21" s="116">
        <f t="shared" si="6"/>
        <v>5808</v>
      </c>
      <c r="H21" s="116">
        <f t="shared" si="6"/>
        <v>5808</v>
      </c>
      <c r="I21" s="116">
        <f t="shared" si="6"/>
        <v>5808</v>
      </c>
      <c r="J21" s="116">
        <f t="shared" si="6"/>
        <v>5808</v>
      </c>
      <c r="K21" s="116">
        <f t="shared" si="6"/>
        <v>5808</v>
      </c>
      <c r="L21" s="116">
        <f t="shared" si="6"/>
        <v>5808</v>
      </c>
      <c r="M21" s="116">
        <f t="shared" si="6"/>
        <v>5808</v>
      </c>
      <c r="N21" s="106">
        <f>SUM(N19:N20)</f>
        <v>69696</v>
      </c>
    </row>
    <row r="22" spans="1:14" ht="15" thickBot="1">
      <c r="A22" s="48" t="s">
        <v>132</v>
      </c>
      <c r="B22" s="117">
        <f>B8*$F$2</f>
        <v>0</v>
      </c>
      <c r="C22" s="117">
        <f t="shared" ref="C22:M22" si="7">C8*$F$2</f>
        <v>0</v>
      </c>
      <c r="D22" s="117">
        <f t="shared" si="7"/>
        <v>0</v>
      </c>
      <c r="E22" s="117">
        <f t="shared" si="7"/>
        <v>0</v>
      </c>
      <c r="F22" s="117">
        <f t="shared" si="7"/>
        <v>0</v>
      </c>
      <c r="G22" s="117">
        <f t="shared" si="7"/>
        <v>677.39195522307273</v>
      </c>
      <c r="H22" s="117">
        <f t="shared" si="7"/>
        <v>0</v>
      </c>
      <c r="I22" s="117">
        <f t="shared" si="7"/>
        <v>0</v>
      </c>
      <c r="J22" s="117">
        <f t="shared" si="7"/>
        <v>0</v>
      </c>
      <c r="K22" s="117">
        <f t="shared" si="7"/>
        <v>420.51921306687291</v>
      </c>
      <c r="L22" s="117">
        <f t="shared" si="7"/>
        <v>4314.3256330622035</v>
      </c>
      <c r="M22" s="117">
        <f t="shared" si="7"/>
        <v>8586.7114963302629</v>
      </c>
      <c r="N22" s="108">
        <f>SUM(B22:M22)</f>
        <v>13998.948297682411</v>
      </c>
    </row>
    <row r="23" spans="1:14" ht="15" thickTop="1">
      <c r="A23" s="99" t="s">
        <v>133</v>
      </c>
      <c r="B23" s="113">
        <f>B16+B21+B22</f>
        <v>15958</v>
      </c>
      <c r="C23" s="113">
        <f t="shared" ref="C23:M23" si="8">C16+C21+C22</f>
        <v>15958</v>
      </c>
      <c r="D23" s="113">
        <f t="shared" si="8"/>
        <v>15958</v>
      </c>
      <c r="E23" s="113">
        <f t="shared" si="8"/>
        <v>15958</v>
      </c>
      <c r="F23" s="113">
        <f t="shared" si="8"/>
        <v>15958</v>
      </c>
      <c r="G23" s="113">
        <f t="shared" si="8"/>
        <v>16635.391955223073</v>
      </c>
      <c r="H23" s="113">
        <f t="shared" si="8"/>
        <v>15958</v>
      </c>
      <c r="I23" s="113">
        <f t="shared" si="8"/>
        <v>15958</v>
      </c>
      <c r="J23" s="113">
        <f t="shared" si="8"/>
        <v>15958</v>
      </c>
      <c r="K23" s="113">
        <f t="shared" si="8"/>
        <v>16378.519213066873</v>
      </c>
      <c r="L23" s="113">
        <f t="shared" si="8"/>
        <v>20272.325633062203</v>
      </c>
      <c r="M23" s="113">
        <f t="shared" si="8"/>
        <v>24544.711496330263</v>
      </c>
      <c r="N23" s="106">
        <f>N16+N21+N22</f>
        <v>205494.94829768242</v>
      </c>
    </row>
    <row r="24" spans="1:14" ht="15" thickBot="1">
      <c r="A24" s="48"/>
      <c r="B24" s="118"/>
      <c r="C24" s="118"/>
      <c r="D24" s="118"/>
      <c r="E24" s="118"/>
      <c r="F24" s="118"/>
      <c r="G24" s="118"/>
      <c r="H24" s="118"/>
      <c r="I24" s="118"/>
      <c r="J24" s="118"/>
      <c r="K24" s="118"/>
      <c r="L24" s="118"/>
      <c r="M24" s="118"/>
      <c r="N24" s="149"/>
    </row>
    <row r="25" spans="1:14" ht="15.6" thickTop="1" thickBot="1">
      <c r="A25" s="101" t="s">
        <v>134</v>
      </c>
      <c r="B25" s="119">
        <f>B13-B23</f>
        <v>6033.7812592759037</v>
      </c>
      <c r="C25" s="119">
        <f t="shared" ref="C25:N25" si="9">C13-C23</f>
        <v>6503.933144180839</v>
      </c>
      <c r="D25" s="119">
        <f t="shared" si="9"/>
        <v>8172.5464705709892</v>
      </c>
      <c r="E25" s="119">
        <f t="shared" si="9"/>
        <v>10571.805592597564</v>
      </c>
      <c r="F25" s="119">
        <f t="shared" si="9"/>
        <v>10993.762764963889</v>
      </c>
      <c r="G25" s="119">
        <f t="shared" si="9"/>
        <v>12351.808044776928</v>
      </c>
      <c r="H25" s="119">
        <f t="shared" si="9"/>
        <v>7984.0931357830086</v>
      </c>
      <c r="I25" s="119">
        <f t="shared" si="9"/>
        <v>8968.6717500156337</v>
      </c>
      <c r="J25" s="119">
        <f t="shared" si="9"/>
        <v>9359.7867336315467</v>
      </c>
      <c r="K25" s="119">
        <f t="shared" si="9"/>
        <v>12608.680786933128</v>
      </c>
      <c r="L25" s="119"/>
      <c r="M25" s="119">
        <f t="shared" si="9"/>
        <v>4442.4885036697378</v>
      </c>
      <c r="N25" s="109">
        <f t="shared" si="9"/>
        <v>106706.23255333697</v>
      </c>
    </row>
    <row r="27" spans="1:14">
      <c r="A27" s="89" t="s">
        <v>135</v>
      </c>
      <c r="B27" t="s">
        <v>136</v>
      </c>
    </row>
    <row r="28" spans="1:14" ht="15" thickBot="1">
      <c r="A28" s="46" t="s">
        <v>137</v>
      </c>
    </row>
    <row r="29" spans="1:14">
      <c r="A29" s="97" t="s">
        <v>115</v>
      </c>
      <c r="B29" s="94">
        <v>44562</v>
      </c>
      <c r="C29" s="95">
        <v>44593</v>
      </c>
      <c r="D29" s="95">
        <v>44621</v>
      </c>
      <c r="E29" s="95">
        <v>44652</v>
      </c>
      <c r="F29" s="95">
        <v>44682</v>
      </c>
      <c r="G29" s="95">
        <v>44713</v>
      </c>
      <c r="H29" s="95">
        <v>44743</v>
      </c>
      <c r="I29" s="95">
        <v>44774</v>
      </c>
      <c r="J29" s="95">
        <v>44805</v>
      </c>
      <c r="K29" s="95">
        <v>44835</v>
      </c>
      <c r="L29" s="95">
        <v>44866</v>
      </c>
      <c r="M29" s="110">
        <v>44896</v>
      </c>
      <c r="N29" s="104" t="s">
        <v>116</v>
      </c>
    </row>
    <row r="30" spans="1:14">
      <c r="A30" s="48" t="s">
        <v>67</v>
      </c>
      <c r="B30" s="111">
        <f>'Current operations Pt2 &amp; Pt3 '!B30*(1+'Financial information '!$B$40)</f>
        <v>4428.7672491312751</v>
      </c>
      <c r="C30" s="111">
        <f>'Current operations Pt2 &amp; Pt3 '!C30*(1+'Financial information '!$B$40)</f>
        <v>4564.0468009199585</v>
      </c>
      <c r="D30" s="111">
        <f>'Current operations Pt2 &amp; Pt3 '!D30*(1+'Financial information '!$B$40)</f>
        <v>5044.1666731359919</v>
      </c>
      <c r="E30" s="111">
        <f>'Current operations Pt2 &amp; Pt3 '!E30*(1+'Financial information '!$B$40)</f>
        <v>5734.5195337191099</v>
      </c>
      <c r="F30" s="111">
        <f>'Current operations Pt2 &amp; Pt3 '!F30*(1+'Financial information '!$B$40)</f>
        <v>5855.9317389754578</v>
      </c>
      <c r="G30" s="111">
        <f>'Current operations Pt2 &amp; Pt3 '!G30*(1+'Financial information '!$B$40)</f>
        <v>6717.0727284573832</v>
      </c>
      <c r="H30" s="111">
        <f>'Current operations Pt2 &amp; Pt3 '!H30*(1+'Financial information '!$B$40)</f>
        <v>4989.9418928432242</v>
      </c>
      <c r="I30" s="111">
        <f>'Current operations Pt2 &amp; Pt3 '!I30*(1+'Financial information '!$B$40)</f>
        <v>5273.240456372424</v>
      </c>
      <c r="J30" s="111">
        <f>'Current operations Pt2 &amp; Pt3 '!J30*(1+'Financial information '!$B$40)</f>
        <v>5385.7782582619066</v>
      </c>
      <c r="K30" s="111">
        <f>'Current operations Pt2 &amp; Pt3 '!K30*(1+'Financial information '!$B$40)</f>
        <v>6612.6111466471948</v>
      </c>
      <c r="L30" s="111">
        <f>'Current operations Pt2 &amp; Pt3 '!L30*(1+'Financial information '!$B$40)</f>
        <v>8196.0924241119628</v>
      </c>
      <c r="M30" s="111">
        <f>'Current operations Pt2 &amp; Pt3 '!M30*(1+'Financial information '!$B$40)</f>
        <v>9933.5293418409728</v>
      </c>
      <c r="N30" s="105">
        <f>SUM(B30:M30)</f>
        <v>72735.698244416868</v>
      </c>
    </row>
    <row r="31" spans="1:14">
      <c r="A31" s="48" t="s">
        <v>117</v>
      </c>
      <c r="B31" s="111">
        <f>MIN(B30,$E$2)</f>
        <v>4428.7672491312751</v>
      </c>
      <c r="C31" s="111">
        <f t="shared" ref="C31:M31" si="10">MIN(C30,$E$2)</f>
        <v>4564.0468009199585</v>
      </c>
      <c r="D31" s="111">
        <f t="shared" si="10"/>
        <v>5044.1666731359919</v>
      </c>
      <c r="E31" s="111">
        <f t="shared" si="10"/>
        <v>5280</v>
      </c>
      <c r="F31" s="111">
        <f t="shared" si="10"/>
        <v>5280</v>
      </c>
      <c r="G31" s="111">
        <f t="shared" si="10"/>
        <v>5280</v>
      </c>
      <c r="H31" s="111">
        <f t="shared" si="10"/>
        <v>4989.9418928432242</v>
      </c>
      <c r="I31" s="111">
        <f t="shared" si="10"/>
        <v>5273.240456372424</v>
      </c>
      <c r="J31" s="111">
        <f t="shared" si="10"/>
        <v>5280</v>
      </c>
      <c r="K31" s="111">
        <f t="shared" si="10"/>
        <v>5280</v>
      </c>
      <c r="L31" s="111">
        <f t="shared" si="10"/>
        <v>5280</v>
      </c>
      <c r="M31" s="111">
        <f t="shared" si="10"/>
        <v>5280</v>
      </c>
      <c r="N31" s="106">
        <f>SUM(B31:M31)</f>
        <v>61260.16307240288</v>
      </c>
    </row>
    <row r="32" spans="1:14">
      <c r="A32" s="48" t="s">
        <v>118</v>
      </c>
      <c r="B32" s="111">
        <f>IF($E$2&gt;B30,$E$2-B30,0)</f>
        <v>851.23275086872491</v>
      </c>
      <c r="C32" s="111">
        <f t="shared" ref="C32:M32" si="11">IF($E$2&gt;C30,$E$2-C30,0)</f>
        <v>715.95319908004149</v>
      </c>
      <c r="D32" s="111">
        <f t="shared" si="11"/>
        <v>235.83332686400809</v>
      </c>
      <c r="E32" s="111">
        <f t="shared" si="11"/>
        <v>0</v>
      </c>
      <c r="F32" s="111">
        <f t="shared" si="11"/>
        <v>0</v>
      </c>
      <c r="G32" s="111">
        <f t="shared" si="11"/>
        <v>0</v>
      </c>
      <c r="H32" s="111">
        <f t="shared" si="11"/>
        <v>290.0581071567758</v>
      </c>
      <c r="I32" s="111">
        <f t="shared" si="11"/>
        <v>6.7595436275760221</v>
      </c>
      <c r="J32" s="111">
        <f t="shared" si="11"/>
        <v>0</v>
      </c>
      <c r="K32" s="111">
        <f t="shared" si="11"/>
        <v>0</v>
      </c>
      <c r="L32" s="111">
        <f t="shared" si="11"/>
        <v>0</v>
      </c>
      <c r="M32" s="111">
        <f t="shared" si="11"/>
        <v>0</v>
      </c>
      <c r="N32" s="106">
        <f>SUM(B32:M32)</f>
        <v>2099.8369275971263</v>
      </c>
    </row>
    <row r="33" spans="1:14">
      <c r="A33" s="49" t="s">
        <v>119</v>
      </c>
      <c r="B33" s="112">
        <f>IF(B30&gt;$E$2,B30-$E$2,0)</f>
        <v>0</v>
      </c>
      <c r="C33" s="112">
        <f t="shared" ref="C33:M33" si="12">IF(C30&gt;$E$2,C30-$E$2,0)</f>
        <v>0</v>
      </c>
      <c r="D33" s="112">
        <f t="shared" si="12"/>
        <v>0</v>
      </c>
      <c r="E33" s="112">
        <f t="shared" si="12"/>
        <v>454.51953371910986</v>
      </c>
      <c r="F33" s="112">
        <f t="shared" si="12"/>
        <v>575.93173897545785</v>
      </c>
      <c r="G33" s="112">
        <f>IF(G30&gt;$E$2,G30-$E$2,0)</f>
        <v>1437.0727284573832</v>
      </c>
      <c r="H33" s="112">
        <f t="shared" ref="H33:N33" si="13">IF(H30&gt;$E$2,H30-$E$2,0)</f>
        <v>0</v>
      </c>
      <c r="I33" s="112">
        <f t="shared" si="13"/>
        <v>0</v>
      </c>
      <c r="J33" s="112">
        <f t="shared" si="13"/>
        <v>105.77825826190656</v>
      </c>
      <c r="K33" s="112">
        <f t="shared" si="13"/>
        <v>1332.6111466471948</v>
      </c>
      <c r="L33" s="112">
        <f t="shared" si="13"/>
        <v>2916.0924241119628</v>
      </c>
      <c r="M33" s="112">
        <f t="shared" si="13"/>
        <v>4653.5293418409728</v>
      </c>
      <c r="N33" s="107">
        <f>SUM(B33:M33)</f>
        <v>11475.535172013988</v>
      </c>
    </row>
    <row r="34" spans="1:14">
      <c r="A34" s="98" t="s">
        <v>120</v>
      </c>
      <c r="B34" s="114"/>
      <c r="C34" s="114"/>
      <c r="D34" s="114"/>
      <c r="E34" s="114"/>
      <c r="F34" s="114"/>
      <c r="G34" s="114"/>
      <c r="H34" s="114"/>
      <c r="I34" s="114"/>
      <c r="J34" s="114"/>
      <c r="K34" s="114"/>
      <c r="L34" s="114"/>
      <c r="M34" s="114"/>
      <c r="N34" s="105"/>
    </row>
    <row r="35" spans="1:14">
      <c r="A35" s="48" t="s">
        <v>121</v>
      </c>
      <c r="B35" s="111">
        <f>B31*'Financial information '!$C$7</f>
        <v>13242.014074902514</v>
      </c>
      <c r="C35" s="111">
        <f>C31*'Financial information '!$C$7</f>
        <v>13646.499934750676</v>
      </c>
      <c r="D35" s="111">
        <f>D31*'Financial information '!$C$7</f>
        <v>15082.058352676617</v>
      </c>
      <c r="E35" s="111">
        <f>E31*'Financial information '!$C$7</f>
        <v>15787.2</v>
      </c>
      <c r="F35" s="111">
        <f>F31*'Financial information '!$C$7</f>
        <v>15787.2</v>
      </c>
      <c r="G35" s="111">
        <f>G31*'Financial information '!$C$7</f>
        <v>15787.2</v>
      </c>
      <c r="H35" s="111">
        <f>H31*'Financial information '!$C$7</f>
        <v>14919.926259601241</v>
      </c>
      <c r="I35" s="111">
        <f>I31*'Financial information '!$C$7</f>
        <v>15766.98896455355</v>
      </c>
      <c r="J35" s="111">
        <f>J31*'Financial information '!$C$7</f>
        <v>15787.2</v>
      </c>
      <c r="K35" s="111">
        <f>K31*'Financial information '!$C$7</f>
        <v>15787.2</v>
      </c>
      <c r="L35" s="111">
        <f>L31*'Financial information '!$C$7</f>
        <v>15787.2</v>
      </c>
      <c r="M35" s="111">
        <f>M31*'Financial information '!$C$7</f>
        <v>15787.2</v>
      </c>
      <c r="N35" s="106">
        <f>SUM(B35:M35)</f>
        <v>183167.88758648463</v>
      </c>
    </row>
    <row r="36" spans="1:14">
      <c r="A36" s="48" t="s">
        <v>122</v>
      </c>
      <c r="B36" s="111">
        <f>'Financial information '!$C$8*B31</f>
        <v>11071.918122828189</v>
      </c>
      <c r="C36" s="111">
        <f>'Financial information '!$C$8*C31</f>
        <v>11410.117002299896</v>
      </c>
      <c r="D36" s="111">
        <f>'Financial information '!$C$8*D31</f>
        <v>12610.416682839979</v>
      </c>
      <c r="E36" s="111">
        <f>'Financial information '!$C$8*E31</f>
        <v>13200</v>
      </c>
      <c r="F36" s="111">
        <f>'Financial information '!$C$8*F31</f>
        <v>13200</v>
      </c>
      <c r="G36" s="111">
        <f>'Financial information '!$C$8*G31</f>
        <v>13200</v>
      </c>
      <c r="H36" s="111">
        <f>'Financial information '!$C$8*H31</f>
        <v>12474.85473210806</v>
      </c>
      <c r="I36" s="111">
        <f>'Financial information '!$C$8*I31</f>
        <v>13183.101140931059</v>
      </c>
      <c r="J36" s="111">
        <f>'Financial information '!$C$8*J31</f>
        <v>13200</v>
      </c>
      <c r="K36" s="111">
        <f>'Financial information '!$C$8*K31</f>
        <v>13200</v>
      </c>
      <c r="L36" s="111">
        <f>'Financial information '!$C$8*L31</f>
        <v>13200</v>
      </c>
      <c r="M36" s="111">
        <f>'Financial information '!$C$8*M31</f>
        <v>13200</v>
      </c>
      <c r="N36" s="106">
        <f t="shared" ref="N36" si="14">SUM(B36:M36)</f>
        <v>153150.40768100717</v>
      </c>
    </row>
    <row r="37" spans="1:14" ht="15" thickBot="1">
      <c r="A37" s="48" t="s">
        <v>123</v>
      </c>
      <c r="B37" s="115">
        <f>B32*$G$2</f>
        <v>1064.0409385859061</v>
      </c>
      <c r="C37" s="115">
        <f t="shared" ref="C37:M37" si="15">C32*$G$2</f>
        <v>894.94149885005186</v>
      </c>
      <c r="D37" s="115">
        <f t="shared" si="15"/>
        <v>294.79165858001011</v>
      </c>
      <c r="E37" s="115">
        <f t="shared" si="15"/>
        <v>0</v>
      </c>
      <c r="F37" s="115">
        <f t="shared" si="15"/>
        <v>0</v>
      </c>
      <c r="G37" s="115">
        <f t="shared" si="15"/>
        <v>0</v>
      </c>
      <c r="H37" s="115">
        <f t="shared" si="15"/>
        <v>362.57263394596976</v>
      </c>
      <c r="I37" s="115">
        <f t="shared" si="15"/>
        <v>8.4494295344700276</v>
      </c>
      <c r="J37" s="115">
        <f t="shared" si="15"/>
        <v>0</v>
      </c>
      <c r="K37" s="115">
        <f t="shared" si="15"/>
        <v>0</v>
      </c>
      <c r="L37" s="115">
        <f t="shared" si="15"/>
        <v>0</v>
      </c>
      <c r="M37" s="115">
        <f t="shared" si="15"/>
        <v>0</v>
      </c>
      <c r="N37" s="108">
        <f>SUM(B37:M37)</f>
        <v>2624.7961594964081</v>
      </c>
    </row>
    <row r="38" spans="1:14" ht="15" thickTop="1">
      <c r="A38" s="99" t="s">
        <v>124</v>
      </c>
      <c r="B38" s="113">
        <f>SUM(B35:B37)</f>
        <v>25377.97313631661</v>
      </c>
      <c r="C38" s="113">
        <f t="shared" ref="C38:M38" si="16">SUM(C35:C37)</f>
        <v>25951.558435900624</v>
      </c>
      <c r="D38" s="113">
        <f t="shared" si="16"/>
        <v>27987.266694096605</v>
      </c>
      <c r="E38" s="113">
        <f t="shared" si="16"/>
        <v>28987.200000000001</v>
      </c>
      <c r="F38" s="113">
        <f t="shared" si="16"/>
        <v>28987.200000000001</v>
      </c>
      <c r="G38" s="113">
        <f t="shared" si="16"/>
        <v>28987.200000000001</v>
      </c>
      <c r="H38" s="113">
        <f t="shared" si="16"/>
        <v>27757.353625655272</v>
      </c>
      <c r="I38" s="113">
        <f t="shared" si="16"/>
        <v>28958.539535019081</v>
      </c>
      <c r="J38" s="113">
        <f t="shared" si="16"/>
        <v>28987.200000000001</v>
      </c>
      <c r="K38" s="113">
        <f t="shared" si="16"/>
        <v>28987.200000000001</v>
      </c>
      <c r="L38" s="113">
        <f t="shared" si="16"/>
        <v>28987.200000000001</v>
      </c>
      <c r="M38" s="113">
        <f t="shared" si="16"/>
        <v>28987.200000000001</v>
      </c>
      <c r="N38" s="107">
        <f>SUM(B38:M38)</f>
        <v>338943.09142698825</v>
      </c>
    </row>
    <row r="39" spans="1:14">
      <c r="A39" s="100" t="s">
        <v>125</v>
      </c>
      <c r="B39" s="114"/>
      <c r="C39" s="114"/>
      <c r="D39" s="114"/>
      <c r="E39" s="114"/>
      <c r="F39" s="114"/>
      <c r="G39" s="114"/>
      <c r="H39" s="114"/>
      <c r="I39" s="114"/>
      <c r="J39" s="114"/>
      <c r="K39" s="114"/>
      <c r="L39" s="114"/>
      <c r="M39" s="114"/>
      <c r="N39" s="105"/>
    </row>
    <row r="40" spans="1:14">
      <c r="A40" s="48" t="s">
        <v>126</v>
      </c>
      <c r="B40" s="111">
        <f>'Financial information '!$F$6+'Financial information '!$B$38</f>
        <v>10150</v>
      </c>
      <c r="C40" s="111">
        <f>'Financial information '!$F$6+'Financial information '!$B$38</f>
        <v>10150</v>
      </c>
      <c r="D40" s="111">
        <f>'Financial information '!$F$6+'Financial information '!$B$38</f>
        <v>10150</v>
      </c>
      <c r="E40" s="111">
        <f>'Financial information '!$F$6+'Financial information '!$B$38</f>
        <v>10150</v>
      </c>
      <c r="F40" s="111">
        <f>'Financial information '!$F$6+'Financial information '!$B$38</f>
        <v>10150</v>
      </c>
      <c r="G40" s="111">
        <f>'Financial information '!$F$6+'Financial information '!$B$38</f>
        <v>10150</v>
      </c>
      <c r="H40" s="111">
        <f>'Financial information '!$F$6+'Financial information '!$B$38</f>
        <v>10150</v>
      </c>
      <c r="I40" s="111">
        <f>'Financial information '!$F$6+'Financial information '!$B$38</f>
        <v>10150</v>
      </c>
      <c r="J40" s="111">
        <f>'Financial information '!$F$6+'Financial information '!$B$38</f>
        <v>10150</v>
      </c>
      <c r="K40" s="111">
        <f>'Financial information '!$F$6+'Financial information '!$B$38</f>
        <v>10150</v>
      </c>
      <c r="L40" s="111">
        <f>'Financial information '!$F$6+'Financial information '!$B$38</f>
        <v>10150</v>
      </c>
      <c r="M40" s="111">
        <f>'Financial information '!$F$6+'Financial information '!$B$38</f>
        <v>10150</v>
      </c>
      <c r="N40" s="106">
        <f>SUM(B40:M40)</f>
        <v>121800</v>
      </c>
    </row>
    <row r="41" spans="1:14">
      <c r="A41" s="92" t="s">
        <v>127</v>
      </c>
      <c r="B41" s="111">
        <f>'Financial information '!$F$6+'Financial information '!$B$38</f>
        <v>10150</v>
      </c>
      <c r="C41" s="111">
        <f>'Financial information '!$F$6+'Financial information '!$B$38</f>
        <v>10150</v>
      </c>
      <c r="D41" s="111">
        <f>'Financial information '!$F$6+'Financial information '!$B$38</f>
        <v>10150</v>
      </c>
      <c r="E41" s="111">
        <f>'Financial information '!$F$6+'Financial information '!$B$38</f>
        <v>10150</v>
      </c>
      <c r="F41" s="111">
        <f>'Financial information '!$F$6+'Financial information '!$B$38</f>
        <v>10150</v>
      </c>
      <c r="G41" s="111">
        <f>'Financial information '!$F$6+'Financial information '!$B$38</f>
        <v>10150</v>
      </c>
      <c r="H41" s="111">
        <f>'Financial information '!$F$6+'Financial information '!$B$38</f>
        <v>10150</v>
      </c>
      <c r="I41" s="111">
        <f>'Financial information '!$F$6+'Financial information '!$B$38</f>
        <v>10150</v>
      </c>
      <c r="J41" s="111">
        <f>'Financial information '!$F$6+'Financial information '!$B$38</f>
        <v>10150</v>
      </c>
      <c r="K41" s="111">
        <f>'Financial information '!$F$6+'Financial information '!$B$38</f>
        <v>10150</v>
      </c>
      <c r="L41" s="111">
        <f>'Financial information '!$F$6+'Financial information '!$B$38</f>
        <v>10150</v>
      </c>
      <c r="M41" s="111">
        <f>'Financial information '!$F$6+'Financial information '!$B$38</f>
        <v>10150</v>
      </c>
      <c r="N41" s="106">
        <f>SUM(B41:M41)</f>
        <v>121800</v>
      </c>
    </row>
    <row r="42" spans="1:14">
      <c r="A42" s="48"/>
      <c r="B42" s="111"/>
      <c r="C42" s="111"/>
      <c r="D42" s="111"/>
      <c r="E42" s="111"/>
      <c r="F42" s="111"/>
      <c r="G42" s="111"/>
      <c r="H42" s="111"/>
      <c r="I42" s="111"/>
      <c r="J42" s="111"/>
      <c r="K42" s="111"/>
      <c r="L42" s="111"/>
      <c r="M42" s="111"/>
      <c r="N42" s="106"/>
    </row>
    <row r="43" spans="1:14">
      <c r="A43" s="48" t="s">
        <v>128</v>
      </c>
      <c r="B43" s="111"/>
      <c r="C43" s="111"/>
      <c r="D43" s="111"/>
      <c r="E43" s="111"/>
      <c r="F43" s="111"/>
      <c r="G43" s="111"/>
      <c r="H43" s="111"/>
      <c r="I43" s="111"/>
      <c r="J43" s="111"/>
      <c r="K43" s="111"/>
      <c r="L43" s="111"/>
      <c r="M43" s="111"/>
      <c r="N43" s="106"/>
    </row>
    <row r="44" spans="1:14">
      <c r="A44" s="48" t="s">
        <v>129</v>
      </c>
      <c r="B44" s="111">
        <f>('Financial information '!$C$15+'Financial information '!$C$16)*$E$2</f>
        <v>2640</v>
      </c>
      <c r="C44" s="111">
        <f>('Financial information '!$C$15+'Financial information '!$C$16)*$E$2</f>
        <v>2640</v>
      </c>
      <c r="D44" s="111">
        <f>('Financial information '!$C$15+'Financial information '!$C$16)*$E$2</f>
        <v>2640</v>
      </c>
      <c r="E44" s="111">
        <f>('Financial information '!$C$15+'Financial information '!$C$16)*$E$2</f>
        <v>2640</v>
      </c>
      <c r="F44" s="111">
        <f>('Financial information '!$C$15+'Financial information '!$C$16)*$E$2</f>
        <v>2640</v>
      </c>
      <c r="G44" s="111">
        <f>('Financial information '!$C$15+'Financial information '!$C$16)*$E$2</f>
        <v>2640</v>
      </c>
      <c r="H44" s="111">
        <f>('Financial information '!$C$15+'Financial information '!$C$16)*$E$2</f>
        <v>2640</v>
      </c>
      <c r="I44" s="111">
        <f>('Financial information '!$C$15+'Financial information '!$C$16)*$E$2</f>
        <v>2640</v>
      </c>
      <c r="J44" s="111">
        <f>('Financial information '!$C$15+'Financial information '!$C$16)*$E$2</f>
        <v>2640</v>
      </c>
      <c r="K44" s="111">
        <f>('Financial information '!$C$15+'Financial information '!$C$16)*$E$2</f>
        <v>2640</v>
      </c>
      <c r="L44" s="111">
        <f>('Financial information '!$C$15+'Financial information '!$C$16)*$E$2</f>
        <v>2640</v>
      </c>
      <c r="M44" s="111">
        <f>('Financial information '!$C$15+'Financial information '!$C$16)*$E$2</f>
        <v>2640</v>
      </c>
      <c r="N44" s="106">
        <f>SUM(B44:M44)</f>
        <v>31680</v>
      </c>
    </row>
    <row r="45" spans="1:14">
      <c r="A45" s="48" t="s">
        <v>130</v>
      </c>
      <c r="B45" s="111">
        <f>'Financial information '!$C$9*$E$2</f>
        <v>3168</v>
      </c>
      <c r="C45" s="111">
        <f>'Financial information '!$C$9*$E$2</f>
        <v>3168</v>
      </c>
      <c r="D45" s="111">
        <f>'Financial information '!$C$9*$E$2</f>
        <v>3168</v>
      </c>
      <c r="E45" s="111">
        <f>'Financial information '!$C$9*$E$2</f>
        <v>3168</v>
      </c>
      <c r="F45" s="111">
        <f>'Financial information '!$C$9*$E$2</f>
        <v>3168</v>
      </c>
      <c r="G45" s="111">
        <f>'Financial information '!$C$9*$E$2</f>
        <v>3168</v>
      </c>
      <c r="H45" s="111">
        <f>'Financial information '!$C$9*$E$2</f>
        <v>3168</v>
      </c>
      <c r="I45" s="111">
        <f>'Financial information '!$C$9*$E$2</f>
        <v>3168</v>
      </c>
      <c r="J45" s="111">
        <f>'Financial information '!$C$9*$E$2</f>
        <v>3168</v>
      </c>
      <c r="K45" s="111">
        <f>'Financial information '!$C$9*$E$2</f>
        <v>3168</v>
      </c>
      <c r="L45" s="111">
        <f>'Financial information '!$C$9*$E$2</f>
        <v>3168</v>
      </c>
      <c r="M45" s="111">
        <f>'Financial information '!$C$9*$E$2</f>
        <v>3168</v>
      </c>
      <c r="N45" s="106">
        <f>SUM(B45:M45)</f>
        <v>38016</v>
      </c>
    </row>
    <row r="46" spans="1:14">
      <c r="A46" s="92" t="s">
        <v>131</v>
      </c>
      <c r="B46" s="116">
        <f>SUM(B44:B45)</f>
        <v>5808</v>
      </c>
      <c r="C46" s="116">
        <f t="shared" ref="C46:M46" si="17">SUM(C44:C45)</f>
        <v>5808</v>
      </c>
      <c r="D46" s="116">
        <f t="shared" si="17"/>
        <v>5808</v>
      </c>
      <c r="E46" s="116">
        <f t="shared" si="17"/>
        <v>5808</v>
      </c>
      <c r="F46" s="116">
        <f t="shared" si="17"/>
        <v>5808</v>
      </c>
      <c r="G46" s="116">
        <f t="shared" si="17"/>
        <v>5808</v>
      </c>
      <c r="H46" s="116">
        <f t="shared" si="17"/>
        <v>5808</v>
      </c>
      <c r="I46" s="116">
        <f t="shared" si="17"/>
        <v>5808</v>
      </c>
      <c r="J46" s="116">
        <f t="shared" si="17"/>
        <v>5808</v>
      </c>
      <c r="K46" s="116">
        <f t="shared" si="17"/>
        <v>5808</v>
      </c>
      <c r="L46" s="116">
        <f t="shared" si="17"/>
        <v>5808</v>
      </c>
      <c r="M46" s="116">
        <f t="shared" si="17"/>
        <v>5808</v>
      </c>
      <c r="N46" s="106">
        <f>SUM(N44:N45)</f>
        <v>69696</v>
      </c>
    </row>
    <row r="47" spans="1:14" ht="15" thickBot="1">
      <c r="A47" s="48" t="s">
        <v>132</v>
      </c>
      <c r="B47" s="117">
        <f>B33*$F$2</f>
        <v>0</v>
      </c>
      <c r="C47" s="117">
        <f t="shared" ref="C47:M47" si="18">C33*$F$2</f>
        <v>0</v>
      </c>
      <c r="D47" s="117">
        <f t="shared" si="18"/>
        <v>0</v>
      </c>
      <c r="E47" s="117">
        <f t="shared" si="18"/>
        <v>1363.5586011573296</v>
      </c>
      <c r="F47" s="117">
        <f t="shared" si="18"/>
        <v>1727.7952169263735</v>
      </c>
      <c r="G47" s="117">
        <f t="shared" si="18"/>
        <v>4311.2181853721495</v>
      </c>
      <c r="H47" s="117">
        <f t="shared" si="18"/>
        <v>0</v>
      </c>
      <c r="I47" s="117">
        <f t="shared" si="18"/>
        <v>0</v>
      </c>
      <c r="J47" s="117">
        <f t="shared" si="18"/>
        <v>317.33477478571967</v>
      </c>
      <c r="K47" s="117">
        <f t="shared" si="18"/>
        <v>3997.8334399415844</v>
      </c>
      <c r="L47" s="117">
        <f t="shared" si="18"/>
        <v>8748.2772723358885</v>
      </c>
      <c r="M47" s="117">
        <f t="shared" si="18"/>
        <v>13960.588025522919</v>
      </c>
      <c r="N47" s="108">
        <f>SUM(B47:M47)</f>
        <v>34426.605516041964</v>
      </c>
    </row>
    <row r="48" spans="1:14" ht="15" thickTop="1">
      <c r="A48" s="99" t="s">
        <v>133</v>
      </c>
      <c r="B48" s="113">
        <f>B41+B46+B47</f>
        <v>15958</v>
      </c>
      <c r="C48" s="113">
        <f t="shared" ref="C48:M48" si="19">C41+C46+C47</f>
        <v>15958</v>
      </c>
      <c r="D48" s="113">
        <f t="shared" si="19"/>
        <v>15958</v>
      </c>
      <c r="E48" s="113">
        <f t="shared" si="19"/>
        <v>17321.558601157329</v>
      </c>
      <c r="F48" s="113">
        <f t="shared" si="19"/>
        <v>17685.795216926374</v>
      </c>
      <c r="G48" s="113">
        <f t="shared" si="19"/>
        <v>20269.218185372149</v>
      </c>
      <c r="H48" s="113">
        <f t="shared" si="19"/>
        <v>15958</v>
      </c>
      <c r="I48" s="113">
        <f t="shared" si="19"/>
        <v>15958</v>
      </c>
      <c r="J48" s="113">
        <f t="shared" si="19"/>
        <v>16275.334774785719</v>
      </c>
      <c r="K48" s="113">
        <f t="shared" si="19"/>
        <v>19955.833439941583</v>
      </c>
      <c r="L48" s="113">
        <f t="shared" si="19"/>
        <v>24706.277272335887</v>
      </c>
      <c r="M48" s="113">
        <f t="shared" si="19"/>
        <v>29918.58802552292</v>
      </c>
      <c r="N48" s="106">
        <f>N41+N46+N47</f>
        <v>225922.60551604198</v>
      </c>
    </row>
    <row r="49" spans="1:14" ht="15" thickBot="1">
      <c r="A49" s="48"/>
      <c r="B49" s="118"/>
      <c r="C49" s="118"/>
      <c r="D49" s="118"/>
      <c r="E49" s="118"/>
      <c r="F49" s="118"/>
      <c r="G49" s="118"/>
      <c r="H49" s="118"/>
      <c r="I49" s="118"/>
      <c r="J49" s="118"/>
      <c r="K49" s="118"/>
      <c r="L49" s="118"/>
      <c r="M49" s="118"/>
      <c r="N49" s="149"/>
    </row>
    <row r="50" spans="1:14" ht="15.6" thickTop="1" thickBot="1">
      <c r="A50" s="101" t="s">
        <v>134</v>
      </c>
      <c r="B50" s="119">
        <f>B38-B48</f>
        <v>9419.9731363166102</v>
      </c>
      <c r="C50" s="119">
        <f t="shared" ref="C50:N50" si="20">C38-C48</f>
        <v>9993.5584359006243</v>
      </c>
      <c r="D50" s="119">
        <f t="shared" si="20"/>
        <v>12029.266694096605</v>
      </c>
      <c r="E50" s="119">
        <f t="shared" si="20"/>
        <v>11665.641398842672</v>
      </c>
      <c r="F50" s="119">
        <f t="shared" si="20"/>
        <v>11301.404783073627</v>
      </c>
      <c r="G50" s="119">
        <f t="shared" si="20"/>
        <v>8717.9818146278521</v>
      </c>
      <c r="H50" s="119">
        <f t="shared" si="20"/>
        <v>11799.353625655272</v>
      </c>
      <c r="I50" s="119">
        <f t="shared" si="20"/>
        <v>13000.539535019081</v>
      </c>
      <c r="J50" s="119">
        <f t="shared" si="20"/>
        <v>12711.865225214282</v>
      </c>
      <c r="K50" s="119">
        <f t="shared" si="20"/>
        <v>9031.3665600584172</v>
      </c>
      <c r="L50" s="119"/>
      <c r="M50" s="119">
        <f t="shared" ref="M50:N50" si="21">M38-M48</f>
        <v>-931.38802552291963</v>
      </c>
      <c r="N50" s="109">
        <f t="shared" si="21"/>
        <v>113020.48591094627</v>
      </c>
    </row>
    <row r="52" spans="1:14">
      <c r="A52" s="89" t="s">
        <v>135</v>
      </c>
    </row>
    <row r="53" spans="1:14" ht="15" thickBot="1">
      <c r="A53" s="46" t="s">
        <v>138</v>
      </c>
    </row>
    <row r="54" spans="1:14">
      <c r="A54" s="97" t="s">
        <v>115</v>
      </c>
      <c r="B54" s="94">
        <v>44562</v>
      </c>
      <c r="C54" s="95">
        <v>44593</v>
      </c>
      <c r="D54" s="95">
        <v>44621</v>
      </c>
      <c r="E54" s="95">
        <v>44652</v>
      </c>
      <c r="F54" s="95">
        <v>44682</v>
      </c>
      <c r="G54" s="95">
        <v>44713</v>
      </c>
      <c r="H54" s="95">
        <v>44743</v>
      </c>
      <c r="I54" s="95">
        <v>44774</v>
      </c>
      <c r="J54" s="95">
        <v>44805</v>
      </c>
      <c r="K54" s="95">
        <v>44835</v>
      </c>
      <c r="L54" s="95">
        <v>44866</v>
      </c>
      <c r="M54" s="110">
        <v>44896</v>
      </c>
      <c r="N54" s="104" t="s">
        <v>116</v>
      </c>
    </row>
    <row r="55" spans="1:14">
      <c r="A55" s="48" t="s">
        <v>67</v>
      </c>
      <c r="B55" s="111">
        <f>'Current operations Pt2 &amp; Pt3 '!B55*(1+'Financial information '!$B$40)</f>
        <v>2686.3014461943799</v>
      </c>
      <c r="C55" s="111">
        <f>'Current operations Pt2 &amp; Pt3 '!C55*(1+'Financial information '!$B$40)</f>
        <v>2768.3562562957127</v>
      </c>
      <c r="D55" s="111">
        <f>'Current operations Pt2 &amp; Pt3 '!D55*(1+'Financial information '!$B$40)</f>
        <v>3059.5765066562572</v>
      </c>
      <c r="E55" s="111">
        <f>'Current operations Pt2 &amp; Pt3 '!E55*(1+'Financial information '!$B$40)</f>
        <v>3478.315127009952</v>
      </c>
      <c r="F55" s="111">
        <f>'Current operations Pt2 &amp; Pt3 '!F55*(1+'Financial information '!$B$40)</f>
        <v>3551.9585957719992</v>
      </c>
      <c r="G55" s="111">
        <f>'Current operations Pt2 &amp; Pt3 '!G55*(1+'Financial information '!$B$40)</f>
        <v>4074.2900156216911</v>
      </c>
      <c r="H55" s="111">
        <f>'Current operations Pt2 &amp; Pt3 '!H55*(1+'Financial information '!$B$40)</f>
        <v>3026.6860661508085</v>
      </c>
      <c r="I55" s="111">
        <f>'Current operations Pt2 &amp; Pt3 '!I55*(1+'Financial information '!$B$40)</f>
        <v>3198.5228997668801</v>
      </c>
      <c r="J55" s="111">
        <f>'Current operations Pt2 &amp; Pt3 '!J55*(1+'Financial information '!$B$40)</f>
        <v>3266.7835336998451</v>
      </c>
      <c r="K55" s="111">
        <f>'Current operations Pt2 &amp; Pt3 '!K55*(1+'Financial information '!$B$40)</f>
        <v>4010.928072556495</v>
      </c>
      <c r="L55" s="111">
        <f>'Current operations Pt2 &amp; Pt3 '!L55*(1+'Financial information '!$B$40)</f>
        <v>4971.4003228220108</v>
      </c>
      <c r="M55" s="111">
        <f>'Current operations Pt2 &amp; Pt3 '!M55*(1+'Financial information '!$B$40)</f>
        <v>6025.255502428131</v>
      </c>
      <c r="N55" s="105">
        <f>SUM(B55:M55)</f>
        <v>44118.374344974167</v>
      </c>
    </row>
    <row r="56" spans="1:14">
      <c r="A56" s="48" t="s">
        <v>117</v>
      </c>
      <c r="B56" s="111">
        <f>MIN(B55,$E$2)</f>
        <v>2686.3014461943799</v>
      </c>
      <c r="C56" s="111">
        <f t="shared" ref="C56:M56" si="22">MIN(C55,$E$2)</f>
        <v>2768.3562562957127</v>
      </c>
      <c r="D56" s="111">
        <f t="shared" si="22"/>
        <v>3059.5765066562572</v>
      </c>
      <c r="E56" s="111">
        <f t="shared" si="22"/>
        <v>3478.315127009952</v>
      </c>
      <c r="F56" s="111">
        <f t="shared" si="22"/>
        <v>3551.9585957719992</v>
      </c>
      <c r="G56" s="111">
        <f t="shared" si="22"/>
        <v>4074.2900156216911</v>
      </c>
      <c r="H56" s="111">
        <f t="shared" si="22"/>
        <v>3026.6860661508085</v>
      </c>
      <c r="I56" s="111">
        <f t="shared" si="22"/>
        <v>3198.5228997668801</v>
      </c>
      <c r="J56" s="111">
        <f t="shared" si="22"/>
        <v>3266.7835336998451</v>
      </c>
      <c r="K56" s="111">
        <f t="shared" si="22"/>
        <v>4010.928072556495</v>
      </c>
      <c r="L56" s="111">
        <f t="shared" si="22"/>
        <v>4971.4003228220108</v>
      </c>
      <c r="M56" s="111">
        <f t="shared" si="22"/>
        <v>5280</v>
      </c>
      <c r="N56" s="106">
        <f>SUM(B56:M56)</f>
        <v>43373.118842546035</v>
      </c>
    </row>
    <row r="57" spans="1:14">
      <c r="A57" s="48" t="s">
        <v>118</v>
      </c>
      <c r="B57" s="111">
        <f>IF($E$2&gt;B55,$E$2-B55,0)</f>
        <v>2593.6985538056201</v>
      </c>
      <c r="C57" s="111">
        <f t="shared" ref="C57:M57" si="23">IF($E$2&gt;C55,$E$2-C55,0)</f>
        <v>2511.6437437042873</v>
      </c>
      <c r="D57" s="111">
        <f t="shared" si="23"/>
        <v>2220.4234933437428</v>
      </c>
      <c r="E57" s="111">
        <f t="shared" si="23"/>
        <v>1801.684872990048</v>
      </c>
      <c r="F57" s="111">
        <f t="shared" si="23"/>
        <v>1728.0414042280008</v>
      </c>
      <c r="G57" s="111">
        <f t="shared" si="23"/>
        <v>1205.7099843783089</v>
      </c>
      <c r="H57" s="111">
        <f t="shared" si="23"/>
        <v>2253.3139338491915</v>
      </c>
      <c r="I57" s="111">
        <f t="shared" si="23"/>
        <v>2081.4771002331199</v>
      </c>
      <c r="J57" s="111">
        <f t="shared" si="23"/>
        <v>2013.2164663001549</v>
      </c>
      <c r="K57" s="111">
        <f t="shared" si="23"/>
        <v>1269.071927443505</v>
      </c>
      <c r="L57" s="111">
        <f t="shared" si="23"/>
        <v>308.59967717798918</v>
      </c>
      <c r="M57" s="111">
        <f t="shared" si="23"/>
        <v>0</v>
      </c>
      <c r="N57" s="106">
        <f>SUM(B57:M57)</f>
        <v>19986.881157453965</v>
      </c>
    </row>
    <row r="58" spans="1:14">
      <c r="A58" s="49" t="s">
        <v>119</v>
      </c>
      <c r="B58" s="112">
        <f>IF(B55&gt;$E$2,B55-$E$2,0)</f>
        <v>0</v>
      </c>
      <c r="C58" s="112">
        <f t="shared" ref="C58:M58" si="24">IF(C55&gt;$E$2,C55-$E$2,0)</f>
        <v>0</v>
      </c>
      <c r="D58" s="112">
        <f t="shared" si="24"/>
        <v>0</v>
      </c>
      <c r="E58" s="112">
        <f t="shared" si="24"/>
        <v>0</v>
      </c>
      <c r="F58" s="112">
        <f t="shared" si="24"/>
        <v>0</v>
      </c>
      <c r="G58" s="112">
        <f>IF(G55&gt;$E$2,G55-$E$2,0)</f>
        <v>0</v>
      </c>
      <c r="H58" s="112">
        <f t="shared" ref="H58:N58" si="25">IF(H55&gt;$E$2,H55-$E$2,0)</f>
        <v>0</v>
      </c>
      <c r="I58" s="112">
        <f t="shared" si="25"/>
        <v>0</v>
      </c>
      <c r="J58" s="112">
        <f t="shared" si="25"/>
        <v>0</v>
      </c>
      <c r="K58" s="112">
        <f t="shared" si="25"/>
        <v>0</v>
      </c>
      <c r="L58" s="112">
        <f t="shared" si="25"/>
        <v>0</v>
      </c>
      <c r="M58" s="112">
        <f t="shared" si="25"/>
        <v>745.25550242813097</v>
      </c>
      <c r="N58" s="107">
        <f>SUM(B58:M58)</f>
        <v>745.25550242813097</v>
      </c>
    </row>
    <row r="59" spans="1:14">
      <c r="A59" s="98" t="s">
        <v>120</v>
      </c>
      <c r="B59" s="114"/>
      <c r="C59" s="114"/>
      <c r="D59" s="114"/>
      <c r="E59" s="114"/>
      <c r="F59" s="114"/>
      <c r="G59" s="114"/>
      <c r="H59" s="114"/>
      <c r="I59" s="114"/>
      <c r="J59" s="114"/>
      <c r="K59" s="114"/>
      <c r="L59" s="114"/>
      <c r="M59" s="114"/>
      <c r="N59" s="105"/>
    </row>
    <row r="60" spans="1:14">
      <c r="A60" s="48" t="s">
        <v>121</v>
      </c>
      <c r="B60" s="111">
        <f>B56*'Financial information '!$C$7</f>
        <v>8032.0413241211963</v>
      </c>
      <c r="C60" s="111">
        <f>C56*'Financial information '!$C$7</f>
        <v>8277.3852063241811</v>
      </c>
      <c r="D60" s="111">
        <f>D56*'Financial information '!$C$7</f>
        <v>9148.1337549022101</v>
      </c>
      <c r="E60" s="111">
        <f>E56*'Financial information '!$C$7</f>
        <v>10400.162229759757</v>
      </c>
      <c r="F60" s="111">
        <f>F56*'Financial information '!$C$7</f>
        <v>10620.356201358278</v>
      </c>
      <c r="G60" s="111">
        <f>G56*'Financial information '!$C$7</f>
        <v>12182.127146708857</v>
      </c>
      <c r="H60" s="111">
        <f>H56*'Financial information '!$C$7</f>
        <v>9049.791337790919</v>
      </c>
      <c r="I60" s="111">
        <f>I56*'Financial information '!$C$7</f>
        <v>9563.5834703029723</v>
      </c>
      <c r="J60" s="111">
        <f>J56*'Financial information '!$C$7</f>
        <v>9767.6827657625381</v>
      </c>
      <c r="K60" s="111">
        <f>K56*'Financial information '!$C$7</f>
        <v>11992.67493694392</v>
      </c>
      <c r="L60" s="111">
        <f>L56*'Financial information '!$C$7</f>
        <v>14864.486965237813</v>
      </c>
      <c r="M60" s="111">
        <f>M56*'Financial information '!$C$7</f>
        <v>15787.2</v>
      </c>
      <c r="N60" s="106">
        <f>SUM(B60:M60)</f>
        <v>129685.62533921264</v>
      </c>
    </row>
    <row r="61" spans="1:14">
      <c r="A61" s="48" t="s">
        <v>122</v>
      </c>
      <c r="B61" s="111">
        <f>'Financial information '!$C$8*B56</f>
        <v>6715.7536154859499</v>
      </c>
      <c r="C61" s="111">
        <f>'Financial information '!$C$8*C56</f>
        <v>6920.8906407392815</v>
      </c>
      <c r="D61" s="111">
        <f>'Financial information '!$C$8*D56</f>
        <v>7648.9412666406424</v>
      </c>
      <c r="E61" s="111">
        <f>'Financial information '!$C$8*E56</f>
        <v>8695.7878175248807</v>
      </c>
      <c r="F61" s="111">
        <f>'Financial information '!$C$8*F56</f>
        <v>8879.896489429997</v>
      </c>
      <c r="G61" s="111">
        <f>'Financial information '!$C$8*G56</f>
        <v>10185.725039054229</v>
      </c>
      <c r="H61" s="111">
        <f>'Financial information '!$C$8*H56</f>
        <v>7566.7151653770215</v>
      </c>
      <c r="I61" s="111">
        <f>'Financial information '!$C$8*I56</f>
        <v>7996.3072494172002</v>
      </c>
      <c r="J61" s="111">
        <f>'Financial information '!$C$8*J56</f>
        <v>8166.9588342496127</v>
      </c>
      <c r="K61" s="111">
        <f>'Financial information '!$C$8*K56</f>
        <v>10027.320181391238</v>
      </c>
      <c r="L61" s="111">
        <f>'Financial information '!$C$8*L56</f>
        <v>12428.500807055027</v>
      </c>
      <c r="M61" s="111">
        <f>'Financial information '!$C$8*M56</f>
        <v>13200</v>
      </c>
      <c r="N61" s="106">
        <f t="shared" ref="N61" si="26">SUM(B61:M61)</f>
        <v>108432.79710636508</v>
      </c>
    </row>
    <row r="62" spans="1:14" ht="15" thickBot="1">
      <c r="A62" s="48" t="s">
        <v>123</v>
      </c>
      <c r="B62" s="115">
        <f>B57*$G$2</f>
        <v>3242.123192257025</v>
      </c>
      <c r="C62" s="115">
        <f t="shared" ref="C62:M62" si="27">C57*$G$2</f>
        <v>3139.5546796303593</v>
      </c>
      <c r="D62" s="115">
        <f t="shared" si="27"/>
        <v>2775.5293666796788</v>
      </c>
      <c r="E62" s="115">
        <f t="shared" si="27"/>
        <v>2252.1060912375601</v>
      </c>
      <c r="F62" s="115">
        <f t="shared" si="27"/>
        <v>2160.051755285001</v>
      </c>
      <c r="G62" s="115">
        <f t="shared" si="27"/>
        <v>1507.1374804728862</v>
      </c>
      <c r="H62" s="115">
        <f t="shared" si="27"/>
        <v>2816.6424173114892</v>
      </c>
      <c r="I62" s="115">
        <f t="shared" si="27"/>
        <v>2601.8463752913999</v>
      </c>
      <c r="J62" s="115">
        <f t="shared" si="27"/>
        <v>2516.5205828751937</v>
      </c>
      <c r="K62" s="115">
        <f t="shared" si="27"/>
        <v>1586.3399093043813</v>
      </c>
      <c r="L62" s="115">
        <f t="shared" si="27"/>
        <v>385.74959647248647</v>
      </c>
      <c r="M62" s="115">
        <f t="shared" si="27"/>
        <v>0</v>
      </c>
      <c r="N62" s="108">
        <f>SUM(B62:M62)</f>
        <v>24983.601446817462</v>
      </c>
    </row>
    <row r="63" spans="1:14" ht="15" thickTop="1">
      <c r="A63" s="99" t="s">
        <v>124</v>
      </c>
      <c r="B63" s="113">
        <f>SUM(B60:B62)</f>
        <v>17989.918131864171</v>
      </c>
      <c r="C63" s="113">
        <f t="shared" ref="C63:M63" si="28">SUM(C60:C62)</f>
        <v>18337.830526693822</v>
      </c>
      <c r="D63" s="113">
        <f t="shared" si="28"/>
        <v>19572.604388222531</v>
      </c>
      <c r="E63" s="113">
        <f t="shared" si="28"/>
        <v>21348.056138522199</v>
      </c>
      <c r="F63" s="113">
        <f t="shared" si="28"/>
        <v>21660.304446073274</v>
      </c>
      <c r="G63" s="113">
        <f t="shared" si="28"/>
        <v>23874.989666235972</v>
      </c>
      <c r="H63" s="113">
        <f t="shared" si="28"/>
        <v>19433.148920479431</v>
      </c>
      <c r="I63" s="113">
        <f t="shared" si="28"/>
        <v>20161.737095011573</v>
      </c>
      <c r="J63" s="113">
        <f t="shared" si="28"/>
        <v>20451.162182887343</v>
      </c>
      <c r="K63" s="113">
        <f t="shared" si="28"/>
        <v>23606.335027639539</v>
      </c>
      <c r="L63" s="113">
        <f t="shared" si="28"/>
        <v>27678.737368765327</v>
      </c>
      <c r="M63" s="113">
        <f t="shared" si="28"/>
        <v>28987.200000000001</v>
      </c>
      <c r="N63" s="107">
        <f>SUM(B63:M63)</f>
        <v>263102.0238923952</v>
      </c>
    </row>
    <row r="64" spans="1:14">
      <c r="A64" s="100" t="s">
        <v>125</v>
      </c>
      <c r="B64" s="114"/>
      <c r="C64" s="114"/>
      <c r="D64" s="114"/>
      <c r="E64" s="114"/>
      <c r="F64" s="114"/>
      <c r="G64" s="114"/>
      <c r="H64" s="114"/>
      <c r="I64" s="114"/>
      <c r="J64" s="114"/>
      <c r="K64" s="114"/>
      <c r="L64" s="114"/>
      <c r="M64" s="114"/>
      <c r="N64" s="105"/>
    </row>
    <row r="65" spans="1:14">
      <c r="A65" s="48" t="s">
        <v>126</v>
      </c>
      <c r="B65" s="111">
        <f>'Financial information '!$F$6+'Financial information '!$B$38</f>
        <v>10150</v>
      </c>
      <c r="C65" s="111">
        <f>'Financial information '!$F$6+'Financial information '!$B$38</f>
        <v>10150</v>
      </c>
      <c r="D65" s="111">
        <f>'Financial information '!$F$6+'Financial information '!$B$38</f>
        <v>10150</v>
      </c>
      <c r="E65" s="111">
        <f>'Financial information '!$F$6+'Financial information '!$B$38</f>
        <v>10150</v>
      </c>
      <c r="F65" s="111">
        <f>'Financial information '!$F$6+'Financial information '!$B$38</f>
        <v>10150</v>
      </c>
      <c r="G65" s="111">
        <f>'Financial information '!$F$6+'Financial information '!$B$38</f>
        <v>10150</v>
      </c>
      <c r="H65" s="111">
        <f>'Financial information '!$F$6+'Financial information '!$B$38</f>
        <v>10150</v>
      </c>
      <c r="I65" s="111">
        <f>'Financial information '!$F$6+'Financial information '!$B$38</f>
        <v>10150</v>
      </c>
      <c r="J65" s="111">
        <f>'Financial information '!$F$6+'Financial information '!$B$38</f>
        <v>10150</v>
      </c>
      <c r="K65" s="111">
        <f>'Financial information '!$F$6+'Financial information '!$B$38</f>
        <v>10150</v>
      </c>
      <c r="L65" s="111">
        <f>'Financial information '!$F$6+'Financial information '!$B$38</f>
        <v>10150</v>
      </c>
      <c r="M65" s="111">
        <f>'Financial information '!$F$6+'Financial information '!$B$38</f>
        <v>10150</v>
      </c>
      <c r="N65" s="106">
        <f>SUM(B65:M65)</f>
        <v>121800</v>
      </c>
    </row>
    <row r="66" spans="1:14">
      <c r="A66" s="92" t="s">
        <v>127</v>
      </c>
      <c r="B66" s="111">
        <f>'Financial information '!$F$6+'Financial information '!$B$38</f>
        <v>10150</v>
      </c>
      <c r="C66" s="111">
        <f>'Financial information '!$F$6+'Financial information '!$B$38</f>
        <v>10150</v>
      </c>
      <c r="D66" s="111">
        <f>'Financial information '!$F$6+'Financial information '!$B$38</f>
        <v>10150</v>
      </c>
      <c r="E66" s="111">
        <f>'Financial information '!$F$6+'Financial information '!$B$38</f>
        <v>10150</v>
      </c>
      <c r="F66" s="111">
        <f>'Financial information '!$F$6+'Financial information '!$B$38</f>
        <v>10150</v>
      </c>
      <c r="G66" s="111">
        <f>'Financial information '!$F$6+'Financial information '!$B$38</f>
        <v>10150</v>
      </c>
      <c r="H66" s="111">
        <f>'Financial information '!$F$6+'Financial information '!$B$38</f>
        <v>10150</v>
      </c>
      <c r="I66" s="111">
        <f>'Financial information '!$F$6+'Financial information '!$B$38</f>
        <v>10150</v>
      </c>
      <c r="J66" s="111">
        <f>'Financial information '!$F$6+'Financial information '!$B$38</f>
        <v>10150</v>
      </c>
      <c r="K66" s="111">
        <f>'Financial information '!$F$6+'Financial information '!$B$38</f>
        <v>10150</v>
      </c>
      <c r="L66" s="111">
        <f>'Financial information '!$F$6+'Financial information '!$B$38</f>
        <v>10150</v>
      </c>
      <c r="M66" s="111">
        <f>'Financial information '!$F$6+'Financial information '!$B$38</f>
        <v>10150</v>
      </c>
      <c r="N66" s="106">
        <f>SUM(B66:M66)</f>
        <v>121800</v>
      </c>
    </row>
    <row r="67" spans="1:14">
      <c r="A67" s="48"/>
      <c r="B67" s="111"/>
      <c r="C67" s="111"/>
      <c r="D67" s="111"/>
      <c r="E67" s="111"/>
      <c r="F67" s="111"/>
      <c r="G67" s="111"/>
      <c r="H67" s="111"/>
      <c r="I67" s="111"/>
      <c r="J67" s="111"/>
      <c r="K67" s="111"/>
      <c r="L67" s="111"/>
      <c r="M67" s="111"/>
      <c r="N67" s="106"/>
    </row>
    <row r="68" spans="1:14">
      <c r="A68" s="48" t="s">
        <v>128</v>
      </c>
      <c r="B68" s="111"/>
      <c r="C68" s="111"/>
      <c r="D68" s="111"/>
      <c r="E68" s="111"/>
      <c r="F68" s="111"/>
      <c r="G68" s="111"/>
      <c r="H68" s="111"/>
      <c r="I68" s="111"/>
      <c r="J68" s="111"/>
      <c r="K68" s="111"/>
      <c r="L68" s="111"/>
      <c r="M68" s="111"/>
      <c r="N68" s="106"/>
    </row>
    <row r="69" spans="1:14">
      <c r="A69" s="48" t="s">
        <v>129</v>
      </c>
      <c r="B69" s="111">
        <f>('Financial information '!$C$15+'Financial information '!$C$16)*$E$2</f>
        <v>2640</v>
      </c>
      <c r="C69" s="111">
        <f>('Financial information '!$C$15+'Financial information '!$C$16)*$E$2</f>
        <v>2640</v>
      </c>
      <c r="D69" s="111">
        <f>('Financial information '!$C$15+'Financial information '!$C$16)*$E$2</f>
        <v>2640</v>
      </c>
      <c r="E69" s="111">
        <f>('Financial information '!$C$15+'Financial information '!$C$16)*$E$2</f>
        <v>2640</v>
      </c>
      <c r="F69" s="111">
        <f>('Financial information '!$C$15+'Financial information '!$C$16)*$E$2</f>
        <v>2640</v>
      </c>
      <c r="G69" s="111">
        <f>('Financial information '!$C$15+'Financial information '!$C$16)*$E$2</f>
        <v>2640</v>
      </c>
      <c r="H69" s="111">
        <f>('Financial information '!$C$15+'Financial information '!$C$16)*$E$2</f>
        <v>2640</v>
      </c>
      <c r="I69" s="111">
        <f>('Financial information '!$C$15+'Financial information '!$C$16)*$E$2</f>
        <v>2640</v>
      </c>
      <c r="J69" s="111">
        <f>('Financial information '!$C$15+'Financial information '!$C$16)*$E$2</f>
        <v>2640</v>
      </c>
      <c r="K69" s="111">
        <f>('Financial information '!$C$15+'Financial information '!$C$16)*$E$2</f>
        <v>2640</v>
      </c>
      <c r="L69" s="111">
        <f>('Financial information '!$C$15+'Financial information '!$C$16)*$E$2</f>
        <v>2640</v>
      </c>
      <c r="M69" s="111">
        <f>('Financial information '!$C$15+'Financial information '!$C$16)*$E$2</f>
        <v>2640</v>
      </c>
      <c r="N69" s="106">
        <f>SUM(B69:M69)</f>
        <v>31680</v>
      </c>
    </row>
    <row r="70" spans="1:14">
      <c r="A70" s="48" t="s">
        <v>130</v>
      </c>
      <c r="B70" s="111">
        <f>'Financial information '!$C$9*$E$2</f>
        <v>3168</v>
      </c>
      <c r="C70" s="111">
        <f>'Financial information '!$C$9*$E$2</f>
        <v>3168</v>
      </c>
      <c r="D70" s="111">
        <f>'Financial information '!$C$9*$E$2</f>
        <v>3168</v>
      </c>
      <c r="E70" s="111">
        <f>'Financial information '!$C$9*$E$2</f>
        <v>3168</v>
      </c>
      <c r="F70" s="111">
        <f>'Financial information '!$C$9*$E$2</f>
        <v>3168</v>
      </c>
      <c r="G70" s="111">
        <f>'Financial information '!$C$9*$E$2</f>
        <v>3168</v>
      </c>
      <c r="H70" s="111">
        <f>'Financial information '!$C$9*$E$2</f>
        <v>3168</v>
      </c>
      <c r="I70" s="111">
        <f>'Financial information '!$C$9*$E$2</f>
        <v>3168</v>
      </c>
      <c r="J70" s="111">
        <f>'Financial information '!$C$9*$E$2</f>
        <v>3168</v>
      </c>
      <c r="K70" s="111">
        <f>'Financial information '!$C$9*$E$2</f>
        <v>3168</v>
      </c>
      <c r="L70" s="111">
        <f>'Financial information '!$C$9*$E$2</f>
        <v>3168</v>
      </c>
      <c r="M70" s="111">
        <f>'Financial information '!$C$9*$E$2</f>
        <v>3168</v>
      </c>
      <c r="N70" s="106">
        <f>SUM(B70:M70)</f>
        <v>38016</v>
      </c>
    </row>
    <row r="71" spans="1:14">
      <c r="A71" s="92" t="s">
        <v>131</v>
      </c>
      <c r="B71" s="116">
        <f>SUM(B69:B70)</f>
        <v>5808</v>
      </c>
      <c r="C71" s="116">
        <f t="shared" ref="C71:M71" si="29">SUM(C69:C70)</f>
        <v>5808</v>
      </c>
      <c r="D71" s="116">
        <f t="shared" si="29"/>
        <v>5808</v>
      </c>
      <c r="E71" s="116">
        <f t="shared" si="29"/>
        <v>5808</v>
      </c>
      <c r="F71" s="116">
        <f t="shared" si="29"/>
        <v>5808</v>
      </c>
      <c r="G71" s="116">
        <f t="shared" si="29"/>
        <v>5808</v>
      </c>
      <c r="H71" s="116">
        <f t="shared" si="29"/>
        <v>5808</v>
      </c>
      <c r="I71" s="116">
        <f t="shared" si="29"/>
        <v>5808</v>
      </c>
      <c r="J71" s="116">
        <f t="shared" si="29"/>
        <v>5808</v>
      </c>
      <c r="K71" s="116">
        <f t="shared" si="29"/>
        <v>5808</v>
      </c>
      <c r="L71" s="116">
        <f t="shared" si="29"/>
        <v>5808</v>
      </c>
      <c r="M71" s="116">
        <f t="shared" si="29"/>
        <v>5808</v>
      </c>
      <c r="N71" s="106">
        <f>SUM(N69:N70)</f>
        <v>69696</v>
      </c>
    </row>
    <row r="72" spans="1:14" ht="15" thickBot="1">
      <c r="A72" s="48" t="s">
        <v>132</v>
      </c>
      <c r="B72" s="117">
        <f>B58*$F$2</f>
        <v>0</v>
      </c>
      <c r="C72" s="117">
        <f t="shared" ref="C72:M72" si="30">C58*$F$2</f>
        <v>0</v>
      </c>
      <c r="D72" s="117">
        <f t="shared" si="30"/>
        <v>0</v>
      </c>
      <c r="E72" s="117">
        <f t="shared" si="30"/>
        <v>0</v>
      </c>
      <c r="F72" s="117">
        <f t="shared" si="30"/>
        <v>0</v>
      </c>
      <c r="G72" s="117">
        <f t="shared" si="30"/>
        <v>0</v>
      </c>
      <c r="H72" s="117">
        <f t="shared" si="30"/>
        <v>0</v>
      </c>
      <c r="I72" s="117">
        <f t="shared" si="30"/>
        <v>0</v>
      </c>
      <c r="J72" s="117">
        <f t="shared" si="30"/>
        <v>0</v>
      </c>
      <c r="K72" s="117">
        <f t="shared" si="30"/>
        <v>0</v>
      </c>
      <c r="L72" s="117">
        <f t="shared" si="30"/>
        <v>0</v>
      </c>
      <c r="M72" s="117">
        <f t="shared" si="30"/>
        <v>2235.7665072843929</v>
      </c>
      <c r="N72" s="108">
        <f>SUM(B72:M72)</f>
        <v>2235.7665072843929</v>
      </c>
    </row>
    <row r="73" spans="1:14" ht="15" thickTop="1">
      <c r="A73" s="99" t="s">
        <v>133</v>
      </c>
      <c r="B73" s="113">
        <f>B66+B71+B72</f>
        <v>15958</v>
      </c>
      <c r="C73" s="113">
        <f t="shared" ref="C73:M73" si="31">C66+C71+C72</f>
        <v>15958</v>
      </c>
      <c r="D73" s="113">
        <f t="shared" si="31"/>
        <v>15958</v>
      </c>
      <c r="E73" s="113">
        <f t="shared" si="31"/>
        <v>15958</v>
      </c>
      <c r="F73" s="113">
        <f t="shared" si="31"/>
        <v>15958</v>
      </c>
      <c r="G73" s="113">
        <f t="shared" si="31"/>
        <v>15958</v>
      </c>
      <c r="H73" s="113">
        <f t="shared" si="31"/>
        <v>15958</v>
      </c>
      <c r="I73" s="113">
        <f t="shared" si="31"/>
        <v>15958</v>
      </c>
      <c r="J73" s="113">
        <f t="shared" si="31"/>
        <v>15958</v>
      </c>
      <c r="K73" s="113">
        <f t="shared" si="31"/>
        <v>15958</v>
      </c>
      <c r="L73" s="113">
        <f t="shared" si="31"/>
        <v>15958</v>
      </c>
      <c r="M73" s="113">
        <f t="shared" si="31"/>
        <v>18193.766507284392</v>
      </c>
      <c r="N73" s="106">
        <f>N66+N71+N72</f>
        <v>193731.7665072844</v>
      </c>
    </row>
    <row r="74" spans="1:14" ht="15" thickBot="1">
      <c r="A74" s="48"/>
      <c r="B74" s="118"/>
      <c r="C74" s="118"/>
      <c r="D74" s="118"/>
      <c r="E74" s="118"/>
      <c r="F74" s="118"/>
      <c r="G74" s="118"/>
      <c r="H74" s="118"/>
      <c r="I74" s="118"/>
      <c r="J74" s="118"/>
      <c r="K74" s="118"/>
      <c r="L74" s="118"/>
      <c r="M74" s="118"/>
      <c r="N74" s="149"/>
    </row>
    <row r="75" spans="1:14" ht="15.6" thickTop="1" thickBot="1">
      <c r="A75" s="101" t="s">
        <v>134</v>
      </c>
      <c r="B75" s="119">
        <f>B63-B73</f>
        <v>2031.9181318641713</v>
      </c>
      <c r="C75" s="119">
        <f t="shared" ref="C75:N75" si="32">C63-C73</f>
        <v>2379.8305266938223</v>
      </c>
      <c r="D75" s="119">
        <f t="shared" si="32"/>
        <v>3614.6043882225313</v>
      </c>
      <c r="E75" s="119">
        <f t="shared" si="32"/>
        <v>5390.056138522199</v>
      </c>
      <c r="F75" s="119">
        <f t="shared" si="32"/>
        <v>5702.3044460732744</v>
      </c>
      <c r="G75" s="119">
        <f t="shared" si="32"/>
        <v>7916.9896662359715</v>
      </c>
      <c r="H75" s="119">
        <f t="shared" si="32"/>
        <v>3475.1489204794307</v>
      </c>
      <c r="I75" s="119">
        <f t="shared" si="32"/>
        <v>4203.7370950115728</v>
      </c>
      <c r="J75" s="119">
        <f t="shared" si="32"/>
        <v>4493.1621828873431</v>
      </c>
      <c r="K75" s="119">
        <f t="shared" si="32"/>
        <v>7648.3350276395395</v>
      </c>
      <c r="L75" s="119"/>
      <c r="M75" s="119">
        <f t="shared" ref="M75:N75" si="33">M63-M73</f>
        <v>10793.433492715609</v>
      </c>
      <c r="N75" s="109">
        <f t="shared" si="33"/>
        <v>69370.257385110803</v>
      </c>
    </row>
  </sheetData>
  <mergeCells count="1">
    <mergeCell ref="B1: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18FAC-0ACC-40FF-A9FE-59570DEED5F3}">
  <sheetPr codeName="Sheet8"/>
  <dimension ref="A1:N59"/>
  <sheetViews>
    <sheetView tabSelected="1" zoomScale="90" zoomScaleNormal="90" workbookViewId="0">
      <selection activeCell="H13" sqref="H13:L14"/>
    </sheetView>
  </sheetViews>
  <sheetFormatPr defaultColWidth="8.88671875" defaultRowHeight="14.4"/>
  <cols>
    <col min="1" max="1" width="37.6640625" customWidth="1"/>
    <col min="2" max="14" width="19.44140625" customWidth="1"/>
  </cols>
  <sheetData>
    <row r="1" spans="1:14" ht="15.9" customHeight="1">
      <c r="A1" s="165" t="s">
        <v>140</v>
      </c>
      <c r="B1" s="40" t="s">
        <v>141</v>
      </c>
      <c r="C1" s="170" t="s">
        <v>110</v>
      </c>
      <c r="D1" s="170"/>
      <c r="E1" s="171"/>
    </row>
    <row r="2" spans="1:14" ht="15.9" customHeight="1" thickBot="1">
      <c r="A2" s="165"/>
      <c r="C2" s="170"/>
      <c r="D2" s="170"/>
      <c r="E2" s="171"/>
    </row>
    <row r="3" spans="1:14" ht="19.5" customHeight="1" thickBot="1">
      <c r="A3" s="165"/>
      <c r="B3" s="54"/>
      <c r="C3" s="167" t="s">
        <v>142</v>
      </c>
      <c r="D3" s="168"/>
      <c r="E3" s="169"/>
      <c r="H3" s="55" t="s">
        <v>143</v>
      </c>
      <c r="I3" s="8" t="s">
        <v>144</v>
      </c>
      <c r="J3" s="166" t="s">
        <v>145</v>
      </c>
      <c r="K3" s="166"/>
      <c r="L3" s="166"/>
      <c r="M3" s="166"/>
      <c r="N3" s="166"/>
    </row>
    <row r="4" spans="1:14" ht="18.600000000000001" customHeight="1" thickBot="1">
      <c r="A4" s="165"/>
      <c r="B4" s="56" t="s">
        <v>146</v>
      </c>
      <c r="C4" s="57" t="s">
        <v>147</v>
      </c>
      <c r="D4" s="58" t="s">
        <v>148</v>
      </c>
      <c r="E4" s="58" t="s">
        <v>149</v>
      </c>
      <c r="H4" s="59" t="str">
        <f>B4</f>
        <v>Decision Alternatives</v>
      </c>
      <c r="I4" s="8" t="s">
        <v>150</v>
      </c>
      <c r="J4" s="8" t="s">
        <v>151</v>
      </c>
      <c r="K4" s="8" t="s">
        <v>152</v>
      </c>
      <c r="L4" s="8" t="s">
        <v>153</v>
      </c>
      <c r="M4" s="8" t="s">
        <v>154</v>
      </c>
      <c r="N4" s="8" t="s">
        <v>155</v>
      </c>
    </row>
    <row r="5" spans="1:14">
      <c r="A5" s="165"/>
      <c r="B5" s="143" t="s">
        <v>109</v>
      </c>
      <c r="C5" s="142">
        <f>'Current operations Pt2 &amp; Pt3 '!$N$75</f>
        <v>83590.589383507759</v>
      </c>
      <c r="D5" s="130">
        <f>'Current operations Pt2 &amp; Pt3 '!$N$25</f>
        <v>107614.94471585</v>
      </c>
      <c r="E5" s="147">
        <f>'Current operations Pt2 &amp; Pt3 '!$N$50</f>
        <v>101708.91720419697</v>
      </c>
      <c r="H5" s="102" t="s">
        <v>109</v>
      </c>
      <c r="I5" s="178">
        <f>F13</f>
        <v>83590.589383507759</v>
      </c>
      <c r="J5" s="178">
        <f>F20</f>
        <v>107614.94471585</v>
      </c>
      <c r="K5" s="178">
        <f>F27</f>
        <v>97638.150434518233</v>
      </c>
      <c r="L5" s="178">
        <f>F34</f>
        <v>11311.568706749298</v>
      </c>
      <c r="M5" s="47">
        <f>F42</f>
        <v>101333.56677146831</v>
      </c>
      <c r="N5" s="47">
        <f>F58</f>
        <v>2827.8921766873245</v>
      </c>
    </row>
    <row r="6" spans="1:14" ht="15" thickBot="1">
      <c r="A6" s="165"/>
      <c r="B6" s="144" t="s">
        <v>139</v>
      </c>
      <c r="C6" s="146">
        <f>'Franchise operations Pt2 &amp; Pt3'!$N$75</f>
        <v>69370.257385110803</v>
      </c>
      <c r="D6" s="145">
        <f>'Franchise operations Pt2 &amp; Pt3'!$N$25</f>
        <v>106706.23255333697</v>
      </c>
      <c r="E6" s="148">
        <f>'Franchise operations Pt2 &amp; Pt3'!$N$50</f>
        <v>113020.48591094627</v>
      </c>
      <c r="H6" s="102" t="s">
        <v>139</v>
      </c>
      <c r="I6" s="178">
        <f>F14</f>
        <v>69370.257385110803</v>
      </c>
      <c r="J6" s="178">
        <f>F21</f>
        <v>113020.48591094627</v>
      </c>
      <c r="K6" s="178">
        <f>F28</f>
        <v>96365.658616464687</v>
      </c>
      <c r="L6" s="178">
        <f>F35</f>
        <v>14220.331998396956</v>
      </c>
      <c r="M6" s="47">
        <f>F43</f>
        <v>100817.60085909406</v>
      </c>
      <c r="N6" s="47">
        <f>F59</f>
        <v>3343.8580890615549</v>
      </c>
    </row>
    <row r="7" spans="1:14">
      <c r="B7" s="62" t="s">
        <v>169</v>
      </c>
      <c r="C7" s="111">
        <f>MAX(C5:C6)</f>
        <v>83590.589383507759</v>
      </c>
      <c r="D7" s="111">
        <f>MAX(D5:D6)</f>
        <v>107614.94471585</v>
      </c>
      <c r="E7" s="111">
        <f t="shared" ref="D7:E7" si="0">MAX(E5:E6)</f>
        <v>113020.48591094627</v>
      </c>
      <c r="H7" t="s">
        <v>146</v>
      </c>
      <c r="I7" s="111">
        <f>G13</f>
        <v>83590.589383507759</v>
      </c>
      <c r="J7" s="111">
        <f>G20</f>
        <v>113020.48591094627</v>
      </c>
      <c r="K7" s="111">
        <f>G27</f>
        <v>97638.150434518233</v>
      </c>
      <c r="L7" s="111">
        <f>G34</f>
        <v>11311.568706749298</v>
      </c>
      <c r="M7">
        <f>G42</f>
        <v>101333.56677146831</v>
      </c>
      <c r="N7" s="111">
        <f>G58</f>
        <v>2827.8921766873245</v>
      </c>
    </row>
    <row r="8" spans="1:14" ht="15.6">
      <c r="B8" s="40" t="s">
        <v>156</v>
      </c>
    </row>
    <row r="9" spans="1:14">
      <c r="H9" s="9" t="s">
        <v>157</v>
      </c>
    </row>
    <row r="10" spans="1:14" ht="15" thickBot="1">
      <c r="B10" s="63" t="s">
        <v>150</v>
      </c>
      <c r="H10" s="176">
        <f>MIN(N5:N7)</f>
        <v>2827.8921766873245</v>
      </c>
    </row>
    <row r="11" spans="1:14" ht="15" thickBot="1">
      <c r="B11" s="54"/>
      <c r="C11" s="167" t="s">
        <v>142</v>
      </c>
      <c r="D11" s="168"/>
      <c r="E11" s="169"/>
      <c r="F11" t="s">
        <v>168</v>
      </c>
      <c r="G11" t="s">
        <v>170</v>
      </c>
    </row>
    <row r="12" spans="1:14" ht="15" thickBot="1">
      <c r="B12" s="56" t="s">
        <v>146</v>
      </c>
      <c r="C12" s="57" t="s">
        <v>147</v>
      </c>
      <c r="D12" s="58" t="s">
        <v>148</v>
      </c>
      <c r="E12" s="58" t="s">
        <v>149</v>
      </c>
      <c r="H12" s="70" t="s">
        <v>158</v>
      </c>
    </row>
    <row r="13" spans="1:14">
      <c r="B13" s="60" t="s">
        <v>109</v>
      </c>
      <c r="C13" s="142">
        <f>C5</f>
        <v>83590.589383507759</v>
      </c>
      <c r="D13" s="130">
        <f>D5</f>
        <v>107614.94471585</v>
      </c>
      <c r="E13" s="147">
        <f>E5</f>
        <v>101708.91720419697</v>
      </c>
      <c r="F13" s="111">
        <f>MIN(C13:E13)</f>
        <v>83590.589383507759</v>
      </c>
      <c r="G13" s="111">
        <f>MAX(F13:F14)</f>
        <v>83590.589383507759</v>
      </c>
      <c r="H13" s="165" t="s">
        <v>175</v>
      </c>
      <c r="I13" s="165"/>
      <c r="J13" s="165"/>
      <c r="K13" s="165"/>
      <c r="L13" s="165"/>
    </row>
    <row r="14" spans="1:14" ht="15" thickBot="1">
      <c r="B14" s="61" t="s">
        <v>139</v>
      </c>
      <c r="C14" s="146">
        <f>C6</f>
        <v>69370.257385110803</v>
      </c>
      <c r="D14" s="145">
        <f>D6</f>
        <v>106706.23255333697</v>
      </c>
      <c r="E14" s="148">
        <f>E6</f>
        <v>113020.48591094627</v>
      </c>
      <c r="F14" s="111">
        <f>MIN(C14:E14)</f>
        <v>69370.257385110803</v>
      </c>
      <c r="H14" s="165"/>
      <c r="I14" s="165"/>
      <c r="J14" s="165"/>
      <c r="K14" s="165"/>
      <c r="L14" s="165"/>
    </row>
    <row r="17" spans="2:7" ht="15" thickBot="1">
      <c r="B17" s="63" t="s">
        <v>159</v>
      </c>
    </row>
    <row r="18" spans="2:7" ht="15" thickBot="1">
      <c r="B18" s="54"/>
      <c r="C18" s="167" t="s">
        <v>142</v>
      </c>
      <c r="D18" s="168"/>
      <c r="E18" s="169"/>
      <c r="F18" t="s">
        <v>169</v>
      </c>
      <c r="G18" t="s">
        <v>159</v>
      </c>
    </row>
    <row r="19" spans="2:7" ht="15" thickBot="1">
      <c r="B19" s="56" t="s">
        <v>146</v>
      </c>
      <c r="C19" s="57" t="s">
        <v>147</v>
      </c>
      <c r="D19" s="58" t="s">
        <v>148</v>
      </c>
      <c r="E19" s="58" t="s">
        <v>149</v>
      </c>
    </row>
    <row r="20" spans="2:7">
      <c r="B20" s="60" t="s">
        <v>109</v>
      </c>
      <c r="C20" s="142">
        <f>C5</f>
        <v>83590.589383507759</v>
      </c>
      <c r="D20" s="130">
        <f>D5</f>
        <v>107614.94471585</v>
      </c>
      <c r="E20" s="147">
        <f>E5</f>
        <v>101708.91720419697</v>
      </c>
      <c r="F20" s="111">
        <f>MAX(C20:E20)</f>
        <v>107614.94471585</v>
      </c>
      <c r="G20" s="111">
        <f>MAX(F20:F21)</f>
        <v>113020.48591094627</v>
      </c>
    </row>
    <row r="21" spans="2:7" ht="15" thickBot="1">
      <c r="B21" s="61" t="s">
        <v>139</v>
      </c>
      <c r="C21" s="146">
        <f>C6</f>
        <v>69370.257385110803</v>
      </c>
      <c r="D21" s="145">
        <f>D6</f>
        <v>106706.23255333697</v>
      </c>
      <c r="E21" s="148">
        <f>E6</f>
        <v>113020.48591094627</v>
      </c>
      <c r="F21" s="111">
        <f>MAX(C21:E21)</f>
        <v>113020.48591094627</v>
      </c>
    </row>
    <row r="24" spans="2:7" ht="15" thickBot="1">
      <c r="B24" s="63" t="s">
        <v>160</v>
      </c>
    </row>
    <row r="25" spans="2:7" ht="15" thickBot="1">
      <c r="B25" s="54"/>
      <c r="C25" s="167" t="s">
        <v>142</v>
      </c>
      <c r="D25" s="168"/>
      <c r="E25" s="169"/>
      <c r="F25" t="s">
        <v>171</v>
      </c>
      <c r="G25" t="s">
        <v>172</v>
      </c>
    </row>
    <row r="26" spans="2:7" ht="15" thickBot="1">
      <c r="B26" s="56" t="s">
        <v>146</v>
      </c>
      <c r="C26" s="57" t="s">
        <v>147</v>
      </c>
      <c r="D26" s="58" t="s">
        <v>148</v>
      </c>
      <c r="E26" s="58" t="s">
        <v>149</v>
      </c>
    </row>
    <row r="27" spans="2:7">
      <c r="B27" s="60" t="s">
        <v>109</v>
      </c>
      <c r="C27" s="142">
        <f>C5</f>
        <v>83590.589383507759</v>
      </c>
      <c r="D27" s="130">
        <f>D5</f>
        <v>107614.94471585</v>
      </c>
      <c r="E27" s="147">
        <f>E5</f>
        <v>101708.91720419697</v>
      </c>
      <c r="F27" s="111">
        <f>AVERAGE(C27:E27)</f>
        <v>97638.150434518233</v>
      </c>
      <c r="G27" s="111">
        <f>MAX(F27:F28)</f>
        <v>97638.150434518233</v>
      </c>
    </row>
    <row r="28" spans="2:7" ht="15" thickBot="1">
      <c r="B28" s="61" t="s">
        <v>139</v>
      </c>
      <c r="C28" s="146">
        <f>C6</f>
        <v>69370.257385110803</v>
      </c>
      <c r="D28" s="145">
        <f>D6</f>
        <v>106706.23255333697</v>
      </c>
      <c r="E28" s="148">
        <f>E6</f>
        <v>113020.48591094627</v>
      </c>
      <c r="F28" s="111">
        <f>AVERAGE(C28:E28)</f>
        <v>96365.658616464687</v>
      </c>
    </row>
    <row r="31" spans="2:7" ht="15" thickBot="1">
      <c r="B31" s="63" t="s">
        <v>161</v>
      </c>
    </row>
    <row r="32" spans="2:7" ht="15" thickBot="1">
      <c r="B32" s="54" t="s">
        <v>162</v>
      </c>
      <c r="C32" s="167" t="s">
        <v>142</v>
      </c>
      <c r="D32" s="168"/>
      <c r="E32" s="169"/>
      <c r="F32" t="s">
        <v>169</v>
      </c>
      <c r="G32" t="s">
        <v>168</v>
      </c>
    </row>
    <row r="33" spans="2:7" ht="15" thickBot="1">
      <c r="B33" s="56" t="s">
        <v>146</v>
      </c>
      <c r="C33" s="57" t="s">
        <v>147</v>
      </c>
      <c r="D33" s="58" t="s">
        <v>148</v>
      </c>
      <c r="E33" s="58" t="s">
        <v>149</v>
      </c>
    </row>
    <row r="34" spans="2:7">
      <c r="B34" s="60" t="s">
        <v>109</v>
      </c>
      <c r="C34" s="142">
        <f>C7-C5</f>
        <v>0</v>
      </c>
      <c r="D34" s="130">
        <f>D7-D5</f>
        <v>0</v>
      </c>
      <c r="E34" s="147">
        <f>E7-E5</f>
        <v>11311.568706749298</v>
      </c>
      <c r="F34" s="111">
        <f>MAX(C34:E34)</f>
        <v>11311.568706749298</v>
      </c>
      <c r="G34" s="111">
        <f>MIN(F34:F35)</f>
        <v>11311.568706749298</v>
      </c>
    </row>
    <row r="35" spans="2:7" ht="15" thickBot="1">
      <c r="B35" s="61" t="s">
        <v>139</v>
      </c>
      <c r="C35" s="146">
        <f>C7-C6</f>
        <v>14220.331998396956</v>
      </c>
      <c r="D35" s="145">
        <f>D7-D6</f>
        <v>908.71216251302394</v>
      </c>
      <c r="E35" s="148">
        <f>E7-E6</f>
        <v>0</v>
      </c>
      <c r="F35" s="111">
        <f>MAX(C35:E35)</f>
        <v>14220.331998396956</v>
      </c>
    </row>
    <row r="37" spans="2:7" ht="15.6">
      <c r="B37" s="40" t="s">
        <v>163</v>
      </c>
    </row>
    <row r="38" spans="2:7" ht="15" thickBot="1">
      <c r="B38" s="63" t="s">
        <v>154</v>
      </c>
    </row>
    <row r="39" spans="2:7" ht="15" thickBot="1">
      <c r="B39" s="54"/>
      <c r="C39" s="167" t="s">
        <v>142</v>
      </c>
      <c r="D39" s="168"/>
      <c r="E39" s="169"/>
    </row>
    <row r="40" spans="2:7">
      <c r="B40" s="65" t="s">
        <v>146</v>
      </c>
      <c r="C40" s="66" t="s">
        <v>147</v>
      </c>
      <c r="D40" s="67" t="s">
        <v>148</v>
      </c>
      <c r="E40" s="67" t="s">
        <v>149</v>
      </c>
      <c r="F40" s="175" t="s">
        <v>173</v>
      </c>
      <c r="G40" s="175" t="s">
        <v>174</v>
      </c>
    </row>
    <row r="41" spans="2:7">
      <c r="B41" s="68" t="s">
        <v>164</v>
      </c>
      <c r="C41" s="172">
        <f>'Financial information '!B42</f>
        <v>0.2</v>
      </c>
      <c r="D41" s="173">
        <f>'Financial information '!B43</f>
        <v>0.55000000000000004</v>
      </c>
      <c r="E41" s="174">
        <f>'Financial information '!B44</f>
        <v>0.25</v>
      </c>
    </row>
    <row r="42" spans="2:7">
      <c r="B42" s="69" t="s">
        <v>109</v>
      </c>
      <c r="C42" s="142">
        <f>C5</f>
        <v>83590.589383507759</v>
      </c>
      <c r="D42" s="130">
        <f>D5</f>
        <v>107614.94471585</v>
      </c>
      <c r="E42" s="147">
        <f>E5</f>
        <v>101708.91720419697</v>
      </c>
      <c r="F42">
        <f>SUMPRODUCT(C41:E41,C42:E42)</f>
        <v>101333.56677146831</v>
      </c>
      <c r="G42">
        <f>MAX(F42:F44)</f>
        <v>101333.56677146831</v>
      </c>
    </row>
    <row r="43" spans="2:7" ht="15" thickBot="1">
      <c r="B43" s="61" t="s">
        <v>139</v>
      </c>
      <c r="C43" s="146">
        <f>C6</f>
        <v>69370.257385110803</v>
      </c>
      <c r="D43" s="146">
        <f t="shared" ref="D43:E43" si="1">D6</f>
        <v>106706.23255333697</v>
      </c>
      <c r="E43" s="146">
        <f t="shared" si="1"/>
        <v>113020.48591094627</v>
      </c>
      <c r="F43">
        <f>SUMPRODUCT(C41:E41,C43:E43)</f>
        <v>100817.60085909406</v>
      </c>
    </row>
    <row r="46" spans="2:7" ht="15" thickBot="1">
      <c r="B46" s="63" t="s">
        <v>165</v>
      </c>
    </row>
    <row r="47" spans="2:7" ht="15" thickBot="1">
      <c r="B47" s="54"/>
      <c r="C47" s="167" t="s">
        <v>142</v>
      </c>
      <c r="D47" s="168"/>
      <c r="E47" s="169"/>
    </row>
    <row r="48" spans="2:7">
      <c r="B48" s="65" t="s">
        <v>146</v>
      </c>
      <c r="C48" s="66" t="s">
        <v>147</v>
      </c>
      <c r="D48" s="67" t="s">
        <v>148</v>
      </c>
      <c r="E48" s="67" t="s">
        <v>149</v>
      </c>
    </row>
    <row r="49" spans="2:7">
      <c r="B49" s="68" t="s">
        <v>164</v>
      </c>
      <c r="C49" s="172">
        <f>C41</f>
        <v>0.2</v>
      </c>
      <c r="D49" s="173">
        <f>D41</f>
        <v>0.55000000000000004</v>
      </c>
      <c r="E49" s="174">
        <f>E41</f>
        <v>0.25</v>
      </c>
      <c r="F49" s="121"/>
    </row>
    <row r="50" spans="2:7" ht="15" thickBot="1">
      <c r="B50" s="61" t="s">
        <v>166</v>
      </c>
      <c r="C50" s="146">
        <f>C7</f>
        <v>83590.589383507759</v>
      </c>
      <c r="D50" s="146">
        <f t="shared" ref="D50:E50" si="2">D7</f>
        <v>107614.94471585</v>
      </c>
      <c r="E50" s="146">
        <f t="shared" si="2"/>
        <v>113020.48591094627</v>
      </c>
      <c r="F50" s="121">
        <f>SUMPRODUCT(C49:E49,C50:E50)</f>
        <v>104161.45894815563</v>
      </c>
    </row>
    <row r="52" spans="2:7">
      <c r="B52" s="63" t="s">
        <v>167</v>
      </c>
      <c r="C52" s="176">
        <f>F50-G42</f>
        <v>2827.8921766873245</v>
      </c>
    </row>
    <row r="54" spans="2:7" ht="15" thickBot="1">
      <c r="B54" s="63" t="s">
        <v>155</v>
      </c>
    </row>
    <row r="55" spans="2:7" ht="15" thickBot="1">
      <c r="B55" s="54" t="s">
        <v>162</v>
      </c>
      <c r="C55" s="167" t="s">
        <v>142</v>
      </c>
      <c r="D55" s="168"/>
      <c r="E55" s="169"/>
    </row>
    <row r="56" spans="2:7">
      <c r="B56" s="65" t="s">
        <v>146</v>
      </c>
      <c r="C56" s="66" t="s">
        <v>147</v>
      </c>
      <c r="D56" s="67" t="s">
        <v>148</v>
      </c>
      <c r="E56" s="67" t="s">
        <v>149</v>
      </c>
      <c r="G56" s="177" t="s">
        <v>155</v>
      </c>
    </row>
    <row r="57" spans="2:7">
      <c r="B57" s="68" t="s">
        <v>164</v>
      </c>
      <c r="C57" s="172">
        <f>C41</f>
        <v>0.2</v>
      </c>
      <c r="D57" s="172">
        <f t="shared" ref="D57:E57" si="3">D41</f>
        <v>0.55000000000000004</v>
      </c>
      <c r="E57" s="172">
        <f t="shared" si="3"/>
        <v>0.25</v>
      </c>
    </row>
    <row r="58" spans="2:7">
      <c r="B58" s="69" t="s">
        <v>109</v>
      </c>
      <c r="C58" s="142">
        <f>$C$7-C5</f>
        <v>0</v>
      </c>
      <c r="D58" s="130">
        <f>$D$7-D5</f>
        <v>0</v>
      </c>
      <c r="E58" s="147">
        <f>$E$7-E5</f>
        <v>11311.568706749298</v>
      </c>
      <c r="F58">
        <f>SUMPRODUCT(C57:E57,C58:E58)</f>
        <v>2827.8921766873245</v>
      </c>
      <c r="G58" s="111">
        <f>MIN(F58:F59)</f>
        <v>2827.8921766873245</v>
      </c>
    </row>
    <row r="59" spans="2:7" ht="15" thickBot="1">
      <c r="B59" s="61" t="s">
        <v>139</v>
      </c>
      <c r="C59" s="142">
        <f>$C$7-C6</f>
        <v>14220.331998396956</v>
      </c>
      <c r="D59" s="130">
        <f>$D$7-D6</f>
        <v>908.71216251302394</v>
      </c>
      <c r="E59" s="147">
        <f>$E$7-E6</f>
        <v>0</v>
      </c>
      <c r="F59">
        <f>SUMPRODUCT(C57:E57,C59:E59)</f>
        <v>3343.8580890615549</v>
      </c>
    </row>
  </sheetData>
  <mergeCells count="12">
    <mergeCell ref="A1:A6"/>
    <mergeCell ref="J3:N3"/>
    <mergeCell ref="H13:L14"/>
    <mergeCell ref="C47:E47"/>
    <mergeCell ref="C55:E55"/>
    <mergeCell ref="C3:E3"/>
    <mergeCell ref="C11:E11"/>
    <mergeCell ref="C18:E18"/>
    <mergeCell ref="C25:E25"/>
    <mergeCell ref="C32:E32"/>
    <mergeCell ref="C39:E39"/>
    <mergeCell ref="C1:E2"/>
  </mergeCells>
  <conditionalFormatting sqref="I5:I7">
    <cfRule type="cellIs" dxfId="5" priority="6" operator="equal">
      <formula>$I$7</formula>
    </cfRule>
  </conditionalFormatting>
  <conditionalFormatting sqref="J5:J7">
    <cfRule type="cellIs" dxfId="4" priority="5" operator="equal">
      <formula>$J$7</formula>
    </cfRule>
  </conditionalFormatting>
  <conditionalFormatting sqref="K5:K7">
    <cfRule type="cellIs" dxfId="3" priority="4" operator="equal">
      <formula>$K$7</formula>
    </cfRule>
  </conditionalFormatting>
  <conditionalFormatting sqref="L5:L7">
    <cfRule type="cellIs" dxfId="2" priority="3" operator="equal">
      <formula>$L$7</formula>
    </cfRule>
  </conditionalFormatting>
  <conditionalFormatting sqref="M5:M7">
    <cfRule type="cellIs" dxfId="1" priority="2" operator="equal">
      <formula>$M$7</formula>
    </cfRule>
  </conditionalFormatting>
  <conditionalFormatting sqref="N5:N7">
    <cfRule type="cellIs" dxfId="0" priority="1" operator="equal">
      <formula>$N$7</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88ADEEB1FFB047B8530B88A72F6D40" ma:contentTypeVersion="7" ma:contentTypeDescription="Create a new document." ma:contentTypeScope="" ma:versionID="082bbb3904a56db073174ba216f49da6">
  <xsd:schema xmlns:xsd="http://www.w3.org/2001/XMLSchema" xmlns:xs="http://www.w3.org/2001/XMLSchema" xmlns:p="http://schemas.microsoft.com/office/2006/metadata/properties" xmlns:ns3="31150fb0-cfb5-44ec-a0f0-7f7eef424bef" xmlns:ns4="8d384854-734f-4b7e-b53d-6f07494a21f3" targetNamespace="http://schemas.microsoft.com/office/2006/metadata/properties" ma:root="true" ma:fieldsID="8fadbb3fa7012877a4b98d2d7dbb7cf6" ns3:_="" ns4:_="">
    <xsd:import namespace="31150fb0-cfb5-44ec-a0f0-7f7eef424bef"/>
    <xsd:import namespace="8d384854-734f-4b7e-b53d-6f07494a21f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150fb0-cfb5-44ec-a0f0-7f7eef424b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384854-734f-4b7e-b53d-6f07494a21f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6A24A3-6E7E-4826-AA46-6EC6EF9CBE4C}">
  <ds:schemaRefs>
    <ds:schemaRef ds:uri="http://schemas.microsoft.com/sharepoint/v3/contenttype/forms"/>
  </ds:schemaRefs>
</ds:datastoreItem>
</file>

<file path=customXml/itemProps2.xml><?xml version="1.0" encoding="utf-8"?>
<ds:datastoreItem xmlns:ds="http://schemas.openxmlformats.org/officeDocument/2006/customXml" ds:itemID="{F2EAF1C6-FF7B-4F33-A00F-703A45E376B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2D2F278-88BF-47B9-9551-E9C033B9E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150fb0-cfb5-44ec-a0f0-7f7eef424bef"/>
    <ds:schemaRef ds:uri="8d384854-734f-4b7e-b53d-6f07494a21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Financial information </vt:lpstr>
      <vt:lpstr>SI and regression Pt 1</vt:lpstr>
      <vt:lpstr>Current operations Pt2 &amp; Pt3 </vt:lpstr>
      <vt:lpstr>Franchise operations Pt2 &amp; Pt3</vt:lpstr>
      <vt:lpstr>Expected Values Pt3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Kurt Schmitz</dc:creator>
  <cp:keywords/>
  <dc:description/>
  <cp:lastModifiedBy>Raisa Basher</cp:lastModifiedBy>
  <cp:revision/>
  <dcterms:created xsi:type="dcterms:W3CDTF">2017-10-26T20:43:12Z</dcterms:created>
  <dcterms:modified xsi:type="dcterms:W3CDTF">2023-04-14T06:30:17Z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0x010100FA88ADEEB1FFB047B8530B88A72F6D40</vt:lpwstr>
  </property>
</Properties>
</file>