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AsusWebStorage\ran@benhur.co\MySyncFolder\RaniStuff\IBI\Stock Analysis\Financials\NVDA\"/>
    </mc:Choice>
  </mc:AlternateContent>
  <xr:revisionPtr revIDLastSave="0" documentId="13_ncr:1_{C3E78C36-22DE-46E8-B070-A57DFDD3D285}" xr6:coauthVersionLast="47" xr6:coauthVersionMax="47" xr10:uidLastSave="{00000000-0000-0000-0000-000000000000}"/>
  <bookViews>
    <workbookView xWindow="-120" yWindow="-120" windowWidth="29040" windowHeight="15720" activeTab="1" xr2:uid="{00000000-000D-0000-FFFF-FFFF00000000}"/>
  </bookViews>
  <sheets>
    <sheet name="Data Entry" sheetId="1" r:id="rId1"/>
    <sheet name="DCF" sheetId="2" r:id="rId2"/>
    <sheet name="Chart1" sheetId="3" r:id="rId3"/>
    <sheet name="Chart2" sheetId="4" r:id="rId4"/>
    <sheet name="FCF 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5" l="1"/>
  <c r="F63" i="5"/>
  <c r="E63" i="5"/>
  <c r="D63" i="5"/>
  <c r="C63" i="5"/>
  <c r="B38" i="5"/>
  <c r="A38" i="5"/>
  <c r="K44" i="5"/>
  <c r="J42" i="5"/>
  <c r="K41" i="5"/>
  <c r="K40" i="5"/>
  <c r="J38" i="5"/>
  <c r="K37" i="5"/>
  <c r="K36" i="5"/>
  <c r="J35" i="5" a="1"/>
  <c r="J44" i="5" s="1"/>
  <c r="D44" i="5" s="1"/>
  <c r="G44" i="5"/>
  <c r="G42" i="5"/>
  <c r="G39" i="5"/>
  <c r="G37" i="5"/>
  <c r="G36" i="5"/>
  <c r="G35" i="5" a="1"/>
  <c r="G41" i="5" s="1"/>
  <c r="G35" i="5"/>
  <c r="C42" i="5"/>
  <c r="C35" i="5" a="1"/>
  <c r="C39" i="5" s="1"/>
  <c r="C35" i="5"/>
  <c r="E24" i="5"/>
  <c r="F27" i="5"/>
  <c r="F25" i="5"/>
  <c r="F20" i="5"/>
  <c r="F19" i="5"/>
  <c r="F18" i="5" a="1"/>
  <c r="F24" i="5" s="1"/>
  <c r="F18" i="5"/>
  <c r="D24" i="5"/>
  <c r="D23" i="5"/>
  <c r="E23" i="5" s="1"/>
  <c r="D21" i="5"/>
  <c r="E21" i="5" s="1"/>
  <c r="D18" i="5" a="1"/>
  <c r="D20" i="5" s="1"/>
  <c r="E20" i="5" s="1"/>
  <c r="C18" i="5" a="1"/>
  <c r="C23" i="5" s="1"/>
  <c r="A8" i="5"/>
  <c r="A7" i="5"/>
  <c r="D3" i="5" a="1"/>
  <c r="D8" i="5" s="1"/>
  <c r="F40" i="5" s="1"/>
  <c r="C12" i="5"/>
  <c r="C9" i="5"/>
  <c r="C7" i="5"/>
  <c r="C6" i="5"/>
  <c r="C5" i="5"/>
  <c r="C4" i="5"/>
  <c r="C3" i="5" a="1"/>
  <c r="C11" i="5" s="1"/>
  <c r="B12" i="5"/>
  <c r="B44" i="5" s="1"/>
  <c r="A44" i="5" s="1"/>
  <c r="B10" i="5"/>
  <c r="B57" i="5" s="1"/>
  <c r="A57" i="5" s="1"/>
  <c r="B9" i="5"/>
  <c r="A9" i="5" s="1"/>
  <c r="B8" i="5"/>
  <c r="B55" i="5" s="1"/>
  <c r="A55" i="5" s="1"/>
  <c r="B7" i="5"/>
  <c r="B68" i="5" s="1"/>
  <c r="B6" i="5"/>
  <c r="B21" i="5" s="1"/>
  <c r="A21" i="5" s="1"/>
  <c r="B4" i="5"/>
  <c r="B36" i="5" s="1"/>
  <c r="A36" i="5" s="1"/>
  <c r="B3" i="5" a="1"/>
  <c r="B5" i="5" s="1"/>
  <c r="B3" i="5"/>
  <c r="B50" i="5" s="1"/>
  <c r="A50" i="5" s="1"/>
  <c r="A3" i="5"/>
  <c r="D21" i="2" a="1"/>
  <c r="D21" i="2" s="1"/>
  <c r="D20" i="2" a="1"/>
  <c r="D20" i="2" s="1"/>
  <c r="C19" i="2" a="1"/>
  <c r="C19" i="2" s="1"/>
  <c r="C18" i="2" a="1"/>
  <c r="C18" i="2" s="1"/>
  <c r="M15" i="2"/>
  <c r="L15" i="2"/>
  <c r="K15" i="2"/>
  <c r="J15" i="2"/>
  <c r="I15" i="2"/>
  <c r="H15" i="2"/>
  <c r="G15" i="2"/>
  <c r="F15" i="2"/>
  <c r="E15" i="2"/>
  <c r="D15" i="2"/>
  <c r="M14" i="2"/>
  <c r="L14" i="2"/>
  <c r="K14" i="2"/>
  <c r="J14" i="2"/>
  <c r="I14" i="2"/>
  <c r="H14" i="2"/>
  <c r="G14" i="2"/>
  <c r="F14" i="2"/>
  <c r="E14" i="2"/>
  <c r="D14" i="2"/>
  <c r="D8" i="2"/>
  <c r="C8" i="2"/>
  <c r="C6" i="2"/>
  <c r="C5" i="2"/>
  <c r="J4" i="2"/>
  <c r="C4" i="2"/>
  <c r="D3" i="2"/>
  <c r="D22" i="1"/>
  <c r="C22" i="1"/>
  <c r="B22" i="1"/>
  <c r="B21" i="1" a="1"/>
  <c r="B21" i="1" s="1"/>
  <c r="B23" i="1" s="1"/>
  <c r="J16" i="1"/>
  <c r="I16" i="1"/>
  <c r="J15" i="1"/>
  <c r="I15" i="1"/>
  <c r="J14" i="1"/>
  <c r="I14" i="1"/>
  <c r="J13" i="1"/>
  <c r="I13" i="1"/>
  <c r="J12" i="1"/>
  <c r="I12" i="1"/>
  <c r="J11" i="1"/>
  <c r="I11" i="1"/>
  <c r="J10" i="1"/>
  <c r="I10" i="1"/>
  <c r="N35" i="5" s="1" a="1"/>
  <c r="J9" i="1"/>
  <c r="I9" i="1"/>
  <c r="J8" i="1"/>
  <c r="I8" i="1"/>
  <c r="A5" i="5" l="1"/>
  <c r="B66" i="5"/>
  <c r="B52" i="5"/>
  <c r="A52" i="5" s="1"/>
  <c r="B37" i="5"/>
  <c r="A37" i="5" s="1"/>
  <c r="B20" i="5"/>
  <c r="A20" i="5" s="1"/>
  <c r="O41" i="5"/>
  <c r="O37" i="5"/>
  <c r="N41" i="5"/>
  <c r="E41" i="5" s="1"/>
  <c r="N37" i="5"/>
  <c r="E37" i="5" s="1"/>
  <c r="O44" i="5"/>
  <c r="O40" i="5"/>
  <c r="O36" i="5"/>
  <c r="O43" i="5"/>
  <c r="O39" i="5"/>
  <c r="O35" i="5"/>
  <c r="N44" i="5"/>
  <c r="E44" i="5" s="1"/>
  <c r="N40" i="5"/>
  <c r="E40" i="5" s="1"/>
  <c r="N36" i="5"/>
  <c r="E36" i="5" s="1"/>
  <c r="N43" i="5"/>
  <c r="E43" i="5" s="1"/>
  <c r="O42" i="5"/>
  <c r="O38" i="5"/>
  <c r="N35" i="5"/>
  <c r="N39" i="5"/>
  <c r="E39" i="5" s="1"/>
  <c r="N42" i="5"/>
  <c r="E42" i="5" s="1"/>
  <c r="N38" i="5"/>
  <c r="E38" i="5" s="1"/>
  <c r="D9" i="5"/>
  <c r="B18" i="5"/>
  <c r="A18" i="5" s="1"/>
  <c r="C24" i="5"/>
  <c r="G24" i="5" s="1"/>
  <c r="C40" i="5"/>
  <c r="B65" i="5"/>
  <c r="D11" i="5"/>
  <c r="F43" i="5" s="1"/>
  <c r="C26" i="5"/>
  <c r="D3" i="5"/>
  <c r="F35" i="5" s="1"/>
  <c r="D10" i="5"/>
  <c r="F42" i="5" s="1"/>
  <c r="A6" i="5"/>
  <c r="A10" i="5"/>
  <c r="C18" i="5"/>
  <c r="G18" i="5" s="1"/>
  <c r="C25" i="5"/>
  <c r="G25" i="5" s="1"/>
  <c r="D70" i="5" s="1"/>
  <c r="D22" i="5"/>
  <c r="E22" i="5" s="1"/>
  <c r="F26" i="5"/>
  <c r="B22" i="5"/>
  <c r="A22" i="5" s="1"/>
  <c r="B24" i="5"/>
  <c r="A24" i="5" s="1"/>
  <c r="B35" i="5"/>
  <c r="A35" i="5" s="1"/>
  <c r="C41" i="5"/>
  <c r="G43" i="5"/>
  <c r="J37" i="5"/>
  <c r="D37" i="5" s="1"/>
  <c r="J41" i="5"/>
  <c r="D41" i="5" s="1"/>
  <c r="B39" i="5"/>
  <c r="A39" i="5" s="1"/>
  <c r="B51" i="5"/>
  <c r="A51" i="5" s="1"/>
  <c r="B53" i="5"/>
  <c r="A53" i="5" s="1"/>
  <c r="B70" i="5"/>
  <c r="D12" i="5"/>
  <c r="F44" i="5" s="1"/>
  <c r="B11" i="5"/>
  <c r="C8" i="5"/>
  <c r="E8" i="5" s="1"/>
  <c r="D5" i="5"/>
  <c r="C20" i="5"/>
  <c r="G20" i="5" s="1"/>
  <c r="D18" i="5"/>
  <c r="E18" i="5" s="1"/>
  <c r="D25" i="5"/>
  <c r="E25" i="5" s="1"/>
  <c r="F21" i="5"/>
  <c r="C36" i="5"/>
  <c r="C44" i="5"/>
  <c r="H44" i="5" s="1"/>
  <c r="G38" i="5"/>
  <c r="J35" i="5"/>
  <c r="K38" i="5"/>
  <c r="D38" i="5" s="1"/>
  <c r="K42" i="5"/>
  <c r="D42" i="5" s="1"/>
  <c r="H42" i="5" s="1"/>
  <c r="B54" i="5"/>
  <c r="A54" i="5" s="1"/>
  <c r="B56" i="5"/>
  <c r="A56" i="5" s="1"/>
  <c r="B69" i="5"/>
  <c r="D4" i="5"/>
  <c r="F36" i="5" s="1"/>
  <c r="C19" i="5"/>
  <c r="C27" i="5"/>
  <c r="C43" i="5"/>
  <c r="B42" i="5"/>
  <c r="A42" i="5" s="1"/>
  <c r="B64" i="5"/>
  <c r="D6" i="5"/>
  <c r="A4" i="5"/>
  <c r="A12" i="5"/>
  <c r="C21" i="5"/>
  <c r="G21" i="5" s="1"/>
  <c r="D66" i="5" s="1"/>
  <c r="D26" i="5"/>
  <c r="E26" i="5" s="1"/>
  <c r="F22" i="5"/>
  <c r="B19" i="5"/>
  <c r="A19" i="5" s="1"/>
  <c r="B23" i="5"/>
  <c r="A23" i="5" s="1"/>
  <c r="B25" i="5"/>
  <c r="A25" i="5" s="1"/>
  <c r="B27" i="5"/>
  <c r="A27" i="5" s="1"/>
  <c r="C37" i="5"/>
  <c r="J39" i="5"/>
  <c r="D39" i="5" s="1"/>
  <c r="H39" i="5" s="1"/>
  <c r="J43" i="5"/>
  <c r="B41" i="5"/>
  <c r="A41" i="5" s="1"/>
  <c r="B59" i="5"/>
  <c r="C3" i="5"/>
  <c r="E3" i="5" s="1"/>
  <c r="C10" i="5"/>
  <c r="E10" i="5" s="1"/>
  <c r="D7" i="5"/>
  <c r="F39" i="5" s="1"/>
  <c r="C22" i="5"/>
  <c r="G22" i="5" s="1"/>
  <c r="D19" i="5"/>
  <c r="E19" i="5" s="1"/>
  <c r="D27" i="5"/>
  <c r="E27" i="5" s="1"/>
  <c r="F23" i="5"/>
  <c r="G23" i="5" s="1"/>
  <c r="D68" i="5" s="1"/>
  <c r="C38" i="5"/>
  <c r="G40" i="5"/>
  <c r="K35" i="5"/>
  <c r="K39" i="5"/>
  <c r="K43" i="5"/>
  <c r="B71" i="5"/>
  <c r="J36" i="5"/>
  <c r="D36" i="5" s="1"/>
  <c r="J40" i="5"/>
  <c r="D40" i="5" s="1"/>
  <c r="B40" i="5"/>
  <c r="A40" i="5" s="1"/>
  <c r="D69" i="5" l="1"/>
  <c r="E35" i="5"/>
  <c r="F41" i="5"/>
  <c r="H41" i="5" s="1"/>
  <c r="E9" i="5"/>
  <c r="C70" i="5" s="1"/>
  <c r="E7" i="5"/>
  <c r="D67" i="5"/>
  <c r="B72" i="5"/>
  <c r="A11" i="5"/>
  <c r="B43" i="5"/>
  <c r="A43" i="5" s="1"/>
  <c r="B26" i="5"/>
  <c r="A26" i="5" s="1"/>
  <c r="B58" i="5"/>
  <c r="A58" i="5" s="1"/>
  <c r="C57" i="5"/>
  <c r="F38" i="5"/>
  <c r="E6" i="5"/>
  <c r="H38" i="5"/>
  <c r="A59" i="5"/>
  <c r="F55" i="5"/>
  <c r="C9" i="2" s="1"/>
  <c r="C12" i="2" s="1"/>
  <c r="D12" i="2" s="1"/>
  <c r="E12" i="2" s="1"/>
  <c r="F12" i="2" s="1"/>
  <c r="G12" i="2" s="1"/>
  <c r="H12" i="2" s="1"/>
  <c r="I12" i="2" s="1"/>
  <c r="J12" i="2" s="1"/>
  <c r="K12" i="2" s="1"/>
  <c r="L12" i="2" s="1"/>
  <c r="M12" i="2" s="1"/>
  <c r="E4" i="5"/>
  <c r="C55" i="5"/>
  <c r="H40" i="5"/>
  <c r="E68" i="5" s="1"/>
  <c r="G26" i="5"/>
  <c r="D71" i="5" s="1"/>
  <c r="E11" i="5"/>
  <c r="G19" i="5"/>
  <c r="D64" i="5" s="1"/>
  <c r="H37" i="5"/>
  <c r="E65" i="5" s="1"/>
  <c r="H36" i="5"/>
  <c r="D43" i="5"/>
  <c r="H43" i="5" s="1"/>
  <c r="G27" i="5"/>
  <c r="D35" i="5"/>
  <c r="H35" i="5" s="1"/>
  <c r="C50" i="5" s="1"/>
  <c r="F37" i="5"/>
  <c r="E5" i="5"/>
  <c r="E12" i="5"/>
  <c r="E71" i="5" l="1"/>
  <c r="E72" i="5"/>
  <c r="E69" i="5"/>
  <c r="E70" i="5"/>
  <c r="C64" i="5"/>
  <c r="C51" i="5"/>
  <c r="F64" i="5" s="1"/>
  <c r="D72" i="5"/>
  <c r="C59" i="5"/>
  <c r="C72" i="5"/>
  <c r="G55" i="5"/>
  <c r="D9" i="2" s="1"/>
  <c r="C13" i="2" s="1"/>
  <c r="D13" i="2" s="1"/>
  <c r="C54" i="5"/>
  <c r="C67" i="5"/>
  <c r="C68" i="5"/>
  <c r="D65" i="5"/>
  <c r="C66" i="5"/>
  <c r="C53" i="5"/>
  <c r="C52" i="5"/>
  <c r="C65" i="5"/>
  <c r="C69" i="5"/>
  <c r="C56" i="5"/>
  <c r="C71" i="5"/>
  <c r="C58" i="5"/>
  <c r="F71" i="5" s="1"/>
  <c r="E66" i="5"/>
  <c r="E64" i="5"/>
  <c r="E67" i="5"/>
  <c r="G52" i="5" l="1"/>
  <c r="D6" i="2" s="1"/>
  <c r="E13" i="2"/>
  <c r="D16" i="2"/>
  <c r="G50" i="5"/>
  <c r="D4" i="2" s="1"/>
  <c r="F69" i="5"/>
  <c r="F67" i="5"/>
  <c r="G51" i="5"/>
  <c r="D5" i="2" s="1"/>
  <c r="F65" i="5"/>
  <c r="F68" i="5"/>
  <c r="F70" i="5"/>
  <c r="F66" i="5"/>
  <c r="F72" i="5"/>
  <c r="E16" i="2" l="1"/>
  <c r="F13" i="2"/>
  <c r="F16" i="2" l="1"/>
  <c r="G13" i="2"/>
  <c r="H13" i="2" l="1"/>
  <c r="G16" i="2"/>
  <c r="I13" i="2" l="1"/>
  <c r="H16" i="2"/>
  <c r="J13" i="2" l="1"/>
  <c r="I16" i="2"/>
  <c r="K13" i="2" l="1"/>
  <c r="J16" i="2"/>
  <c r="L13" i="2" l="1"/>
  <c r="K16" i="2"/>
  <c r="M13" i="2" l="1"/>
  <c r="L16" i="2"/>
  <c r="M16" i="2" l="1"/>
  <c r="N13" i="2"/>
  <c r="D23" i="2" s="1"/>
  <c r="D24" i="2" s="1"/>
  <c r="D26" i="2"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<sst xmlns="http://schemas.openxmlformats.org/spreadsheetml/2006/main" count="185" uniqueCount="158">
  <si>
    <t>date of Analysis</t>
  </si>
  <si>
    <t>Ticker</t>
  </si>
  <si>
    <t>Period End Date</t>
  </si>
  <si>
    <t>2025-04-27</t>
  </si>
  <si>
    <t>Income Statement</t>
  </si>
  <si>
    <t>Balance Sheet</t>
  </si>
  <si>
    <t>Cash Flow Statement</t>
  </si>
  <si>
    <t>Net Interest Expenses</t>
  </si>
  <si>
    <t>EBT, Incl. Unusual Items</t>
  </si>
  <si>
    <t>Income Tax Expense</t>
  </si>
  <si>
    <t>Net Income to Company</t>
  </si>
  <si>
    <t>EBIT</t>
  </si>
  <si>
    <t>Total Current Assets</t>
  </si>
  <si>
    <t>Total Current Liabilities</t>
  </si>
  <si>
    <t>Change Current Assets</t>
  </si>
  <si>
    <t>Change Current Liabilities</t>
  </si>
  <si>
    <t>Depreciation &amp; Amortization (CF)</t>
  </si>
  <si>
    <t>Amortization of Deferred Charges (CF)</t>
  </si>
  <si>
    <t>Cash from Operations</t>
  </si>
  <si>
    <t>Capital Expenditures</t>
  </si>
  <si>
    <t>Cash from Financing</t>
  </si>
  <si>
    <t>2016-01-31</t>
  </si>
  <si>
    <t>6,053.0</t>
  </si>
  <si>
    <t>2,351.0</t>
  </si>
  <si>
    <t>1,175.0</t>
  </si>
  <si>
    <t>2017-01-29</t>
  </si>
  <si>
    <t>1,905.0</t>
  </si>
  <si>
    <t>1,666.0</t>
  </si>
  <si>
    <t>1,937.0</t>
  </si>
  <si>
    <t>8,536.0</t>
  </si>
  <si>
    <t>1,788.0</t>
  </si>
  <si>
    <t>1,672.0</t>
  </si>
  <si>
    <t>2018-01-28</t>
  </si>
  <si>
    <t>3,196.0</t>
  </si>
  <si>
    <t>3,047.0</t>
  </si>
  <si>
    <t>3,210.0</t>
  </si>
  <si>
    <t>9,255.0</t>
  </si>
  <si>
    <t>1,153.0</t>
  </si>
  <si>
    <t>3,502.0</t>
  </si>
  <si>
    <t>-2,544.0</t>
  </si>
  <si>
    <t>2019-01-27</t>
  </si>
  <si>
    <t>3,896.0</t>
  </si>
  <si>
    <t>4,141.0</t>
  </si>
  <si>
    <t>3,804.0</t>
  </si>
  <si>
    <t>10,557.0</t>
  </si>
  <si>
    <t>1,329.0</t>
  </si>
  <si>
    <t>3,743.0</t>
  </si>
  <si>
    <t>-2,866.0</t>
  </si>
  <si>
    <t>2020-01-26</t>
  </si>
  <si>
    <t>2,970.0</t>
  </si>
  <si>
    <t>2,796.0</t>
  </si>
  <si>
    <t>2,846.0</t>
  </si>
  <si>
    <t>13,690.0</t>
  </si>
  <si>
    <t>1,784.0</t>
  </si>
  <si>
    <t>4,761.0</t>
  </si>
  <si>
    <t>2021-01-31</t>
  </si>
  <si>
    <t>4,409.0</t>
  </si>
  <si>
    <t>4,332.0</t>
  </si>
  <si>
    <t>4,721.0</t>
  </si>
  <si>
    <t>16,055.0</t>
  </si>
  <si>
    <t>3,925.0</t>
  </si>
  <si>
    <t>1,098.0</t>
  </si>
  <si>
    <t>5,822.0</t>
  </si>
  <si>
    <t>-1,128.0</t>
  </si>
  <si>
    <t>2022-01-30</t>
  </si>
  <si>
    <t>9,941.0</t>
  </si>
  <si>
    <t>9,752.0</t>
  </si>
  <si>
    <t>10,041.0</t>
  </si>
  <si>
    <t>28,829.0</t>
  </si>
  <si>
    <t>4,335.0</t>
  </si>
  <si>
    <t>1,174.0</t>
  </si>
  <si>
    <t>9,108.0</t>
  </si>
  <si>
    <t>1,865.0</t>
  </si>
  <si>
    <t>2023-01-29</t>
  </si>
  <si>
    <t>4,181.0</t>
  </si>
  <si>
    <t>4,368.0</t>
  </si>
  <si>
    <t>5,577.0</t>
  </si>
  <si>
    <t>23,073.0</t>
  </si>
  <si>
    <t>6,563.0</t>
  </si>
  <si>
    <t>1,544.0</t>
  </si>
  <si>
    <t>5,641.0</t>
  </si>
  <si>
    <t>-1,833.0</t>
  </si>
  <si>
    <t>-11,617.0</t>
  </si>
  <si>
    <t>2024-01-28</t>
  </si>
  <si>
    <t>33,818.0</t>
  </si>
  <si>
    <t>-4,058.0</t>
  </si>
  <si>
    <t>29,760.0</t>
  </si>
  <si>
    <t>32,972.0</t>
  </si>
  <si>
    <t>44,345.0</t>
  </si>
  <si>
    <t>10,631.0</t>
  </si>
  <si>
    <t>1,508.0</t>
  </si>
  <si>
    <t>28,090.0</t>
  </si>
  <si>
    <t>-1,069.0</t>
  </si>
  <si>
    <t>-13,633.0</t>
  </si>
  <si>
    <t>1,696.0</t>
  </si>
  <si>
    <t>88,657.0</t>
  </si>
  <si>
    <t>-11,883.0</t>
  </si>
  <si>
    <t>76,774.0</t>
  </si>
  <si>
    <t>86,182.0</t>
  </si>
  <si>
    <t>89,935.0</t>
  </si>
  <si>
    <t>26,542.0</t>
  </si>
  <si>
    <t>2,065.0</t>
  </si>
  <si>
    <t>76,158.0</t>
  </si>
  <si>
    <t>-4,094.0</t>
  </si>
  <si>
    <t>-48,567.0</t>
  </si>
  <si>
    <t>Chart Title</t>
  </si>
  <si>
    <t xml:space="preserve">Free Cash Flow of </t>
  </si>
  <si>
    <t>DCF Growth estimate</t>
  </si>
  <si>
    <t>Terminal multiple</t>
  </si>
  <si>
    <t>yr 1-5</t>
  </si>
  <si>
    <t>yr 5-10</t>
  </si>
  <si>
    <t>Required rate of return</t>
  </si>
  <si>
    <t>Perpetual groth rate</t>
  </si>
  <si>
    <t>period</t>
  </si>
  <si>
    <t>Terminal value</t>
  </si>
  <si>
    <t>Year</t>
  </si>
  <si>
    <t>FCF</t>
  </si>
  <si>
    <t>Growth rate</t>
  </si>
  <si>
    <t>Discount rate</t>
  </si>
  <si>
    <t>Discounted CF</t>
  </si>
  <si>
    <t>Price</t>
  </si>
  <si>
    <t>Shareds</t>
  </si>
  <si>
    <t>Market CAP</t>
  </si>
  <si>
    <t>Fair Value</t>
  </si>
  <si>
    <t>Upside/Downside</t>
  </si>
  <si>
    <t>FCF= cash from operations -CAPEX</t>
  </si>
  <si>
    <t>Date</t>
  </si>
  <si>
    <t>Cash from operations</t>
  </si>
  <si>
    <t>CAPEX</t>
  </si>
  <si>
    <t>statement</t>
  </si>
  <si>
    <t>Cash Flow</t>
  </si>
  <si>
    <t>levered FCF=EBIT*(1-Tax Rate) - Interest Expenses</t>
  </si>
  <si>
    <t>Tax paid</t>
  </si>
  <si>
    <t>Tax rate</t>
  </si>
  <si>
    <t>Interest expenses</t>
  </si>
  <si>
    <t>Levered FCF</t>
  </si>
  <si>
    <t>Income</t>
  </si>
  <si>
    <t>income</t>
  </si>
  <si>
    <t>tax paid/cash from operations</t>
  </si>
  <si>
    <t>FCFE=Net income - Non Cash expenses+D&amp;A-change in working cap-CAPEX-debt repaiments+New debt issuance-share issuence</t>
  </si>
  <si>
    <t>change in working cap</t>
  </si>
  <si>
    <t>Net income</t>
  </si>
  <si>
    <t>D&amp;A (1+2)</t>
  </si>
  <si>
    <t>cash from financing</t>
  </si>
  <si>
    <t>FCFE</t>
  </si>
  <si>
    <t>D&amp;A (1)</t>
  </si>
  <si>
    <t>amortization (2)</t>
  </si>
  <si>
    <t>total current assets</t>
  </si>
  <si>
    <t>total current liabilities</t>
  </si>
  <si>
    <t>Balance</t>
  </si>
  <si>
    <t>Cash from financing=-debt repaiments+New debt issuance-share issuence</t>
  </si>
  <si>
    <t>Avrage CF</t>
  </si>
  <si>
    <t>Growth</t>
  </si>
  <si>
    <t>3yr</t>
  </si>
  <si>
    <t>5yr</t>
  </si>
  <si>
    <t>10yr</t>
  </si>
  <si>
    <t>Min CF + 10%</t>
  </si>
  <si>
    <t>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</si>
</sst>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1010000]d/m/yyyy;@"/>
    <numFmt numFmtId="166" formatCode="yyyy\-mm\-dd;@"/>
  </numFmts>
  <fonts count="10" x14ac:knownFonts="1">
    <font>
      <sz val="11"/>
      <color theme="1"/>
      <name val="Calibri"/>
      <family val="2"/>
      <scheme val="minor"/>
    </font>
    <font>
      <sz val="11"/>
      <color rgb="FF666666"/>
      <name val="Arial"/>
      <family val="2"/>
    </font>
    <font>
      <sz val="11"/>
      <color rgb="FF666666"/>
      <name val="Arial"/>
      <family val="2"/>
    </font>
    <font>
      <sz val="11"/>
      <color theme="1"/>
      <name val="Calibri"/>
      <family val="2"/>
      <scheme val="minor"/>
    </font>
    <font>
      <b/>
      <sz val="14"/>
      <color theme="1"/>
      <name val="Calibri"/>
      <family val="2"/>
      <scheme val="minor"/>
    </font>
    <font>
      <b/>
      <sz val="11"/>
      <color theme="1"/>
      <name val="Calibri"/>
      <family val="2"/>
      <scheme val="minor"/>
    </font>
    <font>
      <sz val="11"/>
      <color rgb="FF666666"/>
      <name val="Arial"/>
      <family val="2"/>
    </font>
    <font>
      <sz val="11"/>
      <color rgb="FF333333"/>
      <name val="Arial"/>
      <family val="2"/>
    </font>
    <font>
      <sz val="11"/>
      <color rgb="FF333333"/>
      <name val="Arial"/>
      <family val="2"/>
    </font>
    <font>
      <sz val="11"/>
      <color rgb="FF666666"/>
      <name val="Arial"/>
      <family val="2"/>
    </font>
  </fonts>
  <fills count="7">
    <fill>
      <patternFill patternType="none"/>
    </fill>
    <fill>
      <patternFill patternType="gray125"/>
    </fill>
    <fill>
      <patternFill patternType="solid">
        <fgColor rgb="FFCCFFFF"/>
        <bgColor indexed="64"/>
      </patternFill>
    </fill>
    <fill>
      <patternFill patternType="solid">
        <fgColor rgb="FFCCFFCC"/>
        <bgColor indexed="64"/>
      </patternFill>
    </fill>
    <fill>
      <patternFill patternType="solid">
        <fgColor theme="8" tint="0.79998168889431442"/>
        <bgColor indexed="64"/>
      </patternFill>
    </fill>
    <fill>
      <patternFill patternType="solid">
        <fgColor rgb="FFFFFF99"/>
        <bgColor indexed="64"/>
      </patternFill>
    </fill>
    <fill>
      <patternFill patternType="solid">
        <fgColor rgb="FFCCCCFF"/>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9" fontId="3" fillId="0" borderId="0"/>
    <xf numFmtId="44" fontId="3" fillId="0" borderId="0"/>
  </cellStyleXfs>
  <cellXfs count="121">
    <xf numFmtId="0" fontId="0" fillId="0" borderId="0" xfId="0"/>
    <xf numFmtId="4" fontId="0" fillId="0" borderId="0" xfId="0" applyNumberFormat="1"/>
    <xf numFmtId="0" fontId="1" fillId="0" borderId="0" xfId="0" applyFont="1" applyAlignment="1">
      <alignment horizontal="right" vertical="center"/>
    </xf>
    <xf numFmtId="2" fontId="0" fillId="0" borderId="0" xfId="0" applyNumberFormat="1"/>
    <xf numFmtId="0" fontId="1" fillId="0" borderId="0" xfId="0" applyFont="1" applyAlignment="1">
      <alignment horizontal="left" vertical="center"/>
    </xf>
    <xf numFmtId="10" fontId="0" fillId="0" borderId="0" xfId="1" applyNumberFormat="1" applyFont="1"/>
    <xf numFmtId="0" fontId="0" fillId="2" borderId="1" xfId="0" applyFill="1" applyBorder="1"/>
    <xf numFmtId="0" fontId="0" fillId="2" borderId="2" xfId="0" applyFill="1" applyBorder="1"/>
    <xf numFmtId="0" fontId="0" fillId="2" borderId="3" xfId="0" applyFill="1" applyBorder="1"/>
    <xf numFmtId="0" fontId="0" fillId="2" borderId="5" xfId="0" applyFill="1" applyBorder="1"/>
    <xf numFmtId="0" fontId="0" fillId="3" borderId="3" xfId="0" applyFill="1" applyBorder="1"/>
    <xf numFmtId="0" fontId="0" fillId="3" borderId="5" xfId="0" applyFill="1" applyBorder="1"/>
    <xf numFmtId="0" fontId="0" fillId="0" borderId="0" xfId="0"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9" fontId="0" fillId="4" borderId="10" xfId="0" applyNumberFormat="1" applyFill="1" applyBorder="1" applyAlignment="1">
      <alignment vertical="center"/>
    </xf>
    <xf numFmtId="2" fontId="0" fillId="4" borderId="10" xfId="0" applyNumberFormat="1" applyFill="1" applyBorder="1" applyAlignment="1">
      <alignment vertical="center"/>
    </xf>
    <xf numFmtId="9" fontId="0" fillId="4" borderId="13" xfId="0" applyNumberFormat="1" applyFill="1" applyBorder="1" applyAlignment="1">
      <alignment vertical="center"/>
    </xf>
    <xf numFmtId="2" fontId="0" fillId="4" borderId="13" xfId="0" applyNumberFormat="1" applyFill="1" applyBorder="1" applyAlignment="1">
      <alignment vertical="center"/>
    </xf>
    <xf numFmtId="2" fontId="0" fillId="4" borderId="14" xfId="0" applyNumberFormat="1" applyFill="1" applyBorder="1" applyAlignment="1">
      <alignment vertical="center"/>
    </xf>
    <xf numFmtId="2" fontId="0" fillId="4" borderId="15" xfId="0" applyNumberFormat="1" applyFill="1" applyBorder="1" applyAlignment="1">
      <alignment vertical="center"/>
    </xf>
    <xf numFmtId="0" fontId="0" fillId="4" borderId="6" xfId="0" applyFill="1" applyBorder="1" applyAlignment="1">
      <alignment vertical="center"/>
    </xf>
    <xf numFmtId="0" fontId="0" fillId="4" borderId="18" xfId="0" applyFill="1" applyBorder="1" applyAlignment="1">
      <alignment vertical="center"/>
    </xf>
    <xf numFmtId="0" fontId="0" fillId="4" borderId="19" xfId="0" applyFill="1" applyBorder="1" applyAlignment="1">
      <alignment vertical="center"/>
    </xf>
    <xf numFmtId="0" fontId="0" fillId="4" borderId="20" xfId="0" applyFill="1" applyBorder="1" applyAlignment="1">
      <alignment vertical="center"/>
    </xf>
    <xf numFmtId="0" fontId="0" fillId="4" borderId="21" xfId="0" applyFill="1" applyBorder="1" applyAlignment="1">
      <alignment vertical="center"/>
    </xf>
    <xf numFmtId="3" fontId="0" fillId="2" borderId="3" xfId="0" applyNumberFormat="1" applyFill="1" applyBorder="1"/>
    <xf numFmtId="3" fontId="0" fillId="2" borderId="6" xfId="0" applyNumberFormat="1" applyFill="1" applyBorder="1"/>
    <xf numFmtId="0" fontId="0" fillId="5" borderId="22" xfId="0" applyFill="1" applyBorder="1"/>
    <xf numFmtId="2" fontId="0" fillId="5" borderId="12" xfId="0" applyNumberFormat="1" applyFill="1" applyBorder="1"/>
    <xf numFmtId="0" fontId="0" fillId="5" borderId="23" xfId="0" applyFill="1" applyBorder="1"/>
    <xf numFmtId="0" fontId="0" fillId="2" borderId="5" xfId="0" applyFill="1" applyBorder="1" applyAlignment="1">
      <alignment horizontal="left"/>
    </xf>
    <xf numFmtId="2" fontId="0" fillId="2" borderId="6" xfId="0" applyNumberFormat="1" applyFill="1" applyBorder="1" applyAlignment="1">
      <alignment horizontal="left"/>
    </xf>
    <xf numFmtId="10" fontId="0" fillId="2" borderId="4" xfId="1" applyNumberFormat="1" applyFont="1" applyFill="1" applyBorder="1" applyAlignment="1">
      <alignment horizontal="left"/>
    </xf>
    <xf numFmtId="10" fontId="0" fillId="2" borderId="6" xfId="1" applyNumberFormat="1" applyFont="1" applyFill="1" applyBorder="1" applyAlignment="1">
      <alignment horizontal="left"/>
    </xf>
    <xf numFmtId="9" fontId="0" fillId="3" borderId="6" xfId="1" applyFont="1" applyFill="1" applyBorder="1" applyAlignment="1">
      <alignment horizontal="left"/>
    </xf>
    <xf numFmtId="0" fontId="4" fillId="2" borderId="1" xfId="0" applyFont="1" applyFill="1" applyBorder="1"/>
    <xf numFmtId="0" fontId="4" fillId="2" borderId="2" xfId="0" applyFont="1" applyFill="1" applyBorder="1"/>
    <xf numFmtId="10" fontId="0" fillId="2" borderId="6" xfId="0" applyNumberFormat="1" applyFill="1" applyBorder="1"/>
    <xf numFmtId="2" fontId="0" fillId="4" borderId="16" xfId="0" applyNumberFormat="1" applyFill="1" applyBorder="1" applyAlignment="1">
      <alignment vertical="center"/>
    </xf>
    <xf numFmtId="2" fontId="0" fillId="4" borderId="17" xfId="0" applyNumberFormat="1" applyFill="1" applyBorder="1" applyAlignment="1">
      <alignment vertical="center"/>
    </xf>
    <xf numFmtId="2" fontId="0" fillId="4" borderId="11" xfId="0" applyNumberFormat="1" applyFill="1" applyBorder="1" applyAlignment="1">
      <alignment vertical="center"/>
    </xf>
    <xf numFmtId="164" fontId="0" fillId="0" borderId="0" xfId="1" applyNumberFormat="1" applyFont="1"/>
    <xf numFmtId="9" fontId="0" fillId="0" borderId="0" xfId="1" applyFont="1" applyAlignment="1">
      <alignment horizontal="left"/>
    </xf>
    <xf numFmtId="0" fontId="0" fillId="0" borderId="0" xfId="0" applyAlignment="1">
      <alignment wrapText="1"/>
    </xf>
    <xf numFmtId="0" fontId="0" fillId="6" borderId="0" xfId="0" applyFill="1" applyAlignment="1">
      <alignment wrapText="1"/>
    </xf>
    <xf numFmtId="0" fontId="0" fillId="6" borderId="0" xfId="0" applyFill="1"/>
    <xf numFmtId="0" fontId="0" fillId="5" borderId="0" xfId="0" applyFill="1"/>
    <xf numFmtId="0" fontId="0" fillId="2" borderId="0" xfId="0" applyFill="1"/>
    <xf numFmtId="4" fontId="2" fillId="2" borderId="0" xfId="0" applyNumberFormat="1" applyFont="1" applyFill="1" applyAlignment="1">
      <alignment horizontal="right" vertical="center"/>
    </xf>
    <xf numFmtId="44" fontId="0" fillId="2" borderId="4" xfId="2" applyFont="1" applyFill="1" applyBorder="1"/>
    <xf numFmtId="44" fontId="0" fillId="5" borderId="15" xfId="2" applyFont="1" applyFill="1" applyBorder="1"/>
    <xf numFmtId="164" fontId="0" fillId="0" borderId="10" xfId="1" applyNumberFormat="1" applyFont="1" applyBorder="1"/>
    <xf numFmtId="164" fontId="0" fillId="0" borderId="24" xfId="1" applyNumberFormat="1" applyFont="1" applyBorder="1"/>
    <xf numFmtId="164" fontId="0" fillId="0" borderId="13" xfId="1" applyNumberFormat="1" applyFont="1" applyBorder="1"/>
    <xf numFmtId="164" fontId="0" fillId="0" borderId="23" xfId="1" applyNumberFormat="1" applyFont="1" applyBorder="1"/>
    <xf numFmtId="164" fontId="0" fillId="0" borderId="14" xfId="1" applyNumberFormat="1" applyFont="1" applyBorder="1"/>
    <xf numFmtId="164" fontId="0" fillId="0" borderId="15" xfId="1" applyNumberFormat="1" applyFont="1" applyBorder="1"/>
    <xf numFmtId="164" fontId="0" fillId="0" borderId="28" xfId="1" applyNumberFormat="1" applyFont="1" applyBorder="1"/>
    <xf numFmtId="164" fontId="0" fillId="0" borderId="16" xfId="1" applyNumberFormat="1" applyFont="1" applyBorder="1"/>
    <xf numFmtId="164" fontId="0" fillId="0" borderId="17" xfId="1" applyNumberFormat="1" applyFont="1" applyBorder="1"/>
    <xf numFmtId="0" fontId="5" fillId="0" borderId="23" xfId="0" applyFont="1" applyBorder="1"/>
    <xf numFmtId="0" fontId="5" fillId="0" borderId="14" xfId="0" applyFont="1" applyBorder="1"/>
    <xf numFmtId="0" fontId="5" fillId="0" borderId="15" xfId="0" applyFont="1" applyBorder="1"/>
    <xf numFmtId="0" fontId="5" fillId="0" borderId="25" xfId="0" applyFont="1" applyBorder="1"/>
    <xf numFmtId="0" fontId="5" fillId="0" borderId="26" xfId="0" applyFont="1" applyBorder="1"/>
    <xf numFmtId="0" fontId="5" fillId="0" borderId="27" xfId="0" applyFont="1" applyBorder="1"/>
    <xf numFmtId="0" fontId="6" fillId="0" borderId="0" xfId="0" applyFont="1" applyAlignment="1">
      <alignment horizontal="right" vertical="center"/>
    </xf>
    <xf numFmtId="4" fontId="6" fillId="0" borderId="0" xfId="0" applyNumberFormat="1" applyFont="1" applyAlignment="1">
      <alignment horizontal="right" vertical="center"/>
    </xf>
    <xf numFmtId="165" fontId="0" fillId="0" borderId="0" xfId="0" applyNumberFormat="1"/>
    <xf numFmtId="10" fontId="5" fillId="0" borderId="10" xfId="1" applyNumberFormat="1" applyFont="1" applyBorder="1"/>
    <xf numFmtId="0" fontId="5" fillId="2" borderId="10" xfId="0" applyFont="1" applyFill="1" applyBorder="1"/>
    <xf numFmtId="0" fontId="0" fillId="0" borderId="1" xfId="0" applyBorder="1"/>
    <xf numFmtId="0" fontId="0" fillId="0" borderId="29" xfId="0" applyBorder="1"/>
    <xf numFmtId="0" fontId="0" fillId="0" borderId="2" xfId="0" applyBorder="1"/>
    <xf numFmtId="0" fontId="1" fillId="0" borderId="3" xfId="0" applyFont="1" applyBorder="1" applyAlignment="1">
      <alignment horizontal="right" vertical="center"/>
    </xf>
    <xf numFmtId="0" fontId="9" fillId="0" borderId="0" xfId="0" applyFont="1" applyAlignment="1">
      <alignment horizontal="right"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vertical="center"/>
    </xf>
    <xf numFmtId="0" fontId="9" fillId="0" borderId="7" xfId="0" applyFont="1" applyBorder="1" applyAlignment="1">
      <alignment horizontal="righ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4" fontId="9" fillId="0" borderId="3" xfId="0" applyNumberFormat="1" applyFont="1" applyBorder="1" applyAlignment="1">
      <alignment horizontal="right" vertical="center"/>
    </xf>
    <xf numFmtId="4" fontId="9" fillId="0" borderId="5" xfId="0" applyNumberFormat="1" applyFont="1" applyBorder="1" applyAlignment="1">
      <alignment horizontal="right" vertical="center"/>
    </xf>
    <xf numFmtId="0" fontId="9" fillId="0" borderId="6" xfId="0" applyFont="1" applyBorder="1" applyAlignment="1">
      <alignment horizontal="right" vertical="center"/>
    </xf>
    <xf numFmtId="0" fontId="7" fillId="0" borderId="1" xfId="0" applyFont="1" applyBorder="1" applyAlignment="1">
      <alignment wrapText="1"/>
    </xf>
    <xf numFmtId="0" fontId="7" fillId="0" borderId="29" xfId="0" applyFont="1" applyBorder="1" applyAlignment="1">
      <alignment wrapText="1"/>
    </xf>
    <xf numFmtId="0" fontId="8" fillId="0" borderId="29" xfId="0" applyFont="1" applyBorder="1" applyAlignment="1">
      <alignment wrapText="1"/>
    </xf>
    <xf numFmtId="0" fontId="7" fillId="0" borderId="2" xfId="0" applyFont="1" applyBorder="1"/>
    <xf numFmtId="0" fontId="8" fillId="0" borderId="1" xfId="0" applyFont="1" applyBorder="1" applyAlignment="1">
      <alignment wrapText="1"/>
    </xf>
    <xf numFmtId="0" fontId="8" fillId="0" borderId="2" xfId="0" applyFont="1" applyBorder="1" applyAlignment="1">
      <alignment wrapText="1"/>
    </xf>
    <xf numFmtId="0" fontId="7" fillId="0" borderId="2" xfId="0" applyFont="1" applyBorder="1" applyAlignment="1">
      <alignment wrapText="1"/>
    </xf>
    <xf numFmtId="0" fontId="9" fillId="0" borderId="5" xfId="0" applyFont="1" applyBorder="1" applyAlignment="1">
      <alignment horizontal="right" vertical="center"/>
    </xf>
    <xf numFmtId="4" fontId="1" fillId="0" borderId="0" xfId="0" applyNumberFormat="1" applyFont="1" applyAlignment="1">
      <alignment horizontal="right" vertical="center"/>
    </xf>
    <xf numFmtId="4" fontId="1" fillId="0" borderId="7" xfId="0" applyNumberFormat="1" applyFont="1" applyBorder="1" applyAlignment="1">
      <alignment horizontal="right" vertical="center"/>
    </xf>
    <xf numFmtId="4" fontId="9" fillId="0" borderId="7" xfId="0" applyNumberFormat="1" applyFont="1" applyBorder="1" applyAlignment="1">
      <alignment horizontal="right" vertical="center"/>
    </xf>
    <xf numFmtId="4" fontId="1" fillId="0" borderId="6" xfId="0" applyNumberFormat="1" applyFont="1" applyBorder="1" applyAlignment="1">
      <alignment horizontal="right" vertical="center"/>
    </xf>
    <xf numFmtId="4" fontId="9" fillId="0" borderId="6" xfId="0" applyNumberFormat="1" applyFont="1" applyBorder="1" applyAlignment="1">
      <alignment horizontal="right" vertical="center"/>
    </xf>
    <xf numFmtId="164" fontId="0" fillId="3" borderId="4" xfId="1" applyNumberFormat="1" applyFont="1" applyFill="1" applyBorder="1" applyAlignment="1">
      <alignment horizontal="left"/>
    </xf>
    <xf numFmtId="164" fontId="0" fillId="3" borderId="6" xfId="1" applyNumberFormat="1" applyFont="1" applyFill="1" applyBorder="1" applyAlignment="1">
      <alignment horizontal="left"/>
    </xf>
    <xf numFmtId="0" fontId="0" fillId="0" borderId="8" xfId="0" applyBorder="1" applyAlignment="1">
      <alignment wrapText="1"/>
    </xf>
    <xf numFmtId="166" fontId="0" fillId="0" borderId="30" xfId="0" applyNumberFormat="1" applyBorder="1"/>
    <xf numFmtId="166" fontId="0" fillId="0" borderId="9" xfId="0" applyNumberFormat="1" applyBorder="1"/>
    <xf numFmtId="166" fontId="0" fillId="0" borderId="0" xfId="0" applyNumberFormat="1"/>
    <xf numFmtId="0" fontId="0" fillId="3" borderId="8" xfId="0" applyFill="1" applyBorder="1" applyAlignment="1">
      <alignment horizontal="center"/>
    </xf>
    <xf numFmtId="0" fontId="0" fillId="0" borderId="2" xfId="0" applyBorder="1"/>
    <xf numFmtId="0" fontId="0" fillId="4" borderId="5" xfId="0" applyFill="1" applyBorder="1" applyAlignment="1">
      <alignment vertical="center"/>
    </xf>
    <xf numFmtId="0" fontId="0" fillId="0" borderId="7" xfId="0" applyBorder="1"/>
    <xf numFmtId="0" fontId="0" fillId="4" borderId="3" xfId="0" applyFill="1" applyBorder="1" applyAlignment="1">
      <alignment vertical="center"/>
    </xf>
    <xf numFmtId="0" fontId="0" fillId="0" borderId="0" xfId="0"/>
    <xf numFmtId="0" fontId="0" fillId="2" borderId="8" xfId="0" applyFill="1" applyBorder="1" applyAlignment="1">
      <alignment horizontal="center"/>
    </xf>
    <xf numFmtId="0" fontId="4" fillId="2" borderId="30" xfId="0" applyFont="1" applyFill="1" applyBorder="1" applyAlignment="1">
      <alignment horizontal="left"/>
    </xf>
    <xf numFmtId="0" fontId="0" fillId="0" borderId="4" xfId="0" applyBorder="1"/>
    <xf numFmtId="0" fontId="0" fillId="2" borderId="8" xfId="0" applyFill="1" applyBorder="1" applyAlignment="1">
      <alignment horizontal="left"/>
    </xf>
    <xf numFmtId="0" fontId="0" fillId="4" borderId="31" xfId="0" applyFill="1" applyBorder="1" applyAlignment="1">
      <alignment horizontal="center" vertical="center" wrapText="1"/>
    </xf>
    <xf numFmtId="0" fontId="0" fillId="0" borderId="9" xfId="0" applyBorder="1"/>
    <xf numFmtId="0" fontId="5" fillId="0" borderId="22" xfId="0" applyFont="1" applyBorder="1" applyAlignment="1">
      <alignment horizontal="center"/>
    </xf>
    <xf numFmtId="0" fontId="0" fillId="0" borderId="32" xfId="0" applyBorder="1"/>
    <xf numFmtId="0" fontId="0" fillId="0" borderId="33" xfId="0" applyBorder="1"/>
  </cellXfs>
  <cellStyles count="3">
    <cellStyle name="Currency" xfId="2" builtinId="4"/>
    <cellStyle name="Normal" xfId="0" builtinId="0"/>
    <cellStyle name="Percent" xfId="1" builtinId="5"/>
  </cellStyles>
  <dxfs count="2">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chartsheet" Target="chartsheets/sheet1.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3.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chartsheet" Target="chartsheets/sheet2.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strRef>
          <c:f>'Data Entry'!$B$23</c:f>
          <c:strCache>
            <c:ptCount val="1"/>
            <c:pt idx="0">
              <c:v>Free Cash Flow of NVIDIA CORPORATION 31/5/2025</c:v>
            </c:pt>
          </c:strCache>
        </c:strRef>
      </c:tx>
      <c:overlay val="0"/>
      <c:spPr>
        <a:noFill/>
        <a:ln>
          <a:noFill/>
          <a:prstDash val="solid"/>
        </a:ln>
      </c:spPr>
      <c: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'FCF DATA'!$C$2</c:f>
              <c:strCache>
                <c:ptCount val="1"/>
                <c:pt idx="0">
                  <c:v>Cash from operations</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DATA'!$B$3:$B$12</c:f>
              <c:strCache>
                <c:ptCount val="10"/>
                <c:pt idx="0">
                  <c:v>2016-01-31</c:v>
                </c:pt>
                <c:pt idx="1">
                  <c:v>2017-01-29</c:v>
                </c:pt>
                <c:pt idx="2">
                  <c:v>2018-01-28</c:v>
                </c:pt>
                <c:pt idx="3">
                  <c:v>2019-01-27</c:v>
                </c:pt>
                <c:pt idx="4">
                  <c:v>2020-01-26</c:v>
                </c:pt>
                <c:pt idx="5">
                  <c:v>2021-01-31</c:v>
                </c:pt>
                <c:pt idx="6">
                  <c:v>2022-01-30</c:v>
                </c:pt>
                <c:pt idx="7">
                  <c:v>2023-01-29</c:v>
                </c:pt>
                <c:pt idx="8">
                  <c:v>2024-01-28</c:v>
                </c:pt>
                <c:pt idx="9">
                  <c:v>2025-04-27</c:v>
                </c:pt>
              </c:strCache>
            </c:strRef>
          </c:xVal>
          <c:yVal>
            <c:numRef>
              <c:f>'FCF DATA'!$E$3:$E$12</c:f>
              <c:numCache>
                <c:formatCode>#,##0.00</c:formatCode>
                <c:ptCount val="10"/>
                <c:pt idx="0">
                  <c:v>1089</c:v>
                </c:pt>
                <c:pt idx="1">
                  <c:v>1496</c:v>
                </c:pt>
                <c:pt idx="2">
                  <c:v>2909</c:v>
                </c:pt>
                <c:pt idx="3">
                  <c:v>3143</c:v>
                </c:pt>
                <c:pt idx="4">
                  <c:v>4272</c:v>
                </c:pt>
                <c:pt idx="5">
                  <c:v>4694</c:v>
                </c:pt>
                <c:pt idx="6">
                  <c:v>8132</c:v>
                </c:pt>
                <c:pt idx="7">
                  <c:v>3808</c:v>
                </c:pt>
                <c:pt idx="8">
                  <c:v>27021</c:v>
                </c:pt>
                <c:pt idx="9">
                  <c:v>72064</c:v>
                </c:pt>
              </c:numCache>
            </c:numRef>
          </c:yVal>
          <c:smooth val="1"/>
          <c:extLst>
            <c:ext xmlns:c16="http://schemas.microsoft.com/office/drawing/2014/chart" uri="{C3380CC4-5D6E-409C-BE32-E72D297353CC}">
              <c16:uniqueId val="{00000000-AFB7-4758-B199-5A00087FD3C0}"/>
            </c:ext>
          </c:extLst>
        </c:ser>
        <c:ser>
          <c:idx val="1"/>
          <c:order val="1"/>
          <c:tx>
            <c:strRef>
              <c:f>'FCF DATA'!$G$17</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DATA'!$B$18:$B$27</c:f>
              <c:strCache>
                <c:ptCount val="10"/>
                <c:pt idx="0">
                  <c:v>2016-01-31</c:v>
                </c:pt>
                <c:pt idx="1">
                  <c:v>2017-01-29</c:v>
                </c:pt>
                <c:pt idx="2">
                  <c:v>2018-01-28</c:v>
                </c:pt>
                <c:pt idx="3">
                  <c:v>2019-01-27</c:v>
                </c:pt>
                <c:pt idx="4">
                  <c:v>2020-01-26</c:v>
                </c:pt>
                <c:pt idx="5">
                  <c:v>2021-01-31</c:v>
                </c:pt>
                <c:pt idx="6">
                  <c:v>2022-01-30</c:v>
                </c:pt>
                <c:pt idx="7">
                  <c:v>2023-01-29</c:v>
                </c:pt>
                <c:pt idx="8">
                  <c:v>2024-01-28</c:v>
                </c:pt>
                <c:pt idx="9">
                  <c:v>2025-04-27</c:v>
                </c:pt>
              </c:strCache>
            </c:strRef>
          </c:xVal>
          <c:yVal>
            <c:numRef>
              <c:f>'FCF DATA'!$G$18:$G$27</c:f>
              <c:numCache>
                <c:formatCode>0.00</c:formatCode>
                <c:ptCount val="10"/>
                <c:pt idx="0">
                  <c:v>733.56123822341851</c:v>
                </c:pt>
                <c:pt idx="1">
                  <c:v>1697.9853018372703</c:v>
                </c:pt>
                <c:pt idx="2">
                  <c:v>3052.3473091364203</c:v>
                </c:pt>
                <c:pt idx="3">
                  <c:v>3965.2145790554418</c:v>
                </c:pt>
                <c:pt idx="4">
                  <c:v>2553.2646464646464</c:v>
                </c:pt>
                <c:pt idx="5">
                  <c:v>4765.551145384441</c:v>
                </c:pt>
                <c:pt idx="6">
                  <c:v>10057.09878281863</c:v>
                </c:pt>
                <c:pt idx="7">
                  <c:v>5821.4376943314992</c:v>
                </c:pt>
                <c:pt idx="8">
                  <c:v>28406.515997397837</c:v>
                </c:pt>
                <c:pt idx="9">
                  <c:v>72934.732688902179</c:v>
                </c:pt>
              </c:numCache>
            </c:numRef>
          </c:yVal>
          <c:smooth val="1"/>
          <c:extLst>
            <c:ext xmlns:c16="http://schemas.microsoft.com/office/drawing/2014/chart" uri="{C3380CC4-5D6E-409C-BE32-E72D297353CC}">
              <c16:uniqueId val="{00000001-AFB7-4758-B199-5A00087FD3C0}"/>
            </c:ext>
          </c:extLst>
        </c:ser>
        <c:ser>
          <c:idx val="2"/>
          <c:order val="2"/>
          <c:tx>
            <c:strRef>
              <c:f>'FCF DATA'!$H$34</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DATA'!$B$35:$B$44</c:f>
              <c:strCache>
                <c:ptCount val="10"/>
                <c:pt idx="0">
                  <c:v>2016-01-31</c:v>
                </c:pt>
                <c:pt idx="1">
                  <c:v>2017-01-29</c:v>
                </c:pt>
                <c:pt idx="2">
                  <c:v>2018-01-28</c:v>
                </c:pt>
                <c:pt idx="3">
                  <c:v>2019-01-27</c:v>
                </c:pt>
                <c:pt idx="4">
                  <c:v>2020-01-26</c:v>
                </c:pt>
                <c:pt idx="5">
                  <c:v>2021-01-31</c:v>
                </c:pt>
                <c:pt idx="6">
                  <c:v>2022-01-30</c:v>
                </c:pt>
                <c:pt idx="7">
                  <c:v>2023-01-29</c:v>
                </c:pt>
                <c:pt idx="8">
                  <c:v>2024-01-28</c:v>
                </c:pt>
                <c:pt idx="9">
                  <c:v>2025-04-27</c:v>
                </c:pt>
              </c:strCache>
            </c:strRef>
          </c:xVal>
          <c:yVal>
            <c:numRef>
              <c:f>'FCF DATA'!$H$35:$H$44</c:f>
              <c:numCache>
                <c:formatCode>#,##0.00</c:formatCode>
                <c:ptCount val="10"/>
                <c:pt idx="0">
                  <c:v>1150</c:v>
                </c:pt>
                <c:pt idx="1">
                  <c:v>4410</c:v>
                </c:pt>
                <c:pt idx="2">
                  <c:v>7339</c:v>
                </c:pt>
                <c:pt idx="3">
                  <c:v>8471</c:v>
                </c:pt>
                <c:pt idx="4">
                  <c:v>6374</c:v>
                </c:pt>
                <c:pt idx="5">
                  <c:v>782</c:v>
                </c:pt>
                <c:pt idx="6">
                  <c:v>20053</c:v>
                </c:pt>
                <c:pt idx="7">
                  <c:v>8290</c:v>
                </c:pt>
                <c:pt idx="8">
                  <c:v>60158</c:v>
                </c:pt>
                <c:pt idx="9">
                  <c:v>157049</c:v>
                </c:pt>
              </c:numCache>
            </c:numRef>
          </c:yVal>
          <c:smooth val="1"/>
          <c:extLst>
            <c:ext xmlns:c16="http://schemas.microsoft.com/office/drawing/2014/chart" uri="{C3380CC4-5D6E-409C-BE32-E72D297353CC}">
              <c16:uniqueId val="{00000002-AFB7-4758-B199-5A00087FD3C0}"/>
            </c:ext>
          </c:extLst>
        </c:ser>
        <c:ser>
          <c:idx val="3"/>
          <c:order val="3"/>
          <c:tx>
            <c:strRef>
              <c:f>'FCF DATA'!$C$49</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DATA'!$B$50:$B$59</c:f>
              <c:strCache>
                <c:ptCount val="10"/>
                <c:pt idx="0">
                  <c:v>2016-01-31</c:v>
                </c:pt>
                <c:pt idx="1">
                  <c:v>2017-01-29</c:v>
                </c:pt>
                <c:pt idx="2">
                  <c:v>2018-01-28</c:v>
                </c:pt>
                <c:pt idx="3">
                  <c:v>2019-01-27</c:v>
                </c:pt>
                <c:pt idx="4">
                  <c:v>2020-01-26</c:v>
                </c:pt>
                <c:pt idx="5">
                  <c:v>2021-01-31</c:v>
                </c:pt>
                <c:pt idx="6">
                  <c:v>2022-01-30</c:v>
                </c:pt>
                <c:pt idx="7">
                  <c:v>2023-01-29</c:v>
                </c:pt>
                <c:pt idx="8">
                  <c:v>2024-01-28</c:v>
                </c:pt>
                <c:pt idx="9">
                  <c:v>2025-04-27</c:v>
                </c:pt>
              </c:strCache>
            </c:strRef>
          </c:xVal>
          <c:yVal>
            <c:numRef>
              <c:f>'FCF DATA'!$C$50:$C$59</c:f>
              <c:numCache>
                <c:formatCode>0.00</c:formatCode>
                <c:ptCount val="10"/>
                <c:pt idx="0">
                  <c:v>990.85374607447284</c:v>
                </c:pt>
                <c:pt idx="1">
                  <c:v>2534.6617672790903</c:v>
                </c:pt>
                <c:pt idx="2">
                  <c:v>4433.4491030454737</c:v>
                </c:pt>
                <c:pt idx="3">
                  <c:v>5193.0715263518141</c:v>
                </c:pt>
                <c:pt idx="4">
                  <c:v>4399.7548821548817</c:v>
                </c:pt>
                <c:pt idx="5">
                  <c:v>3413.8503817948135</c:v>
                </c:pt>
                <c:pt idx="6">
                  <c:v>12747.366260939545</c:v>
                </c:pt>
                <c:pt idx="7">
                  <c:v>5973.1458981104997</c:v>
                </c:pt>
                <c:pt idx="8">
                  <c:v>38528.505332465946</c:v>
                </c:pt>
                <c:pt idx="9">
                  <c:v>100682.57756296739</c:v>
                </c:pt>
              </c:numCache>
            </c:numRef>
          </c:yVal>
          <c:smooth val="1"/>
          <c:extLst>
            <c:ext xmlns:c16="http://schemas.microsoft.com/office/drawing/2014/chart" uri="{C3380CC4-5D6E-409C-BE32-E72D297353CC}">
              <c16:uniqueId val="{00000003-AFB7-4758-B199-5A00087FD3C0}"/>
            </c:ext>
          </c:extLst>
        </c:ser>
        <c:dLbls>
          <c:showLegendKey val="0"/>
          <c:showVal val="0"/>
          <c:showCatName val="0"/>
          <c:showSerName val="0"/>
          <c:showPercent val="0"/>
          <c:showBubbleSize val="0"/>
        </c:dLbls>
        <c:axId val="88601391"/>
        <c:axId val="100529887"/>
      </c:scatterChart>
      <c:valAx>
        <c:axId val="88601391"/>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00529887"/>
        <c:crosses val="autoZero"/>
        <c:crossBetween val="midCat"/>
      </c:valAx>
      <c:valAx>
        <c:axId val="100529887"/>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out"/>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88601391"/>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Growth YoY</a:t>
            </a:r>
          </a:p>
        </c:rich>
      </c:tx>
      <c:overlay val="0"/>
      <c:spPr>
        <a:noFill/>
        <a:ln>
          <a:noFill/>
          <a:prstDash val="solid"/>
        </a:ln>
      </c:spPr>
    </c:title>
    <c:autoTitleDeleted val="0"/>
    <c:plotArea>
      <c:layout/>
      <c:scatterChart>
        <c:scatterStyle val="smoothMarker"/>
        <c:varyColors val="0"/>
        <c:ser>
          <c:idx val="0"/>
          <c:order val="0"/>
          <c:tx>
            <c:strRef>
              <c:f>'FCF DATA'!$C$63</c:f>
              <c:strCache>
                <c:ptCount val="1"/>
                <c:pt idx="0">
                  <c:v>FCF</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DATA'!$B$64:$B$72</c:f>
              <c:strCache>
                <c:ptCount val="9"/>
                <c:pt idx="0">
                  <c:v>2016-01-31</c:v>
                </c:pt>
                <c:pt idx="1">
                  <c:v>2017-01-29</c:v>
                </c:pt>
                <c:pt idx="2">
                  <c:v>2018-01-28</c:v>
                </c:pt>
                <c:pt idx="3">
                  <c:v>2019-01-27</c:v>
                </c:pt>
                <c:pt idx="4">
                  <c:v>2020-01-26</c:v>
                </c:pt>
                <c:pt idx="5">
                  <c:v>2021-01-31</c:v>
                </c:pt>
                <c:pt idx="6">
                  <c:v>2022-01-30</c:v>
                </c:pt>
                <c:pt idx="7">
                  <c:v>2023-01-29</c:v>
                </c:pt>
                <c:pt idx="8">
                  <c:v>2024-01-28</c:v>
                </c:pt>
              </c:strCache>
            </c:strRef>
          </c:xVal>
          <c:yVal>
            <c:numRef>
              <c:f>'FCF DATA'!$C$64:$C$72</c:f>
              <c:numCache>
                <c:formatCode>0.0%</c:formatCode>
                <c:ptCount val="9"/>
                <c:pt idx="0">
                  <c:v>0.37373737373737376</c:v>
                </c:pt>
                <c:pt idx="1">
                  <c:v>0.94451871657754005</c:v>
                </c:pt>
                <c:pt idx="2">
                  <c:v>8.0440013750429695E-2</c:v>
                </c:pt>
                <c:pt idx="3">
                  <c:v>0.35921094495704742</c:v>
                </c:pt>
                <c:pt idx="4">
                  <c:v>9.878277153558053E-2</c:v>
                </c:pt>
                <c:pt idx="5">
                  <c:v>0.73242437153813378</c:v>
                </c:pt>
                <c:pt idx="6">
                  <c:v>-0.53172651254303982</c:v>
                </c:pt>
                <c:pt idx="7">
                  <c:v>6.0958508403361344</c:v>
                </c:pt>
                <c:pt idx="8">
                  <c:v>1.6669627326893897</c:v>
                </c:pt>
              </c:numCache>
            </c:numRef>
          </c:yVal>
          <c:smooth val="1"/>
          <c:extLst>
            <c:ext xmlns:c16="http://schemas.microsoft.com/office/drawing/2014/chart" uri="{C3380CC4-5D6E-409C-BE32-E72D297353CC}">
              <c16:uniqueId val="{00000000-7098-4105-9C50-CF526F93B930}"/>
            </c:ext>
          </c:extLst>
        </c:ser>
        <c:ser>
          <c:idx val="1"/>
          <c:order val="1"/>
          <c:tx>
            <c:strRef>
              <c:f>'FCF DATA'!$D$63</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DATA'!$B$64:$B$72</c:f>
              <c:strCache>
                <c:ptCount val="9"/>
                <c:pt idx="0">
                  <c:v>2016-01-31</c:v>
                </c:pt>
                <c:pt idx="1">
                  <c:v>2017-01-29</c:v>
                </c:pt>
                <c:pt idx="2">
                  <c:v>2018-01-28</c:v>
                </c:pt>
                <c:pt idx="3">
                  <c:v>2019-01-27</c:v>
                </c:pt>
                <c:pt idx="4">
                  <c:v>2020-01-26</c:v>
                </c:pt>
                <c:pt idx="5">
                  <c:v>2021-01-31</c:v>
                </c:pt>
                <c:pt idx="6">
                  <c:v>2022-01-30</c:v>
                </c:pt>
                <c:pt idx="7">
                  <c:v>2023-01-29</c:v>
                </c:pt>
                <c:pt idx="8">
                  <c:v>2024-01-28</c:v>
                </c:pt>
              </c:strCache>
            </c:strRef>
          </c:xVal>
          <c:yVal>
            <c:numRef>
              <c:f>'FCF DATA'!$D$64:$D$72</c:f>
              <c:numCache>
                <c:formatCode>0.0%</c:formatCode>
                <c:ptCount val="9"/>
                <c:pt idx="0">
                  <c:v>1.314715136734256</c:v>
                </c:pt>
                <c:pt idx="1">
                  <c:v>0.79762881682997511</c:v>
                </c:pt>
                <c:pt idx="2">
                  <c:v>0.29907057666294623</c:v>
                </c:pt>
                <c:pt idx="3">
                  <c:v>-0.35608411712415766</c:v>
                </c:pt>
                <c:pt idx="4">
                  <c:v>0.86645405206350867</c:v>
                </c:pt>
                <c:pt idx="5">
                  <c:v>1.1103747449146966</c:v>
                </c:pt>
                <c:pt idx="6">
                  <c:v>-0.42116132892353203</c:v>
                </c:pt>
                <c:pt idx="7">
                  <c:v>3.8796392727964908</c:v>
                </c:pt>
                <c:pt idx="8">
                  <c:v>1.5675353040683808</c:v>
                </c:pt>
              </c:numCache>
            </c:numRef>
          </c:yVal>
          <c:smooth val="1"/>
          <c:extLst>
            <c:ext xmlns:c16="http://schemas.microsoft.com/office/drawing/2014/chart" uri="{C3380CC4-5D6E-409C-BE32-E72D297353CC}">
              <c16:uniqueId val="{00000001-7098-4105-9C50-CF526F93B930}"/>
            </c:ext>
          </c:extLst>
        </c:ser>
        <c:ser>
          <c:idx val="2"/>
          <c:order val="2"/>
          <c:tx>
            <c:strRef>
              <c:f>'FCF DATA'!$E$63</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DATA'!$B$64:$B$72</c:f>
              <c:strCache>
                <c:ptCount val="9"/>
                <c:pt idx="0">
                  <c:v>2016-01-31</c:v>
                </c:pt>
                <c:pt idx="1">
                  <c:v>2017-01-29</c:v>
                </c:pt>
                <c:pt idx="2">
                  <c:v>2018-01-28</c:v>
                </c:pt>
                <c:pt idx="3">
                  <c:v>2019-01-27</c:v>
                </c:pt>
                <c:pt idx="4">
                  <c:v>2020-01-26</c:v>
                </c:pt>
                <c:pt idx="5">
                  <c:v>2021-01-31</c:v>
                </c:pt>
                <c:pt idx="6">
                  <c:v>2022-01-30</c:v>
                </c:pt>
                <c:pt idx="7">
                  <c:v>2023-01-29</c:v>
                </c:pt>
                <c:pt idx="8">
                  <c:v>2024-01-28</c:v>
                </c:pt>
              </c:strCache>
            </c:strRef>
          </c:xVal>
          <c:yVal>
            <c:numRef>
              <c:f>'FCF DATA'!$E$64:$E$72</c:f>
              <c:numCache>
                <c:formatCode>0.0%</c:formatCode>
                <c:ptCount val="9"/>
                <c:pt idx="0">
                  <c:v>2.8347826086956522</c:v>
                </c:pt>
                <c:pt idx="1">
                  <c:v>0.66417233560090705</c:v>
                </c:pt>
                <c:pt idx="2">
                  <c:v>0.15424444747240768</c:v>
                </c:pt>
                <c:pt idx="3">
                  <c:v>-0.24755046629677724</c:v>
                </c:pt>
                <c:pt idx="4">
                  <c:v>-0.87731408848446812</c:v>
                </c:pt>
                <c:pt idx="5">
                  <c:v>24.643222506393862</c:v>
                </c:pt>
                <c:pt idx="6">
                  <c:v>-0.58659552186705233</c:v>
                </c:pt>
                <c:pt idx="7">
                  <c:v>6.2566948130277442</c:v>
                </c:pt>
                <c:pt idx="8">
                  <c:v>1.6106087303434289</c:v>
                </c:pt>
              </c:numCache>
            </c:numRef>
          </c:yVal>
          <c:smooth val="1"/>
          <c:extLst>
            <c:ext xmlns:c16="http://schemas.microsoft.com/office/drawing/2014/chart" uri="{C3380CC4-5D6E-409C-BE32-E72D297353CC}">
              <c16:uniqueId val="{00000002-7098-4105-9C50-CF526F93B930}"/>
            </c:ext>
          </c:extLst>
        </c:ser>
        <c:ser>
          <c:idx val="3"/>
          <c:order val="3"/>
          <c:tx>
            <c:strRef>
              <c:f>'FCF DATA'!$F$63</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DATA'!$B$64:$B$72</c:f>
              <c:strCache>
                <c:ptCount val="9"/>
                <c:pt idx="0">
                  <c:v>2016-01-31</c:v>
                </c:pt>
                <c:pt idx="1">
                  <c:v>2017-01-29</c:v>
                </c:pt>
                <c:pt idx="2">
                  <c:v>2018-01-28</c:v>
                </c:pt>
                <c:pt idx="3">
                  <c:v>2019-01-27</c:v>
                </c:pt>
                <c:pt idx="4">
                  <c:v>2020-01-26</c:v>
                </c:pt>
                <c:pt idx="5">
                  <c:v>2021-01-31</c:v>
                </c:pt>
                <c:pt idx="6">
                  <c:v>2022-01-30</c:v>
                </c:pt>
                <c:pt idx="7">
                  <c:v>2023-01-29</c:v>
                </c:pt>
                <c:pt idx="8">
                  <c:v>2024-01-28</c:v>
                </c:pt>
              </c:strCache>
            </c:strRef>
          </c:xVal>
          <c:yVal>
            <c:numRef>
              <c:f>'FCF DATA'!$F$64:$F$72</c:f>
              <c:numCache>
                <c:formatCode>0.0%</c:formatCode>
                <c:ptCount val="9"/>
                <c:pt idx="0">
                  <c:v>1.5580584191368485</c:v>
                </c:pt>
                <c:pt idx="1">
                  <c:v>0.74912848738973736</c:v>
                </c:pt>
                <c:pt idx="2">
                  <c:v>0.17133892949950236</c:v>
                </c:pt>
                <c:pt idx="3">
                  <c:v>-0.15276443626306943</c:v>
                </c:pt>
                <c:pt idx="4">
                  <c:v>-0.22408168790466768</c:v>
                </c:pt>
                <c:pt idx="5">
                  <c:v>2.7340143343475076</c:v>
                </c:pt>
                <c:pt idx="6">
                  <c:v>-0.53142117549305834</c:v>
                </c:pt>
                <c:pt idx="7">
                  <c:v>5.4502869994609986</c:v>
                </c:pt>
                <c:pt idx="8">
                  <c:v>1.6131970782195766</c:v>
                </c:pt>
              </c:numCache>
            </c:numRef>
          </c:yVal>
          <c:smooth val="1"/>
          <c:extLst>
            <c:ext xmlns:c16="http://schemas.microsoft.com/office/drawing/2014/chart" uri="{C3380CC4-5D6E-409C-BE32-E72D297353CC}">
              <c16:uniqueId val="{00000003-7098-4105-9C50-CF526F93B930}"/>
            </c:ext>
          </c:extLst>
        </c:ser>
        <c:dLbls>
          <c:showLegendKey val="0"/>
          <c:showVal val="0"/>
          <c:showCatName val="0"/>
          <c:showSerName val="0"/>
          <c:showPercent val="0"/>
          <c:showBubbleSize val="0"/>
        </c:dLbls>
        <c:axId val="1634462319"/>
        <c:axId val="1770288751"/>
      </c:scatterChart>
      <c:valAx>
        <c:axId val="1634462319"/>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770288751"/>
        <c:crosses val="autoZero"/>
        <c:crossBetween val="midCat"/>
      </c:valAx>
      <c:valAx>
        <c:axId val="1770288751"/>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634462319"/>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8983" cy="6045953"/>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8983" cy="6045953"/>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en-US</v>
    <v>a1yv52</v>
    <v>268435456</v>
    <v>1</v>
    <v>Powered by Refinitiv</v>
    <v>0</v>
    <v>NVIDIA CORPORATION (XNAS:NVDA)</v>
    <v>2</v>
    <v>3</v>
    <v>Finance</v>
    <v>4</v>
    <v>153.13</v>
    <v>86.62</v>
    <v>2.1352000000000002</v>
    <v>-4.0599999999999996</v>
    <v>-4.5140000000000007E-3</v>
    <v>-2.9169E-2</v>
    <v>-0.61</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139.62</v>
    <v>Semiconductors &amp; Semiconductor Equipment</v>
    <v>Stock</v>
    <v>45807.999990937496</v>
    <v>0</v>
    <v>132.91999999999999</v>
    <v>3297172000000</v>
    <v>NVIDIA CORPORATION</v>
    <v>NVIDIA CORPORATION</v>
    <v>138.715</v>
    <v>44.835099999999997</v>
    <v>139.19</v>
    <v>135.13</v>
    <v>134.52000000000001</v>
    <v>24400000000</v>
    <v>NVDA</v>
    <v>NVIDIA CORPORATION (XNAS:NVDA)</v>
    <v>333170851</v>
    <v>220446096</v>
    <v>1998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workbookViewId="0">
      <selection activeCell="C2" sqref="C2"/>
    </sheetView>
  </sheetViews>
  <sheetFormatPr defaultRowHeight="15" x14ac:dyDescent="0.25"/>
  <cols>
    <col min="1" max="1" width="13.28515625" customWidth="1"/>
    <col min="2" max="2" width="16.7109375" customWidth="1"/>
    <col min="3" max="3" width="13.85546875" customWidth="1"/>
    <col min="4" max="4" width="13.7109375" customWidth="1"/>
    <col min="5" max="5" width="11.7109375" customWidth="1"/>
    <col min="6" max="6" width="15" customWidth="1"/>
    <col min="7" max="7" width="15.140625" customWidth="1"/>
    <col min="8" max="8" width="16.140625" customWidth="1"/>
    <col min="9" max="9" width="16.42578125" customWidth="1"/>
    <col min="10" max="10" width="15.85546875" customWidth="1"/>
    <col min="11" max="11" width="16.28515625" customWidth="1"/>
    <col min="12" max="12" width="17.85546875" customWidth="1"/>
    <col min="13" max="13" width="14.85546875" customWidth="1"/>
    <col min="14" max="14" width="15" customWidth="1"/>
    <col min="15" max="15" width="16.85546875" customWidth="1"/>
  </cols>
  <sheetData>
    <row r="1" spans="1:15" x14ac:dyDescent="0.25">
      <c r="B1" t="s">
        <v>0</v>
      </c>
      <c r="C1" s="70">
        <v>45808</v>
      </c>
    </row>
    <row r="2" spans="1:15" x14ac:dyDescent="0.25">
      <c r="B2" t="s">
        <v>1</v>
      </c>
      <c r="C2" t="e" vm="1">
        <v>#VALUE!</v>
      </c>
    </row>
    <row r="3" spans="1:15" x14ac:dyDescent="0.25">
      <c r="B3" t="s">
        <v>2</v>
      </c>
      <c r="C3" s="105" t="s">
        <v>3</v>
      </c>
    </row>
    <row r="4" spans="1:15" ht="15.75" customHeight="1" thickBot="1" x14ac:dyDescent="0.3"/>
    <row r="5" spans="1:15" ht="15.75" customHeight="1" thickBot="1" x14ac:dyDescent="0.3">
      <c r="B5" s="73" t="s">
        <v>4</v>
      </c>
      <c r="C5" s="74"/>
      <c r="D5" s="74"/>
      <c r="E5" s="74"/>
      <c r="F5" s="75"/>
      <c r="G5" s="73" t="s">
        <v>5</v>
      </c>
      <c r="H5" s="75"/>
      <c r="I5" s="73" t="s">
        <v>5</v>
      </c>
      <c r="J5" s="75"/>
      <c r="K5" s="73" t="s">
        <v>6</v>
      </c>
      <c r="L5" s="74"/>
      <c r="M5" s="74"/>
      <c r="N5" s="74"/>
      <c r="O5" s="75"/>
    </row>
    <row r="6" spans="1:15" ht="43.5" customHeight="1" x14ac:dyDescent="0.25">
      <c r="A6" s="102" t="s">
        <v>2</v>
      </c>
      <c r="B6" s="87" t="s">
        <v>7</v>
      </c>
      <c r="C6" s="88" t="s">
        <v>8</v>
      </c>
      <c r="D6" s="88" t="s">
        <v>9</v>
      </c>
      <c r="E6" s="89" t="s">
        <v>10</v>
      </c>
      <c r="F6" s="90" t="s">
        <v>11</v>
      </c>
      <c r="G6" s="91" t="s">
        <v>12</v>
      </c>
      <c r="H6" s="89" t="s">
        <v>13</v>
      </c>
      <c r="I6" s="87" t="s">
        <v>14</v>
      </c>
      <c r="J6" s="93" t="s">
        <v>15</v>
      </c>
      <c r="K6" s="88" t="s">
        <v>16</v>
      </c>
      <c r="L6" s="88" t="s">
        <v>17</v>
      </c>
      <c r="M6" s="89" t="s">
        <v>18</v>
      </c>
      <c r="N6" s="89" t="s">
        <v>19</v>
      </c>
      <c r="O6" s="92" t="s">
        <v>20</v>
      </c>
    </row>
    <row r="7" spans="1:15" x14ac:dyDescent="0.25">
      <c r="A7" s="103" t="s">
        <v>21</v>
      </c>
      <c r="B7" s="76">
        <v>-8</v>
      </c>
      <c r="C7" s="2">
        <v>743</v>
      </c>
      <c r="D7" s="2">
        <v>-129</v>
      </c>
      <c r="E7" s="77">
        <v>614</v>
      </c>
      <c r="F7" s="78">
        <v>878</v>
      </c>
      <c r="G7" s="82" t="s">
        <v>22</v>
      </c>
      <c r="H7" s="77" t="s">
        <v>23</v>
      </c>
      <c r="I7" s="82"/>
      <c r="J7" s="83"/>
      <c r="K7" s="2">
        <v>197</v>
      </c>
      <c r="L7" s="2">
        <v>29</v>
      </c>
      <c r="M7" s="77" t="s">
        <v>24</v>
      </c>
      <c r="N7" s="77">
        <v>-86</v>
      </c>
      <c r="O7" s="83">
        <v>-676</v>
      </c>
    </row>
    <row r="8" spans="1:15" x14ac:dyDescent="0.25">
      <c r="A8" s="103" t="s">
        <v>25</v>
      </c>
      <c r="B8" s="76">
        <v>-4</v>
      </c>
      <c r="C8" s="2" t="s">
        <v>26</v>
      </c>
      <c r="D8" s="2">
        <v>-239</v>
      </c>
      <c r="E8" s="77" t="s">
        <v>27</v>
      </c>
      <c r="F8" s="78" t="s">
        <v>28</v>
      </c>
      <c r="G8" s="82" t="s">
        <v>29</v>
      </c>
      <c r="H8" s="77" t="s">
        <v>30</v>
      </c>
      <c r="I8" s="82">
        <f t="shared" ref="I8:I16" si="0">G8-G7</f>
        <v>2483</v>
      </c>
      <c r="J8" s="83">
        <f t="shared" ref="J8:J16" si="1">H8-H7</f>
        <v>-563</v>
      </c>
      <c r="K8" s="2">
        <v>187</v>
      </c>
      <c r="L8" s="2"/>
      <c r="M8" s="77" t="s">
        <v>31</v>
      </c>
      <c r="N8" s="77">
        <v>-176</v>
      </c>
      <c r="O8" s="83">
        <v>291</v>
      </c>
    </row>
    <row r="9" spans="1:15" x14ac:dyDescent="0.25">
      <c r="A9" s="103" t="s">
        <v>32</v>
      </c>
      <c r="B9" s="76">
        <v>8</v>
      </c>
      <c r="C9" s="95" t="s">
        <v>33</v>
      </c>
      <c r="D9" s="2">
        <v>-149</v>
      </c>
      <c r="E9" s="77" t="s">
        <v>34</v>
      </c>
      <c r="F9" s="78" t="s">
        <v>35</v>
      </c>
      <c r="G9" s="82" t="s">
        <v>36</v>
      </c>
      <c r="H9" s="77" t="s">
        <v>37</v>
      </c>
      <c r="I9" s="82">
        <f t="shared" si="0"/>
        <v>719</v>
      </c>
      <c r="J9" s="83">
        <f t="shared" si="1"/>
        <v>-635</v>
      </c>
      <c r="K9" s="2">
        <v>199</v>
      </c>
      <c r="L9" s="2"/>
      <c r="M9" s="77" t="s">
        <v>38</v>
      </c>
      <c r="N9" s="77">
        <v>-593</v>
      </c>
      <c r="O9" s="83" t="s">
        <v>39</v>
      </c>
    </row>
    <row r="10" spans="1:15" x14ac:dyDescent="0.25">
      <c r="A10" s="103" t="s">
        <v>40</v>
      </c>
      <c r="B10" s="76">
        <v>78</v>
      </c>
      <c r="C10" s="95" t="s">
        <v>41</v>
      </c>
      <c r="D10" s="2">
        <v>245</v>
      </c>
      <c r="E10" s="77" t="s">
        <v>42</v>
      </c>
      <c r="F10" s="78" t="s">
        <v>43</v>
      </c>
      <c r="G10" s="82" t="s">
        <v>44</v>
      </c>
      <c r="H10" s="77" t="s">
        <v>45</v>
      </c>
      <c r="I10" s="82">
        <f t="shared" si="0"/>
        <v>1302</v>
      </c>
      <c r="J10" s="83">
        <f t="shared" si="1"/>
        <v>176</v>
      </c>
      <c r="K10" s="2">
        <v>262</v>
      </c>
      <c r="L10" s="2"/>
      <c r="M10" s="77" t="s">
        <v>46</v>
      </c>
      <c r="N10" s="77">
        <v>-600</v>
      </c>
      <c r="O10" s="83" t="s">
        <v>47</v>
      </c>
    </row>
    <row r="11" spans="1:15" x14ac:dyDescent="0.25">
      <c r="A11" s="103" t="s">
        <v>48</v>
      </c>
      <c r="B11" s="76">
        <v>126</v>
      </c>
      <c r="C11" s="95" t="s">
        <v>49</v>
      </c>
      <c r="D11" s="2">
        <v>-174</v>
      </c>
      <c r="E11" s="77" t="s">
        <v>50</v>
      </c>
      <c r="F11" s="78" t="s">
        <v>51</v>
      </c>
      <c r="G11" s="82" t="s">
        <v>52</v>
      </c>
      <c r="H11" s="77" t="s">
        <v>53</v>
      </c>
      <c r="I11" s="82">
        <f t="shared" si="0"/>
        <v>3133</v>
      </c>
      <c r="J11" s="83">
        <f t="shared" si="1"/>
        <v>455</v>
      </c>
      <c r="K11" s="2">
        <v>381</v>
      </c>
      <c r="L11" s="2"/>
      <c r="M11" s="77" t="s">
        <v>54</v>
      </c>
      <c r="N11" s="77">
        <v>-489</v>
      </c>
      <c r="O11" s="83">
        <v>-792</v>
      </c>
    </row>
    <row r="12" spans="1:15" x14ac:dyDescent="0.25">
      <c r="A12" s="103" t="s">
        <v>55</v>
      </c>
      <c r="B12" s="76">
        <v>-127</v>
      </c>
      <c r="C12" s="95" t="s">
        <v>56</v>
      </c>
      <c r="D12" s="2">
        <v>-77</v>
      </c>
      <c r="E12" s="77" t="s">
        <v>57</v>
      </c>
      <c r="F12" s="78" t="s">
        <v>58</v>
      </c>
      <c r="G12" s="82" t="s">
        <v>59</v>
      </c>
      <c r="H12" s="77" t="s">
        <v>60</v>
      </c>
      <c r="I12" s="82">
        <f t="shared" si="0"/>
        <v>2365</v>
      </c>
      <c r="J12" s="83">
        <f t="shared" si="1"/>
        <v>2141</v>
      </c>
      <c r="K12" s="2" t="s">
        <v>61</v>
      </c>
      <c r="L12" s="2"/>
      <c r="M12" s="77" t="s">
        <v>62</v>
      </c>
      <c r="N12" s="77" t="s">
        <v>63</v>
      </c>
      <c r="O12" s="83" t="s">
        <v>43</v>
      </c>
    </row>
    <row r="13" spans="1:15" x14ac:dyDescent="0.25">
      <c r="A13" s="103" t="s">
        <v>64</v>
      </c>
      <c r="B13" s="76">
        <v>-207</v>
      </c>
      <c r="C13" s="95" t="s">
        <v>65</v>
      </c>
      <c r="D13" s="2">
        <v>-189</v>
      </c>
      <c r="E13" s="77" t="s">
        <v>66</v>
      </c>
      <c r="F13" s="78" t="s">
        <v>67</v>
      </c>
      <c r="G13" s="82" t="s">
        <v>68</v>
      </c>
      <c r="H13" s="77" t="s">
        <v>69</v>
      </c>
      <c r="I13" s="82">
        <f t="shared" si="0"/>
        <v>12774</v>
      </c>
      <c r="J13" s="83">
        <f t="shared" si="1"/>
        <v>410</v>
      </c>
      <c r="K13" s="2" t="s">
        <v>70</v>
      </c>
      <c r="L13" s="2"/>
      <c r="M13" s="77" t="s">
        <v>71</v>
      </c>
      <c r="N13" s="77">
        <v>-976</v>
      </c>
      <c r="O13" s="83" t="s">
        <v>72</v>
      </c>
    </row>
    <row r="14" spans="1:15" x14ac:dyDescent="0.25">
      <c r="A14" s="103" t="s">
        <v>73</v>
      </c>
      <c r="B14" s="76">
        <v>5</v>
      </c>
      <c r="C14" s="95" t="s">
        <v>74</v>
      </c>
      <c r="D14" s="2">
        <v>187</v>
      </c>
      <c r="E14" s="77" t="s">
        <v>75</v>
      </c>
      <c r="F14" s="78" t="s">
        <v>76</v>
      </c>
      <c r="G14" s="84" t="s">
        <v>77</v>
      </c>
      <c r="H14" s="77" t="s">
        <v>78</v>
      </c>
      <c r="I14" s="82">
        <f t="shared" si="0"/>
        <v>-5756</v>
      </c>
      <c r="J14" s="83">
        <f t="shared" si="1"/>
        <v>2228</v>
      </c>
      <c r="K14" s="2" t="s">
        <v>79</v>
      </c>
      <c r="L14" s="2"/>
      <c r="M14" s="77" t="s">
        <v>80</v>
      </c>
      <c r="N14" s="77" t="s">
        <v>81</v>
      </c>
      <c r="O14" s="83" t="s">
        <v>82</v>
      </c>
    </row>
    <row r="15" spans="1:15" x14ac:dyDescent="0.25">
      <c r="A15" s="103" t="s">
        <v>83</v>
      </c>
      <c r="B15" s="76">
        <v>609</v>
      </c>
      <c r="C15" s="95" t="s">
        <v>84</v>
      </c>
      <c r="D15" s="2" t="s">
        <v>85</v>
      </c>
      <c r="E15" s="77" t="s">
        <v>86</v>
      </c>
      <c r="F15" s="78" t="s">
        <v>87</v>
      </c>
      <c r="G15" s="84" t="s">
        <v>88</v>
      </c>
      <c r="H15" s="77" t="s">
        <v>89</v>
      </c>
      <c r="I15" s="82">
        <f t="shared" si="0"/>
        <v>21272</v>
      </c>
      <c r="J15" s="83">
        <f t="shared" si="1"/>
        <v>4068</v>
      </c>
      <c r="K15" s="2" t="s">
        <v>90</v>
      </c>
      <c r="L15" s="2"/>
      <c r="M15" s="77" t="s">
        <v>91</v>
      </c>
      <c r="N15" s="77" t="s">
        <v>92</v>
      </c>
      <c r="O15" s="83" t="s">
        <v>93</v>
      </c>
    </row>
    <row r="16" spans="1:15" ht="15.75" customHeight="1" thickBot="1" x14ac:dyDescent="0.3">
      <c r="A16" s="104" t="s">
        <v>3</v>
      </c>
      <c r="B16" s="79" t="s">
        <v>94</v>
      </c>
      <c r="C16" s="96" t="s">
        <v>95</v>
      </c>
      <c r="D16" s="96" t="s">
        <v>96</v>
      </c>
      <c r="E16" s="97" t="s">
        <v>97</v>
      </c>
      <c r="F16" s="98" t="s">
        <v>98</v>
      </c>
      <c r="G16" s="85" t="s">
        <v>99</v>
      </c>
      <c r="H16" s="97" t="s">
        <v>100</v>
      </c>
      <c r="I16" s="94">
        <f t="shared" si="0"/>
        <v>45590</v>
      </c>
      <c r="J16" s="86">
        <f t="shared" si="1"/>
        <v>15911</v>
      </c>
      <c r="K16" s="80" t="s">
        <v>101</v>
      </c>
      <c r="L16" s="80"/>
      <c r="M16" s="97" t="s">
        <v>102</v>
      </c>
      <c r="N16" s="81" t="s">
        <v>103</v>
      </c>
      <c r="O16" s="99" t="s">
        <v>104</v>
      </c>
    </row>
    <row r="19" spans="2:4" x14ac:dyDescent="0.25">
      <c r="B19" t="s">
        <v>105</v>
      </c>
    </row>
    <row r="20" spans="2:4" x14ac:dyDescent="0.25">
      <c r="B20" t="s">
        <v>106</v>
      </c>
    </row>
    <row r="21" spans="2:4" x14ac:dyDescent="0.25">
      <c r="B21" t="str">
        <f t="array" aca="1" ref="B21" ca="1">_FV(C2,"Name")</f>
        <v>NVIDIA CORPORATION</v>
      </c>
    </row>
    <row r="22" spans="2:4" x14ac:dyDescent="0.25">
      <c r="B22">
        <f>DAY(C1)</f>
        <v>31</v>
      </c>
      <c r="C22">
        <f>MONTH(C1)</f>
        <v>5</v>
      </c>
      <c r="D22">
        <f>YEAR(C1)</f>
        <v>2025</v>
      </c>
    </row>
    <row r="23" spans="2:4" x14ac:dyDescent="0.25">
      <c r="B23" t="str">
        <f ca="1">_xlfn.CONCAT(B20,B21," ",B22,"/",C22,"/",D22)</f>
        <v>Free Cash Flow of NVIDIA CORPORATION 31/5/2025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6"/>
  <sheetViews>
    <sheetView tabSelected="1" zoomScale="90" zoomScaleNormal="90" workbookViewId="0">
      <selection activeCell="F20" sqref="F20"/>
    </sheetView>
  </sheetViews>
  <sheetFormatPr defaultRowHeight="15" x14ac:dyDescent="0.25"/>
  <cols>
    <col min="1" max="1" width="2.28515625" customWidth="1"/>
    <col min="2" max="2" width="11.140625" customWidth="1"/>
    <col min="3" max="3" width="16.28515625" customWidth="1"/>
    <col min="4" max="4" width="14.7109375" customWidth="1"/>
    <col min="5" max="5" width="10.5703125" bestFit="1" customWidth="1"/>
    <col min="6" max="6" width="10.42578125" customWidth="1"/>
    <col min="7" max="7" width="11" customWidth="1"/>
    <col min="8" max="9" width="10.5703125" bestFit="1" customWidth="1"/>
    <col min="10" max="10" width="10.42578125" customWidth="1"/>
    <col min="11" max="11" width="10.5703125" bestFit="1" customWidth="1"/>
    <col min="12" max="14" width="11.5703125" bestFit="1" customWidth="1"/>
  </cols>
  <sheetData>
    <row r="2" spans="2:14" ht="15.75" customHeight="1" thickBot="1" x14ac:dyDescent="0.3"/>
    <row r="3" spans="2:14" x14ac:dyDescent="0.25">
      <c r="C3" s="6"/>
      <c r="D3" s="7" t="str">
        <f>'FCF DATA'!G49</f>
        <v>Growth</v>
      </c>
      <c r="F3" s="106" t="s">
        <v>107</v>
      </c>
      <c r="G3" s="107"/>
      <c r="I3" s="112" t="s">
        <v>108</v>
      </c>
      <c r="J3" s="107"/>
    </row>
    <row r="4" spans="2:14" ht="15.75" customHeight="1" thickBot="1" x14ac:dyDescent="0.3">
      <c r="C4" s="8" t="str">
        <f>'FCF DATA'!F50</f>
        <v>3yr</v>
      </c>
      <c r="D4" s="34">
        <f>'FCF DATA'!G50</f>
        <v>0.77496006436128884</v>
      </c>
      <c r="F4" s="10" t="s">
        <v>109</v>
      </c>
      <c r="G4" s="100">
        <v>0.3</v>
      </c>
      <c r="I4" s="9"/>
      <c r="J4" s="33">
        <f>(1+$J$9)/($G$9-$J$9)</f>
        <v>8.5833333333333339</v>
      </c>
    </row>
    <row r="5" spans="2:14" ht="15.75" customHeight="1" thickBot="1" x14ac:dyDescent="0.3">
      <c r="C5" s="8" t="str">
        <f>'FCF DATA'!F51</f>
        <v>5yr</v>
      </c>
      <c r="D5" s="34">
        <f>'FCF DATA'!G51</f>
        <v>0.75326775296456827</v>
      </c>
      <c r="F5" s="11" t="s">
        <v>110</v>
      </c>
      <c r="G5" s="101">
        <v>0.15</v>
      </c>
    </row>
    <row r="6" spans="2:14" ht="15.75" customHeight="1" thickBot="1" x14ac:dyDescent="0.3">
      <c r="C6" s="9" t="str">
        <f>'FCF DATA'!F52</f>
        <v>10yr</v>
      </c>
      <c r="D6" s="35">
        <f>'FCF DATA'!G52</f>
        <v>0.8009675244095168</v>
      </c>
      <c r="G6" s="44"/>
    </row>
    <row r="7" spans="2:14" ht="15.75" customHeight="1" thickBot="1" x14ac:dyDescent="0.3"/>
    <row r="8" spans="2:14" x14ac:dyDescent="0.25">
      <c r="C8" s="6" t="str">
        <f>'FCF DATA'!F54</f>
        <v>Year</v>
      </c>
      <c r="D8" s="7" t="str">
        <f>'FCF DATA'!G54</f>
        <v>Min CF + 10%</v>
      </c>
      <c r="F8" s="106" t="s">
        <v>111</v>
      </c>
      <c r="G8" s="107"/>
      <c r="I8" s="115" t="s">
        <v>112</v>
      </c>
      <c r="J8" s="107"/>
    </row>
    <row r="9" spans="2:14" ht="15.75" customHeight="1" thickBot="1" x14ac:dyDescent="0.3">
      <c r="C9" s="32" t="str">
        <f>'FCF DATA'!F55</f>
        <v>2025-04-27</v>
      </c>
      <c r="D9" s="33">
        <f>'FCF DATA'!G55</f>
        <v>79270.400000000009</v>
      </c>
      <c r="F9" s="11"/>
      <c r="G9" s="36">
        <v>0.15</v>
      </c>
      <c r="I9" s="9"/>
      <c r="J9" s="39">
        <v>0.03</v>
      </c>
    </row>
    <row r="10" spans="2:14" ht="15.75" customHeight="1" thickBot="1" x14ac:dyDescent="0.3"/>
    <row r="11" spans="2:14" x14ac:dyDescent="0.25">
      <c r="B11" s="13" t="s">
        <v>113</v>
      </c>
      <c r="C11" s="23">
        <v>0</v>
      </c>
      <c r="D11" s="24">
        <v>1</v>
      </c>
      <c r="E11" s="24">
        <v>2</v>
      </c>
      <c r="F11" s="24">
        <v>3</v>
      </c>
      <c r="G11" s="24">
        <v>4</v>
      </c>
      <c r="H11" s="24">
        <v>5</v>
      </c>
      <c r="I11" s="24">
        <v>6</v>
      </c>
      <c r="J11" s="24">
        <v>7</v>
      </c>
      <c r="K11" s="24">
        <v>8</v>
      </c>
      <c r="L11" s="24">
        <v>9</v>
      </c>
      <c r="M11" s="14">
        <v>10</v>
      </c>
      <c r="N11" s="116" t="s">
        <v>114</v>
      </c>
    </row>
    <row r="12" spans="2:14" ht="15.75" customHeight="1" thickBot="1" x14ac:dyDescent="0.3">
      <c r="B12" s="15" t="s">
        <v>115</v>
      </c>
      <c r="C12" s="25" t="str">
        <f>C9</f>
        <v>2025-04-27</v>
      </c>
      <c r="D12" s="26">
        <f t="shared" ref="D12:M12" si="0">C12+1</f>
        <v>45775</v>
      </c>
      <c r="E12" s="26">
        <f t="shared" si="0"/>
        <v>45776</v>
      </c>
      <c r="F12" s="26">
        <f t="shared" si="0"/>
        <v>45777</v>
      </c>
      <c r="G12" s="26">
        <f t="shared" si="0"/>
        <v>45778</v>
      </c>
      <c r="H12" s="26">
        <f t="shared" si="0"/>
        <v>45779</v>
      </c>
      <c r="I12" s="26">
        <f t="shared" si="0"/>
        <v>45780</v>
      </c>
      <c r="J12" s="26">
        <f t="shared" si="0"/>
        <v>45781</v>
      </c>
      <c r="K12" s="26">
        <f t="shared" si="0"/>
        <v>45782</v>
      </c>
      <c r="L12" s="26">
        <f t="shared" si="0"/>
        <v>45783</v>
      </c>
      <c r="M12" s="22">
        <f t="shared" si="0"/>
        <v>45784</v>
      </c>
      <c r="N12" s="117"/>
    </row>
    <row r="13" spans="2:14" ht="15.75" customHeight="1" thickBot="1" x14ac:dyDescent="0.3">
      <c r="B13" s="13" t="s">
        <v>116</v>
      </c>
      <c r="C13" s="40">
        <f>D9</f>
        <v>79270.400000000009</v>
      </c>
      <c r="D13" s="40">
        <f t="shared" ref="D13:M13" si="1">C13*(1+D14)</f>
        <v>103051.52000000002</v>
      </c>
      <c r="E13" s="40">
        <f t="shared" si="1"/>
        <v>133966.97600000002</v>
      </c>
      <c r="F13" s="40">
        <f t="shared" si="1"/>
        <v>174157.06880000004</v>
      </c>
      <c r="G13" s="40">
        <f t="shared" si="1"/>
        <v>226404.18944000005</v>
      </c>
      <c r="H13" s="40">
        <f t="shared" si="1"/>
        <v>294325.44627200009</v>
      </c>
      <c r="I13" s="40">
        <f t="shared" si="1"/>
        <v>338474.26321280008</v>
      </c>
      <c r="J13" s="40">
        <f t="shared" si="1"/>
        <v>389245.40269472008</v>
      </c>
      <c r="K13" s="40">
        <f t="shared" si="1"/>
        <v>447632.21309892804</v>
      </c>
      <c r="L13" s="40">
        <f t="shared" si="1"/>
        <v>514777.04506376723</v>
      </c>
      <c r="M13" s="41">
        <f t="shared" si="1"/>
        <v>591993.60182333225</v>
      </c>
      <c r="N13" s="42">
        <f>M13*(1+$J$9)/(G9-J9)</f>
        <v>5081278.415650269</v>
      </c>
    </row>
    <row r="14" spans="2:14" x14ac:dyDescent="0.25">
      <c r="B14" s="110" t="s">
        <v>117</v>
      </c>
      <c r="C14" s="111"/>
      <c r="D14" s="16">
        <f>$G$4</f>
        <v>0.3</v>
      </c>
      <c r="E14" s="16">
        <f>$G$4</f>
        <v>0.3</v>
      </c>
      <c r="F14" s="16">
        <f>$G$4</f>
        <v>0.3</v>
      </c>
      <c r="G14" s="16">
        <f>$G$4</f>
        <v>0.3</v>
      </c>
      <c r="H14" s="16">
        <f>$G$4</f>
        <v>0.3</v>
      </c>
      <c r="I14" s="16">
        <f>$G$5</f>
        <v>0.15</v>
      </c>
      <c r="J14" s="16">
        <f>$G$5</f>
        <v>0.15</v>
      </c>
      <c r="K14" s="16">
        <f>$G$5</f>
        <v>0.15</v>
      </c>
      <c r="L14" s="16">
        <f>$G$5</f>
        <v>0.15</v>
      </c>
      <c r="M14" s="18">
        <f>$G$5</f>
        <v>0.15</v>
      </c>
      <c r="N14" s="12"/>
    </row>
    <row r="15" spans="2:14" x14ac:dyDescent="0.25">
      <c r="B15" s="110" t="s">
        <v>118</v>
      </c>
      <c r="C15" s="111"/>
      <c r="D15" s="17">
        <f t="shared" ref="D15:M15" si="2">(1+$G$9)^D11</f>
        <v>1.1499999999999999</v>
      </c>
      <c r="E15" s="17">
        <f t="shared" si="2"/>
        <v>1.3224999999999998</v>
      </c>
      <c r="F15" s="17">
        <f t="shared" si="2"/>
        <v>1.5208749999999995</v>
      </c>
      <c r="G15" s="17">
        <f t="shared" si="2"/>
        <v>1.7490062499999994</v>
      </c>
      <c r="H15" s="17">
        <f t="shared" si="2"/>
        <v>2.0113571874999994</v>
      </c>
      <c r="I15" s="17">
        <f t="shared" si="2"/>
        <v>2.3130607656249991</v>
      </c>
      <c r="J15" s="17">
        <f t="shared" si="2"/>
        <v>2.6600198804687483</v>
      </c>
      <c r="K15" s="17">
        <f t="shared" si="2"/>
        <v>3.0590228625390603</v>
      </c>
      <c r="L15" s="17">
        <f t="shared" si="2"/>
        <v>3.5178762919199191</v>
      </c>
      <c r="M15" s="19">
        <f t="shared" si="2"/>
        <v>4.0455577357079067</v>
      </c>
      <c r="N15" s="12"/>
    </row>
    <row r="16" spans="2:14" ht="15.75" customHeight="1" thickBot="1" x14ac:dyDescent="0.3">
      <c r="B16" s="108" t="s">
        <v>119</v>
      </c>
      <c r="C16" s="109"/>
      <c r="D16" s="20">
        <f t="shared" ref="D16:M16" si="3">D13/D15</f>
        <v>89610.017391304369</v>
      </c>
      <c r="E16" s="20">
        <f t="shared" si="3"/>
        <v>101298.28052930059</v>
      </c>
      <c r="F16" s="20">
        <f t="shared" si="3"/>
        <v>114511.09972877461</v>
      </c>
      <c r="G16" s="20">
        <f t="shared" si="3"/>
        <v>129447.33012817999</v>
      </c>
      <c r="H16" s="20">
        <f t="shared" si="3"/>
        <v>146331.76449272523</v>
      </c>
      <c r="I16" s="20">
        <f t="shared" si="3"/>
        <v>146331.76449272523</v>
      </c>
      <c r="J16" s="20">
        <f t="shared" si="3"/>
        <v>146331.76449272525</v>
      </c>
      <c r="K16" s="20">
        <f t="shared" si="3"/>
        <v>146331.76449272525</v>
      </c>
      <c r="L16" s="20">
        <f t="shared" si="3"/>
        <v>146331.76449272525</v>
      </c>
      <c r="M16" s="21">
        <f t="shared" si="3"/>
        <v>146331.76449272525</v>
      </c>
      <c r="N16" s="12"/>
    </row>
    <row r="17" spans="2:14" ht="15.75" customHeight="1" thickBot="1" x14ac:dyDescent="0.3">
      <c r="B17" s="12"/>
      <c r="C17" s="12"/>
      <c r="D17" s="12"/>
      <c r="E17" s="12"/>
      <c r="F17" s="12"/>
      <c r="G17" s="12"/>
      <c r="H17" s="12"/>
      <c r="I17" s="12"/>
      <c r="J17" s="12"/>
      <c r="K17" s="12"/>
      <c r="L17" s="12"/>
      <c r="M17" s="12"/>
      <c r="N17" s="12"/>
    </row>
    <row r="18" spans="2:14" ht="18.75" customHeight="1" x14ac:dyDescent="0.3">
      <c r="C18" s="37" t="str">
        <f t="array" aca="1" ref="C18" ca="1">_FV('Data Entry'!C2,"Ticker symbol",TRUE)</f>
        <v>NVDA</v>
      </c>
      <c r="D18" s="38"/>
    </row>
    <row r="19" spans="2:14" ht="18.75" customHeight="1" x14ac:dyDescent="0.3">
      <c r="C19" s="113" t="str">
        <f t="array" aca="1" ref="C19" ca="1">_FV('Data Entry'!C2,"Official name",TRUE)</f>
        <v>NVIDIA CORPORATION</v>
      </c>
      <c r="D19" s="114"/>
    </row>
    <row r="20" spans="2:14" x14ac:dyDescent="0.25">
      <c r="C20" s="27" t="s">
        <v>120</v>
      </c>
      <c r="D20" s="51">
        <f t="array" aca="1" ref="D20" ca="1">_FV('Data Entry'!C2,"Price")</f>
        <v>135.13</v>
      </c>
    </row>
    <row r="21" spans="2:14" ht="15.75" customHeight="1" thickBot="1" x14ac:dyDescent="0.3">
      <c r="C21" s="9" t="s">
        <v>121</v>
      </c>
      <c r="D21" s="28">
        <f t="array" aca="1" ref="D21" ca="1">_FV('Data Entry'!C2,"Shares outstanding",TRUE)</f>
        <v>24400000000</v>
      </c>
    </row>
    <row r="22" spans="2:14" ht="15.75" customHeight="1" thickBot="1" x14ac:dyDescent="0.3"/>
    <row r="23" spans="2:14" x14ac:dyDescent="0.25">
      <c r="C23" s="29" t="s">
        <v>122</v>
      </c>
      <c r="D23" s="30">
        <f>SUM(D16:M16)+N13</f>
        <v>6394135.7303841803</v>
      </c>
    </row>
    <row r="24" spans="2:14" ht="15.75" customHeight="1" thickBot="1" x14ac:dyDescent="0.3">
      <c r="C24" s="31" t="s">
        <v>123</v>
      </c>
      <c r="D24" s="52">
        <f ca="1">D23/D21*1000000</f>
        <v>262.05474304853198</v>
      </c>
    </row>
    <row r="26" spans="2:14" x14ac:dyDescent="0.25">
      <c r="C26" s="72" t="s">
        <v>124</v>
      </c>
      <c r="D26" s="71">
        <f ca="1">(D24-D20)/D20</f>
        <v>0.93927879115320045</v>
      </c>
    </row>
  </sheetData>
  <mergeCells count="9">
    <mergeCell ref="N11:N12"/>
    <mergeCell ref="F3:G3"/>
    <mergeCell ref="B16:C16"/>
    <mergeCell ref="B15:C15"/>
    <mergeCell ref="I3:J3"/>
    <mergeCell ref="C19:D19"/>
    <mergeCell ref="B14:C14"/>
    <mergeCell ref="F8:G8"/>
    <mergeCell ref="I8:J8"/>
  </mergeCells>
  <conditionalFormatting sqref="D26">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2"/>
  <sheetViews>
    <sheetView topLeftCell="A40" workbookViewId="0">
      <selection activeCell="G52" sqref="G52"/>
    </sheetView>
  </sheetViews>
  <sheetFormatPr defaultRowHeight="15" x14ac:dyDescent="0.25"/>
  <cols>
    <col min="2" max="2" width="11.5703125" customWidth="1"/>
    <col min="3" max="3" width="12.5703125" customWidth="1"/>
    <col min="4" max="4" width="12.5703125" bestFit="1" customWidth="1"/>
    <col min="5" max="5" width="11.5703125" customWidth="1"/>
    <col min="6" max="6" width="11.42578125" customWidth="1"/>
    <col min="7" max="7" width="14.28515625" customWidth="1"/>
    <col min="8" max="8" width="11" bestFit="1" customWidth="1"/>
    <col min="9" max="9" width="10.85546875" customWidth="1"/>
    <col min="10" max="10" width="11.85546875" customWidth="1"/>
    <col min="14" max="14" width="13.140625" customWidth="1"/>
    <col min="15" max="15" width="13.42578125" customWidth="1"/>
    <col min="16" max="16" width="12.5703125" customWidth="1"/>
  </cols>
  <sheetData>
    <row r="1" spans="1:5" x14ac:dyDescent="0.25">
      <c r="C1" t="s">
        <v>125</v>
      </c>
    </row>
    <row r="2" spans="1:5" ht="30" customHeight="1" x14ac:dyDescent="0.25">
      <c r="A2" t="s">
        <v>115</v>
      </c>
      <c r="B2" t="s">
        <v>126</v>
      </c>
      <c r="C2" s="45" t="s">
        <v>127</v>
      </c>
      <c r="D2" s="49" t="s">
        <v>128</v>
      </c>
      <c r="E2" t="s">
        <v>116</v>
      </c>
    </row>
    <row r="3" spans="1:5" x14ac:dyDescent="0.25">
      <c r="A3">
        <f t="shared" ref="A3:A12" si="0">YEAR(B3)</f>
        <v>2016</v>
      </c>
      <c r="B3" t="str">
        <f t="array" ref="B3:B12">'Data Entry'!A7:A16</f>
        <v>2016-01-31</v>
      </c>
      <c r="C3" s="68" t="str">
        <f t="array" ref="C3:C12">'Data Entry'!M7:M16</f>
        <v>1,175.0</v>
      </c>
      <c r="D3" s="68">
        <f t="array" ref="D3:D12">'Data Entry'!N7:N16</f>
        <v>-86</v>
      </c>
      <c r="E3" s="1">
        <f t="shared" ref="E3:E12" si="1">C3+D3</f>
        <v>1089</v>
      </c>
    </row>
    <row r="4" spans="1:5" x14ac:dyDescent="0.25">
      <c r="A4">
        <f t="shared" si="0"/>
        <v>2017</v>
      </c>
      <c r="B4" t="str">
        <v>2017-01-29</v>
      </c>
      <c r="C4" s="68" t="str">
        <v>1,672.0</v>
      </c>
      <c r="D4" s="68">
        <v>-176</v>
      </c>
      <c r="E4" s="1">
        <f t="shared" si="1"/>
        <v>1496</v>
      </c>
    </row>
    <row r="5" spans="1:5" x14ac:dyDescent="0.25">
      <c r="A5">
        <f t="shared" si="0"/>
        <v>2018</v>
      </c>
      <c r="B5" t="str">
        <v>2018-01-28</v>
      </c>
      <c r="C5" s="68" t="str">
        <v>3,502.0</v>
      </c>
      <c r="D5" s="68">
        <v>-593</v>
      </c>
      <c r="E5" s="1">
        <f t="shared" si="1"/>
        <v>2909</v>
      </c>
    </row>
    <row r="6" spans="1:5" x14ac:dyDescent="0.25">
      <c r="A6">
        <f t="shared" si="0"/>
        <v>2019</v>
      </c>
      <c r="B6" t="str">
        <v>2019-01-27</v>
      </c>
      <c r="C6" s="68" t="str">
        <v>3,743.0</v>
      </c>
      <c r="D6" s="68">
        <v>-600</v>
      </c>
      <c r="E6" s="1">
        <f t="shared" si="1"/>
        <v>3143</v>
      </c>
    </row>
    <row r="7" spans="1:5" x14ac:dyDescent="0.25">
      <c r="A7">
        <f t="shared" si="0"/>
        <v>2020</v>
      </c>
      <c r="B7" t="str">
        <v>2020-01-26</v>
      </c>
      <c r="C7" s="68" t="str">
        <v>4,761.0</v>
      </c>
      <c r="D7" s="68">
        <v>-489</v>
      </c>
      <c r="E7" s="1">
        <f t="shared" si="1"/>
        <v>4272</v>
      </c>
    </row>
    <row r="8" spans="1:5" x14ac:dyDescent="0.25">
      <c r="A8">
        <f t="shared" si="0"/>
        <v>2021</v>
      </c>
      <c r="B8" t="str">
        <v>2021-01-31</v>
      </c>
      <c r="C8" s="68" t="str">
        <v>5,822.0</v>
      </c>
      <c r="D8" s="68" t="str">
        <v>-1,128.0</v>
      </c>
      <c r="E8" s="1">
        <f t="shared" si="1"/>
        <v>4694</v>
      </c>
    </row>
    <row r="9" spans="1:5" x14ac:dyDescent="0.25">
      <c r="A9">
        <f t="shared" si="0"/>
        <v>2022</v>
      </c>
      <c r="B9" t="str">
        <v>2022-01-30</v>
      </c>
      <c r="C9" s="68" t="str">
        <v>9,108.0</v>
      </c>
      <c r="D9" s="68">
        <v>-976</v>
      </c>
      <c r="E9" s="1">
        <f t="shared" si="1"/>
        <v>8132</v>
      </c>
    </row>
    <row r="10" spans="1:5" x14ac:dyDescent="0.25">
      <c r="A10">
        <f t="shared" si="0"/>
        <v>2023</v>
      </c>
      <c r="B10" t="str">
        <v>2023-01-29</v>
      </c>
      <c r="C10" s="68" t="str">
        <v>5,641.0</v>
      </c>
      <c r="D10" s="68" t="str">
        <v>-1,833.0</v>
      </c>
      <c r="E10" s="1">
        <f t="shared" si="1"/>
        <v>3808</v>
      </c>
    </row>
    <row r="11" spans="1:5" x14ac:dyDescent="0.25">
      <c r="A11">
        <f t="shared" si="0"/>
        <v>2024</v>
      </c>
      <c r="B11" t="str">
        <v>2024-01-28</v>
      </c>
      <c r="C11" s="68" t="str">
        <v>28,090.0</v>
      </c>
      <c r="D11" s="68" t="str">
        <v>-1,069.0</v>
      </c>
      <c r="E11" s="1">
        <f t="shared" si="1"/>
        <v>27021</v>
      </c>
    </row>
    <row r="12" spans="1:5" x14ac:dyDescent="0.25">
      <c r="A12">
        <f t="shared" si="0"/>
        <v>2025</v>
      </c>
      <c r="B12" t="str">
        <v>2025-04-27</v>
      </c>
      <c r="C12" s="68" t="str">
        <v>76,158.0</v>
      </c>
      <c r="D12" s="68" t="str">
        <v>-4,094.0</v>
      </c>
      <c r="E12" s="1">
        <f t="shared" si="1"/>
        <v>72064</v>
      </c>
    </row>
    <row r="14" spans="1:5" x14ac:dyDescent="0.25">
      <c r="B14" t="s">
        <v>129</v>
      </c>
      <c r="C14" t="s">
        <v>130</v>
      </c>
      <c r="D14" t="s">
        <v>130</v>
      </c>
    </row>
    <row r="16" spans="1:5" x14ac:dyDescent="0.25">
      <c r="C16" t="s">
        <v>131</v>
      </c>
    </row>
    <row r="17" spans="1:7" ht="30" customHeight="1" x14ac:dyDescent="0.25">
      <c r="A17" t="s">
        <v>115</v>
      </c>
      <c r="B17" t="s">
        <v>126</v>
      </c>
      <c r="C17" t="s">
        <v>11</v>
      </c>
      <c r="D17" t="s">
        <v>132</v>
      </c>
      <c r="E17" t="s">
        <v>133</v>
      </c>
      <c r="F17" s="45" t="s">
        <v>134</v>
      </c>
      <c r="G17" t="s">
        <v>135</v>
      </c>
    </row>
    <row r="18" spans="1:7" x14ac:dyDescent="0.25">
      <c r="A18">
        <f t="shared" ref="A18:A27" si="2">YEAR(B18)</f>
        <v>2016</v>
      </c>
      <c r="B18" t="str">
        <f t="shared" ref="B18:B27" si="3">B3</f>
        <v>2016-01-31</v>
      </c>
      <c r="C18" s="2">
        <f t="array" ref="C18:C27">'Data Entry'!F7:F16</f>
        <v>878</v>
      </c>
      <c r="D18" s="2">
        <f t="array" ref="D18:D27">'Data Entry'!D7:D16</f>
        <v>-129</v>
      </c>
      <c r="E18" s="43">
        <f>D18/'Data Entry'!C7</f>
        <v>-0.17362045760430686</v>
      </c>
      <c r="F18" s="2">
        <f t="array" ref="F18:F27">'Data Entry'!B7:B16</f>
        <v>-8</v>
      </c>
      <c r="G18" s="3">
        <f t="shared" ref="G18:G27" si="4">C18*(1+E18)-F18</f>
        <v>733.56123822341851</v>
      </c>
    </row>
    <row r="19" spans="1:7" x14ac:dyDescent="0.25">
      <c r="A19">
        <f t="shared" si="2"/>
        <v>2017</v>
      </c>
      <c r="B19" t="str">
        <f t="shared" si="3"/>
        <v>2017-01-29</v>
      </c>
      <c r="C19" s="2" t="str">
        <v>1,937.0</v>
      </c>
      <c r="D19" s="2">
        <v>-239</v>
      </c>
      <c r="E19" s="43">
        <f>D19/'Data Entry'!C8</f>
        <v>-0.12545931758530185</v>
      </c>
      <c r="F19" s="2">
        <v>-4</v>
      </c>
      <c r="G19" s="3">
        <f t="shared" si="4"/>
        <v>1697.9853018372703</v>
      </c>
    </row>
    <row r="20" spans="1:7" x14ac:dyDescent="0.25">
      <c r="A20">
        <f t="shared" si="2"/>
        <v>2018</v>
      </c>
      <c r="B20" t="str">
        <f t="shared" si="3"/>
        <v>2018-01-28</v>
      </c>
      <c r="C20" s="2" t="str">
        <v>3,210.0</v>
      </c>
      <c r="D20" s="2">
        <v>-149</v>
      </c>
      <c r="E20" s="43">
        <f>D20/'Data Entry'!C9</f>
        <v>-4.6620775969962454E-2</v>
      </c>
      <c r="F20" s="2">
        <v>8</v>
      </c>
      <c r="G20" s="3">
        <f t="shared" si="4"/>
        <v>3052.3473091364203</v>
      </c>
    </row>
    <row r="21" spans="1:7" x14ac:dyDescent="0.25">
      <c r="A21">
        <f t="shared" si="2"/>
        <v>2019</v>
      </c>
      <c r="B21" t="str">
        <f t="shared" si="3"/>
        <v>2019-01-27</v>
      </c>
      <c r="C21" s="2" t="str">
        <v>3,804.0</v>
      </c>
      <c r="D21" s="2">
        <v>245</v>
      </c>
      <c r="E21" s="43">
        <f>D21/'Data Entry'!C10</f>
        <v>6.2885010266940447E-2</v>
      </c>
      <c r="F21" s="2">
        <v>78</v>
      </c>
      <c r="G21" s="3">
        <f t="shared" si="4"/>
        <v>3965.2145790554418</v>
      </c>
    </row>
    <row r="22" spans="1:7" x14ac:dyDescent="0.25">
      <c r="A22">
        <f t="shared" si="2"/>
        <v>2020</v>
      </c>
      <c r="B22" t="str">
        <f t="shared" si="3"/>
        <v>2020-01-26</v>
      </c>
      <c r="C22" s="2" t="str">
        <v>2,846.0</v>
      </c>
      <c r="D22" s="2">
        <v>-174</v>
      </c>
      <c r="E22" s="43">
        <f>D22/'Data Entry'!C11</f>
        <v>-5.8585858585858588E-2</v>
      </c>
      <c r="F22" s="2">
        <v>126</v>
      </c>
      <c r="G22" s="3">
        <f t="shared" si="4"/>
        <v>2553.2646464646464</v>
      </c>
    </row>
    <row r="23" spans="1:7" x14ac:dyDescent="0.25">
      <c r="A23">
        <f t="shared" si="2"/>
        <v>2021</v>
      </c>
      <c r="B23" t="str">
        <f t="shared" si="3"/>
        <v>2021-01-31</v>
      </c>
      <c r="C23" s="2" t="str">
        <v>4,721.0</v>
      </c>
      <c r="D23" s="2">
        <v>-77</v>
      </c>
      <c r="E23" s="43">
        <f>D23/'Data Entry'!C12</f>
        <v>-1.7464277613971423E-2</v>
      </c>
      <c r="F23" s="2">
        <v>-127</v>
      </c>
      <c r="G23" s="3">
        <f t="shared" si="4"/>
        <v>4765.551145384441</v>
      </c>
    </row>
    <row r="24" spans="1:7" x14ac:dyDescent="0.25">
      <c r="A24">
        <f t="shared" si="2"/>
        <v>2022</v>
      </c>
      <c r="B24" t="str">
        <f t="shared" si="3"/>
        <v>2022-01-30</v>
      </c>
      <c r="C24" s="2" t="str">
        <v>10,041.0</v>
      </c>
      <c r="D24" s="2">
        <v>-189</v>
      </c>
      <c r="E24" s="43">
        <f>D24/'Data Entry'!C13</f>
        <v>-1.9012171813700834E-2</v>
      </c>
      <c r="F24" s="2">
        <v>-207</v>
      </c>
      <c r="G24" s="3">
        <f t="shared" si="4"/>
        <v>10057.09878281863</v>
      </c>
    </row>
    <row r="25" spans="1:7" x14ac:dyDescent="0.25">
      <c r="A25">
        <f t="shared" si="2"/>
        <v>2023</v>
      </c>
      <c r="B25" t="str">
        <f t="shared" si="3"/>
        <v>2023-01-29</v>
      </c>
      <c r="C25" s="2" t="str">
        <v>5,577.0</v>
      </c>
      <c r="D25" s="2">
        <v>187</v>
      </c>
      <c r="E25" s="43">
        <f>D25/'Data Entry'!C14</f>
        <v>4.4726142071274816E-2</v>
      </c>
      <c r="F25" s="2">
        <v>5</v>
      </c>
      <c r="G25" s="3">
        <f t="shared" si="4"/>
        <v>5821.4376943314992</v>
      </c>
    </row>
    <row r="26" spans="1:7" x14ac:dyDescent="0.25">
      <c r="A26">
        <f t="shared" si="2"/>
        <v>2024</v>
      </c>
      <c r="B26" t="str">
        <f t="shared" si="3"/>
        <v>2024-01-28</v>
      </c>
      <c r="C26" s="2" t="str">
        <v>32,972.0</v>
      </c>
      <c r="D26" s="2" t="str">
        <v>-4,058.0</v>
      </c>
      <c r="E26" s="43">
        <f>D26/'Data Entry'!C15</f>
        <v>-0.1199952687917677</v>
      </c>
      <c r="F26" s="2">
        <v>609</v>
      </c>
      <c r="G26" s="3">
        <f t="shared" si="4"/>
        <v>28406.515997397837</v>
      </c>
    </row>
    <row r="27" spans="1:7" x14ac:dyDescent="0.25">
      <c r="A27">
        <f t="shared" si="2"/>
        <v>2025</v>
      </c>
      <c r="B27" t="str">
        <f t="shared" si="3"/>
        <v>2025-04-27</v>
      </c>
      <c r="C27" s="2" t="str">
        <v>86,182.0</v>
      </c>
      <c r="D27" s="2" t="str">
        <v>-11,883.0</v>
      </c>
      <c r="E27" s="43">
        <f>D27/'Data Entry'!C16</f>
        <v>-0.13403340965744387</v>
      </c>
      <c r="F27" s="2" t="str">
        <v>1,696.0</v>
      </c>
      <c r="G27" s="3">
        <f t="shared" si="4"/>
        <v>72934.732688902179</v>
      </c>
    </row>
    <row r="28" spans="1:7" x14ac:dyDescent="0.25">
      <c r="E28" s="2"/>
    </row>
    <row r="29" spans="1:7" x14ac:dyDescent="0.25">
      <c r="B29" t="s">
        <v>129</v>
      </c>
      <c r="C29" t="s">
        <v>136</v>
      </c>
      <c r="D29" t="s">
        <v>136</v>
      </c>
      <c r="E29" s="2"/>
      <c r="F29" t="s">
        <v>137</v>
      </c>
    </row>
    <row r="30" spans="1:7" x14ac:dyDescent="0.25">
      <c r="E30" s="4" t="s">
        <v>138</v>
      </c>
    </row>
    <row r="32" spans="1:7" x14ac:dyDescent="0.25">
      <c r="C32" t="s">
        <v>139</v>
      </c>
    </row>
    <row r="33" spans="1:15" x14ac:dyDescent="0.25">
      <c r="N33" s="47" t="s">
        <v>140</v>
      </c>
      <c r="O33" s="47"/>
    </row>
    <row r="34" spans="1:15" ht="30" customHeight="1" x14ac:dyDescent="0.25">
      <c r="A34" t="s">
        <v>115</v>
      </c>
      <c r="B34" t="s">
        <v>126</v>
      </c>
      <c r="C34" t="s">
        <v>141</v>
      </c>
      <c r="D34" s="48" t="s">
        <v>142</v>
      </c>
      <c r="E34" s="46" t="s">
        <v>140</v>
      </c>
      <c r="F34" s="49" t="s">
        <v>128</v>
      </c>
      <c r="G34" s="45" t="s">
        <v>143</v>
      </c>
      <c r="H34" t="s">
        <v>144</v>
      </c>
      <c r="J34" s="48" t="s">
        <v>145</v>
      </c>
      <c r="K34" s="48" t="s">
        <v>146</v>
      </c>
      <c r="L34" s="48"/>
      <c r="N34" s="45" t="s">
        <v>147</v>
      </c>
      <c r="O34" s="45" t="s">
        <v>148</v>
      </c>
    </row>
    <row r="35" spans="1:15" x14ac:dyDescent="0.25">
      <c r="A35">
        <f t="shared" ref="A35:A44" si="5">YEAR(B35)</f>
        <v>2016</v>
      </c>
      <c r="B35" t="str">
        <f t="shared" ref="B35:B44" si="6">B3</f>
        <v>2016-01-31</v>
      </c>
      <c r="C35" s="68">
        <f t="array" ref="C35:C44">'Data Entry'!E7:E16</f>
        <v>614</v>
      </c>
      <c r="D35">
        <f t="shared" ref="D35:D44" si="7">IF(ISNUMBER(J35+K35),J35+K35,0)</f>
        <v>226</v>
      </c>
      <c r="E35" s="1">
        <f t="shared" ref="E35:E44" si="8">N35-O35</f>
        <v>0</v>
      </c>
      <c r="F35" s="50">
        <f t="shared" ref="F35:F44" si="9">D3</f>
        <v>-86</v>
      </c>
      <c r="G35" s="68">
        <f t="array" ref="G35:G44">'Data Entry'!O7:O16</f>
        <v>-676</v>
      </c>
      <c r="H35" s="1">
        <f t="shared" ref="H35:H44" si="10">C35-D35+E35-F35-G35</f>
        <v>1150</v>
      </c>
      <c r="J35" s="2">
        <f t="array" ref="J35:K44">'Data Entry'!K7:L16</f>
        <v>197</v>
      </c>
      <c r="K35" s="2">
        <v>29</v>
      </c>
      <c r="N35" s="68">
        <f t="array" ref="N35:O44">'Data Entry'!I7:J16</f>
        <v>0</v>
      </c>
      <c r="O35" s="68">
        <v>0</v>
      </c>
    </row>
    <row r="36" spans="1:15" x14ac:dyDescent="0.25">
      <c r="A36">
        <f t="shared" si="5"/>
        <v>2017</v>
      </c>
      <c r="B36" t="str">
        <f t="shared" si="6"/>
        <v>2017-01-29</v>
      </c>
      <c r="C36" s="68" t="str">
        <v>1,666.0</v>
      </c>
      <c r="D36">
        <f t="shared" si="7"/>
        <v>187</v>
      </c>
      <c r="E36" s="1">
        <f t="shared" si="8"/>
        <v>3046</v>
      </c>
      <c r="F36" s="50">
        <f t="shared" si="9"/>
        <v>-176</v>
      </c>
      <c r="G36" s="68">
        <v>291</v>
      </c>
      <c r="H36" s="1">
        <f t="shared" si="10"/>
        <v>4410</v>
      </c>
      <c r="J36" s="2">
        <v>187</v>
      </c>
      <c r="K36" s="2">
        <v>0</v>
      </c>
      <c r="N36" s="68">
        <v>2483</v>
      </c>
      <c r="O36" s="68">
        <v>-563</v>
      </c>
    </row>
    <row r="37" spans="1:15" x14ac:dyDescent="0.25">
      <c r="A37">
        <f t="shared" si="5"/>
        <v>2018</v>
      </c>
      <c r="B37" t="str">
        <f t="shared" si="6"/>
        <v>2018-01-28</v>
      </c>
      <c r="C37" s="68" t="str">
        <v>3,047.0</v>
      </c>
      <c r="D37">
        <f t="shared" si="7"/>
        <v>199</v>
      </c>
      <c r="E37" s="1">
        <f t="shared" si="8"/>
        <v>1354</v>
      </c>
      <c r="F37" s="50">
        <f t="shared" si="9"/>
        <v>-593</v>
      </c>
      <c r="G37" s="68" t="str">
        <v>-2,544.0</v>
      </c>
      <c r="H37" s="1">
        <f t="shared" si="10"/>
        <v>7339</v>
      </c>
      <c r="J37" s="2">
        <v>199</v>
      </c>
      <c r="K37" s="2">
        <v>0</v>
      </c>
      <c r="N37" s="68">
        <v>719</v>
      </c>
      <c r="O37" s="68">
        <v>-635</v>
      </c>
    </row>
    <row r="38" spans="1:15" x14ac:dyDescent="0.25">
      <c r="A38">
        <f t="shared" si="5"/>
        <v>2019</v>
      </c>
      <c r="B38" t="str">
        <f t="shared" si="6"/>
        <v>2019-01-27</v>
      </c>
      <c r="C38" s="68" t="str">
        <v>4,141.0</v>
      </c>
      <c r="D38">
        <f t="shared" si="7"/>
        <v>262</v>
      </c>
      <c r="E38" s="1">
        <f t="shared" si="8"/>
        <v>1126</v>
      </c>
      <c r="F38" s="50">
        <f t="shared" si="9"/>
        <v>-600</v>
      </c>
      <c r="G38" s="68" t="str">
        <v>-2,866.0</v>
      </c>
      <c r="H38" s="1">
        <f t="shared" si="10"/>
        <v>8471</v>
      </c>
      <c r="J38" s="2">
        <v>262</v>
      </c>
      <c r="K38" s="2">
        <v>0</v>
      </c>
      <c r="N38" s="68">
        <v>1302</v>
      </c>
      <c r="O38" s="68">
        <v>176</v>
      </c>
    </row>
    <row r="39" spans="1:15" x14ac:dyDescent="0.25">
      <c r="A39">
        <f t="shared" si="5"/>
        <v>2020</v>
      </c>
      <c r="B39" t="str">
        <f t="shared" si="6"/>
        <v>2020-01-26</v>
      </c>
      <c r="C39" s="68" t="str">
        <v>2,796.0</v>
      </c>
      <c r="D39">
        <f t="shared" si="7"/>
        <v>381</v>
      </c>
      <c r="E39" s="1">
        <f t="shared" si="8"/>
        <v>2678</v>
      </c>
      <c r="F39" s="50">
        <f t="shared" si="9"/>
        <v>-489</v>
      </c>
      <c r="G39" s="68">
        <v>-792</v>
      </c>
      <c r="H39" s="1">
        <f t="shared" si="10"/>
        <v>6374</v>
      </c>
      <c r="J39" s="2">
        <v>381</v>
      </c>
      <c r="K39" s="2">
        <v>0</v>
      </c>
      <c r="N39" s="68">
        <v>3133</v>
      </c>
      <c r="O39" s="68">
        <v>455</v>
      </c>
    </row>
    <row r="40" spans="1:15" x14ac:dyDescent="0.25">
      <c r="A40">
        <f t="shared" si="5"/>
        <v>2021</v>
      </c>
      <c r="B40" t="str">
        <f t="shared" si="6"/>
        <v>2021-01-31</v>
      </c>
      <c r="C40" s="68" t="str">
        <v>4,332.0</v>
      </c>
      <c r="D40">
        <f t="shared" si="7"/>
        <v>1098</v>
      </c>
      <c r="E40" s="1">
        <f t="shared" si="8"/>
        <v>224</v>
      </c>
      <c r="F40" s="50" t="str">
        <f t="shared" si="9"/>
        <v>-1,128.0</v>
      </c>
      <c r="G40" s="68" t="str">
        <v>3,804.0</v>
      </c>
      <c r="H40" s="1">
        <f t="shared" si="10"/>
        <v>782</v>
      </c>
      <c r="J40" s="2" t="str">
        <v>1,098.0</v>
      </c>
      <c r="K40" s="2">
        <v>0</v>
      </c>
      <c r="N40" s="68">
        <v>2365</v>
      </c>
      <c r="O40" s="68">
        <v>2141</v>
      </c>
    </row>
    <row r="41" spans="1:15" x14ac:dyDescent="0.25">
      <c r="A41">
        <f t="shared" si="5"/>
        <v>2022</v>
      </c>
      <c r="B41" t="str">
        <f t="shared" si="6"/>
        <v>2022-01-30</v>
      </c>
      <c r="C41" s="68" t="str">
        <v>9,752.0</v>
      </c>
      <c r="D41">
        <f t="shared" si="7"/>
        <v>1174</v>
      </c>
      <c r="E41" s="1">
        <f t="shared" si="8"/>
        <v>12364</v>
      </c>
      <c r="F41" s="50">
        <f t="shared" si="9"/>
        <v>-976</v>
      </c>
      <c r="G41" s="68" t="str">
        <v>1,865.0</v>
      </c>
      <c r="H41" s="1">
        <f t="shared" si="10"/>
        <v>20053</v>
      </c>
      <c r="J41" s="2" t="str">
        <v>1,174.0</v>
      </c>
      <c r="K41" s="2">
        <v>0</v>
      </c>
      <c r="N41" s="68">
        <v>12774</v>
      </c>
      <c r="O41" s="68">
        <v>410</v>
      </c>
    </row>
    <row r="42" spans="1:15" x14ac:dyDescent="0.25">
      <c r="A42">
        <f t="shared" si="5"/>
        <v>2023</v>
      </c>
      <c r="B42" t="str">
        <f t="shared" si="6"/>
        <v>2023-01-29</v>
      </c>
      <c r="C42" s="68" t="str">
        <v>4,368.0</v>
      </c>
      <c r="D42">
        <f t="shared" si="7"/>
        <v>1544</v>
      </c>
      <c r="E42" s="1">
        <f t="shared" si="8"/>
        <v>-7984</v>
      </c>
      <c r="F42" s="50" t="str">
        <f t="shared" si="9"/>
        <v>-1,833.0</v>
      </c>
      <c r="G42" s="68" t="str">
        <v>-11,617.0</v>
      </c>
      <c r="H42" s="1">
        <f t="shared" si="10"/>
        <v>8290</v>
      </c>
      <c r="J42" s="2" t="str">
        <v>1,544.0</v>
      </c>
      <c r="K42" s="2">
        <v>0</v>
      </c>
      <c r="N42" s="68">
        <v>-5756</v>
      </c>
      <c r="O42" s="68">
        <v>2228</v>
      </c>
    </row>
    <row r="43" spans="1:15" x14ac:dyDescent="0.25">
      <c r="A43">
        <f t="shared" si="5"/>
        <v>2024</v>
      </c>
      <c r="B43" t="str">
        <f t="shared" si="6"/>
        <v>2024-01-28</v>
      </c>
      <c r="C43" s="68" t="str">
        <v>29,760.0</v>
      </c>
      <c r="D43">
        <f t="shared" si="7"/>
        <v>1508</v>
      </c>
      <c r="E43" s="1">
        <f t="shared" si="8"/>
        <v>17204</v>
      </c>
      <c r="F43" s="50" t="str">
        <f t="shared" si="9"/>
        <v>-1,069.0</v>
      </c>
      <c r="G43" s="68" t="str">
        <v>-13,633.0</v>
      </c>
      <c r="H43" s="1">
        <f t="shared" si="10"/>
        <v>60158</v>
      </c>
      <c r="J43" s="2" t="str">
        <v>1,508.0</v>
      </c>
      <c r="K43" s="2">
        <v>0</v>
      </c>
      <c r="N43" s="69">
        <v>21272</v>
      </c>
      <c r="O43" s="68">
        <v>4068</v>
      </c>
    </row>
    <row r="44" spans="1:15" x14ac:dyDescent="0.25">
      <c r="A44">
        <f t="shared" si="5"/>
        <v>2025</v>
      </c>
      <c r="B44" t="str">
        <f t="shared" si="6"/>
        <v>2025-04-27</v>
      </c>
      <c r="C44" s="68" t="str">
        <v>76,774.0</v>
      </c>
      <c r="D44">
        <f t="shared" si="7"/>
        <v>2065</v>
      </c>
      <c r="E44" s="1">
        <f t="shared" si="8"/>
        <v>29679</v>
      </c>
      <c r="F44" s="50" t="str">
        <f t="shared" si="9"/>
        <v>-4,094.0</v>
      </c>
      <c r="G44" s="68" t="str">
        <v>-48,567.0</v>
      </c>
      <c r="H44" s="1">
        <f t="shared" si="10"/>
        <v>157049</v>
      </c>
      <c r="J44" s="2" t="str">
        <v>2,065.0</v>
      </c>
      <c r="K44" s="2">
        <v>0</v>
      </c>
      <c r="N44" s="69">
        <v>45590</v>
      </c>
      <c r="O44" s="68">
        <v>15911</v>
      </c>
    </row>
    <row r="46" spans="1:15" x14ac:dyDescent="0.25">
      <c r="B46" t="s">
        <v>129</v>
      </c>
      <c r="C46" t="s">
        <v>136</v>
      </c>
      <c r="F46" t="s">
        <v>130</v>
      </c>
      <c r="G46" t="s">
        <v>130</v>
      </c>
      <c r="J46" t="s">
        <v>130</v>
      </c>
      <c r="K46" t="s">
        <v>130</v>
      </c>
      <c r="N46" t="s">
        <v>149</v>
      </c>
      <c r="O46" t="s">
        <v>149</v>
      </c>
    </row>
    <row r="47" spans="1:15" x14ac:dyDescent="0.25">
      <c r="G47" t="s">
        <v>150</v>
      </c>
    </row>
    <row r="49" spans="1:7" x14ac:dyDescent="0.25">
      <c r="A49" t="s">
        <v>115</v>
      </c>
      <c r="B49" t="s">
        <v>126</v>
      </c>
      <c r="C49" t="s">
        <v>151</v>
      </c>
      <c r="G49" t="s">
        <v>152</v>
      </c>
    </row>
    <row r="50" spans="1:7" x14ac:dyDescent="0.25">
      <c r="A50">
        <f t="shared" ref="A50:A59" si="11">YEAR(B50)</f>
        <v>2016</v>
      </c>
      <c r="B50" t="str">
        <f t="shared" ref="B50:B59" si="12">B3</f>
        <v>2016-01-31</v>
      </c>
      <c r="C50" s="3">
        <f t="shared" ref="C50:C59" si="13">(E3+G18+H35)/3</f>
        <v>990.85374607447284</v>
      </c>
      <c r="F50" t="s">
        <v>153</v>
      </c>
      <c r="G50" s="5">
        <f>SLOPE(C56:C59,A56:A59)/C56/3</f>
        <v>0.77496006436128884</v>
      </c>
    </row>
    <row r="51" spans="1:7" x14ac:dyDescent="0.25">
      <c r="A51">
        <f t="shared" si="11"/>
        <v>2017</v>
      </c>
      <c r="B51" t="str">
        <f t="shared" si="12"/>
        <v>2017-01-29</v>
      </c>
      <c r="C51" s="3">
        <f t="shared" si="13"/>
        <v>2534.6617672790903</v>
      </c>
      <c r="F51" t="s">
        <v>154</v>
      </c>
      <c r="G51" s="5">
        <f>SLOPE(C54:C59,A54:A59)/C54/5</f>
        <v>0.75326775296456827</v>
      </c>
    </row>
    <row r="52" spans="1:7" x14ac:dyDescent="0.25">
      <c r="A52">
        <f t="shared" si="11"/>
        <v>2018</v>
      </c>
      <c r="B52" t="str">
        <f t="shared" si="12"/>
        <v>2018-01-28</v>
      </c>
      <c r="C52" s="3">
        <f t="shared" si="13"/>
        <v>4433.4491030454737</v>
      </c>
      <c r="F52" t="s">
        <v>155</v>
      </c>
      <c r="G52" s="5">
        <f>SLOPE(C50:C59,A50:A59)/C50/9</f>
        <v>0.8009675244095168</v>
      </c>
    </row>
    <row r="53" spans="1:7" x14ac:dyDescent="0.25">
      <c r="A53">
        <f t="shared" si="11"/>
        <v>2019</v>
      </c>
      <c r="B53" t="str">
        <f t="shared" si="12"/>
        <v>2019-01-27</v>
      </c>
      <c r="C53" s="3">
        <f t="shared" si="13"/>
        <v>5193.0715263518141</v>
      </c>
    </row>
    <row r="54" spans="1:7" x14ac:dyDescent="0.25">
      <c r="A54">
        <f t="shared" si="11"/>
        <v>2020</v>
      </c>
      <c r="B54" t="str">
        <f t="shared" si="12"/>
        <v>2020-01-26</v>
      </c>
      <c r="C54" s="3">
        <f t="shared" si="13"/>
        <v>4399.7548821548817</v>
      </c>
      <c r="F54" t="s">
        <v>115</v>
      </c>
      <c r="G54" t="s">
        <v>156</v>
      </c>
    </row>
    <row r="55" spans="1:7" x14ac:dyDescent="0.25">
      <c r="A55">
        <f t="shared" si="11"/>
        <v>2021</v>
      </c>
      <c r="B55" t="str">
        <f t="shared" si="12"/>
        <v>2021-01-31</v>
      </c>
      <c r="C55" s="3">
        <f t="shared" si="13"/>
        <v>3413.8503817948135</v>
      </c>
      <c r="F55" t="str">
        <f>B59</f>
        <v>2025-04-27</v>
      </c>
      <c r="G55" s="3">
        <f>MIN(E12,G27,H44)*1.1</f>
        <v>79270.400000000009</v>
      </c>
    </row>
    <row r="56" spans="1:7" x14ac:dyDescent="0.25">
      <c r="A56">
        <f t="shared" si="11"/>
        <v>2022</v>
      </c>
      <c r="B56" t="str">
        <f t="shared" si="12"/>
        <v>2022-01-30</v>
      </c>
      <c r="C56" s="3">
        <f t="shared" si="13"/>
        <v>12747.366260939545</v>
      </c>
    </row>
    <row r="57" spans="1:7" x14ac:dyDescent="0.25">
      <c r="A57">
        <f t="shared" si="11"/>
        <v>2023</v>
      </c>
      <c r="B57" t="str">
        <f t="shared" si="12"/>
        <v>2023-01-29</v>
      </c>
      <c r="C57" s="3">
        <f t="shared" si="13"/>
        <v>5973.1458981104997</v>
      </c>
    </row>
    <row r="58" spans="1:7" x14ac:dyDescent="0.25">
      <c r="A58">
        <f t="shared" si="11"/>
        <v>2024</v>
      </c>
      <c r="B58" t="str">
        <f t="shared" si="12"/>
        <v>2024-01-28</v>
      </c>
      <c r="C58" s="3">
        <f t="shared" si="13"/>
        <v>38528.505332465946</v>
      </c>
    </row>
    <row r="59" spans="1:7" x14ac:dyDescent="0.25">
      <c r="A59">
        <f t="shared" si="11"/>
        <v>2025</v>
      </c>
      <c r="B59" t="str">
        <f t="shared" si="12"/>
        <v>2025-04-27</v>
      </c>
      <c r="C59" s="3">
        <f t="shared" si="13"/>
        <v>100682.57756296739</v>
      </c>
    </row>
    <row r="61" spans="1:7" ht="15.75" customHeight="1" thickBot="1" x14ac:dyDescent="0.3"/>
    <row r="62" spans="1:7" x14ac:dyDescent="0.25">
      <c r="B62" s="65" t="s">
        <v>115</v>
      </c>
      <c r="C62" s="118" t="s">
        <v>157</v>
      </c>
      <c r="D62" s="119"/>
      <c r="E62" s="119"/>
      <c r="F62" s="120"/>
    </row>
    <row r="63" spans="1:7" ht="15.75" customHeight="1" thickBot="1" x14ac:dyDescent="0.3">
      <c r="B63" s="66"/>
      <c r="C63" s="62" t="str">
        <f>E2</f>
        <v>FCF</v>
      </c>
      <c r="D63" s="63" t="str">
        <f>G17</f>
        <v>Levered FCF</v>
      </c>
      <c r="E63" s="63" t="str">
        <f>H34</f>
        <v>FCFE</v>
      </c>
      <c r="F63" s="64" t="str">
        <f>C49</f>
        <v>Avrage CF</v>
      </c>
    </row>
    <row r="64" spans="1:7" x14ac:dyDescent="0.25">
      <c r="B64" s="66" t="str">
        <f t="shared" ref="B64:B72" si="14">B3</f>
        <v>2016-01-31</v>
      </c>
      <c r="C64" s="59">
        <f t="shared" ref="C64:C72" si="15">(E4-E3)/E3</f>
        <v>0.37373737373737376</v>
      </c>
      <c r="D64" s="60">
        <f t="shared" ref="D64:D72" si="16">(G19-G18)/G18</f>
        <v>1.314715136734256</v>
      </c>
      <c r="E64" s="60">
        <f t="shared" ref="E64:E72" si="17">(H36-H35)/H35</f>
        <v>2.8347826086956522</v>
      </c>
      <c r="F64" s="61">
        <f t="shared" ref="F64:F72" si="18">(C51-C50)/C50</f>
        <v>1.5580584191368485</v>
      </c>
    </row>
    <row r="65" spans="2:6" x14ac:dyDescent="0.25">
      <c r="B65" s="66" t="str">
        <f t="shared" si="14"/>
        <v>2017-01-29</v>
      </c>
      <c r="C65" s="54">
        <f t="shared" si="15"/>
        <v>0.94451871657754005</v>
      </c>
      <c r="D65" s="53">
        <f t="shared" si="16"/>
        <v>0.79762881682997511</v>
      </c>
      <c r="E65" s="53">
        <f t="shared" si="17"/>
        <v>0.66417233560090705</v>
      </c>
      <c r="F65" s="55">
        <f t="shared" si="18"/>
        <v>0.74912848738973736</v>
      </c>
    </row>
    <row r="66" spans="2:6" x14ac:dyDescent="0.25">
      <c r="B66" s="66" t="str">
        <f t="shared" si="14"/>
        <v>2018-01-28</v>
      </c>
      <c r="C66" s="54">
        <f t="shared" si="15"/>
        <v>8.0440013750429695E-2</v>
      </c>
      <c r="D66" s="53">
        <f t="shared" si="16"/>
        <v>0.29907057666294623</v>
      </c>
      <c r="E66" s="53">
        <f t="shared" si="17"/>
        <v>0.15424444747240768</v>
      </c>
      <c r="F66" s="55">
        <f t="shared" si="18"/>
        <v>0.17133892949950236</v>
      </c>
    </row>
    <row r="67" spans="2:6" x14ac:dyDescent="0.25">
      <c r="B67" s="66" t="str">
        <f t="shared" si="14"/>
        <v>2019-01-27</v>
      </c>
      <c r="C67" s="54">
        <f t="shared" si="15"/>
        <v>0.35921094495704742</v>
      </c>
      <c r="D67" s="53">
        <f t="shared" si="16"/>
        <v>-0.35608411712415766</v>
      </c>
      <c r="E67" s="53">
        <f t="shared" si="17"/>
        <v>-0.24755046629677724</v>
      </c>
      <c r="F67" s="55">
        <f t="shared" si="18"/>
        <v>-0.15276443626306943</v>
      </c>
    </row>
    <row r="68" spans="2:6" x14ac:dyDescent="0.25">
      <c r="B68" s="66" t="str">
        <f t="shared" si="14"/>
        <v>2020-01-26</v>
      </c>
      <c r="C68" s="54">
        <f t="shared" si="15"/>
        <v>9.878277153558053E-2</v>
      </c>
      <c r="D68" s="53">
        <f t="shared" si="16"/>
        <v>0.86645405206350867</v>
      </c>
      <c r="E68" s="53">
        <f t="shared" si="17"/>
        <v>-0.87731408848446812</v>
      </c>
      <c r="F68" s="55">
        <f t="shared" si="18"/>
        <v>-0.22408168790466768</v>
      </c>
    </row>
    <row r="69" spans="2:6" x14ac:dyDescent="0.25">
      <c r="B69" s="66" t="str">
        <f t="shared" si="14"/>
        <v>2021-01-31</v>
      </c>
      <c r="C69" s="54">
        <f t="shared" si="15"/>
        <v>0.73242437153813378</v>
      </c>
      <c r="D69" s="53">
        <f t="shared" si="16"/>
        <v>1.1103747449146966</v>
      </c>
      <c r="E69" s="53">
        <f t="shared" si="17"/>
        <v>24.643222506393862</v>
      </c>
      <c r="F69" s="55">
        <f t="shared" si="18"/>
        <v>2.7340143343475076</v>
      </c>
    </row>
    <row r="70" spans="2:6" x14ac:dyDescent="0.25">
      <c r="B70" s="66" t="str">
        <f t="shared" si="14"/>
        <v>2022-01-30</v>
      </c>
      <c r="C70" s="54">
        <f t="shared" si="15"/>
        <v>-0.53172651254303982</v>
      </c>
      <c r="D70" s="53">
        <f t="shared" si="16"/>
        <v>-0.42116132892353203</v>
      </c>
      <c r="E70" s="53">
        <f t="shared" si="17"/>
        <v>-0.58659552186705233</v>
      </c>
      <c r="F70" s="55">
        <f t="shared" si="18"/>
        <v>-0.53142117549305834</v>
      </c>
    </row>
    <row r="71" spans="2:6" x14ac:dyDescent="0.25">
      <c r="B71" s="66" t="str">
        <f t="shared" si="14"/>
        <v>2023-01-29</v>
      </c>
      <c r="C71" s="54">
        <f t="shared" si="15"/>
        <v>6.0958508403361344</v>
      </c>
      <c r="D71" s="53">
        <f t="shared" si="16"/>
        <v>3.8796392727964908</v>
      </c>
      <c r="E71" s="53">
        <f t="shared" si="17"/>
        <v>6.2566948130277442</v>
      </c>
      <c r="F71" s="55">
        <f t="shared" si="18"/>
        <v>5.4502869994609986</v>
      </c>
    </row>
    <row r="72" spans="2:6" ht="15.75" customHeight="1" thickBot="1" x14ac:dyDescent="0.3">
      <c r="B72" s="67" t="str">
        <f t="shared" si="14"/>
        <v>2024-01-28</v>
      </c>
      <c r="C72" s="56">
        <f t="shared" si="15"/>
        <v>1.6669627326893897</v>
      </c>
      <c r="D72" s="57">
        <f t="shared" si="16"/>
        <v>1.5675353040683808</v>
      </c>
      <c r="E72" s="57">
        <f t="shared" si="17"/>
        <v>1.6106087303434289</v>
      </c>
      <c r="F72" s="58">
        <f t="shared" si="18"/>
        <v>1.6131970782195766</v>
      </c>
    </row>
  </sheetData>
  <mergeCells count="1">
    <mergeCell ref="C62:F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Data Entry</vt:lpstr>
      <vt:lpstr>DCF</vt:lpstr>
      <vt:lpstr>FCF DATA</vt:lpstr>
      <vt:lpstr>Chart1</vt:lpstr>
      <vt:lpstr>Chart2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יובל בן חור</dc:creator>
  <cp:lastModifiedBy>יובל בן חור</cp:lastModifiedBy>
  <dcterms:created xsi:type="dcterms:W3CDTF">2023-11-03T19:54:15Z</dcterms:created>
  <dcterms:modified xsi:type="dcterms:W3CDTF">2025-05-31T07:41:33Z</dcterms:modified>
</cp:coreProperties>
</file>