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hidePivotFieldList="1" defaultThemeVersion="166925"/>
  <mc:AlternateContent xmlns:mc="http://schemas.openxmlformats.org/markup-compatibility/2006">
    <mc:Choice Requires="x15">
      <x15ac:absPath xmlns:x15ac="http://schemas.microsoft.com/office/spreadsheetml/2010/11/ac" url="C:\Users\rodbl\Desktop\Personal\UChile\Tesis - Valoración Tagaropulos\FINAL\Listo con correcciones\"/>
    </mc:Choice>
  </mc:AlternateContent>
  <xr:revisionPtr revIDLastSave="0" documentId="13_ncr:1_{BFDB783A-6031-487F-B616-5C246E3F8BCC}" xr6:coauthVersionLast="43" xr6:coauthVersionMax="43" xr10:uidLastSave="{00000000-0000-0000-0000-000000000000}"/>
  <bookViews>
    <workbookView xWindow="-120" yWindow="-120" windowWidth="20730" windowHeight="11160" tabRatio="841" firstSheet="2" activeTab="42" xr2:uid="{74AA7627-1A21-4149-AFB5-A1E6FB60DEEF}"/>
  </bookViews>
  <sheets>
    <sheet name="Deuda Bancaria" sheetId="9" state="hidden" r:id="rId1"/>
    <sheet name="VCN" sheetId="5" state="hidden" r:id="rId2"/>
    <sheet name="Activos" sheetId="1" r:id="rId3"/>
    <sheet name="Pasivos y Patrimonio" sheetId="2" r:id="rId4"/>
    <sheet name="Clasificación de Activos" sheetId="32" r:id="rId5"/>
    <sheet name="Clasificación de Activos II" sheetId="60" r:id="rId6"/>
    <sheet name="Patrimonio" sheetId="6" r:id="rId7"/>
    <sheet name="Estado de Resultados" sheetId="3" r:id="rId8"/>
    <sheet name="Resumen Financiero" sheetId="31" r:id="rId9"/>
    <sheet name="Ratios Financieros" sheetId="67" r:id="rId10"/>
    <sheet name="Segmentos de Venta" sheetId="21" r:id="rId11"/>
    <sheet name="Utilidad por Segmento" sheetId="22" r:id="rId12"/>
    <sheet name="Ventas vs PIB - Print" sheetId="58" r:id="rId13"/>
    <sheet name="Otros Gastos" sheetId="26" r:id="rId14"/>
    <sheet name="Flujo de Efectivo - Analizado" sheetId="23" r:id="rId15"/>
    <sheet name="Deuda a Parte Relacionada" sheetId="8" r:id="rId16"/>
    <sheet name="Deuda Financiera 2013 - 2017" sheetId="4" r:id="rId17"/>
    <sheet name="Kb TAGA" sheetId="10" r:id="rId18"/>
    <sheet name="Estructura de Capital" sheetId="7" r:id="rId19"/>
    <sheet name="Beta de la Deuda TAGA" sheetId="49" r:id="rId20"/>
    <sheet name="Beta Apalancado a TAGA" sheetId="50" r:id="rId21"/>
    <sheet name="Kp TAGA" sheetId="51" r:id="rId22"/>
    <sheet name="Ko TAGA" sheetId="45" r:id="rId23"/>
    <sheet name="Análisis Efectivo en Inversión" sheetId="24" state="hidden" r:id="rId24"/>
    <sheet name="PIB Panamá" sheetId="12" state="hidden" r:id="rId25"/>
    <sheet name="Crecimiento en Ventas vs PIB" sheetId="11" r:id="rId26"/>
    <sheet name="Cuentas No Operacionales" sheetId="30" r:id="rId27"/>
    <sheet name="Costos de Operación II" sheetId="33" state="hidden" r:id="rId28"/>
    <sheet name="Costos Operacionales - Print" sheetId="59" state="hidden" r:id="rId29"/>
    <sheet name="Inversión en Reposición" sheetId="42" r:id="rId30"/>
    <sheet name="Activo Fijo Histórico" sheetId="53" r:id="rId31"/>
    <sheet name="Inversiones en Activo Fijo" sheetId="52" r:id="rId32"/>
    <sheet name="Inversión en Capital de Trabajo" sheetId="44" r:id="rId33"/>
    <sheet name="CTON Proyectado" sheetId="55" r:id="rId34"/>
    <sheet name="Análisis de Costos de Operación" sheetId="29" r:id="rId35"/>
    <sheet name="Supuestos" sheetId="18" r:id="rId36"/>
    <sheet name="EERR Proyectado" sheetId="34" r:id="rId37"/>
    <sheet name="Jul - Sep 2017" sheetId="69" r:id="rId38"/>
    <sheet name="EERR Ajustado" sheetId="39" r:id="rId39"/>
    <sheet name="Activos Prescindibles" sheetId="47" r:id="rId40"/>
    <sheet name="FCL Proyectado" sheetId="40" r:id="rId41"/>
    <sheet name="Indices" sheetId="64" state="hidden" r:id="rId42"/>
    <sheet name="Valoración" sheetId="56" r:id="rId43"/>
    <sheet name="Graficas" sheetId="68" r:id="rId44"/>
    <sheet name="Valoración (1)" sheetId="46" state="hidden" r:id="rId45"/>
    <sheet name="Supuestos II" sheetId="36" state="hidden" r:id="rId46"/>
    <sheet name="EERR Proyectado -destruir valor" sheetId="35" state="hidden" r:id="rId47"/>
  </sheets>
  <definedNames>
    <definedName name="_xlnm._FilterDatabase" localSheetId="4" hidden="1">'Clasificación de Activos'!$A$6:$C$33</definedName>
    <definedName name="_xlnm._FilterDatabase" localSheetId="1" hidden="1">VCN!$B$5:$G$11</definedName>
    <definedName name="UltimaTasa" localSheetId="30">'Activo Fijo Histórico'!#REF!</definedName>
    <definedName name="UltimaTasa" localSheetId="31">'Inversiones en Activo Fijo'!$E$13</definedName>
    <definedName name="UltimaTasa">'Inversión en Reposición'!$E$13</definedName>
    <definedName name="VariaciónPromedio">'Inversiones en Activo Fijo'!$F$14</definedName>
    <definedName name="Vector_ReducciónTasaInversion" localSheetId="30">'Activo Fijo Histórico'!#REF!</definedName>
    <definedName name="Vector_ReducciónTasaInversion" localSheetId="31">'Inversiones en Activo Fijo'!$F$10:$F$13</definedName>
    <definedName name="Vector_ReducciónTasaInversion">'Inversión en Reposición'!$F$10:$F$13</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9" i="40" l="1"/>
  <c r="F49" i="40" s="1"/>
  <c r="B13" i="18" l="1"/>
  <c r="C35" i="60" l="1"/>
  <c r="G7" i="34" l="1"/>
  <c r="I64" i="34"/>
  <c r="J64" i="34" s="1"/>
  <c r="K64" i="34" s="1"/>
  <c r="F59" i="34"/>
  <c r="B59" i="69" s="1"/>
  <c r="F8" i="34"/>
  <c r="B8" i="69" s="1"/>
  <c r="F7" i="34"/>
  <c r="B7" i="69" s="1"/>
  <c r="F9" i="34" l="1"/>
  <c r="D7" i="69"/>
  <c r="C7" i="69" s="1"/>
  <c r="G12" i="44" s="1"/>
  <c r="G8" i="34"/>
  <c r="C63" i="68"/>
  <c r="D63" i="68" s="1"/>
  <c r="E63" i="68" s="1"/>
  <c r="C125" i="68"/>
  <c r="D125" i="68" s="1"/>
  <c r="E125" i="68" s="1"/>
  <c r="C86" i="68"/>
  <c r="D86" i="68"/>
  <c r="E86" i="68"/>
  <c r="F86" i="68"/>
  <c r="B86" i="68"/>
  <c r="C85" i="68"/>
  <c r="D85" i="68"/>
  <c r="E85" i="68"/>
  <c r="F85" i="68"/>
  <c r="B85" i="68"/>
  <c r="G85" i="68" s="1"/>
  <c r="C84" i="68"/>
  <c r="D84" i="68"/>
  <c r="E84" i="68"/>
  <c r="F84" i="68"/>
  <c r="B84" i="68"/>
  <c r="G84" i="68" s="1"/>
  <c r="G86" i="68" l="1"/>
  <c r="C7" i="55"/>
  <c r="C6" i="39"/>
  <c r="B9" i="69"/>
  <c r="G9" i="34"/>
  <c r="D9" i="69" s="1"/>
  <c r="D8" i="69"/>
  <c r="C8" i="69" s="1"/>
  <c r="D11" i="67"/>
  <c r="E11" i="67"/>
  <c r="F11" i="67"/>
  <c r="G11" i="67"/>
  <c r="C11" i="67"/>
  <c r="D6" i="67"/>
  <c r="E6" i="67" s="1"/>
  <c r="F6" i="67" s="1"/>
  <c r="C9" i="39" l="1"/>
  <c r="C9" i="69"/>
  <c r="H11" i="67"/>
  <c r="K20" i="44" l="1"/>
  <c r="C14" i="55"/>
  <c r="F6" i="53" l="1"/>
  <c r="E5" i="40"/>
  <c r="F5" i="40" s="1"/>
  <c r="G5" i="40" s="1"/>
  <c r="E64" i="34"/>
  <c r="C64" i="34"/>
  <c r="B64" i="34" s="1"/>
  <c r="C13" i="60" l="1"/>
  <c r="J57" i="59"/>
  <c r="K57" i="59" s="1"/>
  <c r="H57" i="59"/>
  <c r="I57" i="59" s="1"/>
  <c r="F57" i="59"/>
  <c r="G57" i="59" s="1"/>
  <c r="D57" i="59"/>
  <c r="E57" i="59" s="1"/>
  <c r="B57" i="59"/>
  <c r="C57" i="59" s="1"/>
  <c r="J49" i="59"/>
  <c r="K49" i="59" s="1"/>
  <c r="H49" i="59"/>
  <c r="H50" i="59" s="1"/>
  <c r="I50" i="59" s="1"/>
  <c r="F49" i="59"/>
  <c r="F50" i="59" s="1"/>
  <c r="G50" i="59" s="1"/>
  <c r="D49" i="59"/>
  <c r="D50" i="59" s="1"/>
  <c r="E50" i="59" s="1"/>
  <c r="B49" i="59"/>
  <c r="B50" i="59" s="1"/>
  <c r="C50" i="59" s="1"/>
  <c r="J45" i="59"/>
  <c r="K45" i="59" s="1"/>
  <c r="H45" i="59"/>
  <c r="I45" i="59" s="1"/>
  <c r="F45" i="59"/>
  <c r="G45" i="59" s="1"/>
  <c r="D45" i="59"/>
  <c r="E45" i="59" s="1"/>
  <c r="B45" i="59"/>
  <c r="C45" i="59" s="1"/>
  <c r="J44" i="59"/>
  <c r="H44" i="59"/>
  <c r="I44" i="59" s="1"/>
  <c r="F44" i="59"/>
  <c r="D44" i="59"/>
  <c r="E44" i="59" s="1"/>
  <c r="B44" i="59"/>
  <c r="J40" i="59"/>
  <c r="K40" i="59" s="1"/>
  <c r="H40" i="59"/>
  <c r="I40" i="59" s="1"/>
  <c r="F40" i="59"/>
  <c r="G40" i="59" s="1"/>
  <c r="D40" i="59"/>
  <c r="E40" i="59" s="1"/>
  <c r="B40" i="59"/>
  <c r="C40" i="59" s="1"/>
  <c r="J39" i="59"/>
  <c r="K39" i="59" s="1"/>
  <c r="H39" i="59"/>
  <c r="I39" i="59" s="1"/>
  <c r="F39" i="59"/>
  <c r="G39" i="59" s="1"/>
  <c r="D39" i="59"/>
  <c r="E39" i="59" s="1"/>
  <c r="B39" i="59"/>
  <c r="C39" i="59" s="1"/>
  <c r="J38" i="59"/>
  <c r="K38" i="59" s="1"/>
  <c r="H38" i="59"/>
  <c r="I38" i="59" s="1"/>
  <c r="F38" i="59"/>
  <c r="G38" i="59" s="1"/>
  <c r="D38" i="59"/>
  <c r="E38" i="59" s="1"/>
  <c r="B38" i="59"/>
  <c r="C38" i="59" s="1"/>
  <c r="J37" i="59"/>
  <c r="K37" i="59" s="1"/>
  <c r="H37" i="59"/>
  <c r="I37" i="59" s="1"/>
  <c r="F37" i="59"/>
  <c r="G37" i="59" s="1"/>
  <c r="D37" i="59"/>
  <c r="E37" i="59" s="1"/>
  <c r="B37" i="59"/>
  <c r="C37" i="59" s="1"/>
  <c r="J36" i="59"/>
  <c r="K36" i="59" s="1"/>
  <c r="H36" i="59"/>
  <c r="I36" i="59" s="1"/>
  <c r="F36" i="59"/>
  <c r="G36" i="59" s="1"/>
  <c r="D36" i="59"/>
  <c r="E36" i="59" s="1"/>
  <c r="B36" i="59"/>
  <c r="C36" i="59" s="1"/>
  <c r="J35" i="59"/>
  <c r="K35" i="59" s="1"/>
  <c r="H35" i="59"/>
  <c r="I35" i="59" s="1"/>
  <c r="F35" i="59"/>
  <c r="G35" i="59" s="1"/>
  <c r="D35" i="59"/>
  <c r="E35" i="59" s="1"/>
  <c r="B35" i="59"/>
  <c r="C35" i="59" s="1"/>
  <c r="J34" i="59"/>
  <c r="K34" i="59" s="1"/>
  <c r="H34" i="59"/>
  <c r="I34" i="59" s="1"/>
  <c r="F34" i="59"/>
  <c r="G34" i="59" s="1"/>
  <c r="D34" i="59"/>
  <c r="E34" i="59" s="1"/>
  <c r="B34" i="59"/>
  <c r="C34" i="59" s="1"/>
  <c r="J33" i="59"/>
  <c r="K33" i="59" s="1"/>
  <c r="H33" i="59"/>
  <c r="I33" i="59" s="1"/>
  <c r="F33" i="59"/>
  <c r="G33" i="59" s="1"/>
  <c r="D33" i="59"/>
  <c r="E33" i="59" s="1"/>
  <c r="B33" i="59"/>
  <c r="C33" i="59" s="1"/>
  <c r="J32" i="59"/>
  <c r="K32" i="59" s="1"/>
  <c r="H32" i="59"/>
  <c r="I32" i="59" s="1"/>
  <c r="F32" i="59"/>
  <c r="G32" i="59" s="1"/>
  <c r="D32" i="59"/>
  <c r="E32" i="59" s="1"/>
  <c r="B32" i="59"/>
  <c r="C32" i="59" s="1"/>
  <c r="J31" i="59"/>
  <c r="K31" i="59" s="1"/>
  <c r="H31" i="59"/>
  <c r="I31" i="59" s="1"/>
  <c r="F31" i="59"/>
  <c r="G31" i="59" s="1"/>
  <c r="D31" i="59"/>
  <c r="E31" i="59" s="1"/>
  <c r="B31" i="59"/>
  <c r="C31" i="59" s="1"/>
  <c r="J30" i="59"/>
  <c r="K30" i="59" s="1"/>
  <c r="H30" i="59"/>
  <c r="I30" i="59" s="1"/>
  <c r="F30" i="59"/>
  <c r="G30" i="59" s="1"/>
  <c r="D30" i="59"/>
  <c r="E30" i="59" s="1"/>
  <c r="B30" i="59"/>
  <c r="C30" i="59" s="1"/>
  <c r="J29" i="59"/>
  <c r="K29" i="59" s="1"/>
  <c r="H29" i="59"/>
  <c r="I29" i="59" s="1"/>
  <c r="F29" i="59"/>
  <c r="G29" i="59" s="1"/>
  <c r="D29" i="59"/>
  <c r="E29" i="59" s="1"/>
  <c r="B29" i="59"/>
  <c r="C29" i="59" s="1"/>
  <c r="J28" i="59"/>
  <c r="K28" i="59" s="1"/>
  <c r="H28" i="59"/>
  <c r="I28" i="59" s="1"/>
  <c r="F28" i="59"/>
  <c r="G28" i="59" s="1"/>
  <c r="D28" i="59"/>
  <c r="E28" i="59" s="1"/>
  <c r="B28" i="59"/>
  <c r="C28" i="59" s="1"/>
  <c r="J27" i="59"/>
  <c r="K27" i="59" s="1"/>
  <c r="H27" i="59"/>
  <c r="I27" i="59" s="1"/>
  <c r="F27" i="59"/>
  <c r="G27" i="59" s="1"/>
  <c r="D27" i="59"/>
  <c r="E27" i="59" s="1"/>
  <c r="B27" i="59"/>
  <c r="C27" i="59" s="1"/>
  <c r="J26" i="59"/>
  <c r="K26" i="59" s="1"/>
  <c r="H26" i="59"/>
  <c r="I26" i="59" s="1"/>
  <c r="F26" i="59"/>
  <c r="G26" i="59" s="1"/>
  <c r="D26" i="59"/>
  <c r="E26" i="59" s="1"/>
  <c r="B26" i="59"/>
  <c r="C26" i="59" s="1"/>
  <c r="J25" i="59"/>
  <c r="K25" i="59" s="1"/>
  <c r="H25" i="59"/>
  <c r="I25" i="59" s="1"/>
  <c r="F25" i="59"/>
  <c r="G25" i="59" s="1"/>
  <c r="D25" i="59"/>
  <c r="E25" i="59" s="1"/>
  <c r="B25" i="59"/>
  <c r="C25" i="59" s="1"/>
  <c r="J24" i="59"/>
  <c r="K24" i="59" s="1"/>
  <c r="H24" i="59"/>
  <c r="I24" i="59" s="1"/>
  <c r="F24" i="59"/>
  <c r="G24" i="59" s="1"/>
  <c r="D24" i="59"/>
  <c r="E24" i="59" s="1"/>
  <c r="B24" i="59"/>
  <c r="C24" i="59" s="1"/>
  <c r="J23" i="59"/>
  <c r="K23" i="59" s="1"/>
  <c r="H23" i="59"/>
  <c r="I23" i="59" s="1"/>
  <c r="F23" i="59"/>
  <c r="G23" i="59" s="1"/>
  <c r="D23" i="59"/>
  <c r="E23" i="59" s="1"/>
  <c r="B23" i="59"/>
  <c r="C23" i="59" s="1"/>
  <c r="J22" i="59"/>
  <c r="K22" i="59" s="1"/>
  <c r="H22" i="59"/>
  <c r="I22" i="59" s="1"/>
  <c r="F22" i="59"/>
  <c r="G22" i="59" s="1"/>
  <c r="D22" i="59"/>
  <c r="E22" i="59" s="1"/>
  <c r="B22" i="59"/>
  <c r="C22" i="59" s="1"/>
  <c r="J21" i="59"/>
  <c r="K21" i="59" s="1"/>
  <c r="H21" i="59"/>
  <c r="I21" i="59" s="1"/>
  <c r="F21" i="59"/>
  <c r="G21" i="59" s="1"/>
  <c r="D21" i="59"/>
  <c r="E21" i="59" s="1"/>
  <c r="B21" i="59"/>
  <c r="C21" i="59" s="1"/>
  <c r="J17" i="59"/>
  <c r="K17" i="59" s="1"/>
  <c r="H17" i="59"/>
  <c r="I17" i="59" s="1"/>
  <c r="F17" i="59"/>
  <c r="G17" i="59" s="1"/>
  <c r="D17" i="59"/>
  <c r="E17" i="59" s="1"/>
  <c r="B17" i="59"/>
  <c r="C17" i="59" s="1"/>
  <c r="J16" i="59"/>
  <c r="H16" i="59"/>
  <c r="I16" i="59" s="1"/>
  <c r="F16" i="59"/>
  <c r="D16" i="59"/>
  <c r="E16" i="59" s="1"/>
  <c r="B16" i="59"/>
  <c r="J15" i="59"/>
  <c r="K15" i="59" s="1"/>
  <c r="H15" i="59"/>
  <c r="F15" i="59"/>
  <c r="G15" i="59" s="1"/>
  <c r="D15" i="59"/>
  <c r="E15" i="59" s="1"/>
  <c r="B15" i="59"/>
  <c r="C15" i="59" s="1"/>
  <c r="J11" i="59"/>
  <c r="K11" i="59" s="1"/>
  <c r="H11" i="59"/>
  <c r="I11" i="59" s="1"/>
  <c r="F11" i="59"/>
  <c r="G11" i="59" s="1"/>
  <c r="D11" i="59"/>
  <c r="E11" i="59" s="1"/>
  <c r="B11" i="59"/>
  <c r="C11" i="59" s="1"/>
  <c r="J10" i="59"/>
  <c r="H10" i="59"/>
  <c r="I10" i="59" s="1"/>
  <c r="F10" i="59"/>
  <c r="D10" i="59"/>
  <c r="E10" i="59" s="1"/>
  <c r="B10" i="59"/>
  <c r="J9" i="59"/>
  <c r="K9" i="59" s="1"/>
  <c r="H9" i="59"/>
  <c r="I9" i="59" s="1"/>
  <c r="F9" i="59"/>
  <c r="G9" i="59" s="1"/>
  <c r="D9" i="59"/>
  <c r="E9" i="59" s="1"/>
  <c r="B9" i="59"/>
  <c r="C9" i="59" s="1"/>
  <c r="A9" i="59"/>
  <c r="J8" i="59"/>
  <c r="K8" i="59" s="1"/>
  <c r="H8" i="59"/>
  <c r="I8" i="59" s="1"/>
  <c r="F8" i="59"/>
  <c r="G8" i="59" s="1"/>
  <c r="D8" i="59"/>
  <c r="E8" i="59" s="1"/>
  <c r="B8" i="59"/>
  <c r="C8" i="59" s="1"/>
  <c r="K8" i="26"/>
  <c r="K9" i="26"/>
  <c r="K10" i="26"/>
  <c r="K11" i="26"/>
  <c r="K12" i="26"/>
  <c r="K13" i="26"/>
  <c r="K14" i="26"/>
  <c r="K15" i="26"/>
  <c r="K16" i="26"/>
  <c r="K17" i="26"/>
  <c r="K18" i="26"/>
  <c r="K19" i="26"/>
  <c r="K20" i="26"/>
  <c r="K21" i="26"/>
  <c r="K22" i="26"/>
  <c r="K23" i="26"/>
  <c r="K24" i="26"/>
  <c r="K25" i="26"/>
  <c r="K26" i="26"/>
  <c r="K27" i="26"/>
  <c r="K28" i="26"/>
  <c r="K29" i="26"/>
  <c r="K30" i="26"/>
  <c r="K31" i="26"/>
  <c r="K7" i="26"/>
  <c r="I8" i="26"/>
  <c r="I9" i="26"/>
  <c r="I10" i="26"/>
  <c r="I11" i="26"/>
  <c r="I12" i="26"/>
  <c r="I13" i="26"/>
  <c r="I14" i="26"/>
  <c r="I15" i="26"/>
  <c r="I16" i="26"/>
  <c r="I17" i="26"/>
  <c r="I18" i="26"/>
  <c r="I19" i="26"/>
  <c r="I20" i="26"/>
  <c r="I21" i="26"/>
  <c r="I22" i="26"/>
  <c r="I23" i="26"/>
  <c r="I24" i="26"/>
  <c r="I25" i="26"/>
  <c r="I26" i="26"/>
  <c r="I27" i="26"/>
  <c r="I28" i="26"/>
  <c r="I29" i="26"/>
  <c r="I30" i="26"/>
  <c r="I31" i="26"/>
  <c r="I7" i="26"/>
  <c r="G8" i="26"/>
  <c r="G9" i="26"/>
  <c r="G10" i="26"/>
  <c r="G11" i="26"/>
  <c r="G12" i="26"/>
  <c r="G13" i="26"/>
  <c r="G14" i="26"/>
  <c r="G15" i="26"/>
  <c r="G16" i="26"/>
  <c r="G17" i="26"/>
  <c r="G18" i="26"/>
  <c r="G19" i="26"/>
  <c r="G20" i="26"/>
  <c r="G21" i="26"/>
  <c r="G22" i="26"/>
  <c r="G23" i="26"/>
  <c r="G24" i="26"/>
  <c r="G25" i="26"/>
  <c r="G26" i="26"/>
  <c r="G27" i="26"/>
  <c r="G28" i="26"/>
  <c r="G29" i="26"/>
  <c r="G30" i="26"/>
  <c r="G31" i="26"/>
  <c r="G7" i="26"/>
  <c r="E8" i="26"/>
  <c r="E9" i="26"/>
  <c r="E10" i="26"/>
  <c r="E11" i="26"/>
  <c r="E12" i="26"/>
  <c r="E13" i="26"/>
  <c r="E14" i="26"/>
  <c r="E15" i="26"/>
  <c r="E16" i="26"/>
  <c r="E17" i="26"/>
  <c r="E18" i="26"/>
  <c r="E19" i="26"/>
  <c r="E20" i="26"/>
  <c r="E21" i="26"/>
  <c r="E22" i="26"/>
  <c r="E23" i="26"/>
  <c r="E24" i="26"/>
  <c r="E25" i="26"/>
  <c r="E26" i="26"/>
  <c r="E27" i="26"/>
  <c r="E28" i="26"/>
  <c r="E29" i="26"/>
  <c r="E30" i="26"/>
  <c r="E31" i="26"/>
  <c r="E7" i="26"/>
  <c r="C8" i="26"/>
  <c r="C9" i="26"/>
  <c r="C10" i="26"/>
  <c r="C11" i="26"/>
  <c r="C12" i="26"/>
  <c r="C13" i="26"/>
  <c r="C14" i="26"/>
  <c r="C15" i="26"/>
  <c r="C16" i="26"/>
  <c r="C17" i="26"/>
  <c r="C18" i="26"/>
  <c r="C19" i="26"/>
  <c r="C20" i="26"/>
  <c r="C21" i="26"/>
  <c r="C22" i="26"/>
  <c r="C23" i="26"/>
  <c r="C24" i="26"/>
  <c r="C25" i="26"/>
  <c r="C26" i="26"/>
  <c r="C27" i="26"/>
  <c r="C28" i="26"/>
  <c r="C29" i="26"/>
  <c r="C30" i="26"/>
  <c r="C31" i="26"/>
  <c r="C7" i="26"/>
  <c r="J6" i="10"/>
  <c r="J50" i="59" l="1"/>
  <c r="K50" i="59" s="1"/>
  <c r="K3" i="10"/>
  <c r="K4" i="10"/>
  <c r="K5" i="10"/>
  <c r="K2" i="10"/>
  <c r="F46" i="59"/>
  <c r="G46" i="59" s="1"/>
  <c r="J46" i="59"/>
  <c r="K46" i="59" s="1"/>
  <c r="G49" i="59"/>
  <c r="N27" i="59"/>
  <c r="D12" i="59"/>
  <c r="E12" i="59" s="1"/>
  <c r="C49" i="59"/>
  <c r="N11" i="59"/>
  <c r="H18" i="59"/>
  <c r="I18" i="59" s="1"/>
  <c r="N31" i="59"/>
  <c r="N8" i="59"/>
  <c r="B46" i="59"/>
  <c r="C46" i="59" s="1"/>
  <c r="N39" i="59"/>
  <c r="M17" i="59"/>
  <c r="N17" i="59"/>
  <c r="D18" i="59"/>
  <c r="E18" i="59" s="1"/>
  <c r="N23" i="59"/>
  <c r="D46" i="59"/>
  <c r="E46" i="59" s="1"/>
  <c r="H12" i="59"/>
  <c r="I15" i="59"/>
  <c r="N15" i="59" s="1"/>
  <c r="M32" i="59"/>
  <c r="H46" i="59"/>
  <c r="I46" i="59" s="1"/>
  <c r="E49" i="59"/>
  <c r="I49" i="59"/>
  <c r="M49" i="59" s="1"/>
  <c r="M50" i="59"/>
  <c r="N24" i="59"/>
  <c r="M31" i="59"/>
  <c r="N35" i="59"/>
  <c r="M36" i="59"/>
  <c r="M45" i="59"/>
  <c r="N40" i="59"/>
  <c r="M40" i="59"/>
  <c r="F12" i="59"/>
  <c r="G10" i="59"/>
  <c r="I12" i="59"/>
  <c r="B18" i="59"/>
  <c r="C18" i="59" s="1"/>
  <c r="C16" i="59"/>
  <c r="J18" i="59"/>
  <c r="K18" i="59" s="1"/>
  <c r="K16" i="59"/>
  <c r="B41" i="59"/>
  <c r="C41" i="59" s="1"/>
  <c r="F41" i="59"/>
  <c r="G41" i="59" s="1"/>
  <c r="J41" i="59"/>
  <c r="K41" i="59" s="1"/>
  <c r="M24" i="59"/>
  <c r="N28" i="59"/>
  <c r="N30" i="59"/>
  <c r="M30" i="59"/>
  <c r="N33" i="59"/>
  <c r="M33" i="59"/>
  <c r="M35" i="59"/>
  <c r="M57" i="59"/>
  <c r="N29" i="59"/>
  <c r="M29" i="59"/>
  <c r="M8" i="59"/>
  <c r="N9" i="59"/>
  <c r="M9" i="59"/>
  <c r="M11" i="59"/>
  <c r="N21" i="59"/>
  <c r="M21" i="59"/>
  <c r="M23" i="59"/>
  <c r="M28" i="59"/>
  <c r="N32" i="59"/>
  <c r="O33" i="59" s="1"/>
  <c r="N34" i="59"/>
  <c r="M34" i="59"/>
  <c r="N37" i="59"/>
  <c r="M37" i="59"/>
  <c r="M39" i="59"/>
  <c r="N26" i="59"/>
  <c r="M26" i="59"/>
  <c r="B12" i="59"/>
  <c r="C10" i="59"/>
  <c r="J12" i="59"/>
  <c r="K10" i="59"/>
  <c r="F18" i="59"/>
  <c r="G18" i="59" s="1"/>
  <c r="G16" i="59"/>
  <c r="D41" i="59"/>
  <c r="E41" i="59" s="1"/>
  <c r="H41" i="59"/>
  <c r="I41" i="59" s="1"/>
  <c r="N22" i="59"/>
  <c r="M22" i="59"/>
  <c r="N25" i="59"/>
  <c r="M25" i="59"/>
  <c r="M27" i="59"/>
  <c r="O28" i="59" s="1"/>
  <c r="N36" i="59"/>
  <c r="N38" i="59"/>
  <c r="M38" i="59"/>
  <c r="C44" i="59"/>
  <c r="G44" i="59"/>
  <c r="K44" i="59"/>
  <c r="O8" i="59" l="1"/>
  <c r="O40" i="59"/>
  <c r="O32" i="59"/>
  <c r="O25" i="59"/>
  <c r="M46" i="59"/>
  <c r="O11" i="59"/>
  <c r="M15" i="59"/>
  <c r="O37" i="59"/>
  <c r="O24" i="59"/>
  <c r="O17" i="59"/>
  <c r="O29" i="59"/>
  <c r="O36" i="59"/>
  <c r="O38" i="59"/>
  <c r="O34" i="59"/>
  <c r="M44" i="59"/>
  <c r="D53" i="59"/>
  <c r="D55" i="59" s="1"/>
  <c r="E55" i="59" s="1"/>
  <c r="O35" i="59"/>
  <c r="O9" i="59"/>
  <c r="O31" i="59"/>
  <c r="H53" i="59"/>
  <c r="I53" i="59" s="1"/>
  <c r="B53" i="59"/>
  <c r="C12" i="59"/>
  <c r="O39" i="59"/>
  <c r="O26" i="59"/>
  <c r="O27" i="59"/>
  <c r="O22" i="59"/>
  <c r="O15" i="59"/>
  <c r="N16" i="59"/>
  <c r="M16" i="59"/>
  <c r="J53" i="59"/>
  <c r="K12" i="59"/>
  <c r="N41" i="59"/>
  <c r="M41" i="59"/>
  <c r="N18" i="59"/>
  <c r="M18" i="59"/>
  <c r="F53" i="59"/>
  <c r="G12" i="59"/>
  <c r="O23" i="59"/>
  <c r="N10" i="59"/>
  <c r="M10" i="59"/>
  <c r="O30" i="59"/>
  <c r="O41" i="59"/>
  <c r="H3" i="47"/>
  <c r="G8" i="53"/>
  <c r="F8" i="53"/>
  <c r="E8" i="53"/>
  <c r="D8" i="53"/>
  <c r="D7" i="18"/>
  <c r="E53" i="59" l="1"/>
  <c r="E7" i="18"/>
  <c r="H55" i="59"/>
  <c r="I55" i="59" s="1"/>
  <c r="O10" i="59"/>
  <c r="J55" i="59"/>
  <c r="K55" i="59" s="1"/>
  <c r="K53" i="59"/>
  <c r="O42" i="59"/>
  <c r="O16" i="59"/>
  <c r="F55" i="59"/>
  <c r="G55" i="59" s="1"/>
  <c r="G53" i="59"/>
  <c r="N12" i="59"/>
  <c r="M12" i="59"/>
  <c r="O18" i="59"/>
  <c r="B55" i="59"/>
  <c r="C55" i="59" s="1"/>
  <c r="C53" i="59"/>
  <c r="M55" i="59" l="1"/>
  <c r="F7" i="18"/>
  <c r="O12" i="59"/>
  <c r="M53" i="59"/>
  <c r="B11" i="56"/>
  <c r="B7" i="55"/>
  <c r="C13" i="55" s="1"/>
  <c r="C9" i="56"/>
  <c r="C6" i="56"/>
  <c r="C7" i="56"/>
  <c r="C8" i="56"/>
  <c r="C4" i="56"/>
  <c r="C5" i="56"/>
  <c r="G7" i="18" l="1"/>
  <c r="D55" i="18"/>
  <c r="E55" i="18" s="1"/>
  <c r="F55" i="18" s="1"/>
  <c r="G55" i="18" s="1"/>
  <c r="I2" i="52"/>
  <c r="J2" i="52" s="1"/>
  <c r="K2" i="52" s="1"/>
  <c r="H5" i="47" l="1"/>
  <c r="E23" i="47" s="1"/>
  <c r="E24" i="47" s="1"/>
  <c r="B5" i="56" s="1"/>
  <c r="G17" i="53"/>
  <c r="F17" i="53"/>
  <c r="E17" i="53"/>
  <c r="D17" i="53"/>
  <c r="G14" i="53"/>
  <c r="F14" i="53"/>
  <c r="E14" i="53"/>
  <c r="D14" i="53"/>
  <c r="E11" i="53"/>
  <c r="F11" i="53"/>
  <c r="G11" i="53"/>
  <c r="D19" i="53"/>
  <c r="D22" i="53" s="1"/>
  <c r="D26" i="53" s="1"/>
  <c r="E19" i="53"/>
  <c r="F19" i="53"/>
  <c r="F22" i="53" s="1"/>
  <c r="F27" i="53" s="1"/>
  <c r="G19" i="53"/>
  <c r="C19" i="53"/>
  <c r="C22" i="53" s="1"/>
  <c r="C28" i="53" s="1"/>
  <c r="D11" i="53"/>
  <c r="F25" i="53"/>
  <c r="D25" i="53"/>
  <c r="C25" i="53" s="1"/>
  <c r="D10" i="52"/>
  <c r="D11" i="52"/>
  <c r="D12" i="52"/>
  <c r="D13" i="52"/>
  <c r="D9" i="52"/>
  <c r="B10" i="52"/>
  <c r="B11" i="52" s="1"/>
  <c r="B12" i="52" s="1"/>
  <c r="B46" i="23"/>
  <c r="C9" i="46"/>
  <c r="C21" i="42"/>
  <c r="C4" i="46"/>
  <c r="C7" i="46"/>
  <c r="C5" i="46"/>
  <c r="C22" i="52"/>
  <c r="D6" i="46"/>
  <c r="C8" i="46"/>
  <c r="C26" i="53" l="1"/>
  <c r="F28" i="53"/>
  <c r="F26" i="53"/>
  <c r="C27" i="53"/>
  <c r="D28" i="53"/>
  <c r="D27" i="53"/>
  <c r="G22" i="53"/>
  <c r="C13" i="52" s="1"/>
  <c r="E13" i="52" s="1"/>
  <c r="E22" i="53"/>
  <c r="C12" i="52"/>
  <c r="E12" i="52" s="1"/>
  <c r="C9" i="52"/>
  <c r="E9" i="52" s="1"/>
  <c r="C10" i="52"/>
  <c r="E10" i="52" s="1"/>
  <c r="C11" i="52"/>
  <c r="E11" i="52" s="1"/>
  <c r="D3" i="32"/>
  <c r="C3" i="32"/>
  <c r="B3" i="32"/>
  <c r="B7" i="45"/>
  <c r="C1" i="32" l="1"/>
  <c r="D1" i="32"/>
  <c r="F17" i="52"/>
  <c r="G26" i="53"/>
  <c r="G27" i="53"/>
  <c r="G28" i="53"/>
  <c r="E26" i="53"/>
  <c r="E27" i="53"/>
  <c r="E28" i="53"/>
  <c r="H28" i="53" s="1"/>
  <c r="F10" i="52"/>
  <c r="F11" i="52"/>
  <c r="F12" i="52"/>
  <c r="E14" i="52"/>
  <c r="F13" i="52"/>
  <c r="A12" i="44"/>
  <c r="H27" i="53" l="1"/>
  <c r="H26" i="53"/>
  <c r="F14" i="52"/>
  <c r="F18" i="52" s="1"/>
  <c r="C64" i="18" s="1"/>
  <c r="B34" i="8"/>
  <c r="C13" i="10" s="1"/>
  <c r="D57" i="18" l="1"/>
  <c r="G14" i="55" s="1"/>
  <c r="C20" i="10"/>
  <c r="F57" i="18"/>
  <c r="G57" i="18"/>
  <c r="C57" i="18"/>
  <c r="E57" i="18"/>
  <c r="D31" i="23"/>
  <c r="F31" i="23"/>
  <c r="H31" i="23"/>
  <c r="J31" i="23"/>
  <c r="B31" i="23"/>
  <c r="K31" i="23" s="1"/>
  <c r="E14" i="55" l="1"/>
  <c r="E8" i="10"/>
  <c r="F8" i="10" s="1"/>
  <c r="E12" i="10"/>
  <c r="F12" i="10" s="1"/>
  <c r="E16" i="10"/>
  <c r="F16" i="10" s="1"/>
  <c r="E7" i="10"/>
  <c r="E19" i="10"/>
  <c r="F19" i="10" s="1"/>
  <c r="E9" i="10"/>
  <c r="F9" i="10" s="1"/>
  <c r="E17" i="10"/>
  <c r="F17" i="10" s="1"/>
  <c r="E10" i="10"/>
  <c r="F10" i="10" s="1"/>
  <c r="E14" i="10"/>
  <c r="F14" i="10" s="1"/>
  <c r="E18" i="10"/>
  <c r="F18" i="10" s="1"/>
  <c r="E11" i="10"/>
  <c r="F11" i="10" s="1"/>
  <c r="E15" i="10"/>
  <c r="F15" i="10" s="1"/>
  <c r="E13" i="10"/>
  <c r="F13" i="10" s="1"/>
  <c r="B11" i="46"/>
  <c r="B5" i="46" l="1"/>
  <c r="F12" i="44" l="1"/>
  <c r="E12" i="44"/>
  <c r="D12" i="44"/>
  <c r="C12" i="44"/>
  <c r="B12" i="44"/>
  <c r="F6" i="44"/>
  <c r="F7" i="44"/>
  <c r="F8" i="44"/>
  <c r="E6" i="44"/>
  <c r="E7" i="44"/>
  <c r="E8" i="44"/>
  <c r="C6" i="44"/>
  <c r="D6" i="44"/>
  <c r="C7" i="44"/>
  <c r="D7" i="44"/>
  <c r="C8" i="44"/>
  <c r="D8" i="44"/>
  <c r="B8" i="44"/>
  <c r="B7" i="44"/>
  <c r="B6" i="44"/>
  <c r="C10" i="42"/>
  <c r="C11" i="42"/>
  <c r="C12" i="42"/>
  <c r="C13" i="42"/>
  <c r="C9" i="42"/>
  <c r="D10" i="42"/>
  <c r="D11" i="42"/>
  <c r="D12" i="42"/>
  <c r="D13" i="42"/>
  <c r="D9" i="42"/>
  <c r="B10" i="42"/>
  <c r="B11" i="42" s="1"/>
  <c r="B12" i="42" s="1"/>
  <c r="B21" i="39"/>
  <c r="B20" i="39"/>
  <c r="E11" i="42" l="1"/>
  <c r="F10" i="44"/>
  <c r="F15" i="44" s="1"/>
  <c r="D10" i="44"/>
  <c r="D15" i="44" s="1"/>
  <c r="E10" i="44"/>
  <c r="E15" i="44" s="1"/>
  <c r="E27" i="44" s="1"/>
  <c r="B10" i="44"/>
  <c r="B15" i="44" s="1"/>
  <c r="C10" i="44"/>
  <c r="C15" i="44" s="1"/>
  <c r="E12" i="42"/>
  <c r="F12" i="42" s="1"/>
  <c r="E13" i="42"/>
  <c r="E9" i="42"/>
  <c r="E10" i="42"/>
  <c r="F16" i="44" l="1"/>
  <c r="C28" i="44"/>
  <c r="C27" i="44"/>
  <c r="D28" i="44"/>
  <c r="D27" i="44"/>
  <c r="B27" i="44"/>
  <c r="B28" i="44"/>
  <c r="B9" i="55"/>
  <c r="E18" i="44"/>
  <c r="E28" i="44"/>
  <c r="C18" i="44"/>
  <c r="D18" i="44"/>
  <c r="B18" i="44"/>
  <c r="E14" i="42"/>
  <c r="F17" i="42"/>
  <c r="F13" i="42"/>
  <c r="F10" i="42"/>
  <c r="F11" i="42"/>
  <c r="F18" i="44" l="1"/>
  <c r="F14" i="42"/>
  <c r="F18" i="42"/>
  <c r="C63" i="18" s="1"/>
  <c r="D58" i="18" l="1"/>
  <c r="C65" i="18"/>
  <c r="C58" i="18"/>
  <c r="C9" i="55" s="1"/>
  <c r="C18" i="55" s="1"/>
  <c r="B6" i="56" s="1"/>
  <c r="E58" i="18"/>
  <c r="F58" i="18"/>
  <c r="G58" i="18"/>
  <c r="D56" i="18"/>
  <c r="C56" i="18"/>
  <c r="E56" i="18"/>
  <c r="F56" i="18"/>
  <c r="G56" i="18"/>
  <c r="I8" i="3"/>
  <c r="G8" i="3"/>
  <c r="E8" i="3"/>
  <c r="C8" i="3"/>
  <c r="K19" i="3"/>
  <c r="K13" i="3"/>
  <c r="K12" i="3"/>
  <c r="K11" i="3"/>
  <c r="K10" i="3"/>
  <c r="K9" i="3"/>
  <c r="K8" i="3"/>
  <c r="K7" i="3"/>
  <c r="K6" i="3"/>
  <c r="I19" i="3"/>
  <c r="I13" i="3"/>
  <c r="I12" i="3"/>
  <c r="I11" i="3"/>
  <c r="I10" i="3"/>
  <c r="I9" i="3"/>
  <c r="I7" i="3"/>
  <c r="I6" i="3"/>
  <c r="G19" i="3"/>
  <c r="G13" i="3"/>
  <c r="G12" i="3"/>
  <c r="G11" i="3"/>
  <c r="G10" i="3"/>
  <c r="G9" i="3"/>
  <c r="G7" i="3"/>
  <c r="G6" i="3"/>
  <c r="E19" i="3"/>
  <c r="E13" i="3"/>
  <c r="E12" i="3"/>
  <c r="E11" i="3"/>
  <c r="E10" i="3"/>
  <c r="E9" i="3"/>
  <c r="E7" i="3"/>
  <c r="E6" i="3"/>
  <c r="C19" i="3"/>
  <c r="C13" i="3"/>
  <c r="C12" i="3"/>
  <c r="C11" i="3"/>
  <c r="C10" i="3"/>
  <c r="C9" i="3"/>
  <c r="C7" i="3"/>
  <c r="C6" i="3"/>
  <c r="A54" i="36" l="1"/>
  <c r="A53" i="36"/>
  <c r="A52" i="36"/>
  <c r="A50" i="36"/>
  <c r="A49" i="36"/>
  <c r="A48" i="36"/>
  <c r="A47" i="36"/>
  <c r="A45" i="36"/>
  <c r="A44" i="36"/>
  <c r="A43" i="36"/>
  <c r="A42" i="36"/>
  <c r="A41" i="36"/>
  <c r="A40" i="36"/>
  <c r="A39" i="36"/>
  <c r="A38" i="36"/>
  <c r="A37" i="36"/>
  <c r="A36" i="36"/>
  <c r="A35" i="36"/>
  <c r="A34" i="36"/>
  <c r="A33" i="36"/>
  <c r="A32" i="36"/>
  <c r="A31" i="36"/>
  <c r="A30" i="36"/>
  <c r="A29" i="36"/>
  <c r="A28" i="36"/>
  <c r="A27" i="36"/>
  <c r="A26" i="36"/>
  <c r="A25" i="36"/>
  <c r="A24" i="36"/>
  <c r="A22" i="36"/>
  <c r="A21" i="36"/>
  <c r="A20" i="36"/>
  <c r="A19" i="36"/>
  <c r="A18" i="36"/>
  <c r="A16" i="36"/>
  <c r="A15" i="36"/>
  <c r="A14" i="36"/>
  <c r="A12" i="36"/>
  <c r="A11" i="36"/>
  <c r="C8" i="36"/>
  <c r="D8" i="36" s="1"/>
  <c r="E8" i="36" s="1"/>
  <c r="F8" i="36" s="1"/>
  <c r="C7" i="36"/>
  <c r="D7" i="36" s="1"/>
  <c r="E7" i="36" s="1"/>
  <c r="F7" i="36" s="1"/>
  <c r="D6" i="36"/>
  <c r="E6" i="36" s="1"/>
  <c r="F6" i="36" s="1"/>
  <c r="C6" i="36"/>
  <c r="E59" i="35"/>
  <c r="D59" i="35"/>
  <c r="C59" i="35"/>
  <c r="B59" i="35"/>
  <c r="A54" i="35"/>
  <c r="A53" i="35"/>
  <c r="A52" i="35"/>
  <c r="A50" i="35"/>
  <c r="A49" i="35"/>
  <c r="A48" i="35"/>
  <c r="A47" i="35"/>
  <c r="A45" i="35"/>
  <c r="A44" i="35"/>
  <c r="A43" i="35"/>
  <c r="A42" i="35"/>
  <c r="A41" i="35"/>
  <c r="A40" i="35"/>
  <c r="A39" i="35"/>
  <c r="A38" i="35"/>
  <c r="A37" i="35"/>
  <c r="A36" i="35"/>
  <c r="A35" i="35"/>
  <c r="A34" i="35"/>
  <c r="A33" i="35"/>
  <c r="A32" i="35"/>
  <c r="A31" i="35"/>
  <c r="A30" i="35"/>
  <c r="A29" i="35"/>
  <c r="A28" i="35"/>
  <c r="A27" i="35"/>
  <c r="A26" i="35"/>
  <c r="A25" i="35"/>
  <c r="A24" i="35"/>
  <c r="A22" i="35"/>
  <c r="A21" i="35"/>
  <c r="A20" i="35"/>
  <c r="A19" i="35"/>
  <c r="A18" i="35"/>
  <c r="A16" i="35"/>
  <c r="A15" i="35"/>
  <c r="A14" i="35"/>
  <c r="E13" i="35"/>
  <c r="D13" i="35"/>
  <c r="C13" i="35"/>
  <c r="B13" i="35"/>
  <c r="A13" i="35"/>
  <c r="A12" i="35"/>
  <c r="A11" i="35"/>
  <c r="F8" i="35"/>
  <c r="E8" i="35"/>
  <c r="D8" i="35"/>
  <c r="C8" i="35"/>
  <c r="B8" i="35"/>
  <c r="F7" i="35"/>
  <c r="E7" i="35"/>
  <c r="D7" i="35"/>
  <c r="C7" i="35"/>
  <c r="C9" i="35" s="1"/>
  <c r="B7" i="35"/>
  <c r="E6" i="35"/>
  <c r="F6" i="35" s="1"/>
  <c r="G6" i="35" s="1"/>
  <c r="H6" i="35" s="1"/>
  <c r="I6" i="35" s="1"/>
  <c r="J6" i="35" s="1"/>
  <c r="C6" i="35"/>
  <c r="B6" i="35" s="1"/>
  <c r="I43" i="23"/>
  <c r="I39" i="23"/>
  <c r="I38" i="23"/>
  <c r="I36" i="23"/>
  <c r="I35" i="23"/>
  <c r="I34" i="23"/>
  <c r="I29" i="23"/>
  <c r="I23" i="23"/>
  <c r="I22" i="23"/>
  <c r="I21" i="23"/>
  <c r="I20" i="23"/>
  <c r="I19" i="23"/>
  <c r="I18" i="23"/>
  <c r="I15" i="23"/>
  <c r="I14" i="23"/>
  <c r="I13" i="23"/>
  <c r="I12" i="23"/>
  <c r="I11" i="23"/>
  <c r="I10" i="23"/>
  <c r="I6" i="23"/>
  <c r="G43" i="23"/>
  <c r="G39" i="23"/>
  <c r="G38" i="23"/>
  <c r="G37" i="23"/>
  <c r="G36" i="23"/>
  <c r="G35" i="23"/>
  <c r="G34" i="23"/>
  <c r="G29" i="23"/>
  <c r="G23" i="23"/>
  <c r="G22" i="23"/>
  <c r="G21" i="23"/>
  <c r="G20" i="23"/>
  <c r="G19" i="23"/>
  <c r="G18" i="23"/>
  <c r="G15" i="23"/>
  <c r="G14" i="23"/>
  <c r="G13" i="23"/>
  <c r="G12" i="23"/>
  <c r="G11" i="23"/>
  <c r="G10" i="23"/>
  <c r="G6" i="23"/>
  <c r="E43" i="23"/>
  <c r="E39" i="23"/>
  <c r="E38" i="23"/>
  <c r="E37" i="23"/>
  <c r="E36" i="23"/>
  <c r="E35" i="23"/>
  <c r="E34" i="23"/>
  <c r="E29" i="23"/>
  <c r="E23" i="23"/>
  <c r="E22" i="23"/>
  <c r="E21" i="23"/>
  <c r="E20" i="23"/>
  <c r="E19" i="23"/>
  <c r="E18" i="23"/>
  <c r="E15" i="23"/>
  <c r="E14" i="23"/>
  <c r="E13" i="23"/>
  <c r="E12" i="23"/>
  <c r="E11" i="23"/>
  <c r="E10" i="23"/>
  <c r="E6" i="23"/>
  <c r="C10" i="23"/>
  <c r="C11" i="23"/>
  <c r="C13" i="23"/>
  <c r="C15" i="23"/>
  <c r="C18" i="23"/>
  <c r="C19" i="23"/>
  <c r="C20" i="23"/>
  <c r="C21" i="23"/>
  <c r="C22" i="23"/>
  <c r="C23" i="23"/>
  <c r="C29" i="23"/>
  <c r="C34" i="23"/>
  <c r="C35" i="23"/>
  <c r="C36" i="23"/>
  <c r="C37" i="23"/>
  <c r="C38" i="23"/>
  <c r="C39" i="23"/>
  <c r="C43" i="23"/>
  <c r="C6" i="23"/>
  <c r="E9" i="35" l="1"/>
  <c r="D9" i="35"/>
  <c r="B9" i="35"/>
  <c r="F9" i="35"/>
  <c r="G8" i="35"/>
  <c r="G7" i="35"/>
  <c r="J57" i="29"/>
  <c r="K57" i="29" s="1"/>
  <c r="C52" i="18" s="1"/>
  <c r="G59" i="34" s="1"/>
  <c r="D59" i="69" s="1"/>
  <c r="C59" i="69" s="1"/>
  <c r="H57" i="29"/>
  <c r="I57" i="29" s="1"/>
  <c r="F57" i="29"/>
  <c r="G57" i="29" s="1"/>
  <c r="D57" i="29"/>
  <c r="E57" i="29" s="1"/>
  <c r="B57" i="29"/>
  <c r="C57" i="29" s="1"/>
  <c r="D57" i="33"/>
  <c r="F57" i="33"/>
  <c r="H57" i="33"/>
  <c r="J57" i="33"/>
  <c r="B57" i="33"/>
  <c r="E59" i="34"/>
  <c r="D59" i="34"/>
  <c r="C59" i="34"/>
  <c r="B59" i="34"/>
  <c r="J9" i="33"/>
  <c r="H9" i="33"/>
  <c r="F9" i="33"/>
  <c r="D9" i="33"/>
  <c r="B9" i="33"/>
  <c r="C9" i="33" s="1"/>
  <c r="A9" i="33"/>
  <c r="D9" i="29"/>
  <c r="E9" i="29" s="1"/>
  <c r="F9" i="29"/>
  <c r="G9" i="29" s="1"/>
  <c r="H9" i="29"/>
  <c r="I9" i="29" s="1"/>
  <c r="J9" i="29"/>
  <c r="B9" i="29"/>
  <c r="C9" i="29" s="1"/>
  <c r="A9" i="29"/>
  <c r="D13" i="34"/>
  <c r="E13" i="34"/>
  <c r="C13" i="34"/>
  <c r="B13" i="34"/>
  <c r="A13" i="34"/>
  <c r="B16" i="3"/>
  <c r="C16" i="3" s="1"/>
  <c r="C7" i="34"/>
  <c r="D7" i="34"/>
  <c r="E7" i="34"/>
  <c r="C8" i="34"/>
  <c r="D8" i="34"/>
  <c r="E8" i="34"/>
  <c r="B8" i="34"/>
  <c r="B7" i="34"/>
  <c r="C6" i="34"/>
  <c r="B6" i="34" s="1"/>
  <c r="A54" i="34"/>
  <c r="A53" i="34"/>
  <c r="A52" i="34"/>
  <c r="A50" i="34"/>
  <c r="A49" i="34"/>
  <c r="A48" i="34"/>
  <c r="A47" i="34"/>
  <c r="A45" i="34"/>
  <c r="A44" i="34"/>
  <c r="A43" i="34"/>
  <c r="A42" i="34"/>
  <c r="A41" i="34"/>
  <c r="A40" i="34"/>
  <c r="A39" i="34"/>
  <c r="A38" i="34"/>
  <c r="A37" i="34"/>
  <c r="A36" i="34"/>
  <c r="A35" i="34"/>
  <c r="A34" i="34"/>
  <c r="A33" i="34"/>
  <c r="A32" i="34"/>
  <c r="A31" i="34"/>
  <c r="A30" i="34"/>
  <c r="A29" i="34"/>
  <c r="A28" i="34"/>
  <c r="A27" i="34"/>
  <c r="A26" i="34"/>
  <c r="A25" i="34"/>
  <c r="A24" i="34"/>
  <c r="A22" i="34"/>
  <c r="A21" i="34"/>
  <c r="A20" i="34"/>
  <c r="A19" i="34"/>
  <c r="A18" i="34"/>
  <c r="A16" i="34"/>
  <c r="A15" i="34"/>
  <c r="A14" i="34"/>
  <c r="A12" i="34"/>
  <c r="A11" i="34"/>
  <c r="J49" i="33"/>
  <c r="H49" i="33"/>
  <c r="H50" i="33" s="1"/>
  <c r="F49" i="33"/>
  <c r="D49" i="33"/>
  <c r="D50" i="33" s="1"/>
  <c r="B49" i="33"/>
  <c r="J45" i="33"/>
  <c r="H45" i="33"/>
  <c r="F45" i="33"/>
  <c r="D45" i="33"/>
  <c r="B45" i="33"/>
  <c r="J44" i="33"/>
  <c r="H44" i="33"/>
  <c r="F44" i="33"/>
  <c r="D44" i="33"/>
  <c r="B44" i="33"/>
  <c r="J40" i="33"/>
  <c r="H40" i="33"/>
  <c r="F40" i="33"/>
  <c r="D40" i="33"/>
  <c r="B40" i="33"/>
  <c r="J39" i="33"/>
  <c r="H39" i="33"/>
  <c r="F39" i="33"/>
  <c r="D39" i="33"/>
  <c r="B39" i="33"/>
  <c r="J38" i="33"/>
  <c r="H38" i="33"/>
  <c r="F38" i="33"/>
  <c r="E38" i="33" s="1"/>
  <c r="D38" i="33"/>
  <c r="B38" i="33"/>
  <c r="J37" i="33"/>
  <c r="H37" i="33"/>
  <c r="G37" i="33" s="1"/>
  <c r="F37" i="33"/>
  <c r="D37" i="33"/>
  <c r="B37" i="33"/>
  <c r="J36" i="33"/>
  <c r="I36" i="33" s="1"/>
  <c r="H36" i="33"/>
  <c r="F36" i="33"/>
  <c r="D36" i="33"/>
  <c r="B36" i="33"/>
  <c r="J35" i="33"/>
  <c r="H35" i="33"/>
  <c r="F35" i="33"/>
  <c r="D35" i="33"/>
  <c r="C35" i="33" s="1"/>
  <c r="B35" i="33"/>
  <c r="J34" i="33"/>
  <c r="H34" i="33"/>
  <c r="F34" i="33"/>
  <c r="E34" i="33" s="1"/>
  <c r="D34" i="33"/>
  <c r="B34" i="33"/>
  <c r="J33" i="33"/>
  <c r="H33" i="33"/>
  <c r="G33" i="33" s="1"/>
  <c r="F33" i="33"/>
  <c r="D33" i="33"/>
  <c r="B33" i="33"/>
  <c r="J32" i="33"/>
  <c r="I32" i="33" s="1"/>
  <c r="H32" i="33"/>
  <c r="F32" i="33"/>
  <c r="D32" i="33"/>
  <c r="B32" i="33"/>
  <c r="J31" i="33"/>
  <c r="H31" i="33"/>
  <c r="F31" i="33"/>
  <c r="D31" i="33"/>
  <c r="C31" i="33" s="1"/>
  <c r="B31" i="33"/>
  <c r="J30" i="33"/>
  <c r="H30" i="33"/>
  <c r="F30" i="33"/>
  <c r="E30" i="33" s="1"/>
  <c r="D30" i="33"/>
  <c r="B30" i="33"/>
  <c r="J29" i="33"/>
  <c r="H29" i="33"/>
  <c r="G29" i="33" s="1"/>
  <c r="F29" i="33"/>
  <c r="D29" i="33"/>
  <c r="B29" i="33"/>
  <c r="J28" i="33"/>
  <c r="I28" i="33" s="1"/>
  <c r="H28" i="33"/>
  <c r="F28" i="33"/>
  <c r="D28" i="33"/>
  <c r="B28" i="33"/>
  <c r="J27" i="33"/>
  <c r="H27" i="33"/>
  <c r="F27" i="33"/>
  <c r="D27" i="33"/>
  <c r="C27" i="33" s="1"/>
  <c r="B27" i="33"/>
  <c r="J26" i="33"/>
  <c r="H26" i="33"/>
  <c r="F26" i="33"/>
  <c r="E26" i="33" s="1"/>
  <c r="D26" i="33"/>
  <c r="B26" i="33"/>
  <c r="J25" i="33"/>
  <c r="H25" i="33"/>
  <c r="G25" i="33" s="1"/>
  <c r="F25" i="33"/>
  <c r="D25" i="33"/>
  <c r="B25" i="33"/>
  <c r="J24" i="33"/>
  <c r="I24" i="33" s="1"/>
  <c r="H24" i="33"/>
  <c r="F24" i="33"/>
  <c r="D24" i="33"/>
  <c r="B24" i="33"/>
  <c r="J23" i="33"/>
  <c r="H23" i="33"/>
  <c r="F23" i="33"/>
  <c r="D23" i="33"/>
  <c r="C23" i="33" s="1"/>
  <c r="B23" i="33"/>
  <c r="J22" i="33"/>
  <c r="H22" i="33"/>
  <c r="F22" i="33"/>
  <c r="E22" i="33" s="1"/>
  <c r="D22" i="33"/>
  <c r="B22" i="33"/>
  <c r="J21" i="33"/>
  <c r="H21" i="33"/>
  <c r="F21" i="33"/>
  <c r="D21" i="33"/>
  <c r="B21" i="33"/>
  <c r="J17" i="33"/>
  <c r="I17" i="33" s="1"/>
  <c r="H17" i="33"/>
  <c r="F17" i="33"/>
  <c r="D17" i="33"/>
  <c r="B17" i="33"/>
  <c r="J16" i="33"/>
  <c r="H16" i="33"/>
  <c r="F16" i="33"/>
  <c r="D16" i="33"/>
  <c r="C16" i="33" s="1"/>
  <c r="B16" i="33"/>
  <c r="J15" i="33"/>
  <c r="H15" i="33"/>
  <c r="F15" i="33"/>
  <c r="E15" i="33" s="1"/>
  <c r="D15" i="33"/>
  <c r="B15" i="33"/>
  <c r="J11" i="33"/>
  <c r="H11" i="33"/>
  <c r="G11" i="33" s="1"/>
  <c r="F11" i="33"/>
  <c r="D11" i="33"/>
  <c r="B11" i="33"/>
  <c r="J10" i="33"/>
  <c r="I10" i="33" s="1"/>
  <c r="H10" i="33"/>
  <c r="F10" i="33"/>
  <c r="D10" i="33"/>
  <c r="B10" i="33"/>
  <c r="J8" i="33"/>
  <c r="H8" i="33"/>
  <c r="F8" i="33"/>
  <c r="D8" i="33"/>
  <c r="B8" i="33"/>
  <c r="B11" i="18"/>
  <c r="B14" i="18"/>
  <c r="B16" i="18"/>
  <c r="B17" i="18"/>
  <c r="B18" i="18"/>
  <c r="B19" i="18"/>
  <c r="B21" i="18"/>
  <c r="B22" i="18"/>
  <c r="B23" i="18"/>
  <c r="B24" i="18"/>
  <c r="B25" i="18"/>
  <c r="B26" i="18"/>
  <c r="B27" i="18"/>
  <c r="B28" i="18"/>
  <c r="B29" i="18"/>
  <c r="B30" i="18"/>
  <c r="B31" i="18"/>
  <c r="B32" i="18"/>
  <c r="B33" i="18"/>
  <c r="B34" i="18"/>
  <c r="B35" i="18"/>
  <c r="B36" i="18"/>
  <c r="B37" i="18"/>
  <c r="B38" i="18"/>
  <c r="B39" i="18"/>
  <c r="B40" i="18"/>
  <c r="B41" i="18"/>
  <c r="B43" i="18"/>
  <c r="B44" i="18"/>
  <c r="B45" i="18"/>
  <c r="B47" i="18"/>
  <c r="B48" i="18"/>
  <c r="B10" i="18"/>
  <c r="K9" i="29" l="1"/>
  <c r="C12" i="18" s="1"/>
  <c r="F13" i="34"/>
  <c r="B13" i="69" s="1"/>
  <c r="I9" i="33"/>
  <c r="B21" i="3"/>
  <c r="C21" i="3" s="1"/>
  <c r="I57" i="33"/>
  <c r="L57" i="29"/>
  <c r="F59" i="35" s="1"/>
  <c r="B12" i="18"/>
  <c r="A13" i="36"/>
  <c r="C8" i="33"/>
  <c r="G21" i="33"/>
  <c r="C9" i="34"/>
  <c r="M9" i="29"/>
  <c r="L9" i="29"/>
  <c r="E57" i="33"/>
  <c r="G9" i="35"/>
  <c r="H7" i="35"/>
  <c r="I7" i="35" s="1"/>
  <c r="H8" i="35"/>
  <c r="I8" i="35" s="1"/>
  <c r="J8" i="35" s="1"/>
  <c r="G9" i="33"/>
  <c r="H7" i="34"/>
  <c r="E9" i="33"/>
  <c r="C57" i="33"/>
  <c r="G57" i="33"/>
  <c r="C11" i="33"/>
  <c r="I15" i="33"/>
  <c r="E17" i="33"/>
  <c r="C21" i="33"/>
  <c r="I22" i="33"/>
  <c r="G23" i="33"/>
  <c r="E24" i="33"/>
  <c r="C25" i="33"/>
  <c r="I26" i="33"/>
  <c r="G27" i="33"/>
  <c r="E28" i="33"/>
  <c r="I30" i="33"/>
  <c r="G31" i="33"/>
  <c r="E32" i="33"/>
  <c r="I34" i="33"/>
  <c r="G35" i="33"/>
  <c r="I38" i="33"/>
  <c r="G39" i="33"/>
  <c r="E40" i="33"/>
  <c r="I45" i="33"/>
  <c r="E10" i="33"/>
  <c r="G16" i="33"/>
  <c r="C39" i="33"/>
  <c r="I40" i="33"/>
  <c r="G44" i="33"/>
  <c r="I8" i="33"/>
  <c r="G10" i="33"/>
  <c r="E11" i="33"/>
  <c r="I16" i="33"/>
  <c r="G17" i="33"/>
  <c r="E21" i="33"/>
  <c r="C22" i="33"/>
  <c r="I23" i="33"/>
  <c r="G24" i="33"/>
  <c r="E25" i="33"/>
  <c r="K25" i="33" s="1"/>
  <c r="C26" i="33"/>
  <c r="I27" i="33"/>
  <c r="G28" i="33"/>
  <c r="E29" i="33"/>
  <c r="C30" i="33"/>
  <c r="I31" i="33"/>
  <c r="G32" i="33"/>
  <c r="E33" i="33"/>
  <c r="C34" i="33"/>
  <c r="I35" i="33"/>
  <c r="G36" i="33"/>
  <c r="E37" i="33"/>
  <c r="I39" i="33"/>
  <c r="G40" i="33"/>
  <c r="E44" i="33"/>
  <c r="I49" i="33"/>
  <c r="E9" i="34"/>
  <c r="D9" i="34"/>
  <c r="B9" i="34"/>
  <c r="E8" i="33"/>
  <c r="C10" i="33"/>
  <c r="I11" i="33"/>
  <c r="G15" i="33"/>
  <c r="E16" i="33"/>
  <c r="C17" i="33"/>
  <c r="I21" i="33"/>
  <c r="G22" i="33"/>
  <c r="E23" i="33"/>
  <c r="C24" i="33"/>
  <c r="I25" i="33"/>
  <c r="G26" i="33"/>
  <c r="E27" i="33"/>
  <c r="C28" i="33"/>
  <c r="I29" i="33"/>
  <c r="G30" i="33"/>
  <c r="E31" i="33"/>
  <c r="C32" i="33"/>
  <c r="I33" i="33"/>
  <c r="G34" i="33"/>
  <c r="E35" i="33"/>
  <c r="K35" i="33" s="1"/>
  <c r="C36" i="33"/>
  <c r="I37" i="33"/>
  <c r="G38" i="33"/>
  <c r="E39" i="33"/>
  <c r="C40" i="33"/>
  <c r="I44" i="33"/>
  <c r="G45" i="33"/>
  <c r="E49" i="33"/>
  <c r="C29" i="33"/>
  <c r="C33" i="33"/>
  <c r="E36" i="33"/>
  <c r="C37" i="33"/>
  <c r="C44" i="33"/>
  <c r="D18" i="33"/>
  <c r="C38" i="33"/>
  <c r="K38" i="33" s="1"/>
  <c r="C45" i="33"/>
  <c r="H12" i="33"/>
  <c r="C49" i="33"/>
  <c r="C15" i="33"/>
  <c r="K15" i="33" s="1"/>
  <c r="G8" i="33"/>
  <c r="G49" i="33"/>
  <c r="D12" i="33"/>
  <c r="J12" i="33"/>
  <c r="B18" i="33"/>
  <c r="B41" i="33"/>
  <c r="J41" i="33"/>
  <c r="H46" i="33"/>
  <c r="F12" i="33"/>
  <c r="H18" i="33"/>
  <c r="D41" i="33"/>
  <c r="B46" i="33"/>
  <c r="J46" i="33"/>
  <c r="B50" i="33"/>
  <c r="C50" i="33" s="1"/>
  <c r="J50" i="33"/>
  <c r="I50" i="33" s="1"/>
  <c r="B12" i="33"/>
  <c r="J18" i="33"/>
  <c r="F41" i="33"/>
  <c r="F18" i="33"/>
  <c r="E18" i="33" s="1"/>
  <c r="H41" i="33"/>
  <c r="F46" i="33"/>
  <c r="D46" i="33"/>
  <c r="F50" i="33"/>
  <c r="E50" i="33" s="1"/>
  <c r="F12" i="18" l="1"/>
  <c r="G12" i="18"/>
  <c r="D12" i="18"/>
  <c r="E12" i="18"/>
  <c r="K57" i="33"/>
  <c r="C59" i="36" s="1"/>
  <c r="K9" i="33"/>
  <c r="E13" i="36" s="1"/>
  <c r="K29" i="33"/>
  <c r="E33" i="36" s="1"/>
  <c r="F33" i="36"/>
  <c r="D33" i="36"/>
  <c r="C33" i="36"/>
  <c r="K11" i="33"/>
  <c r="C39" i="36"/>
  <c r="F39" i="36"/>
  <c r="D39" i="36"/>
  <c r="E39" i="36"/>
  <c r="E29" i="36"/>
  <c r="D29" i="36"/>
  <c r="F29" i="36"/>
  <c r="C29" i="36"/>
  <c r="F19" i="36"/>
  <c r="E19" i="36"/>
  <c r="C19" i="36"/>
  <c r="D19" i="36"/>
  <c r="D42" i="36"/>
  <c r="C42" i="36"/>
  <c r="F42" i="36"/>
  <c r="E42" i="36"/>
  <c r="K21" i="33"/>
  <c r="D59" i="36"/>
  <c r="F59" i="36"/>
  <c r="F13" i="36"/>
  <c r="C13" i="36"/>
  <c r="D13" i="36"/>
  <c r="N9" i="29"/>
  <c r="H13" i="34"/>
  <c r="G13" i="34"/>
  <c r="D13" i="69" s="1"/>
  <c r="C13" i="69" s="1"/>
  <c r="F27" i="44"/>
  <c r="F28" i="44"/>
  <c r="H12" i="44"/>
  <c r="D7" i="55"/>
  <c r="D6" i="39"/>
  <c r="D6" i="40" s="1"/>
  <c r="H8" i="34"/>
  <c r="C11" i="40"/>
  <c r="C27" i="40" s="1"/>
  <c r="C6" i="40"/>
  <c r="B6" i="46" s="1"/>
  <c r="I7" i="34"/>
  <c r="H9" i="35"/>
  <c r="H59" i="35" s="1"/>
  <c r="G59" i="35"/>
  <c r="J7" i="35"/>
  <c r="I9" i="35"/>
  <c r="B53" i="33"/>
  <c r="K45" i="33"/>
  <c r="K31" i="33"/>
  <c r="H53" i="33"/>
  <c r="K40" i="33"/>
  <c r="F53" i="33"/>
  <c r="K39" i="33"/>
  <c r="K27" i="33"/>
  <c r="K23" i="33"/>
  <c r="K16" i="33"/>
  <c r="D53" i="33"/>
  <c r="J53" i="33"/>
  <c r="I53" i="33" s="1"/>
  <c r="C46" i="33"/>
  <c r="K44" i="33"/>
  <c r="K36" i="33"/>
  <c r="K32" i="33"/>
  <c r="K28" i="33"/>
  <c r="K24" i="33"/>
  <c r="K17" i="33"/>
  <c r="K10" i="33"/>
  <c r="C18" i="33"/>
  <c r="K8" i="33"/>
  <c r="K37" i="33"/>
  <c r="C41" i="33"/>
  <c r="K49" i="33"/>
  <c r="K33" i="33"/>
  <c r="K34" i="33"/>
  <c r="K30" i="33"/>
  <c r="K26" i="33"/>
  <c r="K22" i="33"/>
  <c r="G46" i="33"/>
  <c r="G12" i="33"/>
  <c r="E12" i="33"/>
  <c r="G18" i="33"/>
  <c r="E46" i="33"/>
  <c r="I18" i="33"/>
  <c r="I46" i="33"/>
  <c r="E41" i="33"/>
  <c r="G41" i="33"/>
  <c r="I12" i="33"/>
  <c r="I41" i="33"/>
  <c r="C12" i="33"/>
  <c r="G50" i="33"/>
  <c r="K50" i="33" s="1"/>
  <c r="D7" i="30"/>
  <c r="E7" i="30" s="1"/>
  <c r="F7" i="30"/>
  <c r="G7" i="30" s="1"/>
  <c r="H7" i="30"/>
  <c r="I7" i="30" s="1"/>
  <c r="J7" i="30"/>
  <c r="K7" i="30" s="1"/>
  <c r="D8" i="30"/>
  <c r="E8" i="30" s="1"/>
  <c r="F8" i="30"/>
  <c r="G8" i="30" s="1"/>
  <c r="H8" i="30"/>
  <c r="I8" i="30" s="1"/>
  <c r="J8" i="30"/>
  <c r="K8" i="30" s="1"/>
  <c r="D9" i="30"/>
  <c r="E9" i="30" s="1"/>
  <c r="F9" i="30"/>
  <c r="G9" i="30" s="1"/>
  <c r="H9" i="30"/>
  <c r="I9" i="30" s="1"/>
  <c r="J9" i="30"/>
  <c r="K9" i="30" s="1"/>
  <c r="D10" i="30"/>
  <c r="E10" i="30" s="1"/>
  <c r="F10" i="30"/>
  <c r="G10" i="30" s="1"/>
  <c r="H10" i="30"/>
  <c r="I10" i="30" s="1"/>
  <c r="J10" i="30"/>
  <c r="K10" i="30" s="1"/>
  <c r="D11" i="30"/>
  <c r="E11" i="30" s="1"/>
  <c r="F11" i="30"/>
  <c r="G11" i="30" s="1"/>
  <c r="H11" i="30"/>
  <c r="I11" i="30" s="1"/>
  <c r="J11" i="30"/>
  <c r="K11" i="30" s="1"/>
  <c r="D12" i="30"/>
  <c r="E12" i="30" s="1"/>
  <c r="F12" i="30"/>
  <c r="G12" i="30" s="1"/>
  <c r="H12" i="30"/>
  <c r="I12" i="30" s="1"/>
  <c r="J12" i="30"/>
  <c r="K12" i="30" s="1"/>
  <c r="D13" i="30"/>
  <c r="E13" i="30" s="1"/>
  <c r="F13" i="30"/>
  <c r="G13" i="30" s="1"/>
  <c r="H13" i="30"/>
  <c r="I13" i="30" s="1"/>
  <c r="J13" i="30"/>
  <c r="K13" i="30" s="1"/>
  <c r="D14" i="30"/>
  <c r="E14" i="30" s="1"/>
  <c r="F14" i="30"/>
  <c r="G14" i="30" s="1"/>
  <c r="H14" i="30"/>
  <c r="I14" i="30" s="1"/>
  <c r="J14" i="30"/>
  <c r="K14" i="30" s="1"/>
  <c r="D15" i="30"/>
  <c r="E15" i="30" s="1"/>
  <c r="F15" i="30"/>
  <c r="G15" i="30" s="1"/>
  <c r="H15" i="30"/>
  <c r="I15" i="30" s="1"/>
  <c r="J15" i="30"/>
  <c r="K15" i="30" s="1"/>
  <c r="D16" i="30"/>
  <c r="E16" i="30" s="1"/>
  <c r="F16" i="30"/>
  <c r="G16" i="30" s="1"/>
  <c r="H16" i="30"/>
  <c r="I16" i="30" s="1"/>
  <c r="J16" i="30"/>
  <c r="K16" i="30" s="1"/>
  <c r="D17" i="30"/>
  <c r="E17" i="30" s="1"/>
  <c r="F17" i="30"/>
  <c r="G17" i="30" s="1"/>
  <c r="H17" i="30"/>
  <c r="I17" i="30" s="1"/>
  <c r="J17" i="30"/>
  <c r="K17" i="30" s="1"/>
  <c r="D18" i="30"/>
  <c r="E18" i="30" s="1"/>
  <c r="F18" i="30"/>
  <c r="G18" i="30" s="1"/>
  <c r="H18" i="30"/>
  <c r="I18" i="30" s="1"/>
  <c r="J18" i="30"/>
  <c r="K18" i="30" s="1"/>
  <c r="D19" i="30"/>
  <c r="E19" i="30" s="1"/>
  <c r="F19" i="30"/>
  <c r="G19" i="30" s="1"/>
  <c r="H19" i="30"/>
  <c r="I19" i="30" s="1"/>
  <c r="J19" i="30"/>
  <c r="K19" i="30" s="1"/>
  <c r="D20" i="30"/>
  <c r="E20" i="30" s="1"/>
  <c r="F20" i="30"/>
  <c r="G20" i="30" s="1"/>
  <c r="H20" i="30"/>
  <c r="I20" i="30" s="1"/>
  <c r="J20" i="30"/>
  <c r="K20" i="30" s="1"/>
  <c r="D21" i="30"/>
  <c r="E21" i="30" s="1"/>
  <c r="F21" i="30"/>
  <c r="G21" i="30" s="1"/>
  <c r="H21" i="30"/>
  <c r="I21" i="30" s="1"/>
  <c r="J21" i="30"/>
  <c r="K21" i="30" s="1"/>
  <c r="D22" i="30"/>
  <c r="E22" i="30" s="1"/>
  <c r="F22" i="30"/>
  <c r="G22" i="30" s="1"/>
  <c r="H22" i="30"/>
  <c r="I22" i="30" s="1"/>
  <c r="J22" i="30"/>
  <c r="K22" i="30" s="1"/>
  <c r="D23" i="30"/>
  <c r="E23" i="30" s="1"/>
  <c r="F23" i="30"/>
  <c r="G23" i="30" s="1"/>
  <c r="H23" i="30"/>
  <c r="I23" i="30" s="1"/>
  <c r="J23" i="30"/>
  <c r="K23" i="30" s="1"/>
  <c r="D24" i="30"/>
  <c r="E24" i="30" s="1"/>
  <c r="F24" i="30"/>
  <c r="G24" i="30" s="1"/>
  <c r="H24" i="30"/>
  <c r="I24" i="30" s="1"/>
  <c r="J24" i="30"/>
  <c r="K24" i="30" s="1"/>
  <c r="D25" i="30"/>
  <c r="E25" i="30" s="1"/>
  <c r="F25" i="30"/>
  <c r="G25" i="30" s="1"/>
  <c r="H25" i="30"/>
  <c r="I25" i="30" s="1"/>
  <c r="J25" i="30"/>
  <c r="K25" i="30" s="1"/>
  <c r="J26" i="30"/>
  <c r="K26" i="30" s="1"/>
  <c r="B23" i="30"/>
  <c r="C23" i="30" s="1"/>
  <c r="B24" i="30"/>
  <c r="C24" i="30" s="1"/>
  <c r="B25" i="30"/>
  <c r="C25" i="30" s="1"/>
  <c r="B22" i="30"/>
  <c r="C22" i="30" s="1"/>
  <c r="B21" i="30"/>
  <c r="C21" i="30" s="1"/>
  <c r="B20" i="30"/>
  <c r="C20" i="30" s="1"/>
  <c r="B19" i="30"/>
  <c r="C19" i="30" s="1"/>
  <c r="B18" i="30"/>
  <c r="C18" i="30" s="1"/>
  <c r="B17" i="30"/>
  <c r="C17" i="30" s="1"/>
  <c r="B16" i="30"/>
  <c r="C16" i="30" s="1"/>
  <c r="B15" i="30"/>
  <c r="C15" i="30" s="1"/>
  <c r="B14" i="30"/>
  <c r="C14" i="30" s="1"/>
  <c r="B13" i="30"/>
  <c r="C13" i="30" s="1"/>
  <c r="B12" i="30"/>
  <c r="C12" i="30" s="1"/>
  <c r="B11" i="30"/>
  <c r="C11" i="30" s="1"/>
  <c r="A17" i="30"/>
  <c r="B10" i="30"/>
  <c r="C10" i="30" s="1"/>
  <c r="B9" i="30"/>
  <c r="C9" i="30" s="1"/>
  <c r="A9" i="30"/>
  <c r="B8" i="30"/>
  <c r="C8" i="30" s="1"/>
  <c r="B7" i="30"/>
  <c r="C7" i="30" s="1"/>
  <c r="A12" i="30"/>
  <c r="A13" i="30"/>
  <c r="A23" i="30"/>
  <c r="A24" i="30"/>
  <c r="A25" i="30"/>
  <c r="A22" i="30"/>
  <c r="A20" i="30"/>
  <c r="A19" i="30"/>
  <c r="A18" i="30"/>
  <c r="A16" i="30"/>
  <c r="A15" i="30"/>
  <c r="A14" i="30"/>
  <c r="A11" i="30"/>
  <c r="A10" i="30"/>
  <c r="A8" i="30"/>
  <c r="A7" i="30"/>
  <c r="I11" i="31"/>
  <c r="G11" i="31"/>
  <c r="E11" i="31"/>
  <c r="C11" i="31"/>
  <c r="D7" i="31"/>
  <c r="C105" i="68" s="1"/>
  <c r="F7" i="31"/>
  <c r="D105" i="68" s="1"/>
  <c r="H7" i="31"/>
  <c r="E105" i="68" s="1"/>
  <c r="J7" i="31"/>
  <c r="F105" i="68" s="1"/>
  <c r="D8" i="31"/>
  <c r="C106" i="68" s="1"/>
  <c r="F8" i="31"/>
  <c r="D106" i="68" s="1"/>
  <c r="H8" i="31"/>
  <c r="E106" i="68" s="1"/>
  <c r="J8" i="31"/>
  <c r="F106" i="68" s="1"/>
  <c r="D9" i="31"/>
  <c r="F9" i="31"/>
  <c r="H9" i="31"/>
  <c r="J9" i="31"/>
  <c r="D13" i="31"/>
  <c r="F13" i="31"/>
  <c r="H13" i="31"/>
  <c r="J13" i="31"/>
  <c r="D20" i="31"/>
  <c r="F20" i="31"/>
  <c r="H20" i="31"/>
  <c r="J20" i="31"/>
  <c r="D21" i="31"/>
  <c r="F21" i="31"/>
  <c r="H21" i="31"/>
  <c r="J21" i="31"/>
  <c r="D22" i="31"/>
  <c r="F22" i="31"/>
  <c r="H22" i="31"/>
  <c r="J22" i="31"/>
  <c r="B22" i="31"/>
  <c r="B21" i="31"/>
  <c r="B20" i="31"/>
  <c r="B13" i="31"/>
  <c r="B9" i="31"/>
  <c r="B8" i="31"/>
  <c r="B106" i="68" s="1"/>
  <c r="B7" i="31"/>
  <c r="B105" i="68" s="1"/>
  <c r="G105" i="68" s="1"/>
  <c r="J21" i="29"/>
  <c r="J22" i="29"/>
  <c r="J23" i="29"/>
  <c r="J24" i="29"/>
  <c r="J25" i="29"/>
  <c r="J26" i="29"/>
  <c r="J27" i="29"/>
  <c r="J28" i="29"/>
  <c r="J29" i="29"/>
  <c r="J30" i="29"/>
  <c r="J31" i="29"/>
  <c r="J32" i="29"/>
  <c r="J33" i="29"/>
  <c r="J34" i="29"/>
  <c r="J35" i="29"/>
  <c r="J36" i="29"/>
  <c r="J37" i="29"/>
  <c r="J38" i="29"/>
  <c r="J39" i="29"/>
  <c r="J40" i="29"/>
  <c r="J44" i="29"/>
  <c r="J45" i="29"/>
  <c r="J49" i="29"/>
  <c r="D21" i="29"/>
  <c r="F21" i="29"/>
  <c r="H21" i="29"/>
  <c r="D22" i="29"/>
  <c r="F22" i="29"/>
  <c r="H22" i="29"/>
  <c r="D23" i="29"/>
  <c r="F23" i="29"/>
  <c r="H23" i="29"/>
  <c r="D24" i="29"/>
  <c r="F24" i="29"/>
  <c r="H24" i="29"/>
  <c r="D25" i="29"/>
  <c r="F25" i="29"/>
  <c r="H25" i="29"/>
  <c r="D26" i="29"/>
  <c r="F26" i="29"/>
  <c r="H26" i="29"/>
  <c r="D27" i="29"/>
  <c r="F27" i="29"/>
  <c r="H27" i="29"/>
  <c r="D28" i="29"/>
  <c r="F28" i="29"/>
  <c r="H28" i="29"/>
  <c r="D29" i="29"/>
  <c r="F29" i="29"/>
  <c r="H29" i="29"/>
  <c r="D30" i="29"/>
  <c r="F30" i="29"/>
  <c r="H30" i="29"/>
  <c r="D31" i="29"/>
  <c r="F31" i="29"/>
  <c r="H31" i="29"/>
  <c r="D32" i="29"/>
  <c r="F32" i="29"/>
  <c r="H32" i="29"/>
  <c r="D33" i="29"/>
  <c r="F33" i="29"/>
  <c r="H33" i="29"/>
  <c r="D34" i="29"/>
  <c r="F34" i="29"/>
  <c r="H34" i="29"/>
  <c r="D35" i="29"/>
  <c r="F35" i="29"/>
  <c r="H35" i="29"/>
  <c r="D36" i="29"/>
  <c r="F36" i="29"/>
  <c r="H36" i="29"/>
  <c r="D37" i="29"/>
  <c r="F37" i="29"/>
  <c r="H37" i="29"/>
  <c r="D38" i="29"/>
  <c r="F38" i="29"/>
  <c r="H38" i="29"/>
  <c r="D39" i="29"/>
  <c r="F39" i="29"/>
  <c r="H39" i="29"/>
  <c r="D40" i="29"/>
  <c r="F40" i="29"/>
  <c r="H40" i="29"/>
  <c r="D44" i="29"/>
  <c r="F44" i="29"/>
  <c r="H44" i="29"/>
  <c r="D45" i="29"/>
  <c r="F45" i="29"/>
  <c r="H45" i="29"/>
  <c r="D49" i="29"/>
  <c r="F49" i="29"/>
  <c r="H49" i="29"/>
  <c r="J16" i="3"/>
  <c r="K16" i="3" s="1"/>
  <c r="H16" i="3"/>
  <c r="I16" i="3" s="1"/>
  <c r="F16" i="3"/>
  <c r="G16" i="3" s="1"/>
  <c r="D16" i="3"/>
  <c r="E16" i="3" s="1"/>
  <c r="B49" i="29"/>
  <c r="B44" i="29"/>
  <c r="B45" i="29"/>
  <c r="B38" i="29"/>
  <c r="B39" i="29"/>
  <c r="B40" i="29"/>
  <c r="B24" i="29"/>
  <c r="B25" i="29"/>
  <c r="B26" i="29"/>
  <c r="B27" i="29"/>
  <c r="B28" i="29"/>
  <c r="B29" i="29"/>
  <c r="B30" i="29"/>
  <c r="B31" i="29"/>
  <c r="B32" i="29"/>
  <c r="B33" i="29"/>
  <c r="B34" i="29"/>
  <c r="B35" i="29"/>
  <c r="B36" i="29"/>
  <c r="B37" i="29"/>
  <c r="B23" i="29"/>
  <c r="B22" i="29"/>
  <c r="B21" i="29"/>
  <c r="D10" i="29"/>
  <c r="F10" i="29"/>
  <c r="H10" i="29"/>
  <c r="J10" i="29"/>
  <c r="D11" i="29"/>
  <c r="F11" i="29"/>
  <c r="H11" i="29"/>
  <c r="J11" i="29"/>
  <c r="B11" i="29"/>
  <c r="B10" i="29"/>
  <c r="D16" i="29"/>
  <c r="F16" i="29"/>
  <c r="H16" i="29"/>
  <c r="J16" i="29"/>
  <c r="D17" i="29"/>
  <c r="F17" i="29"/>
  <c r="H17" i="29"/>
  <c r="J17" i="29"/>
  <c r="B17" i="29"/>
  <c r="B16" i="29"/>
  <c r="D15" i="29"/>
  <c r="F15" i="29"/>
  <c r="H15" i="29"/>
  <c r="J15" i="29"/>
  <c r="B15" i="29"/>
  <c r="D8" i="29"/>
  <c r="F8" i="29"/>
  <c r="H8" i="29"/>
  <c r="J8" i="29"/>
  <c r="B8" i="29"/>
  <c r="D14" i="22"/>
  <c r="E14" i="22" s="1"/>
  <c r="F14" i="22" s="1"/>
  <c r="D5" i="22"/>
  <c r="E5" i="22" s="1"/>
  <c r="F5" i="22" s="1"/>
  <c r="C5" i="24"/>
  <c r="D5" i="24" s="1"/>
  <c r="E5" i="24" s="1"/>
  <c r="D5" i="23"/>
  <c r="F5" i="23" s="1"/>
  <c r="H5" i="23" s="1"/>
  <c r="B32" i="26"/>
  <c r="C32" i="26" s="1"/>
  <c r="K40" i="29" l="1"/>
  <c r="C41" i="18" s="1"/>
  <c r="F44" i="34"/>
  <c r="B44" i="69" s="1"/>
  <c r="K28" i="29"/>
  <c r="C29" i="18" s="1"/>
  <c r="F32" i="34"/>
  <c r="B32" i="69" s="1"/>
  <c r="K35" i="29"/>
  <c r="C36" i="18" s="1"/>
  <c r="F39" i="34"/>
  <c r="B39" i="69" s="1"/>
  <c r="K31" i="29"/>
  <c r="C32" i="18" s="1"/>
  <c r="F35" i="34"/>
  <c r="B35" i="69" s="1"/>
  <c r="K27" i="29"/>
  <c r="C28" i="18" s="1"/>
  <c r="F31" i="34"/>
  <c r="B31" i="69" s="1"/>
  <c r="K45" i="29"/>
  <c r="C45" i="18" s="1"/>
  <c r="G49" i="34" s="1"/>
  <c r="F49" i="34"/>
  <c r="B49" i="69" s="1"/>
  <c r="K38" i="29"/>
  <c r="C39" i="18" s="1"/>
  <c r="F42" i="34"/>
  <c r="B42" i="69" s="1"/>
  <c r="K34" i="29"/>
  <c r="C35" i="18" s="1"/>
  <c r="F38" i="34"/>
  <c r="B38" i="69" s="1"/>
  <c r="K30" i="29"/>
  <c r="C31" i="18" s="1"/>
  <c r="F34" i="34"/>
  <c r="B34" i="69" s="1"/>
  <c r="K26" i="29"/>
  <c r="C27" i="18" s="1"/>
  <c r="F30" i="34"/>
  <c r="B30" i="69" s="1"/>
  <c r="K22" i="29"/>
  <c r="C23" i="18" s="1"/>
  <c r="F26" i="34"/>
  <c r="B26" i="69" s="1"/>
  <c r="B13" i="36"/>
  <c r="F13" i="35" s="1"/>
  <c r="E59" i="36"/>
  <c r="K36" i="29"/>
  <c r="C37" i="18" s="1"/>
  <c r="F40" i="34"/>
  <c r="B40" i="69" s="1"/>
  <c r="K24" i="29"/>
  <c r="C25" i="18" s="1"/>
  <c r="F28" i="34"/>
  <c r="B28" i="69" s="1"/>
  <c r="K15" i="29"/>
  <c r="C17" i="18" s="1"/>
  <c r="G19" i="34" s="1"/>
  <c r="D19" i="69" s="1"/>
  <c r="C19" i="69" s="1"/>
  <c r="F19" i="34"/>
  <c r="B19" i="69" s="1"/>
  <c r="K10" i="29"/>
  <c r="C13" i="18" s="1"/>
  <c r="G14" i="34" s="1"/>
  <c r="D14" i="69" s="1"/>
  <c r="C14" i="69" s="1"/>
  <c r="F14" i="34"/>
  <c r="B14" i="69" s="1"/>
  <c r="K39" i="29"/>
  <c r="C40" i="18" s="1"/>
  <c r="F43" i="34"/>
  <c r="B43" i="69" s="1"/>
  <c r="K17" i="29"/>
  <c r="C19" i="18" s="1"/>
  <c r="F21" i="34"/>
  <c r="B21" i="69" s="1"/>
  <c r="K16" i="29"/>
  <c r="C18" i="18" s="1"/>
  <c r="F20" i="34"/>
  <c r="B20" i="69" s="1"/>
  <c r="K44" i="29"/>
  <c r="C44" i="18" s="1"/>
  <c r="F48" i="34"/>
  <c r="B48" i="69" s="1"/>
  <c r="K37" i="29"/>
  <c r="C38" i="18" s="1"/>
  <c r="F41" i="34"/>
  <c r="B41" i="69" s="1"/>
  <c r="K33" i="29"/>
  <c r="C34" i="18" s="1"/>
  <c r="F37" i="34"/>
  <c r="B37" i="69" s="1"/>
  <c r="K29" i="29"/>
  <c r="C30" i="18" s="1"/>
  <c r="F33" i="34"/>
  <c r="B33" i="69" s="1"/>
  <c r="K25" i="29"/>
  <c r="C26" i="18" s="1"/>
  <c r="F29" i="34"/>
  <c r="B29" i="69" s="1"/>
  <c r="K21" i="29"/>
  <c r="C22" i="18" s="1"/>
  <c r="D22" i="18" s="1"/>
  <c r="E22" i="18" s="1"/>
  <c r="F22" i="18" s="1"/>
  <c r="G22" i="18" s="1"/>
  <c r="F25" i="34"/>
  <c r="B25" i="69" s="1"/>
  <c r="K8" i="29"/>
  <c r="C11" i="18" s="1"/>
  <c r="F12" i="34"/>
  <c r="B12" i="69" s="1"/>
  <c r="K32" i="29"/>
  <c r="C33" i="18" s="1"/>
  <c r="F36" i="34"/>
  <c r="B36" i="69" s="1"/>
  <c r="K11" i="29"/>
  <c r="C14" i="18" s="1"/>
  <c r="F15" i="34"/>
  <c r="B15" i="69" s="1"/>
  <c r="K49" i="29"/>
  <c r="C48" i="18" s="1"/>
  <c r="F53" i="34"/>
  <c r="K23" i="29"/>
  <c r="C24" i="18" s="1"/>
  <c r="F27" i="34"/>
  <c r="B27" i="69" s="1"/>
  <c r="C40" i="40"/>
  <c r="C6" i="46" s="1"/>
  <c r="I13" i="34"/>
  <c r="F26" i="30"/>
  <c r="G26" i="30" s="1"/>
  <c r="G106" i="68"/>
  <c r="I20" i="31"/>
  <c r="I13" i="31"/>
  <c r="K18" i="33"/>
  <c r="F22" i="36" s="1"/>
  <c r="I22" i="31"/>
  <c r="I21" i="31"/>
  <c r="G22" i="31"/>
  <c r="G21" i="31"/>
  <c r="G20" i="31"/>
  <c r="E9" i="31"/>
  <c r="C7" i="31"/>
  <c r="C53" i="33"/>
  <c r="I9" i="31"/>
  <c r="I8" i="31"/>
  <c r="I7" i="31"/>
  <c r="G7" i="31"/>
  <c r="D9" i="55"/>
  <c r="D18" i="55" s="1"/>
  <c r="C15" i="55"/>
  <c r="D26" i="30"/>
  <c r="E26" i="30" s="1"/>
  <c r="D38" i="36"/>
  <c r="E38" i="36"/>
  <c r="C38" i="36"/>
  <c r="F38" i="36"/>
  <c r="C35" i="36"/>
  <c r="F35" i="36"/>
  <c r="E35" i="36"/>
  <c r="D35" i="36"/>
  <c r="C22" i="36"/>
  <c r="D22" i="36"/>
  <c r="E22" i="36"/>
  <c r="D26" i="36"/>
  <c r="C26" i="36"/>
  <c r="F26" i="36"/>
  <c r="E26" i="36"/>
  <c r="E37" i="36"/>
  <c r="D37" i="36"/>
  <c r="F37" i="36"/>
  <c r="C37" i="36"/>
  <c r="F28" i="36"/>
  <c r="E28" i="36"/>
  <c r="D28" i="36"/>
  <c r="C28" i="36"/>
  <c r="E20" i="36"/>
  <c r="D20" i="36"/>
  <c r="C20" i="36"/>
  <c r="F20" i="36"/>
  <c r="F49" i="36"/>
  <c r="E49" i="36"/>
  <c r="D49" i="36"/>
  <c r="C49" i="36"/>
  <c r="K46" i="33"/>
  <c r="E41" i="36"/>
  <c r="F41" i="36"/>
  <c r="D41" i="36"/>
  <c r="C41" i="36"/>
  <c r="D21" i="36"/>
  <c r="E21" i="36"/>
  <c r="C21" i="36"/>
  <c r="F21" i="36"/>
  <c r="F40" i="36"/>
  <c r="E40" i="36"/>
  <c r="D40" i="36"/>
  <c r="C40" i="36"/>
  <c r="C43" i="36"/>
  <c r="F43" i="36"/>
  <c r="D43" i="36"/>
  <c r="E43" i="36"/>
  <c r="H26" i="30"/>
  <c r="I26" i="30" s="1"/>
  <c r="D30" i="36"/>
  <c r="E30" i="36"/>
  <c r="C30" i="36"/>
  <c r="F30" i="36"/>
  <c r="F32" i="36"/>
  <c r="E32" i="36"/>
  <c r="C32" i="36"/>
  <c r="D32" i="36"/>
  <c r="C27" i="36"/>
  <c r="D27" i="36"/>
  <c r="F27" i="36"/>
  <c r="E27" i="36"/>
  <c r="F44" i="36"/>
  <c r="E44" i="36"/>
  <c r="C44" i="36"/>
  <c r="D44" i="36"/>
  <c r="D34" i="36"/>
  <c r="C34" i="36"/>
  <c r="E34" i="36"/>
  <c r="F34" i="36"/>
  <c r="F14" i="36"/>
  <c r="E14" i="36"/>
  <c r="C14" i="36"/>
  <c r="D14" i="36"/>
  <c r="F36" i="36"/>
  <c r="C36" i="36"/>
  <c r="E36" i="36"/>
  <c r="D36" i="36"/>
  <c r="C31" i="36"/>
  <c r="F31" i="36"/>
  <c r="E31" i="36"/>
  <c r="D31" i="36"/>
  <c r="E15" i="36"/>
  <c r="F15" i="36"/>
  <c r="D15" i="36"/>
  <c r="C15" i="36"/>
  <c r="G17" i="29"/>
  <c r="D21" i="35"/>
  <c r="B19" i="34"/>
  <c r="C15" i="29"/>
  <c r="B19" i="35"/>
  <c r="C19" i="34"/>
  <c r="E15" i="29"/>
  <c r="C19" i="35"/>
  <c r="I17" i="29"/>
  <c r="E21" i="35"/>
  <c r="I16" i="29"/>
  <c r="E20" i="35"/>
  <c r="C11" i="29"/>
  <c r="B15" i="35"/>
  <c r="C15" i="34"/>
  <c r="E11" i="29"/>
  <c r="C15" i="35"/>
  <c r="C14" i="34"/>
  <c r="E10" i="29"/>
  <c r="C14" i="35"/>
  <c r="C37" i="29"/>
  <c r="B41" i="35"/>
  <c r="C33" i="29"/>
  <c r="B37" i="35"/>
  <c r="C29" i="29"/>
  <c r="B33" i="35"/>
  <c r="C25" i="29"/>
  <c r="B29" i="35"/>
  <c r="C38" i="29"/>
  <c r="B42" i="35"/>
  <c r="I49" i="29"/>
  <c r="E53" i="35"/>
  <c r="E54" i="35" s="1"/>
  <c r="G45" i="29"/>
  <c r="D49" i="35"/>
  <c r="C48" i="34"/>
  <c r="E44" i="29"/>
  <c r="C48" i="35"/>
  <c r="I39" i="29"/>
  <c r="E43" i="35"/>
  <c r="G38" i="29"/>
  <c r="D42" i="35"/>
  <c r="C41" i="34"/>
  <c r="E37" i="29"/>
  <c r="C41" i="35"/>
  <c r="I35" i="29"/>
  <c r="E39" i="35"/>
  <c r="G34" i="29"/>
  <c r="D38" i="35"/>
  <c r="C37" i="34"/>
  <c r="E33" i="29"/>
  <c r="C37" i="35"/>
  <c r="I31" i="29"/>
  <c r="E35" i="35"/>
  <c r="G30" i="29"/>
  <c r="D34" i="35"/>
  <c r="C33" i="34"/>
  <c r="E29" i="29"/>
  <c r="C33" i="35"/>
  <c r="I27" i="29"/>
  <c r="E31" i="35"/>
  <c r="G26" i="29"/>
  <c r="D30" i="35"/>
  <c r="C29" i="34"/>
  <c r="E25" i="29"/>
  <c r="C29" i="35"/>
  <c r="I23" i="29"/>
  <c r="E27" i="35"/>
  <c r="G22" i="29"/>
  <c r="D26" i="35"/>
  <c r="C25" i="34"/>
  <c r="E21" i="29"/>
  <c r="C25" i="35"/>
  <c r="G13" i="31"/>
  <c r="E7" i="31"/>
  <c r="C9" i="31"/>
  <c r="B26" i="30"/>
  <c r="C26" i="30" s="1"/>
  <c r="D54" i="36"/>
  <c r="C54" i="36"/>
  <c r="E54" i="36"/>
  <c r="F54" i="36"/>
  <c r="C50" i="36"/>
  <c r="F50" i="36"/>
  <c r="D50" i="36"/>
  <c r="E50" i="36"/>
  <c r="G13" i="35"/>
  <c r="H13" i="35" s="1"/>
  <c r="I13" i="35" s="1"/>
  <c r="J13" i="35" s="1"/>
  <c r="C32" i="29"/>
  <c r="B36" i="35"/>
  <c r="C45" i="29"/>
  <c r="B49" i="35"/>
  <c r="I40" i="29"/>
  <c r="E44" i="35"/>
  <c r="I36" i="29"/>
  <c r="E40" i="35"/>
  <c r="I32" i="29"/>
  <c r="E36" i="35"/>
  <c r="G31" i="29"/>
  <c r="D35" i="35"/>
  <c r="I28" i="29"/>
  <c r="E32" i="35"/>
  <c r="G27" i="29"/>
  <c r="D31" i="35"/>
  <c r="C30" i="34"/>
  <c r="E26" i="29"/>
  <c r="C30" i="35"/>
  <c r="C26" i="34"/>
  <c r="E22" i="29"/>
  <c r="C26" i="35"/>
  <c r="C8" i="31"/>
  <c r="C12" i="36"/>
  <c r="D12" i="36"/>
  <c r="F12" i="36"/>
  <c r="E12" i="36"/>
  <c r="E48" i="36"/>
  <c r="F48" i="36"/>
  <c r="D48" i="36"/>
  <c r="C48" i="36"/>
  <c r="C16" i="29"/>
  <c r="B20" i="35"/>
  <c r="G16" i="29"/>
  <c r="D20" i="35"/>
  <c r="C36" i="29"/>
  <c r="B40" i="35"/>
  <c r="C24" i="29"/>
  <c r="B28" i="35"/>
  <c r="C49" i="34"/>
  <c r="E45" i="29"/>
  <c r="C49" i="35"/>
  <c r="C42" i="34"/>
  <c r="E38" i="29"/>
  <c r="C42" i="35"/>
  <c r="C38" i="34"/>
  <c r="E34" i="29"/>
  <c r="C38" i="35"/>
  <c r="C34" i="34"/>
  <c r="E30" i="29"/>
  <c r="C34" i="35"/>
  <c r="I24" i="29"/>
  <c r="E28" i="35"/>
  <c r="E19" i="34"/>
  <c r="I15" i="29"/>
  <c r="E19" i="35"/>
  <c r="C17" i="29"/>
  <c r="B21" i="35"/>
  <c r="C20" i="34"/>
  <c r="E16" i="29"/>
  <c r="C20" i="35"/>
  <c r="I10" i="29"/>
  <c r="E14" i="35"/>
  <c r="C22" i="29"/>
  <c r="B26" i="35"/>
  <c r="C35" i="29"/>
  <c r="B39" i="35"/>
  <c r="C31" i="29"/>
  <c r="B35" i="35"/>
  <c r="C27" i="29"/>
  <c r="B31" i="35"/>
  <c r="C40" i="29"/>
  <c r="B44" i="35"/>
  <c r="C44" i="29"/>
  <c r="B48" i="35"/>
  <c r="C53" i="34"/>
  <c r="C54" i="34" s="1"/>
  <c r="C69" i="34" s="1"/>
  <c r="E49" i="29"/>
  <c r="C53" i="35"/>
  <c r="C54" i="35" s="1"/>
  <c r="I44" i="29"/>
  <c r="E48" i="35"/>
  <c r="G40" i="29"/>
  <c r="D44" i="35"/>
  <c r="C43" i="34"/>
  <c r="E39" i="29"/>
  <c r="C43" i="35"/>
  <c r="I37" i="29"/>
  <c r="E41" i="35"/>
  <c r="G36" i="29"/>
  <c r="D40" i="35"/>
  <c r="C39" i="34"/>
  <c r="E35" i="29"/>
  <c r="C39" i="35"/>
  <c r="I33" i="29"/>
  <c r="E37" i="35"/>
  <c r="G32" i="29"/>
  <c r="D36" i="35"/>
  <c r="C35" i="34"/>
  <c r="E31" i="29"/>
  <c r="C35" i="35"/>
  <c r="I29" i="29"/>
  <c r="E33" i="35"/>
  <c r="G28" i="29"/>
  <c r="D32" i="35"/>
  <c r="C31" i="34"/>
  <c r="E27" i="29"/>
  <c r="C31" i="35"/>
  <c r="I25" i="29"/>
  <c r="E29" i="35"/>
  <c r="G24" i="29"/>
  <c r="D28" i="35"/>
  <c r="C27" i="34"/>
  <c r="E23" i="29"/>
  <c r="C27" i="35"/>
  <c r="I21" i="29"/>
  <c r="E25" i="35"/>
  <c r="E13" i="31"/>
  <c r="E53" i="36"/>
  <c r="F53" i="36"/>
  <c r="D53" i="36"/>
  <c r="C53" i="36"/>
  <c r="E12" i="34"/>
  <c r="I8" i="29"/>
  <c r="E12" i="35"/>
  <c r="C21" i="29"/>
  <c r="B25" i="35"/>
  <c r="C28" i="29"/>
  <c r="B32" i="35"/>
  <c r="G49" i="29"/>
  <c r="D53" i="35"/>
  <c r="D54" i="35" s="1"/>
  <c r="G39" i="29"/>
  <c r="D43" i="35"/>
  <c r="G35" i="29"/>
  <c r="D39" i="35"/>
  <c r="G23" i="29"/>
  <c r="D27" i="35"/>
  <c r="D12" i="34"/>
  <c r="G8" i="29"/>
  <c r="D12" i="35"/>
  <c r="C21" i="34"/>
  <c r="E17" i="29"/>
  <c r="C21" i="35"/>
  <c r="I11" i="29"/>
  <c r="E15" i="35"/>
  <c r="C8" i="29"/>
  <c r="B12" i="35"/>
  <c r="C12" i="34"/>
  <c r="E8" i="29"/>
  <c r="C12" i="35"/>
  <c r="G15" i="29"/>
  <c r="D19" i="35"/>
  <c r="C10" i="29"/>
  <c r="B14" i="35"/>
  <c r="G11" i="29"/>
  <c r="D15" i="35"/>
  <c r="G10" i="29"/>
  <c r="D14" i="35"/>
  <c r="C23" i="29"/>
  <c r="B27" i="35"/>
  <c r="C34" i="29"/>
  <c r="B38" i="35"/>
  <c r="C30" i="29"/>
  <c r="B34" i="35"/>
  <c r="C26" i="29"/>
  <c r="B30" i="35"/>
  <c r="C39" i="29"/>
  <c r="B43" i="35"/>
  <c r="C49" i="29"/>
  <c r="B53" i="35"/>
  <c r="B54" i="35" s="1"/>
  <c r="I45" i="29"/>
  <c r="E49" i="35"/>
  <c r="G44" i="29"/>
  <c r="D48" i="35"/>
  <c r="C44" i="34"/>
  <c r="E40" i="29"/>
  <c r="C44" i="35"/>
  <c r="I38" i="29"/>
  <c r="E42" i="35"/>
  <c r="G37" i="29"/>
  <c r="D41" i="35"/>
  <c r="C40" i="34"/>
  <c r="E36" i="29"/>
  <c r="C40" i="35"/>
  <c r="I34" i="29"/>
  <c r="E38" i="35"/>
  <c r="G33" i="29"/>
  <c r="D37" i="35"/>
  <c r="C36" i="34"/>
  <c r="E32" i="29"/>
  <c r="C36" i="35"/>
  <c r="I30" i="29"/>
  <c r="E34" i="35"/>
  <c r="G29" i="29"/>
  <c r="D33" i="35"/>
  <c r="C32" i="34"/>
  <c r="E28" i="29"/>
  <c r="C32" i="35"/>
  <c r="I26" i="29"/>
  <c r="E30" i="35"/>
  <c r="G25" i="29"/>
  <c r="D29" i="35"/>
  <c r="C28" i="34"/>
  <c r="E24" i="29"/>
  <c r="C28" i="35"/>
  <c r="I22" i="29"/>
  <c r="E26" i="35"/>
  <c r="G21" i="29"/>
  <c r="D25" i="35"/>
  <c r="G9" i="31"/>
  <c r="C25" i="36"/>
  <c r="D25" i="36"/>
  <c r="F25" i="36"/>
  <c r="B25" i="36"/>
  <c r="E25" i="36"/>
  <c r="E22" i="31"/>
  <c r="E21" i="31"/>
  <c r="E20" i="31"/>
  <c r="C22" i="31"/>
  <c r="C21" i="31"/>
  <c r="C20" i="31"/>
  <c r="J7" i="34"/>
  <c r="H9" i="34"/>
  <c r="E6" i="39"/>
  <c r="E6" i="40" s="1"/>
  <c r="E7" i="55"/>
  <c r="I12" i="44"/>
  <c r="D13" i="55"/>
  <c r="I8" i="34"/>
  <c r="D9" i="39"/>
  <c r="D11" i="40" s="1"/>
  <c r="D27" i="40" s="1"/>
  <c r="C39" i="40"/>
  <c r="D39" i="40"/>
  <c r="I59" i="35"/>
  <c r="J9" i="35"/>
  <c r="G8" i="31"/>
  <c r="E8" i="31"/>
  <c r="E53" i="33"/>
  <c r="C50" i="34"/>
  <c r="C68" i="34" s="1"/>
  <c r="G53" i="33"/>
  <c r="K12" i="33"/>
  <c r="K41" i="33"/>
  <c r="E21" i="34"/>
  <c r="E20" i="34"/>
  <c r="B15" i="34"/>
  <c r="B41" i="34"/>
  <c r="B37" i="34"/>
  <c r="B33" i="34"/>
  <c r="B29" i="34"/>
  <c r="B42" i="34"/>
  <c r="E53" i="34"/>
  <c r="E54" i="34" s="1"/>
  <c r="E69" i="34" s="1"/>
  <c r="D49" i="34"/>
  <c r="E43" i="34"/>
  <c r="D42" i="34"/>
  <c r="E39" i="34"/>
  <c r="D38" i="34"/>
  <c r="E35" i="34"/>
  <c r="D34" i="34"/>
  <c r="E31" i="34"/>
  <c r="D30" i="34"/>
  <c r="E27" i="34"/>
  <c r="D26" i="34"/>
  <c r="B20" i="34"/>
  <c r="D21" i="34"/>
  <c r="D20" i="34"/>
  <c r="B25" i="34"/>
  <c r="B40" i="34"/>
  <c r="B36" i="34"/>
  <c r="B32" i="34"/>
  <c r="B28" i="34"/>
  <c r="B49" i="34"/>
  <c r="D53" i="34"/>
  <c r="D54" i="34" s="1"/>
  <c r="D69" i="34" s="1"/>
  <c r="E44" i="34"/>
  <c r="D43" i="34"/>
  <c r="E40" i="34"/>
  <c r="D39" i="34"/>
  <c r="E36" i="34"/>
  <c r="D35" i="34"/>
  <c r="E32" i="34"/>
  <c r="D31" i="34"/>
  <c r="E28" i="34"/>
  <c r="D27" i="34"/>
  <c r="B21" i="34"/>
  <c r="E15" i="34"/>
  <c r="E14" i="34"/>
  <c r="B26" i="34"/>
  <c r="B39" i="34"/>
  <c r="B35" i="34"/>
  <c r="B31" i="34"/>
  <c r="B44" i="34"/>
  <c r="B48" i="34"/>
  <c r="B50" i="34" s="1"/>
  <c r="B68" i="34" s="1"/>
  <c r="E48" i="34"/>
  <c r="D44" i="34"/>
  <c r="E41" i="34"/>
  <c r="D40" i="34"/>
  <c r="E37" i="34"/>
  <c r="D36" i="34"/>
  <c r="E33" i="34"/>
  <c r="D32" i="34"/>
  <c r="E29" i="34"/>
  <c r="D28" i="34"/>
  <c r="E25" i="34"/>
  <c r="B12" i="29"/>
  <c r="C12" i="29" s="1"/>
  <c r="B12" i="34"/>
  <c r="D19" i="34"/>
  <c r="B14" i="34"/>
  <c r="D15" i="34"/>
  <c r="D14" i="34"/>
  <c r="B27" i="34"/>
  <c r="B38" i="34"/>
  <c r="B34" i="34"/>
  <c r="B30" i="34"/>
  <c r="B43" i="34"/>
  <c r="B53" i="34"/>
  <c r="B54" i="34" s="1"/>
  <c r="B69" i="34" s="1"/>
  <c r="E49" i="34"/>
  <c r="D48" i="34"/>
  <c r="D50" i="34" s="1"/>
  <c r="D68" i="34" s="1"/>
  <c r="E42" i="34"/>
  <c r="D41" i="34"/>
  <c r="E38" i="34"/>
  <c r="D37" i="34"/>
  <c r="E34" i="34"/>
  <c r="D33" i="34"/>
  <c r="E30" i="34"/>
  <c r="D29" i="34"/>
  <c r="E26" i="34"/>
  <c r="D25" i="34"/>
  <c r="H18" i="29"/>
  <c r="I18" i="29" s="1"/>
  <c r="F12" i="29"/>
  <c r="G12" i="29" s="1"/>
  <c r="H12" i="29"/>
  <c r="I12" i="29" s="1"/>
  <c r="J18" i="29"/>
  <c r="C13" i="31"/>
  <c r="J50" i="29"/>
  <c r="K50" i="29" s="1"/>
  <c r="C49" i="18" s="1"/>
  <c r="H50" i="29"/>
  <c r="I50" i="29" s="1"/>
  <c r="B50" i="29"/>
  <c r="C50" i="29" s="1"/>
  <c r="F50" i="29"/>
  <c r="G50" i="29" s="1"/>
  <c r="D50" i="29"/>
  <c r="E50" i="29" s="1"/>
  <c r="J41" i="29"/>
  <c r="H41" i="29"/>
  <c r="I41" i="29" s="1"/>
  <c r="H46" i="29"/>
  <c r="I46" i="29" s="1"/>
  <c r="B46" i="29"/>
  <c r="C46" i="29" s="1"/>
  <c r="J12" i="29"/>
  <c r="B18" i="29"/>
  <c r="C18" i="29" s="1"/>
  <c r="D18" i="29"/>
  <c r="E18" i="29" s="1"/>
  <c r="F41" i="29"/>
  <c r="G41" i="29" s="1"/>
  <c r="F46" i="29"/>
  <c r="G46" i="29" s="1"/>
  <c r="B41" i="29"/>
  <c r="C41" i="29" s="1"/>
  <c r="D41" i="29"/>
  <c r="E41" i="29" s="1"/>
  <c r="J46" i="29"/>
  <c r="D46" i="29"/>
  <c r="E46" i="29" s="1"/>
  <c r="F18" i="29"/>
  <c r="G18" i="29" s="1"/>
  <c r="D12" i="29"/>
  <c r="E12" i="29" s="1"/>
  <c r="D32" i="26"/>
  <c r="E32" i="26" s="1"/>
  <c r="F32" i="26"/>
  <c r="H32" i="26"/>
  <c r="I32" i="26" s="1"/>
  <c r="J32" i="26"/>
  <c r="K32" i="26" s="1"/>
  <c r="K46" i="29" l="1"/>
  <c r="F50" i="34"/>
  <c r="K18" i="29"/>
  <c r="F22" i="34"/>
  <c r="B22" i="69" s="1"/>
  <c r="K12" i="29"/>
  <c r="F16" i="34"/>
  <c r="K41" i="29"/>
  <c r="F45" i="34"/>
  <c r="B53" i="69"/>
  <c r="F54" i="34"/>
  <c r="E45" i="34"/>
  <c r="D22" i="35"/>
  <c r="D50" i="35"/>
  <c r="B50" i="35"/>
  <c r="H10" i="44"/>
  <c r="H15" i="44" s="1"/>
  <c r="H27" i="44" s="1"/>
  <c r="E9" i="55"/>
  <c r="E15" i="55"/>
  <c r="E22" i="34"/>
  <c r="C16" i="34"/>
  <c r="L46" i="29"/>
  <c r="C45" i="34"/>
  <c r="C67" i="34" s="1"/>
  <c r="C16" i="35"/>
  <c r="E50" i="35"/>
  <c r="E22" i="35"/>
  <c r="G32" i="26"/>
  <c r="C50" i="35"/>
  <c r="M41" i="29"/>
  <c r="L41" i="29"/>
  <c r="M18" i="29"/>
  <c r="L18" i="29"/>
  <c r="L50" i="29"/>
  <c r="K53" i="33"/>
  <c r="D16" i="35"/>
  <c r="M28" i="29"/>
  <c r="L28" i="29"/>
  <c r="L44" i="29"/>
  <c r="F48" i="35" s="1"/>
  <c r="M27" i="29"/>
  <c r="L27" i="29"/>
  <c r="M35" i="29"/>
  <c r="L35" i="29"/>
  <c r="F39" i="35" s="1"/>
  <c r="M24" i="29"/>
  <c r="L24" i="29"/>
  <c r="C45" i="35"/>
  <c r="C22" i="35"/>
  <c r="M15" i="29"/>
  <c r="L15" i="29"/>
  <c r="M39" i="29"/>
  <c r="L39" i="29"/>
  <c r="F43" i="35" s="1"/>
  <c r="M30" i="29"/>
  <c r="L30" i="29"/>
  <c r="F34" i="35" s="1"/>
  <c r="M23" i="29"/>
  <c r="L23" i="29"/>
  <c r="B16" i="35"/>
  <c r="B45" i="35"/>
  <c r="M17" i="29"/>
  <c r="L17" i="29"/>
  <c r="F21" i="35" s="1"/>
  <c r="M32" i="29"/>
  <c r="L32" i="29"/>
  <c r="M25" i="29"/>
  <c r="L25" i="29"/>
  <c r="F29" i="35" s="1"/>
  <c r="M33" i="29"/>
  <c r="L33" i="29"/>
  <c r="F37" i="35" s="1"/>
  <c r="C45" i="36"/>
  <c r="F45" i="36"/>
  <c r="D45" i="36"/>
  <c r="E45" i="36"/>
  <c r="M8" i="29"/>
  <c r="L8" i="29"/>
  <c r="M21" i="29"/>
  <c r="L21" i="29"/>
  <c r="M40" i="29"/>
  <c r="L40" i="29"/>
  <c r="F44" i="35" s="1"/>
  <c r="M31" i="29"/>
  <c r="L31" i="29"/>
  <c r="M22" i="29"/>
  <c r="L22" i="29"/>
  <c r="F26" i="35" s="1"/>
  <c r="M36" i="29"/>
  <c r="L36" i="29"/>
  <c r="J40" i="35" s="1"/>
  <c r="M16" i="29"/>
  <c r="L16" i="29"/>
  <c r="F20" i="35" s="1"/>
  <c r="C22" i="34"/>
  <c r="M12" i="29"/>
  <c r="L12" i="29"/>
  <c r="C16" i="36"/>
  <c r="F16" i="36"/>
  <c r="D16" i="36"/>
  <c r="E16" i="36"/>
  <c r="K7" i="34"/>
  <c r="D45" i="35"/>
  <c r="L49" i="29"/>
  <c r="E48" i="18" s="1"/>
  <c r="I53" i="34" s="1"/>
  <c r="M26" i="29"/>
  <c r="L26" i="29"/>
  <c r="F30" i="35" s="1"/>
  <c r="M34" i="29"/>
  <c r="L34" i="29"/>
  <c r="F38" i="35" s="1"/>
  <c r="M10" i="29"/>
  <c r="L10" i="29"/>
  <c r="F14" i="35" s="1"/>
  <c r="E16" i="35"/>
  <c r="E45" i="35"/>
  <c r="L45" i="29"/>
  <c r="F49" i="35" s="1"/>
  <c r="M38" i="29"/>
  <c r="L38" i="29"/>
  <c r="F42" i="35" s="1"/>
  <c r="M29" i="29"/>
  <c r="L29" i="29"/>
  <c r="F33" i="35" s="1"/>
  <c r="M37" i="29"/>
  <c r="L37" i="29"/>
  <c r="F41" i="35" s="1"/>
  <c r="M11" i="29"/>
  <c r="L11" i="29"/>
  <c r="F15" i="35" s="1"/>
  <c r="B22" i="35"/>
  <c r="J13" i="34"/>
  <c r="F6" i="39"/>
  <c r="F6" i="40" s="1"/>
  <c r="E40" i="40" s="1"/>
  <c r="F7" i="55"/>
  <c r="J12" i="44"/>
  <c r="E13" i="55"/>
  <c r="D45" i="34"/>
  <c r="D67" i="34" s="1"/>
  <c r="D16" i="34"/>
  <c r="D40" i="40"/>
  <c r="E39" i="40"/>
  <c r="J8" i="34"/>
  <c r="E9" i="39"/>
  <c r="E11" i="40" s="1"/>
  <c r="E27" i="40" s="1"/>
  <c r="I9" i="34"/>
  <c r="F31" i="35"/>
  <c r="F48" i="18"/>
  <c r="J53" i="34" s="1"/>
  <c r="D48" i="18"/>
  <c r="H53" i="34" s="1"/>
  <c r="F28" i="35"/>
  <c r="F35" i="35"/>
  <c r="I20" i="35"/>
  <c r="F36" i="35"/>
  <c r="F27" i="35"/>
  <c r="J59" i="35"/>
  <c r="D53" i="29"/>
  <c r="E53" i="29" s="1"/>
  <c r="E16" i="34"/>
  <c r="B53" i="29"/>
  <c r="C53" i="29" s="1"/>
  <c r="B22" i="34"/>
  <c r="J53" i="29"/>
  <c r="K53" i="29" s="1"/>
  <c r="C50" i="18" s="1"/>
  <c r="H53" i="29"/>
  <c r="I53" i="29" s="1"/>
  <c r="F53" i="29"/>
  <c r="G53" i="29" s="1"/>
  <c r="B16" i="34"/>
  <c r="B66" i="34" s="1"/>
  <c r="B45" i="34"/>
  <c r="B67" i="34" s="1"/>
  <c r="D22" i="34"/>
  <c r="E67" i="34"/>
  <c r="E50" i="34"/>
  <c r="E68" i="34" s="1"/>
  <c r="F9" i="24"/>
  <c r="F8" i="24"/>
  <c r="E13" i="24" s="1"/>
  <c r="E8" i="24"/>
  <c r="D8" i="24"/>
  <c r="D9" i="24" s="1"/>
  <c r="C8" i="24"/>
  <c r="B8" i="24"/>
  <c r="B9" i="24" s="1"/>
  <c r="H40" i="23"/>
  <c r="F40" i="23"/>
  <c r="E40" i="23" s="1"/>
  <c r="D44" i="23"/>
  <c r="C44" i="23" s="1"/>
  <c r="D40" i="23"/>
  <c r="J40" i="23"/>
  <c r="I40" i="23" s="1"/>
  <c r="D30" i="23"/>
  <c r="F30" i="23"/>
  <c r="H30" i="23"/>
  <c r="J30" i="23"/>
  <c r="B40" i="23"/>
  <c r="B30" i="23"/>
  <c r="D24" i="23"/>
  <c r="F24" i="23"/>
  <c r="H24" i="23"/>
  <c r="G24" i="23" s="1"/>
  <c r="J24" i="23"/>
  <c r="B24" i="23"/>
  <c r="B45" i="69" l="1"/>
  <c r="F67" i="34"/>
  <c r="I24" i="23"/>
  <c r="E30" i="23"/>
  <c r="B13" i="24"/>
  <c r="F23" i="18"/>
  <c r="G23" i="18"/>
  <c r="D23" i="18"/>
  <c r="E23" i="18"/>
  <c r="E30" i="18"/>
  <c r="D30" i="18"/>
  <c r="G30" i="18"/>
  <c r="F30" i="18"/>
  <c r="G29" i="18"/>
  <c r="E29" i="18"/>
  <c r="D29" i="18"/>
  <c r="F29" i="18"/>
  <c r="B54" i="69"/>
  <c r="F69" i="34"/>
  <c r="B16" i="69"/>
  <c r="F57" i="34"/>
  <c r="F61" i="34" s="1"/>
  <c r="F66" i="34"/>
  <c r="F70" i="34" s="1"/>
  <c r="B50" i="69"/>
  <c r="F68" i="34"/>
  <c r="E24" i="23"/>
  <c r="I30" i="23"/>
  <c r="D13" i="24"/>
  <c r="E66" i="34"/>
  <c r="C57" i="34"/>
  <c r="C61" i="34" s="1"/>
  <c r="G6" i="39"/>
  <c r="G6" i="40" s="1"/>
  <c r="G39" i="40" s="1"/>
  <c r="C9" i="24"/>
  <c r="E9" i="24"/>
  <c r="G48" i="18"/>
  <c r="K53" i="34" s="1"/>
  <c r="C13" i="24"/>
  <c r="F53" i="35"/>
  <c r="F54" i="35" s="1"/>
  <c r="G53" i="34"/>
  <c r="G40" i="23"/>
  <c r="C30" i="23"/>
  <c r="C24" i="23"/>
  <c r="G30" i="23"/>
  <c r="C40" i="23"/>
  <c r="B70" i="34"/>
  <c r="J42" i="35"/>
  <c r="H42" i="35"/>
  <c r="E70" i="34"/>
  <c r="H21" i="44"/>
  <c r="H18" i="44"/>
  <c r="I10" i="44"/>
  <c r="I15" i="44" s="1"/>
  <c r="I27" i="44" s="1"/>
  <c r="G15" i="55"/>
  <c r="F9" i="55"/>
  <c r="J10" i="44" s="1"/>
  <c r="J15" i="44" s="1"/>
  <c r="E18" i="55"/>
  <c r="D66" i="34"/>
  <c r="D70" i="34" s="1"/>
  <c r="C66" i="34"/>
  <c r="C70" i="34" s="1"/>
  <c r="D57" i="34"/>
  <c r="D61" i="34" s="1"/>
  <c r="G7" i="55"/>
  <c r="K12" i="44"/>
  <c r="L12" i="44" s="1"/>
  <c r="F39" i="40"/>
  <c r="H20" i="35"/>
  <c r="C57" i="35"/>
  <c r="C61" i="35" s="1"/>
  <c r="J20" i="35"/>
  <c r="G20" i="35"/>
  <c r="L53" i="29"/>
  <c r="G42" i="35"/>
  <c r="B57" i="35"/>
  <c r="B61" i="35" s="1"/>
  <c r="N10" i="29"/>
  <c r="N26" i="29"/>
  <c r="N25" i="29"/>
  <c r="N17" i="29"/>
  <c r="N23" i="29"/>
  <c r="N39" i="29"/>
  <c r="N28" i="29"/>
  <c r="N34" i="29"/>
  <c r="N33" i="29"/>
  <c r="N32" i="29"/>
  <c r="N30" i="29"/>
  <c r="K13" i="34"/>
  <c r="N11" i="29"/>
  <c r="N29" i="29"/>
  <c r="E45" i="18"/>
  <c r="I49" i="34" s="1"/>
  <c r="F45" i="18"/>
  <c r="J49" i="34" s="1"/>
  <c r="G45" i="18"/>
  <c r="K49" i="34" s="1"/>
  <c r="D45" i="18"/>
  <c r="H49" i="34" s="1"/>
  <c r="D49" i="69"/>
  <c r="C49" i="69" s="1"/>
  <c r="C21" i="39" s="1"/>
  <c r="F13" i="18"/>
  <c r="J14" i="34" s="1"/>
  <c r="G13" i="18"/>
  <c r="K14" i="34" s="1"/>
  <c r="D13" i="18"/>
  <c r="H14" i="34" s="1"/>
  <c r="E13" i="18"/>
  <c r="I14" i="34" s="1"/>
  <c r="F27" i="18"/>
  <c r="J30" i="34" s="1"/>
  <c r="G30" i="34"/>
  <c r="D30" i="69" s="1"/>
  <c r="C30" i="69" s="1"/>
  <c r="G27" i="18"/>
  <c r="K30" i="34" s="1"/>
  <c r="D27" i="18"/>
  <c r="H30" i="34" s="1"/>
  <c r="E27" i="18"/>
  <c r="I30" i="34" s="1"/>
  <c r="N12" i="29"/>
  <c r="N16" i="29"/>
  <c r="N22" i="29"/>
  <c r="N40" i="29"/>
  <c r="N8" i="29"/>
  <c r="D11" i="18"/>
  <c r="H12" i="34" s="1"/>
  <c r="G12" i="34"/>
  <c r="D12" i="69" s="1"/>
  <c r="C12" i="69" s="1"/>
  <c r="E11" i="18"/>
  <c r="I12" i="34" s="1"/>
  <c r="F11" i="18"/>
  <c r="J12" i="34" s="1"/>
  <c r="G11" i="18"/>
  <c r="K12" i="34" s="1"/>
  <c r="G37" i="34"/>
  <c r="D37" i="69" s="1"/>
  <c r="C37" i="69" s="1"/>
  <c r="G34" i="18"/>
  <c r="K37" i="34" s="1"/>
  <c r="D34" i="18"/>
  <c r="H37" i="34" s="1"/>
  <c r="E34" i="18"/>
  <c r="I37" i="34" s="1"/>
  <c r="F34" i="18"/>
  <c r="J37" i="34" s="1"/>
  <c r="D33" i="18"/>
  <c r="H36" i="34" s="1"/>
  <c r="E33" i="18"/>
  <c r="I36" i="34" s="1"/>
  <c r="G33" i="18"/>
  <c r="K36" i="34" s="1"/>
  <c r="F33" i="18"/>
  <c r="J36" i="34" s="1"/>
  <c r="G36" i="34"/>
  <c r="D36" i="69" s="1"/>
  <c r="C36" i="69" s="1"/>
  <c r="F31" i="18"/>
  <c r="J34" i="34" s="1"/>
  <c r="G34" i="34"/>
  <c r="D34" i="69" s="1"/>
  <c r="C34" i="69" s="1"/>
  <c r="G31" i="18"/>
  <c r="K34" i="34" s="1"/>
  <c r="D31" i="18"/>
  <c r="H34" i="34" s="1"/>
  <c r="E31" i="18"/>
  <c r="I34" i="34" s="1"/>
  <c r="N15" i="29"/>
  <c r="N24" i="29"/>
  <c r="N27" i="29"/>
  <c r="H32" i="34"/>
  <c r="I32" i="34"/>
  <c r="G32" i="34"/>
  <c r="D32" i="69" s="1"/>
  <c r="C32" i="69" s="1"/>
  <c r="J32" i="34"/>
  <c r="K32" i="34"/>
  <c r="N18" i="29"/>
  <c r="D14" i="18"/>
  <c r="H15" i="34" s="1"/>
  <c r="E14" i="18"/>
  <c r="I15" i="34" s="1"/>
  <c r="G14" i="18"/>
  <c r="K15" i="34" s="1"/>
  <c r="F14" i="18"/>
  <c r="J15" i="34" s="1"/>
  <c r="G15" i="34"/>
  <c r="D15" i="69" s="1"/>
  <c r="C15" i="69" s="1"/>
  <c r="G33" i="34"/>
  <c r="D33" i="69" s="1"/>
  <c r="C33" i="69" s="1"/>
  <c r="K33" i="34"/>
  <c r="H33" i="34"/>
  <c r="J33" i="34"/>
  <c r="I33" i="34"/>
  <c r="F18" i="18"/>
  <c r="J20" i="34" s="1"/>
  <c r="G20" i="34"/>
  <c r="D20" i="69" s="1"/>
  <c r="C20" i="69" s="1"/>
  <c r="G18" i="18"/>
  <c r="K20" i="34" s="1"/>
  <c r="E18" i="18"/>
  <c r="I20" i="34" s="1"/>
  <c r="D18" i="18"/>
  <c r="H20" i="34" s="1"/>
  <c r="J26" i="34"/>
  <c r="G26" i="34"/>
  <c r="D26" i="69" s="1"/>
  <c r="C26" i="69" s="1"/>
  <c r="K26" i="34"/>
  <c r="I26" i="34"/>
  <c r="H26" i="34"/>
  <c r="D41" i="18"/>
  <c r="H44" i="34" s="1"/>
  <c r="E41" i="18"/>
  <c r="I44" i="34" s="1"/>
  <c r="G44" i="34"/>
  <c r="D44" i="69" s="1"/>
  <c r="C44" i="69" s="1"/>
  <c r="F41" i="18"/>
  <c r="J44" i="34" s="1"/>
  <c r="G41" i="18"/>
  <c r="K44" i="34" s="1"/>
  <c r="E17" i="18"/>
  <c r="I19" i="34" s="1"/>
  <c r="F17" i="18"/>
  <c r="J19" i="34" s="1"/>
  <c r="D17" i="18"/>
  <c r="H19" i="34" s="1"/>
  <c r="G17" i="18"/>
  <c r="K19" i="34" s="1"/>
  <c r="D25" i="18"/>
  <c r="H28" i="34" s="1"/>
  <c r="E25" i="18"/>
  <c r="I28" i="34" s="1"/>
  <c r="G28" i="34"/>
  <c r="D28" i="69" s="1"/>
  <c r="C28" i="69" s="1"/>
  <c r="F25" i="18"/>
  <c r="J28" i="34" s="1"/>
  <c r="G25" i="18"/>
  <c r="K28" i="34" s="1"/>
  <c r="E28" i="18"/>
  <c r="I31" i="34" s="1"/>
  <c r="F28" i="18"/>
  <c r="J31" i="34" s="1"/>
  <c r="G31" i="34"/>
  <c r="D31" i="69" s="1"/>
  <c r="C31" i="69" s="1"/>
  <c r="G28" i="18"/>
  <c r="K31" i="34" s="1"/>
  <c r="D28" i="18"/>
  <c r="H31" i="34" s="1"/>
  <c r="D57" i="35"/>
  <c r="D61" i="35" s="1"/>
  <c r="N37" i="29"/>
  <c r="N38" i="29"/>
  <c r="I42" i="35"/>
  <c r="E57" i="35"/>
  <c r="E61" i="35" s="1"/>
  <c r="F35" i="18"/>
  <c r="J38" i="34" s="1"/>
  <c r="G38" i="34"/>
  <c r="D38" i="69" s="1"/>
  <c r="C38" i="69" s="1"/>
  <c r="G35" i="18"/>
  <c r="K38" i="34" s="1"/>
  <c r="E35" i="18"/>
  <c r="I38" i="34" s="1"/>
  <c r="D35" i="18"/>
  <c r="H38" i="34" s="1"/>
  <c r="N36" i="29"/>
  <c r="N31" i="29"/>
  <c r="N21" i="29"/>
  <c r="G29" i="34"/>
  <c r="D29" i="69" s="1"/>
  <c r="C29" i="69" s="1"/>
  <c r="G26" i="18"/>
  <c r="K29" i="34" s="1"/>
  <c r="D26" i="18"/>
  <c r="H29" i="34" s="1"/>
  <c r="F26" i="18"/>
  <c r="J29" i="34" s="1"/>
  <c r="E26" i="18"/>
  <c r="I29" i="34" s="1"/>
  <c r="E19" i="18"/>
  <c r="I21" i="34" s="1"/>
  <c r="F19" i="18"/>
  <c r="J21" i="34" s="1"/>
  <c r="G21" i="34"/>
  <c r="D21" i="69" s="1"/>
  <c r="C21" i="69" s="1"/>
  <c r="G19" i="18"/>
  <c r="K21" i="34" s="1"/>
  <c r="D19" i="18"/>
  <c r="H21" i="34" s="1"/>
  <c r="E24" i="18"/>
  <c r="I27" i="34" s="1"/>
  <c r="F24" i="18"/>
  <c r="J27" i="34" s="1"/>
  <c r="G27" i="34"/>
  <c r="D27" i="69" s="1"/>
  <c r="C27" i="69" s="1"/>
  <c r="G24" i="18"/>
  <c r="K27" i="34" s="1"/>
  <c r="D24" i="18"/>
  <c r="H27" i="34" s="1"/>
  <c r="E40" i="18"/>
  <c r="I43" i="34" s="1"/>
  <c r="F40" i="18"/>
  <c r="J43" i="34" s="1"/>
  <c r="G43" i="34"/>
  <c r="D43" i="69" s="1"/>
  <c r="C43" i="69" s="1"/>
  <c r="G40" i="18"/>
  <c r="K43" i="34" s="1"/>
  <c r="D40" i="18"/>
  <c r="H43" i="34" s="1"/>
  <c r="N35" i="29"/>
  <c r="E44" i="18"/>
  <c r="I48" i="34" s="1"/>
  <c r="G48" i="34"/>
  <c r="D48" i="69" s="1"/>
  <c r="C48" i="69" s="1"/>
  <c r="C20" i="39" s="1"/>
  <c r="F44" i="18"/>
  <c r="J48" i="34" s="1"/>
  <c r="G44" i="18"/>
  <c r="K48" i="34" s="1"/>
  <c r="D44" i="18"/>
  <c r="H48" i="34" s="1"/>
  <c r="N41" i="29"/>
  <c r="G41" i="34"/>
  <c r="D41" i="69" s="1"/>
  <c r="C41" i="69" s="1"/>
  <c r="G38" i="18"/>
  <c r="K41" i="34" s="1"/>
  <c r="D38" i="18"/>
  <c r="H41" i="34" s="1"/>
  <c r="E38" i="18"/>
  <c r="I41" i="34" s="1"/>
  <c r="F38" i="18"/>
  <c r="J41" i="34" s="1"/>
  <c r="F39" i="18"/>
  <c r="J42" i="34" s="1"/>
  <c r="G42" i="34"/>
  <c r="D42" i="69" s="1"/>
  <c r="C42" i="69" s="1"/>
  <c r="G39" i="18"/>
  <c r="K42" i="34" s="1"/>
  <c r="E39" i="18"/>
  <c r="I42" i="34" s="1"/>
  <c r="D39" i="18"/>
  <c r="H42" i="34" s="1"/>
  <c r="D37" i="18"/>
  <c r="H40" i="34" s="1"/>
  <c r="E37" i="18"/>
  <c r="I40" i="34" s="1"/>
  <c r="G40" i="34"/>
  <c r="D40" i="69" s="1"/>
  <c r="C40" i="69" s="1"/>
  <c r="F37" i="18"/>
  <c r="J40" i="34" s="1"/>
  <c r="G37" i="18"/>
  <c r="K40" i="34" s="1"/>
  <c r="E32" i="18"/>
  <c r="I35" i="34" s="1"/>
  <c r="F32" i="18"/>
  <c r="J35" i="34" s="1"/>
  <c r="D32" i="18"/>
  <c r="H35" i="34" s="1"/>
  <c r="G35" i="34"/>
  <c r="D35" i="69" s="1"/>
  <c r="C35" i="69" s="1"/>
  <c r="G32" i="18"/>
  <c r="K35" i="34" s="1"/>
  <c r="H25" i="34"/>
  <c r="F25" i="35"/>
  <c r="I25" i="34"/>
  <c r="K25" i="34"/>
  <c r="J25" i="34"/>
  <c r="E36" i="18"/>
  <c r="I39" i="34" s="1"/>
  <c r="F36" i="18"/>
  <c r="J39" i="34" s="1"/>
  <c r="G39" i="34"/>
  <c r="D39" i="69" s="1"/>
  <c r="C39" i="69" s="1"/>
  <c r="G36" i="18"/>
  <c r="K39" i="34" s="1"/>
  <c r="D36" i="18"/>
  <c r="H39" i="34" s="1"/>
  <c r="F13" i="55"/>
  <c r="D46" i="23"/>
  <c r="K8" i="34"/>
  <c r="F9" i="39"/>
  <c r="F11" i="40" s="1"/>
  <c r="F27" i="40" s="1"/>
  <c r="J9" i="34"/>
  <c r="F40" i="40"/>
  <c r="H6" i="40"/>
  <c r="G40" i="40" s="1"/>
  <c r="G34" i="35"/>
  <c r="F19" i="35"/>
  <c r="F32" i="35"/>
  <c r="F50" i="35"/>
  <c r="F40" i="35"/>
  <c r="G40" i="35"/>
  <c r="H40" i="35"/>
  <c r="I40" i="35"/>
  <c r="F12" i="35"/>
  <c r="F16" i="35" s="1"/>
  <c r="G12" i="35"/>
  <c r="H12" i="35"/>
  <c r="I12" i="35"/>
  <c r="J12" i="35"/>
  <c r="H54" i="34"/>
  <c r="E57" i="34"/>
  <c r="E61" i="34" s="1"/>
  <c r="B57" i="34"/>
  <c r="F55" i="29"/>
  <c r="G55" i="29" s="1"/>
  <c r="F55" i="33"/>
  <c r="J55" i="33"/>
  <c r="J55" i="29"/>
  <c r="K55" i="29" s="1"/>
  <c r="B55" i="29"/>
  <c r="C55" i="29" s="1"/>
  <c r="B55" i="33"/>
  <c r="H55" i="33"/>
  <c r="H55" i="29"/>
  <c r="I55" i="29" s="1"/>
  <c r="D55" i="33"/>
  <c r="D55" i="29"/>
  <c r="E55" i="29" s="1"/>
  <c r="I54" i="34"/>
  <c r="G16" i="22"/>
  <c r="G17" i="22"/>
  <c r="G18" i="22"/>
  <c r="G15" i="22"/>
  <c r="F16" i="22"/>
  <c r="F17" i="22"/>
  <c r="F18" i="22"/>
  <c r="F15" i="22"/>
  <c r="E16" i="22"/>
  <c r="E17" i="22"/>
  <c r="E18" i="22"/>
  <c r="E15" i="22"/>
  <c r="D16" i="22"/>
  <c r="D17" i="22"/>
  <c r="D18" i="22"/>
  <c r="D15" i="22"/>
  <c r="C16" i="22"/>
  <c r="C17" i="22"/>
  <c r="H17" i="22" s="1"/>
  <c r="C18" i="22"/>
  <c r="H18" i="22" s="1"/>
  <c r="C15" i="22"/>
  <c r="H15" i="22" s="1"/>
  <c r="G10" i="22"/>
  <c r="F10" i="22"/>
  <c r="E10" i="22"/>
  <c r="D10" i="22"/>
  <c r="C10" i="22"/>
  <c r="D20" i="3"/>
  <c r="F20" i="3"/>
  <c r="H20" i="3"/>
  <c r="J20" i="3"/>
  <c r="B20" i="3"/>
  <c r="J7" i="11"/>
  <c r="H7" i="11"/>
  <c r="F7" i="11"/>
  <c r="D7" i="11"/>
  <c r="B7" i="11"/>
  <c r="F10" i="21"/>
  <c r="H10" i="21"/>
  <c r="J10" i="21"/>
  <c r="L10" i="21"/>
  <c r="D10" i="21"/>
  <c r="D23" i="2"/>
  <c r="C45" i="68" s="1"/>
  <c r="B23" i="2"/>
  <c r="B45" i="68" s="1"/>
  <c r="I25" i="11"/>
  <c r="B13" i="11"/>
  <c r="G17" i="11"/>
  <c r="E17" i="11"/>
  <c r="C17" i="11"/>
  <c r="B57" i="69" l="1"/>
  <c r="B61" i="69" s="1"/>
  <c r="C16" i="69"/>
  <c r="G54" i="34"/>
  <c r="D54" i="69" s="1"/>
  <c r="C54" i="69" s="1"/>
  <c r="C13" i="39" s="1"/>
  <c r="C15" i="40" s="1"/>
  <c r="C31" i="40" s="1"/>
  <c r="D53" i="69"/>
  <c r="C53" i="69" s="1"/>
  <c r="F20" i="39"/>
  <c r="F25" i="40" s="1"/>
  <c r="F38" i="40" s="1"/>
  <c r="F41" i="40" s="1"/>
  <c r="G53" i="35"/>
  <c r="G54" i="35" s="1"/>
  <c r="D20" i="39"/>
  <c r="D25" i="40" s="1"/>
  <c r="D38" i="40" s="1"/>
  <c r="D41" i="40" s="1"/>
  <c r="E20" i="39"/>
  <c r="E25" i="40" s="1"/>
  <c r="E38" i="40" s="1"/>
  <c r="E41" i="40" s="1"/>
  <c r="K9" i="34"/>
  <c r="G20" i="39"/>
  <c r="G25" i="40" s="1"/>
  <c r="G69" i="34"/>
  <c r="D21" i="39"/>
  <c r="D26" i="40" s="1"/>
  <c r="C26" i="40"/>
  <c r="E21" i="39"/>
  <c r="E26" i="40" s="1"/>
  <c r="F21" i="39"/>
  <c r="F26" i="40" s="1"/>
  <c r="G31" i="35"/>
  <c r="H31" i="35" s="1"/>
  <c r="I31" i="35" s="1"/>
  <c r="J31" i="35" s="1"/>
  <c r="E9" i="21"/>
  <c r="E8" i="21"/>
  <c r="E7" i="21"/>
  <c r="E10" i="21"/>
  <c r="E6" i="21"/>
  <c r="E13" i="39"/>
  <c r="E15" i="40" s="1"/>
  <c r="E31" i="40" s="1"/>
  <c r="I69" i="34"/>
  <c r="G13" i="55"/>
  <c r="H7" i="55"/>
  <c r="D13" i="39"/>
  <c r="D15" i="40" s="1"/>
  <c r="D31" i="40" s="1"/>
  <c r="H69" i="34"/>
  <c r="B19" i="31"/>
  <c r="B65" i="68" s="1"/>
  <c r="D19" i="31"/>
  <c r="C65" i="68" s="1"/>
  <c r="I18" i="44"/>
  <c r="I21" i="44"/>
  <c r="G9" i="55"/>
  <c r="F18" i="55"/>
  <c r="H34" i="35"/>
  <c r="I34" i="35" s="1"/>
  <c r="J34" i="35" s="1"/>
  <c r="G49" i="35"/>
  <c r="H49" i="35" s="1"/>
  <c r="I49" i="35" s="1"/>
  <c r="J49" i="35" s="1"/>
  <c r="G43" i="35"/>
  <c r="H43" i="35" s="1"/>
  <c r="I43" i="35" s="1"/>
  <c r="J43" i="35" s="1"/>
  <c r="G15" i="35"/>
  <c r="H15" i="35" s="1"/>
  <c r="I15" i="35" s="1"/>
  <c r="J15" i="35" s="1"/>
  <c r="G37" i="35"/>
  <c r="H37" i="35" s="1"/>
  <c r="I37" i="35" s="1"/>
  <c r="J37" i="35" s="1"/>
  <c r="H16" i="34"/>
  <c r="G39" i="35"/>
  <c r="H39" i="35" s="1"/>
  <c r="I39" i="35" s="1"/>
  <c r="J39" i="35" s="1"/>
  <c r="G25" i="34"/>
  <c r="G38" i="35"/>
  <c r="H38" i="35" s="1"/>
  <c r="I38" i="35" s="1"/>
  <c r="J38" i="35" s="1"/>
  <c r="G48" i="35"/>
  <c r="G41" i="35"/>
  <c r="H41" i="35" s="1"/>
  <c r="I41" i="35" s="1"/>
  <c r="J41" i="35" s="1"/>
  <c r="G16" i="34"/>
  <c r="D16" i="69" s="1"/>
  <c r="G36" i="35"/>
  <c r="H36" i="35" s="1"/>
  <c r="I36" i="35" s="1"/>
  <c r="J36" i="35" s="1"/>
  <c r="G33" i="35"/>
  <c r="H33" i="35" s="1"/>
  <c r="I33" i="35" s="1"/>
  <c r="J33" i="35" s="1"/>
  <c r="G29" i="35"/>
  <c r="H29" i="35" s="1"/>
  <c r="I29" i="35" s="1"/>
  <c r="J29" i="35" s="1"/>
  <c r="G30" i="35"/>
  <c r="H30" i="35" s="1"/>
  <c r="I30" i="35" s="1"/>
  <c r="J30" i="35" s="1"/>
  <c r="G26" i="35"/>
  <c r="H26" i="35" s="1"/>
  <c r="I26" i="35" s="1"/>
  <c r="J26" i="35" s="1"/>
  <c r="J16" i="34"/>
  <c r="I22" i="34"/>
  <c r="G28" i="35"/>
  <c r="H28" i="35" s="1"/>
  <c r="I28" i="35" s="1"/>
  <c r="J28" i="35" s="1"/>
  <c r="M9" i="21"/>
  <c r="M8" i="21"/>
  <c r="M10" i="21"/>
  <c r="M7" i="21"/>
  <c r="M6" i="21"/>
  <c r="K10" i="21"/>
  <c r="K6" i="21"/>
  <c r="K7" i="21"/>
  <c r="K9" i="21"/>
  <c r="K8" i="21"/>
  <c r="G8" i="21"/>
  <c r="G7" i="21"/>
  <c r="G10" i="21"/>
  <c r="G6" i="21"/>
  <c r="G9" i="21"/>
  <c r="I7" i="21"/>
  <c r="I10" i="21"/>
  <c r="I6" i="21"/>
  <c r="I8" i="21"/>
  <c r="I9" i="21"/>
  <c r="G38" i="40"/>
  <c r="G41" i="40" s="1"/>
  <c r="H25" i="40"/>
  <c r="H38" i="40" s="1"/>
  <c r="H50" i="34"/>
  <c r="G55" i="33"/>
  <c r="H22" i="34"/>
  <c r="G21" i="35"/>
  <c r="H21" i="35" s="1"/>
  <c r="I21" i="35" s="1"/>
  <c r="J21" i="35" s="1"/>
  <c r="C25" i="40"/>
  <c r="C38" i="40" s="1"/>
  <c r="C41" i="40" s="1"/>
  <c r="G50" i="34"/>
  <c r="D50" i="69" s="1"/>
  <c r="C50" i="69" s="1"/>
  <c r="G44" i="35"/>
  <c r="H44" i="35" s="1"/>
  <c r="I44" i="35" s="1"/>
  <c r="J44" i="35" s="1"/>
  <c r="G14" i="35"/>
  <c r="H14" i="35" s="1"/>
  <c r="I14" i="35" s="1"/>
  <c r="J14" i="35" s="1"/>
  <c r="L55" i="29"/>
  <c r="G22" i="34"/>
  <c r="D22" i="69" s="1"/>
  <c r="C22" i="69" s="1"/>
  <c r="C10" i="39" s="1"/>
  <c r="G35" i="35"/>
  <c r="H35" i="35" s="1"/>
  <c r="I35" i="35" s="1"/>
  <c r="J35" i="35" s="1"/>
  <c r="G27" i="35"/>
  <c r="H27" i="35" s="1"/>
  <c r="I27" i="35" s="1"/>
  <c r="J27" i="35" s="1"/>
  <c r="J27" i="44"/>
  <c r="J21" i="44"/>
  <c r="J18" i="44"/>
  <c r="C46" i="23"/>
  <c r="F44" i="23"/>
  <c r="I55" i="33"/>
  <c r="C55" i="33"/>
  <c r="H45" i="34"/>
  <c r="G9" i="39"/>
  <c r="G11" i="40" s="1"/>
  <c r="G32" i="35"/>
  <c r="H32" i="35" s="1"/>
  <c r="I32" i="35" s="1"/>
  <c r="J32" i="35" s="1"/>
  <c r="G25" i="35"/>
  <c r="F45" i="35"/>
  <c r="G19" i="35"/>
  <c r="F22" i="35"/>
  <c r="H53" i="35"/>
  <c r="I16" i="34"/>
  <c r="B61" i="34"/>
  <c r="E55" i="33"/>
  <c r="J22" i="34"/>
  <c r="I45" i="34"/>
  <c r="K45" i="34"/>
  <c r="J45" i="34"/>
  <c r="I50" i="34"/>
  <c r="K22" i="34"/>
  <c r="K54" i="34"/>
  <c r="J54" i="34"/>
  <c r="H16" i="22"/>
  <c r="F19" i="22"/>
  <c r="G19" i="22"/>
  <c r="D19" i="22"/>
  <c r="E19" i="22"/>
  <c r="C19" i="22"/>
  <c r="C7" i="39" l="1"/>
  <c r="C7" i="40" s="1"/>
  <c r="C8" i="40" s="1"/>
  <c r="G45" i="34"/>
  <c r="D45" i="69" s="1"/>
  <c r="C45" i="69" s="1"/>
  <c r="C11" i="39" s="1"/>
  <c r="C10" i="40" s="1"/>
  <c r="D25" i="69"/>
  <c r="C25" i="69" s="1"/>
  <c r="D10" i="39"/>
  <c r="D9" i="40" s="1"/>
  <c r="G10" i="39"/>
  <c r="G9" i="40" s="1"/>
  <c r="H9" i="40" s="1"/>
  <c r="E10" i="39"/>
  <c r="E9" i="40" s="1"/>
  <c r="F10" i="39"/>
  <c r="F9" i="40" s="1"/>
  <c r="G21" i="39"/>
  <c r="G26" i="40" s="1"/>
  <c r="H26" i="40" s="1"/>
  <c r="C9" i="40"/>
  <c r="G50" i="35"/>
  <c r="C19" i="31"/>
  <c r="C22" i="39"/>
  <c r="G68" i="34"/>
  <c r="H13" i="55"/>
  <c r="H9" i="55"/>
  <c r="L10" i="44" s="1"/>
  <c r="G13" i="39"/>
  <c r="G15" i="40" s="1"/>
  <c r="H15" i="40" s="1"/>
  <c r="K69" i="34"/>
  <c r="H48" i="35"/>
  <c r="H50" i="35" s="1"/>
  <c r="D22" i="39"/>
  <c r="H68" i="34"/>
  <c r="F13" i="39"/>
  <c r="F15" i="40" s="1"/>
  <c r="F31" i="40" s="1"/>
  <c r="J69" i="34"/>
  <c r="E22" i="39"/>
  <c r="I68" i="34"/>
  <c r="K10" i="44"/>
  <c r="K15" i="44" s="1"/>
  <c r="L15" i="44" s="1"/>
  <c r="L18" i="44" s="1"/>
  <c r="G18" i="55"/>
  <c r="F11" i="39"/>
  <c r="F10" i="40" s="1"/>
  <c r="J67" i="34"/>
  <c r="G11" i="39"/>
  <c r="G10" i="40" s="1"/>
  <c r="H10" i="40" s="1"/>
  <c r="K67" i="34"/>
  <c r="G66" i="34"/>
  <c r="E11" i="39"/>
  <c r="E10" i="40" s="1"/>
  <c r="I67" i="34"/>
  <c r="E7" i="39"/>
  <c r="E7" i="40" s="1"/>
  <c r="E8" i="40" s="1"/>
  <c r="I66" i="34"/>
  <c r="D11" i="39"/>
  <c r="H67" i="34"/>
  <c r="D7" i="39"/>
  <c r="D7" i="40" s="1"/>
  <c r="D8" i="40" s="1"/>
  <c r="H66" i="34"/>
  <c r="F7" i="39"/>
  <c r="F7" i="40" s="1"/>
  <c r="F8" i="40" s="1"/>
  <c r="J66" i="34"/>
  <c r="J16" i="35"/>
  <c r="I16" i="35"/>
  <c r="G16" i="35"/>
  <c r="H16" i="35"/>
  <c r="H57" i="34"/>
  <c r="K55" i="33"/>
  <c r="E44" i="23"/>
  <c r="F46" i="23"/>
  <c r="G27" i="40"/>
  <c r="H27" i="40" s="1"/>
  <c r="H11" i="40"/>
  <c r="G31" i="40"/>
  <c r="H31" i="40" s="1"/>
  <c r="F57" i="35"/>
  <c r="F61" i="35" s="1"/>
  <c r="H19" i="35"/>
  <c r="G22" i="35"/>
  <c r="H54" i="35"/>
  <c r="I53" i="35"/>
  <c r="I48" i="35"/>
  <c r="E50" i="18"/>
  <c r="G50" i="18"/>
  <c r="D50" i="18"/>
  <c r="F50" i="18"/>
  <c r="H25" i="35"/>
  <c r="G45" i="35"/>
  <c r="K16" i="34"/>
  <c r="I57" i="34"/>
  <c r="K50" i="34"/>
  <c r="J50" i="34"/>
  <c r="I61" i="34" l="1"/>
  <c r="H61" i="34"/>
  <c r="G67" i="34"/>
  <c r="G57" i="34"/>
  <c r="G61" i="34" s="1"/>
  <c r="C57" i="69"/>
  <c r="D57" i="69"/>
  <c r="D61" i="69" s="1"/>
  <c r="D10" i="40"/>
  <c r="D19" i="40" s="1"/>
  <c r="D21" i="40" s="1"/>
  <c r="D35" i="40" s="1"/>
  <c r="D42" i="40" s="1"/>
  <c r="D44" i="40" s="1"/>
  <c r="D8" i="39"/>
  <c r="D16" i="39" s="1"/>
  <c r="J68" i="34"/>
  <c r="J70" i="34" s="1"/>
  <c r="F19" i="40"/>
  <c r="F21" i="40" s="1"/>
  <c r="F35" i="40" s="1"/>
  <c r="F42" i="40" s="1"/>
  <c r="F44" i="40" s="1"/>
  <c r="H70" i="34"/>
  <c r="F8" i="39"/>
  <c r="F16" i="39" s="1"/>
  <c r="F18" i="39" s="1"/>
  <c r="E8" i="39"/>
  <c r="E16" i="39" s="1"/>
  <c r="E18" i="39" s="1"/>
  <c r="E24" i="39" s="1"/>
  <c r="G22" i="39"/>
  <c r="K68" i="34"/>
  <c r="H18" i="55"/>
  <c r="I70" i="34"/>
  <c r="G70" i="34"/>
  <c r="C19" i="40"/>
  <c r="C21" i="40" s="1"/>
  <c r="C35" i="40" s="1"/>
  <c r="C42" i="40" s="1"/>
  <c r="C44" i="40" s="1"/>
  <c r="K18" i="44"/>
  <c r="K27" i="44"/>
  <c r="K21" i="44"/>
  <c r="C8" i="39"/>
  <c r="C16" i="39" s="1"/>
  <c r="C18" i="39" s="1"/>
  <c r="C24" i="39" s="1"/>
  <c r="G7" i="39"/>
  <c r="G7" i="40" s="1"/>
  <c r="K66" i="34"/>
  <c r="E19" i="40"/>
  <c r="E21" i="40" s="1"/>
  <c r="E35" i="40" s="1"/>
  <c r="E42" i="40" s="1"/>
  <c r="E44" i="40" s="1"/>
  <c r="E46" i="23"/>
  <c r="H44" i="23"/>
  <c r="J57" i="34"/>
  <c r="F22" i="39"/>
  <c r="I54" i="35"/>
  <c r="J53" i="35"/>
  <c r="J54" i="35" s="1"/>
  <c r="I25" i="35"/>
  <c r="H45" i="35"/>
  <c r="H22" i="35"/>
  <c r="I19" i="35"/>
  <c r="G57" i="35"/>
  <c r="G61" i="35" s="1"/>
  <c r="J48" i="35"/>
  <c r="J50" i="35" s="1"/>
  <c r="I50" i="35"/>
  <c r="K57" i="34"/>
  <c r="G12" i="11"/>
  <c r="E12" i="11"/>
  <c r="C12" i="11"/>
  <c r="G11" i="11"/>
  <c r="E11" i="11"/>
  <c r="C11" i="11"/>
  <c r="J33" i="12"/>
  <c r="H33" i="12"/>
  <c r="F33" i="12"/>
  <c r="D33" i="12"/>
  <c r="J32" i="12"/>
  <c r="H32" i="12"/>
  <c r="F32" i="12"/>
  <c r="D32" i="12"/>
  <c r="J31" i="12"/>
  <c r="H31" i="12"/>
  <c r="F31" i="12"/>
  <c r="D31" i="12"/>
  <c r="J30" i="12"/>
  <c r="H30" i="12"/>
  <c r="F30" i="12"/>
  <c r="D30" i="12"/>
  <c r="H29" i="12"/>
  <c r="F29" i="12"/>
  <c r="D29" i="12"/>
  <c r="J28" i="12"/>
  <c r="H28" i="12"/>
  <c r="F28" i="12"/>
  <c r="D28" i="12"/>
  <c r="J27" i="12"/>
  <c r="H27" i="12"/>
  <c r="F27" i="12"/>
  <c r="D27" i="12"/>
  <c r="J26" i="12"/>
  <c r="H26" i="12"/>
  <c r="F26" i="12"/>
  <c r="D26" i="12"/>
  <c r="J25" i="12"/>
  <c r="F25" i="12"/>
  <c r="J24" i="12"/>
  <c r="H24" i="12"/>
  <c r="F24" i="12"/>
  <c r="D24" i="12"/>
  <c r="J23" i="12"/>
  <c r="H23" i="12"/>
  <c r="F23" i="12"/>
  <c r="D23" i="12"/>
  <c r="J22" i="12"/>
  <c r="H22" i="12"/>
  <c r="F22" i="12"/>
  <c r="D22" i="12"/>
  <c r="J21" i="12"/>
  <c r="H21" i="12"/>
  <c r="F21" i="12"/>
  <c r="D21" i="12"/>
  <c r="J20" i="12"/>
  <c r="H20" i="12"/>
  <c r="F20" i="12"/>
  <c r="D20" i="12"/>
  <c r="J19" i="12"/>
  <c r="H19" i="12"/>
  <c r="F19" i="12"/>
  <c r="D19" i="12"/>
  <c r="J18" i="12"/>
  <c r="H18" i="12"/>
  <c r="F18" i="12"/>
  <c r="D18" i="12"/>
  <c r="J17" i="12"/>
  <c r="H17" i="12"/>
  <c r="F17" i="12"/>
  <c r="D17" i="12"/>
  <c r="J16" i="12"/>
  <c r="H16" i="12"/>
  <c r="F16" i="12"/>
  <c r="D16" i="12"/>
  <c r="J15" i="12"/>
  <c r="H15" i="12"/>
  <c r="F15" i="12"/>
  <c r="D15" i="12"/>
  <c r="J14" i="12"/>
  <c r="H14" i="12"/>
  <c r="F14" i="12"/>
  <c r="D14" i="12"/>
  <c r="J13" i="12"/>
  <c r="H13" i="12"/>
  <c r="F13" i="12"/>
  <c r="D13" i="12"/>
  <c r="J12" i="12"/>
  <c r="H12" i="12"/>
  <c r="F12" i="12"/>
  <c r="D12" i="12"/>
  <c r="J11" i="12"/>
  <c r="H11" i="12"/>
  <c r="F11" i="12"/>
  <c r="D11" i="12"/>
  <c r="C61" i="69" l="1"/>
  <c r="K61" i="34"/>
  <c r="J61" i="34"/>
  <c r="K70" i="34"/>
  <c r="D18" i="39"/>
  <c r="D24" i="39" s="1"/>
  <c r="F24" i="39"/>
  <c r="G8" i="39"/>
  <c r="G16" i="39" s="1"/>
  <c r="G18" i="39" s="1"/>
  <c r="G24" i="39" s="1"/>
  <c r="H46" i="23"/>
  <c r="G44" i="23"/>
  <c r="H7" i="40"/>
  <c r="G8" i="40"/>
  <c r="J25" i="35"/>
  <c r="J45" i="35" s="1"/>
  <c r="I45" i="35"/>
  <c r="J19" i="35"/>
  <c r="J22" i="35" s="1"/>
  <c r="I22" i="35"/>
  <c r="H57" i="35"/>
  <c r="H61" i="35" s="1"/>
  <c r="I7" i="11"/>
  <c r="G7" i="11"/>
  <c r="E7" i="11"/>
  <c r="C7" i="11"/>
  <c r="G46" i="23" l="1"/>
  <c r="J44" i="23"/>
  <c r="G19" i="40"/>
  <c r="H8" i="40"/>
  <c r="I57" i="35"/>
  <c r="I61" i="35" s="1"/>
  <c r="J57" i="35"/>
  <c r="J61" i="35" s="1"/>
  <c r="C22" i="11"/>
  <c r="F22" i="11"/>
  <c r="C23" i="11"/>
  <c r="F23" i="11"/>
  <c r="F24" i="11"/>
  <c r="C24" i="11"/>
  <c r="B11" i="9"/>
  <c r="D7" i="9" s="1"/>
  <c r="D9" i="9" l="1"/>
  <c r="D10" i="9"/>
  <c r="D8" i="9"/>
  <c r="D6" i="9"/>
  <c r="F25" i="11"/>
  <c r="C25" i="11"/>
  <c r="J46" i="23"/>
  <c r="I46" i="23" s="1"/>
  <c r="I44" i="23"/>
  <c r="G21" i="40"/>
  <c r="H19" i="40"/>
  <c r="F7" i="10"/>
  <c r="D25" i="8"/>
  <c r="E25" i="8"/>
  <c r="E26" i="8" s="1"/>
  <c r="F25" i="8"/>
  <c r="F26" i="8" s="1"/>
  <c r="G25" i="8"/>
  <c r="C25" i="8"/>
  <c r="G13" i="8"/>
  <c r="D13" i="8"/>
  <c r="E13" i="8"/>
  <c r="F13" i="8"/>
  <c r="C13" i="8"/>
  <c r="C6" i="4"/>
  <c r="D6" i="4"/>
  <c r="E6" i="4"/>
  <c r="F6" i="4"/>
  <c r="C7" i="4"/>
  <c r="D7" i="4"/>
  <c r="E7" i="4"/>
  <c r="F7" i="4"/>
  <c r="C8" i="4"/>
  <c r="D8" i="4"/>
  <c r="E8" i="4"/>
  <c r="F8" i="4"/>
  <c r="C11" i="4"/>
  <c r="D11" i="4"/>
  <c r="E11" i="4"/>
  <c r="F11" i="4"/>
  <c r="C12" i="4"/>
  <c r="D12" i="4"/>
  <c r="E12" i="4"/>
  <c r="F12" i="4"/>
  <c r="C13" i="4"/>
  <c r="D13" i="4"/>
  <c r="E13" i="4"/>
  <c r="F13" i="4"/>
  <c r="B13" i="4"/>
  <c r="B11" i="4"/>
  <c r="B12" i="4"/>
  <c r="B8" i="4"/>
  <c r="B7" i="4"/>
  <c r="B6" i="4"/>
  <c r="G12" i="5"/>
  <c r="F23" i="2"/>
  <c r="D45" i="68" s="1"/>
  <c r="H23" i="2"/>
  <c r="E45" i="68" s="1"/>
  <c r="J23" i="2"/>
  <c r="F45" i="68" s="1"/>
  <c r="D34" i="2"/>
  <c r="F34" i="2"/>
  <c r="H34" i="2"/>
  <c r="J34" i="2"/>
  <c r="D12" i="2"/>
  <c r="F12" i="2"/>
  <c r="H12" i="2"/>
  <c r="J12" i="2"/>
  <c r="D21" i="1"/>
  <c r="F21" i="1"/>
  <c r="H21" i="1"/>
  <c r="J21" i="1"/>
  <c r="D12" i="1"/>
  <c r="F12" i="1"/>
  <c r="H12" i="1"/>
  <c r="J12" i="1"/>
  <c r="E24" i="68" l="1"/>
  <c r="F7" i="67"/>
  <c r="F8" i="67"/>
  <c r="E25" i="68"/>
  <c r="D26" i="8"/>
  <c r="C24" i="68"/>
  <c r="D8" i="67"/>
  <c r="D7" i="67"/>
  <c r="C25" i="68"/>
  <c r="F24" i="68"/>
  <c r="G8" i="67"/>
  <c r="G7" i="67"/>
  <c r="F25" i="68"/>
  <c r="D24" i="68"/>
  <c r="E8" i="67"/>
  <c r="E7" i="67"/>
  <c r="D25" i="68"/>
  <c r="G26" i="8"/>
  <c r="F38" i="2"/>
  <c r="D11" i="6" s="1"/>
  <c r="H18" i="31"/>
  <c r="E64" i="68" s="1"/>
  <c r="H38" i="2"/>
  <c r="E11" i="6" s="1"/>
  <c r="H19" i="31"/>
  <c r="E65" i="68" s="1"/>
  <c r="F19" i="31"/>
  <c r="D38" i="2"/>
  <c r="C11" i="6" s="1"/>
  <c r="F18" i="31"/>
  <c r="D64" i="68" s="1"/>
  <c r="D18" i="31"/>
  <c r="C64" i="68" s="1"/>
  <c r="C66" i="68" s="1"/>
  <c r="J18" i="31"/>
  <c r="J38" i="2"/>
  <c r="F11" i="6" s="1"/>
  <c r="J19" i="31"/>
  <c r="F65" i="68" s="1"/>
  <c r="F16" i="4"/>
  <c r="B8" i="56" s="1"/>
  <c r="B16" i="4"/>
  <c r="B7" i="7" s="1"/>
  <c r="D16" i="4"/>
  <c r="D7" i="7" s="1"/>
  <c r="C16" i="4"/>
  <c r="C7" i="7" s="1"/>
  <c r="E16" i="4"/>
  <c r="E7" i="7" s="1"/>
  <c r="H21" i="40"/>
  <c r="G35" i="40"/>
  <c r="F16" i="31"/>
  <c r="H16" i="31"/>
  <c r="D16" i="31"/>
  <c r="J16" i="31"/>
  <c r="F21" i="3"/>
  <c r="H21" i="3"/>
  <c r="J21" i="3"/>
  <c r="D21" i="3"/>
  <c r="E21" i="3" s="1"/>
  <c r="F20" i="10"/>
  <c r="J25" i="2"/>
  <c r="J24" i="1"/>
  <c r="H25" i="2"/>
  <c r="H24" i="1"/>
  <c r="F9" i="67" s="1"/>
  <c r="F25" i="2"/>
  <c r="F24" i="1"/>
  <c r="D44" i="68" s="1"/>
  <c r="D24" i="1"/>
  <c r="C44" i="68" s="1"/>
  <c r="D25" i="2"/>
  <c r="B34" i="2"/>
  <c r="B12" i="2"/>
  <c r="B21" i="1"/>
  <c r="B12" i="1"/>
  <c r="D9" i="67" l="1"/>
  <c r="E66" i="68"/>
  <c r="I18" i="31"/>
  <c r="F64" i="68"/>
  <c r="F66" i="68" s="1"/>
  <c r="E19" i="31"/>
  <c r="D65" i="68"/>
  <c r="D8" i="7"/>
  <c r="D12" i="7" s="1"/>
  <c r="D13" i="6"/>
  <c r="G10" i="67"/>
  <c r="B25" i="68"/>
  <c r="K12" i="1"/>
  <c r="F44" i="68"/>
  <c r="D66" i="68"/>
  <c r="E13" i="6"/>
  <c r="E8" i="7"/>
  <c r="E12" i="7" s="1"/>
  <c r="E9" i="67"/>
  <c r="F8" i="7"/>
  <c r="F13" i="6"/>
  <c r="C13" i="6"/>
  <c r="C8" i="7"/>
  <c r="C9" i="7" s="1"/>
  <c r="G9" i="67"/>
  <c r="B24" i="68"/>
  <c r="C8" i="67"/>
  <c r="H8" i="67" s="1"/>
  <c r="C7" i="67"/>
  <c r="H7" i="67" s="1"/>
  <c r="I21" i="1"/>
  <c r="E44" i="68"/>
  <c r="E21" i="1"/>
  <c r="E10" i="67"/>
  <c r="D10" i="67"/>
  <c r="F10" i="67"/>
  <c r="I19" i="31"/>
  <c r="G19" i="31"/>
  <c r="K21" i="3"/>
  <c r="J10" i="31"/>
  <c r="F10" i="31"/>
  <c r="G21" i="3"/>
  <c r="I21" i="3"/>
  <c r="H10" i="31"/>
  <c r="H12" i="31" s="1"/>
  <c r="F40" i="2"/>
  <c r="G25" i="2"/>
  <c r="G18" i="31"/>
  <c r="H40" i="2"/>
  <c r="I25" i="2" s="1"/>
  <c r="B18" i="31"/>
  <c r="J23" i="31"/>
  <c r="D23" i="31"/>
  <c r="J40" i="2"/>
  <c r="K25" i="2" s="1"/>
  <c r="E18" i="31"/>
  <c r="B38" i="2"/>
  <c r="B11" i="6" s="1"/>
  <c r="D40" i="2"/>
  <c r="E25" i="2" s="1"/>
  <c r="I38" i="2"/>
  <c r="H23" i="31"/>
  <c r="G38" i="2"/>
  <c r="F23" i="31"/>
  <c r="G19" i="1"/>
  <c r="G10" i="1"/>
  <c r="G20" i="1"/>
  <c r="G7" i="1"/>
  <c r="G24" i="1"/>
  <c r="G18" i="1"/>
  <c r="G9" i="1"/>
  <c r="G16" i="1"/>
  <c r="G8" i="1"/>
  <c r="K16" i="1"/>
  <c r="K8" i="1"/>
  <c r="K24" i="1"/>
  <c r="K20" i="1"/>
  <c r="K7" i="1"/>
  <c r="K9" i="1"/>
  <c r="K19" i="1"/>
  <c r="K10" i="1"/>
  <c r="K18" i="1"/>
  <c r="K21" i="1"/>
  <c r="G21" i="1"/>
  <c r="G12" i="1"/>
  <c r="I20" i="1"/>
  <c r="I7" i="1"/>
  <c r="I19" i="1"/>
  <c r="I10" i="1"/>
  <c r="I8" i="1"/>
  <c r="I24" i="1"/>
  <c r="I18" i="1"/>
  <c r="I9" i="1"/>
  <c r="I16" i="1"/>
  <c r="E24" i="1"/>
  <c r="E18" i="1"/>
  <c r="E9" i="1"/>
  <c r="E16" i="1"/>
  <c r="E8" i="1"/>
  <c r="E19" i="1"/>
  <c r="E20" i="1"/>
  <c r="E7" i="1"/>
  <c r="E10" i="1"/>
  <c r="I16" i="31"/>
  <c r="E12" i="1"/>
  <c r="I12" i="1"/>
  <c r="E16" i="31"/>
  <c r="B4" i="45"/>
  <c r="B5" i="49"/>
  <c r="B9" i="49" s="1"/>
  <c r="B12" i="50" s="1"/>
  <c r="H35" i="40"/>
  <c r="H42" i="40" s="1"/>
  <c r="G42" i="40"/>
  <c r="F12" i="31"/>
  <c r="D10" i="31"/>
  <c r="D17" i="31"/>
  <c r="F17" i="31"/>
  <c r="J17" i="31"/>
  <c r="G16" i="31"/>
  <c r="B16" i="31"/>
  <c r="C16" i="31" s="1"/>
  <c r="D42" i="2"/>
  <c r="H17" i="31"/>
  <c r="B10" i="31"/>
  <c r="C12" i="7"/>
  <c r="E9" i="7"/>
  <c r="E11" i="7" s="1"/>
  <c r="D9" i="7"/>
  <c r="D11" i="7" s="1"/>
  <c r="B24" i="1"/>
  <c r="J42" i="2"/>
  <c r="H42" i="2"/>
  <c r="F42" i="2"/>
  <c r="B25" i="2"/>
  <c r="C10" i="67" l="1"/>
  <c r="C11" i="7"/>
  <c r="C10" i="7"/>
  <c r="H10" i="67"/>
  <c r="C12" i="1"/>
  <c r="B44" i="68"/>
  <c r="C21" i="1"/>
  <c r="C9" i="67"/>
  <c r="H9" i="67" s="1"/>
  <c r="C18" i="31"/>
  <c r="B64" i="68"/>
  <c r="B66" i="68" s="1"/>
  <c r="B13" i="6"/>
  <c r="B8" i="7"/>
  <c r="G12" i="31"/>
  <c r="I23" i="31"/>
  <c r="G10" i="31"/>
  <c r="I10" i="31"/>
  <c r="J12" i="31"/>
  <c r="I12" i="31" s="1"/>
  <c r="B23" i="31"/>
  <c r="K32" i="2"/>
  <c r="K18" i="2"/>
  <c r="K10" i="2"/>
  <c r="K36" i="2"/>
  <c r="K31" i="2"/>
  <c r="K21" i="2"/>
  <c r="K17" i="2"/>
  <c r="K9" i="2"/>
  <c r="K29" i="2"/>
  <c r="K20" i="2"/>
  <c r="K16" i="2"/>
  <c r="K8" i="2"/>
  <c r="K40" i="2"/>
  <c r="K33" i="2"/>
  <c r="K19" i="2"/>
  <c r="K7" i="2"/>
  <c r="K12" i="2"/>
  <c r="K23" i="2"/>
  <c r="K34" i="2"/>
  <c r="K38" i="2"/>
  <c r="E23" i="31"/>
  <c r="C23" i="31"/>
  <c r="I40" i="2"/>
  <c r="I33" i="2"/>
  <c r="I19" i="2"/>
  <c r="I7" i="2"/>
  <c r="I32" i="2"/>
  <c r="I18" i="2"/>
  <c r="I10" i="2"/>
  <c r="I36" i="2"/>
  <c r="I31" i="2"/>
  <c r="I21" i="2"/>
  <c r="I17" i="2"/>
  <c r="I9" i="2"/>
  <c r="I29" i="2"/>
  <c r="I20" i="2"/>
  <c r="I16" i="2"/>
  <c r="I8" i="2"/>
  <c r="I34" i="2"/>
  <c r="I12" i="2"/>
  <c r="I23" i="2"/>
  <c r="B40" i="2"/>
  <c r="C25" i="2" s="1"/>
  <c r="G23" i="31"/>
  <c r="E36" i="2"/>
  <c r="E31" i="2"/>
  <c r="E21" i="2"/>
  <c r="E17" i="2"/>
  <c r="E9" i="2"/>
  <c r="E29" i="2"/>
  <c r="E20" i="2"/>
  <c r="E16" i="2"/>
  <c r="E8" i="2"/>
  <c r="E40" i="2"/>
  <c r="E33" i="2"/>
  <c r="E19" i="2"/>
  <c r="E7" i="2"/>
  <c r="E32" i="2"/>
  <c r="E18" i="2"/>
  <c r="E10" i="2"/>
  <c r="E23" i="2"/>
  <c r="E12" i="2"/>
  <c r="E34" i="2"/>
  <c r="E38" i="2"/>
  <c r="G29" i="2"/>
  <c r="G20" i="2"/>
  <c r="G16" i="2"/>
  <c r="G8" i="2"/>
  <c r="G40" i="2"/>
  <c r="G33" i="2"/>
  <c r="G19" i="2"/>
  <c r="G7" i="2"/>
  <c r="G32" i="2"/>
  <c r="G18" i="2"/>
  <c r="G10" i="2"/>
  <c r="G36" i="2"/>
  <c r="G31" i="2"/>
  <c r="G21" i="2"/>
  <c r="G17" i="2"/>
  <c r="G9" i="2"/>
  <c r="G23" i="2"/>
  <c r="G12" i="2"/>
  <c r="G34" i="2"/>
  <c r="C16" i="1"/>
  <c r="C7" i="1"/>
  <c r="C24" i="1"/>
  <c r="C20" i="1"/>
  <c r="C10" i="1"/>
  <c r="C18" i="1"/>
  <c r="C19" i="1"/>
  <c r="C9" i="1"/>
  <c r="C8" i="1"/>
  <c r="I17" i="31"/>
  <c r="E17" i="31"/>
  <c r="D12" i="31"/>
  <c r="E12" i="31" s="1"/>
  <c r="E10" i="31"/>
  <c r="B17" i="31"/>
  <c r="C17" i="31" s="1"/>
  <c r="G17" i="31"/>
  <c r="B12" i="31"/>
  <c r="C10" i="31"/>
  <c r="D10" i="7"/>
  <c r="E10" i="7"/>
  <c r="H8" i="7" l="1"/>
  <c r="K8" i="7"/>
  <c r="L8" i="7"/>
  <c r="J8" i="7"/>
  <c r="I8" i="7"/>
  <c r="B12" i="7"/>
  <c r="B9" i="7"/>
  <c r="C32" i="2"/>
  <c r="C18" i="2"/>
  <c r="C36" i="2"/>
  <c r="C31" i="2"/>
  <c r="C21" i="2"/>
  <c r="C17" i="2"/>
  <c r="C9" i="2"/>
  <c r="C40" i="2"/>
  <c r="C19" i="2"/>
  <c r="C29" i="2"/>
  <c r="C20" i="2"/>
  <c r="C16" i="2"/>
  <c r="C8" i="2"/>
  <c r="C10" i="2"/>
  <c r="C33" i="2"/>
  <c r="C7" i="2"/>
  <c r="C23" i="2"/>
  <c r="C12" i="2"/>
  <c r="C34" i="2"/>
  <c r="C38" i="2"/>
  <c r="B42" i="2"/>
  <c r="C12" i="31"/>
  <c r="B10" i="7" l="1"/>
  <c r="B11" i="7"/>
  <c r="E6" i="34"/>
  <c r="I6" i="34" s="1"/>
  <c r="J6" i="34" s="1"/>
  <c r="K6" i="34" s="1"/>
  <c r="F7" i="7" l="1"/>
  <c r="L7" i="7" l="1"/>
  <c r="L12" i="7" s="1"/>
  <c r="K7" i="7"/>
  <c r="K12" i="7" s="1"/>
  <c r="H7" i="7"/>
  <c r="I7" i="7"/>
  <c r="I12" i="7" s="1"/>
  <c r="F12" i="7"/>
  <c r="J7" i="7"/>
  <c r="J12" i="7" s="1"/>
  <c r="F9" i="7"/>
  <c r="H9" i="7" s="1"/>
  <c r="B8" i="46"/>
  <c r="G18" i="7" l="1"/>
  <c r="H12" i="7"/>
  <c r="B11" i="50"/>
  <c r="B14" i="50" s="1"/>
  <c r="B5" i="51" s="1"/>
  <c r="J9" i="7"/>
  <c r="F11" i="7"/>
  <c r="H11" i="7" s="1"/>
  <c r="K9" i="7"/>
  <c r="L9" i="7"/>
  <c r="I9" i="7"/>
  <c r="F10" i="7"/>
  <c r="H10" i="7" s="1"/>
  <c r="B8" i="51" l="1"/>
  <c r="B11" i="51" s="1"/>
  <c r="B3" i="45" s="1"/>
  <c r="L11" i="7"/>
  <c r="B6" i="45"/>
  <c r="K11" i="7"/>
  <c r="J11" i="7"/>
  <c r="I11" i="7"/>
  <c r="L10" i="7"/>
  <c r="I10" i="7"/>
  <c r="B5" i="45"/>
  <c r="K10" i="7"/>
  <c r="J10" i="7"/>
  <c r="B11" i="45" l="1"/>
  <c r="G43" i="40" l="1"/>
  <c r="G44" i="40" s="1"/>
  <c r="D47" i="40"/>
  <c r="D48" i="40" s="1"/>
  <c r="E47" i="40"/>
  <c r="E48" i="40" s="1"/>
  <c r="F47" i="40"/>
  <c r="F48" i="40" s="1"/>
  <c r="G47" i="40"/>
  <c r="B13" i="45"/>
  <c r="B14" i="45" s="1"/>
  <c r="C47" i="40" s="1"/>
  <c r="C48" i="40" s="1"/>
  <c r="B4" i="46"/>
  <c r="B7" i="46" s="1"/>
  <c r="B9" i="46" s="1"/>
  <c r="B13" i="46" s="1"/>
  <c r="B17" i="46" s="1"/>
  <c r="G48" i="40" l="1"/>
  <c r="B4" i="56" s="1"/>
  <c r="B7" i="56" s="1"/>
  <c r="B18" i="46"/>
  <c r="G10" i="44" l="1"/>
  <c r="G15" i="44" l="1"/>
  <c r="G27" i="44" s="1"/>
  <c r="F21" i="44"/>
  <c r="B9" i="56"/>
  <c r="B13" i="56" s="1"/>
  <c r="B18" i="56" l="1"/>
  <c r="B17" i="56"/>
  <c r="G18" i="44"/>
  <c r="G21" i="4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rodbl</author>
  </authors>
  <commentList>
    <comment ref="F25" authorId="0" shapeId="0" xr:uid="{C7B7D4C0-A58B-4A47-A600-1350E2E2BB99}">
      <text>
        <r>
          <rPr>
            <b/>
            <sz val="9"/>
            <color indexed="81"/>
            <rFont val="Tahoma"/>
            <family val="2"/>
          </rPr>
          <t>rodbl:</t>
        </r>
        <r>
          <rPr>
            <sz val="9"/>
            <color indexed="81"/>
            <rFont val="Tahoma"/>
            <family val="2"/>
          </rPr>
          <t xml:space="preserve">
Este resutaldo no es satisfactorio. En mi opinión, no es saludable establecer que hay una relación 1:1 entre PIB Panamá y TAGA con la escasa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rodbl</author>
  </authors>
  <commentList>
    <comment ref="K5" authorId="0" shapeId="0" xr:uid="{AA213BB3-5F3C-420D-BB5E-C4768EFA2956}">
      <text>
        <r>
          <rPr>
            <b/>
            <sz val="9"/>
            <color indexed="81"/>
            <rFont val="Tahoma"/>
            <family val="2"/>
          </rPr>
          <t>rodbl:</t>
        </r>
        <r>
          <rPr>
            <sz val="9"/>
            <color indexed="81"/>
            <rFont val="Tahoma"/>
            <family val="2"/>
          </rPr>
          <t xml:space="preserve">
Exceptuando Junio 2017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rodbl</author>
  </authors>
  <commentList>
    <comment ref="C5" authorId="0" shapeId="0" xr:uid="{7669CAF7-A012-4BEA-912E-7FC7C80705A8}">
      <text>
        <r>
          <rPr>
            <b/>
            <sz val="9"/>
            <color indexed="81"/>
            <rFont val="Tahoma"/>
            <family val="2"/>
          </rPr>
          <t>rodbl:</t>
        </r>
        <r>
          <rPr>
            <sz val="9"/>
            <color indexed="81"/>
            <rFont val="Tahoma"/>
            <family val="2"/>
          </rPr>
          <t xml:space="preserve">
Estas proporciones de las ventas son las observadas entre Ene - Jun 2017.</t>
        </r>
      </text>
    </comment>
  </commentList>
</comments>
</file>

<file path=xl/sharedStrings.xml><?xml version="1.0" encoding="utf-8"?>
<sst xmlns="http://schemas.openxmlformats.org/spreadsheetml/2006/main" count="1337" uniqueCount="652">
  <si>
    <t>Empresas Tagarópulos, S.A.</t>
  </si>
  <si>
    <t>Diciembre 2013 - Junio 2017</t>
  </si>
  <si>
    <t>Activos</t>
  </si>
  <si>
    <t>Activos Corrientes</t>
  </si>
  <si>
    <t>Efectivo y Depósitos en bancos</t>
  </si>
  <si>
    <t>Cuentas por Cobrar Comerciales y Otras Cuentas por Cobrar</t>
  </si>
  <si>
    <t>Inventarios</t>
  </si>
  <si>
    <t>Otros Activos</t>
  </si>
  <si>
    <t>Total Activos Corrientes</t>
  </si>
  <si>
    <t>Activos No Corrientes</t>
  </si>
  <si>
    <t>Propiedades, mobiliario, equipo y mejoras a la propiedad</t>
  </si>
  <si>
    <t>Total Activos No Corrientes</t>
  </si>
  <si>
    <t>Total de Activos</t>
  </si>
  <si>
    <t>Dic 2013</t>
  </si>
  <si>
    <t>Dic 2014</t>
  </si>
  <si>
    <t>Dic 2015</t>
  </si>
  <si>
    <t>Dic 2016</t>
  </si>
  <si>
    <t>Pasivos y Patrimonio</t>
  </si>
  <si>
    <t>Pasivos Corrientes</t>
  </si>
  <si>
    <t>Préstamos</t>
  </si>
  <si>
    <t>Obligaciones por Arrendamiento Financiero</t>
  </si>
  <si>
    <t>Valores Comerciales Negociables</t>
  </si>
  <si>
    <t>Cuentas por Pagar Comerciales y Otras Cuentas por Pagar</t>
  </si>
  <si>
    <t>Total Pasivos Corrientes</t>
  </si>
  <si>
    <t>Pasivos No Corrientes</t>
  </si>
  <si>
    <t>Préstamos Adeudados a Partes Relacionadas</t>
  </si>
  <si>
    <t>Pasivo por Impuesto Diferido</t>
  </si>
  <si>
    <t>Provisión para Prestaciones Comerciales</t>
  </si>
  <si>
    <t>Total de Pasivos no Corrientes</t>
  </si>
  <si>
    <t>Total de Pasivos</t>
  </si>
  <si>
    <t>Patrimonio</t>
  </si>
  <si>
    <t>Acciones Comunes</t>
  </si>
  <si>
    <t>Escisión de Subsidiarias</t>
  </si>
  <si>
    <t>Otro Resultado Integral</t>
  </si>
  <si>
    <t>Total de Patrimonio de los Accionistas de la Empresa</t>
  </si>
  <si>
    <t>Participación No Controladora</t>
  </si>
  <si>
    <t>Total de Patrimonio</t>
  </si>
  <si>
    <t>Total de Pasivos y Patrimonio</t>
  </si>
  <si>
    <t>Estado de Resultados</t>
  </si>
  <si>
    <t>Ingresos</t>
  </si>
  <si>
    <t>Ventas Netas</t>
  </si>
  <si>
    <t>Cambios en el Inventario de Mercancía</t>
  </si>
  <si>
    <t>Compra de Mercancía</t>
  </si>
  <si>
    <t>Gasto de Depreciación</t>
  </si>
  <si>
    <t>Gastos de Salarios y Beneficios a Empleados</t>
  </si>
  <si>
    <t>Costos Financieros</t>
  </si>
  <si>
    <t>Otros Gastos</t>
  </si>
  <si>
    <t>Utilidad Antes de Impuesto sobre la Renta</t>
  </si>
  <si>
    <t>Impuesto sobre la Renta</t>
  </si>
  <si>
    <t>Utilidad (pérdida) no distribuidas al final del año</t>
  </si>
  <si>
    <t>Propiedad de Inversión</t>
  </si>
  <si>
    <t>Impuesto sobre la Renta Diferido</t>
  </si>
  <si>
    <t>Préstamos por Pagar</t>
  </si>
  <si>
    <t>Utilidades No Distribuidas (déficit acumulado)</t>
  </si>
  <si>
    <t>Activo vs Pasivo + Capital</t>
  </si>
  <si>
    <t>Balance General (Pasivo y Patrimonio)</t>
  </si>
  <si>
    <t>Balance General (Activo)</t>
  </si>
  <si>
    <t>Bonos Emitidos (por pagar)</t>
  </si>
  <si>
    <t>Deuda Financiera</t>
  </si>
  <si>
    <t>Otros Pasivos Financieros (corriente)</t>
  </si>
  <si>
    <t>Préstamos que devengan intereses (no corriente)</t>
  </si>
  <si>
    <t>Préstamos que devengan intereses (corriente)</t>
  </si>
  <si>
    <t>TAGA0487500818R</t>
  </si>
  <si>
    <t>28/03/2018</t>
  </si>
  <si>
    <t>TAGA0475000318S</t>
  </si>
  <si>
    <t>TAGA0475000218Q</t>
  </si>
  <si>
    <t>TAGA0475000118P</t>
  </si>
  <si>
    <t>TAGA0350000118L</t>
  </si>
  <si>
    <t>26/12/2017</t>
  </si>
  <si>
    <t>TAGA0475001217O</t>
  </si>
  <si>
    <t>Serie</t>
  </si>
  <si>
    <t>Fecha</t>
  </si>
  <si>
    <t>Monto de la Serie</t>
  </si>
  <si>
    <t>Valores Comerciales Negociables (deuda corto plazo)</t>
  </si>
  <si>
    <t>Monto Total de la Emisión</t>
  </si>
  <si>
    <t>Emisión</t>
  </si>
  <si>
    <t>Vencimiento</t>
  </si>
  <si>
    <t> 08/08/2017</t>
  </si>
  <si>
    <t>29/09/2017</t>
  </si>
  <si>
    <t> 14/07/2017</t>
  </si>
  <si>
    <t>15/01/2017</t>
  </si>
  <si>
    <t>29/06/2017</t>
  </si>
  <si>
    <t>Tasa de Interés (cupón)</t>
  </si>
  <si>
    <t>Duración (dias)</t>
  </si>
  <si>
    <t>Bonos</t>
  </si>
  <si>
    <t>Arrendamiento Financiero (no corriente)</t>
  </si>
  <si>
    <t>Arrendamiento Financiero (corriente)</t>
  </si>
  <si>
    <t>Patrimonio Económico</t>
  </si>
  <si>
    <t>Acciones en Circulación</t>
  </si>
  <si>
    <t>Precio de la Acción (datos históricos de BVPA)</t>
  </si>
  <si>
    <t>Este precio es calculado a partir de la Capitalización Bursátil ($5,039,971.20) dividido entre la cantidad de acciones (3,733,312)</t>
  </si>
  <si>
    <t>Estructura de Capital</t>
  </si>
  <si>
    <t>Promedio</t>
  </si>
  <si>
    <t>B/V</t>
  </si>
  <si>
    <t>P/V</t>
  </si>
  <si>
    <t>B/P</t>
  </si>
  <si>
    <t>V</t>
  </si>
  <si>
    <t>Mediana</t>
  </si>
  <si>
    <t>Mínimo</t>
  </si>
  <si>
    <t>Máximo</t>
  </si>
  <si>
    <t>Desv Std</t>
  </si>
  <si>
    <t>B</t>
  </si>
  <si>
    <t>P</t>
  </si>
  <si>
    <t>Nitton, S.A.</t>
  </si>
  <si>
    <t>Atlantic Developers, Inc.</t>
  </si>
  <si>
    <t>Inmobiliaria Tagarópulos, S.A.</t>
  </si>
  <si>
    <t>Tagarópulos Industrial, S.A.</t>
  </si>
  <si>
    <t>Fundación Palo de Jacarandá</t>
  </si>
  <si>
    <t>Tasa</t>
  </si>
  <si>
    <t>Tonic Asset Corp.</t>
  </si>
  <si>
    <t>Newwater Holdings, Corp</t>
  </si>
  <si>
    <t>Total Deuda Parte Relacionada</t>
  </si>
  <si>
    <t>Deuda Parte Relacionada con Interés</t>
  </si>
  <si>
    <t>Total Deuda Parte Relacionada con Interés</t>
  </si>
  <si>
    <t>Deuda Financiera (Parte Relacionada)</t>
  </si>
  <si>
    <t>Deuda a Parte Relacionada (que devengan Interés)</t>
  </si>
  <si>
    <t>Junio 2017</t>
  </si>
  <si>
    <t>Deuda Bancaria</t>
  </si>
  <si>
    <t>Entidad Bancaria</t>
  </si>
  <si>
    <t>Monto</t>
  </si>
  <si>
    <t>BAC</t>
  </si>
  <si>
    <t>Multibank</t>
  </si>
  <si>
    <t>Banco General</t>
  </si>
  <si>
    <t>Total</t>
  </si>
  <si>
    <t>Ponderado</t>
  </si>
  <si>
    <t>Relación Financiera</t>
  </si>
  <si>
    <t>VCN</t>
  </si>
  <si>
    <t>Descripción</t>
  </si>
  <si>
    <t>Total Deuda</t>
  </si>
  <si>
    <t xml:space="preserve"> </t>
  </si>
  <si>
    <t>Tasa Ponderada</t>
  </si>
  <si>
    <t>Δ</t>
  </si>
  <si>
    <t>Ventas Netas TAGA</t>
  </si>
  <si>
    <t>CONTRALORÍA GENERAL DE LA REPÚBLICA - INSTITUTO NACIONAL DE ESTADÍSTICA Y CENSO</t>
  </si>
  <si>
    <t xml:space="preserve"> Cuadro 3. PRODUCTO INTERNO BRUTO A PRECIOS DE COMPRADOR EN LA REPÚBLICA, SEGÚN  CATEGORÍA                                                                                                                                            DE ACTIVIDAD ECONÓMICA, A PRECIOS CORRIENTES:  AÑOS 2013-16</t>
  </si>
  <si>
    <t>Categoría de Actividad Económica</t>
  </si>
  <si>
    <t>Producto interno bruto a precios de comprador</t>
  </si>
  <si>
    <t>(en millones de balboas)</t>
  </si>
  <si>
    <t xml:space="preserve">Producción de mercado </t>
  </si>
  <si>
    <t>A</t>
  </si>
  <si>
    <t>Agricultura, ganadería, caza y silvicultura</t>
  </si>
  <si>
    <t>Pesca</t>
  </si>
  <si>
    <t>C</t>
  </si>
  <si>
    <t>Explotación de minas y canteras</t>
  </si>
  <si>
    <t>D</t>
  </si>
  <si>
    <t>Industrias manufactureras</t>
  </si>
  <si>
    <t>E</t>
  </si>
  <si>
    <t>Suministro de electricidad, gas y agua</t>
  </si>
  <si>
    <t>F</t>
  </si>
  <si>
    <t>Construcción</t>
  </si>
  <si>
    <t>G</t>
  </si>
  <si>
    <t>Comercio al por mayor y al por menor</t>
  </si>
  <si>
    <t>H</t>
  </si>
  <si>
    <t>Hoteles y restaurantes</t>
  </si>
  <si>
    <t>I</t>
  </si>
  <si>
    <t>Transporte, almacenamiento y comunicaciones</t>
  </si>
  <si>
    <t>J</t>
  </si>
  <si>
    <t>Intermediación  financiera</t>
  </si>
  <si>
    <t>K</t>
  </si>
  <si>
    <t>Actividades inmobiliarias, empresariales y de alquiler</t>
  </si>
  <si>
    <t>M</t>
  </si>
  <si>
    <t>Enseñanza privada</t>
  </si>
  <si>
    <t>N</t>
  </si>
  <si>
    <t>Actividades de servicios sociales y de salud privada</t>
  </si>
  <si>
    <t>O</t>
  </si>
  <si>
    <t>Otras actividades comunitarias, sociales y personales de servicios</t>
  </si>
  <si>
    <t>Producción para uso final propio</t>
  </si>
  <si>
    <t>Actividades  inmobiliarias, empresariales y de alquiler</t>
  </si>
  <si>
    <t>Hogares privados con servicio doméstico</t>
  </si>
  <si>
    <t>Otra producción no de mercado</t>
  </si>
  <si>
    <t>L</t>
  </si>
  <si>
    <t>Administración pública y defensa; seguridad social de afiliación obligatoria</t>
  </si>
  <si>
    <t>Enseñanza</t>
  </si>
  <si>
    <t>Actividades de servicios sociales y de salud pública</t>
  </si>
  <si>
    <t xml:space="preserve">Otras actividades comunitarias, sociales y personalesde servicios </t>
  </si>
  <si>
    <t xml:space="preserve">                 Valor  Agregado Bruto, en valores básicos</t>
  </si>
  <si>
    <t>Ponderado del PIB</t>
  </si>
  <si>
    <t>PIB (Comercio)</t>
  </si>
  <si>
    <t>Correlación</t>
  </si>
  <si>
    <t>Variación Anual</t>
  </si>
  <si>
    <t>Análisis de Crecimiento en Ventas en función al PIB (Comercio al por mayor y por menor) de Panamá</t>
  </si>
  <si>
    <t>2013 a 2014</t>
  </si>
  <si>
    <t>2014 a 2015</t>
  </si>
  <si>
    <t>2015 a 2016</t>
  </si>
  <si>
    <t xml:space="preserve">Promedio del Ponderado </t>
  </si>
  <si>
    <t>PIB Total de Panamá</t>
  </si>
  <si>
    <t>Segmentos de Venta</t>
  </si>
  <si>
    <t>Panamá</t>
  </si>
  <si>
    <t>Provincias Centrales</t>
  </si>
  <si>
    <t>Colón</t>
  </si>
  <si>
    <t>Chiriquí</t>
  </si>
  <si>
    <t>Utilidad por Segmento</t>
  </si>
  <si>
    <t>Utilidad, expresado como porcentaje de Ventas</t>
  </si>
  <si>
    <t>Tabla de Supuestos</t>
  </si>
  <si>
    <t>Generación Anual de Ingresos (en miles)</t>
  </si>
  <si>
    <t>PIB Total de Panamá (en miles)</t>
  </si>
  <si>
    <t>Flujos de efectivo de las actividades de operación</t>
  </si>
  <si>
    <t>Utilidad (pérdida) neta</t>
  </si>
  <si>
    <t>Ajustes para conciliar de la utilidad (pérdida) neta con el efectivo neto (utilizado en) por las actividades de operación:</t>
  </si>
  <si>
    <t>Depreciación</t>
  </si>
  <si>
    <t>Deterioro reconocido en las cuentas por cobrar - comerciales</t>
  </si>
  <si>
    <t>Pérdida en venta y descarte de mobiliario y equipo</t>
  </si>
  <si>
    <t>Impuesto sobre la renta reconocidos en ganacias o pérdidas</t>
  </si>
  <si>
    <t>Deterioro de inventarios</t>
  </si>
  <si>
    <t>Costos financieros reconocidos en ganancias o pérdidas</t>
  </si>
  <si>
    <t>(Aumento) disminución en inventarios</t>
  </si>
  <si>
    <t>Disminución (aumento) en otros activos</t>
  </si>
  <si>
    <t>(Aumento) disminución en cuentas por pagar comerciales y otras</t>
  </si>
  <si>
    <t>(Aumento) disminución en cuentas por cobrar - comerciales y otras</t>
  </si>
  <si>
    <t>Cambios netos en activos y pasivos de operación:</t>
  </si>
  <si>
    <t>(Disminución) aumento en prestaciones laborales por pagar</t>
  </si>
  <si>
    <t>Pago de Intereses</t>
  </si>
  <si>
    <t>Efectivo netro provisto por las actividades de operación</t>
  </si>
  <si>
    <t>Flujos de efectivo de las actividades de inversión</t>
  </si>
  <si>
    <t>Producto de la venta de activo fijo</t>
  </si>
  <si>
    <t>Compra de propiedades, mobiliario, equipo y mejoras a la propiedad</t>
  </si>
  <si>
    <t>Efectivo utilizado en las actividades de inversión</t>
  </si>
  <si>
    <t>Flujos de efectivo de las actividades de financiamiento</t>
  </si>
  <si>
    <t>Producto de préstamos</t>
  </si>
  <si>
    <t>Pago de préstamos</t>
  </si>
  <si>
    <t>Aumento (disminución) préstamos a partes relacionadas</t>
  </si>
  <si>
    <t>Producto de arrendamientos financieros</t>
  </si>
  <si>
    <t>Pago de arrendamientos financieros</t>
  </si>
  <si>
    <t>Impuesto complementario</t>
  </si>
  <si>
    <t>(Disminución) aumento neto de efectivo y equivalentes de efectivo</t>
  </si>
  <si>
    <t>Efectivo y equivalentes de  efectivo al inicio del año</t>
  </si>
  <si>
    <t>Efectivo y equivalentes de  efectivo al final del año</t>
  </si>
  <si>
    <t>Estado de Flujos de Efectivo</t>
  </si>
  <si>
    <t>Efectivo netro provisto por las actividades de financiamiento</t>
  </si>
  <si>
    <t>2013 - 2014</t>
  </si>
  <si>
    <t>2014 - 2015</t>
  </si>
  <si>
    <t>2015 - 2016</t>
  </si>
  <si>
    <t>2016 - 2017</t>
  </si>
  <si>
    <t>Cambio en fectivo utilizado en las actividades de inversión</t>
  </si>
  <si>
    <t>Flete y almacenajes</t>
  </si>
  <si>
    <t>Alquileres</t>
  </si>
  <si>
    <t>Viajes</t>
  </si>
  <si>
    <t>Mercancía dañada</t>
  </si>
  <si>
    <t>Agua, luz y energía</t>
  </si>
  <si>
    <t>Combustible</t>
  </si>
  <si>
    <t>Seguridad</t>
  </si>
  <si>
    <t>Mantenimiento</t>
  </si>
  <si>
    <t>Faltante de inventario</t>
  </si>
  <si>
    <t>Útiles de oficina</t>
  </si>
  <si>
    <t>Provisión para cuentas malas</t>
  </si>
  <si>
    <t>Anuncios y propagandas</t>
  </si>
  <si>
    <t>Honorarios profesionales</t>
  </si>
  <si>
    <t>Telecomunicaciones</t>
  </si>
  <si>
    <t>Impuestos generales</t>
  </si>
  <si>
    <t>Misceláneos</t>
  </si>
  <si>
    <t>Partes y repuestos</t>
  </si>
  <si>
    <t>Aseo y limpieza</t>
  </si>
  <si>
    <t>Seguros</t>
  </si>
  <si>
    <t>Provisión para productos obsoletos</t>
  </si>
  <si>
    <t>Uniformes</t>
  </si>
  <si>
    <t>Amortización intangibles</t>
  </si>
  <si>
    <t>Gastos no deducibles</t>
  </si>
  <si>
    <t>Dietas</t>
  </si>
  <si>
    <t>Donaciones</t>
  </si>
  <si>
    <t>Análisis de Costos de Operación</t>
  </si>
  <si>
    <t>Costo de Venta</t>
  </si>
  <si>
    <t>Costo de Distribución</t>
  </si>
  <si>
    <t>Gasto de Administración</t>
  </si>
  <si>
    <t>Fletes y almacenajes</t>
  </si>
  <si>
    <t>Compra de mercancía</t>
  </si>
  <si>
    <t>Partes y Repuestos</t>
  </si>
  <si>
    <t>Faltantes en Inventario</t>
  </si>
  <si>
    <t>Gasto de Depreciación y Amortización</t>
  </si>
  <si>
    <t>Gasto Financiero</t>
  </si>
  <si>
    <t>Total Costo de Venta</t>
  </si>
  <si>
    <t>Total Costo de Distribución</t>
  </si>
  <si>
    <t>Total Gasto de Depreciación y Amortización</t>
  </si>
  <si>
    <t>Total Gasto Financiero</t>
  </si>
  <si>
    <t>Resumen Financiero</t>
  </si>
  <si>
    <t>Ventas o Ingresos Totales</t>
  </si>
  <si>
    <t>Margen Operativo</t>
  </si>
  <si>
    <t>Gastos Generales y Administrativos</t>
  </si>
  <si>
    <t>Utilidad o Pérdida Neta</t>
  </si>
  <si>
    <t>Acciones Emitidas y en Circulación</t>
  </si>
  <si>
    <t>Utilidad o Pérdida por Acción</t>
  </si>
  <si>
    <t>Depreciación y Amortización</t>
  </si>
  <si>
    <t>Balance General</t>
  </si>
  <si>
    <t>Activos Totales</t>
  </si>
  <si>
    <t>Deuda a Largo Plazo</t>
  </si>
  <si>
    <t>Capital Pagado</t>
  </si>
  <si>
    <t>Deficit Acumulado</t>
  </si>
  <si>
    <t>Patrimonio Total</t>
  </si>
  <si>
    <t>Capital de Trabajo</t>
  </si>
  <si>
    <t>Razón Corriente</t>
  </si>
  <si>
    <t>Otros Ingresos (comisiones)</t>
  </si>
  <si>
    <t>Cuentas No Operacionales (Gastos)</t>
  </si>
  <si>
    <t>Total Cuentas No Operacionales (Gastos)</t>
  </si>
  <si>
    <t>Tipo de Activo</t>
  </si>
  <si>
    <t>Operacional</t>
  </si>
  <si>
    <t>Caja Menuda</t>
  </si>
  <si>
    <t>Cuentas Corrientes</t>
  </si>
  <si>
    <t>Cuentas de Ahorro</t>
  </si>
  <si>
    <t>Depósito a Plazo Fijo</t>
  </si>
  <si>
    <t>Cuentas por Cobrar - comerciales</t>
  </si>
  <si>
    <t>Cuentas por Cobrar - comerciales parte relacionada</t>
  </si>
  <si>
    <t>Provisión para cuentas de cobros dudosos</t>
  </si>
  <si>
    <t>Provisión para notas de crédito</t>
  </si>
  <si>
    <t>Cuentas por Cobrar - empleados</t>
  </si>
  <si>
    <t>Cuentas por Cobrar - proveedores</t>
  </si>
  <si>
    <t>Pagos Anticipados</t>
  </si>
  <si>
    <t>Mercancía en Bodega</t>
  </si>
  <si>
    <t>Inventario en Tránsito</t>
  </si>
  <si>
    <t>Gastos pagados por anticipado</t>
  </si>
  <si>
    <t>Fondo de cesantía</t>
  </si>
  <si>
    <t>Depósitos en garantías y otros activos</t>
  </si>
  <si>
    <t>Activos Intangibles</t>
  </si>
  <si>
    <t>Inversiones disponibles para la venta</t>
  </si>
  <si>
    <t>Impuestos pagados por adelantado</t>
  </si>
  <si>
    <t>Registros Sanitarios</t>
  </si>
  <si>
    <t>Mejoras a la propiedad</t>
  </si>
  <si>
    <t>Mobiliario y equipo</t>
  </si>
  <si>
    <t>Equipo rodante</t>
  </si>
  <si>
    <t>Propiedades de inversión</t>
  </si>
  <si>
    <t>Impuesto sobre la renta diferido</t>
  </si>
  <si>
    <t>Clasificación de Activos</t>
  </si>
  <si>
    <t>Ventas  Netas</t>
  </si>
  <si>
    <t>Otros Ingresos</t>
  </si>
  <si>
    <t>Total Gasto de  Administración</t>
  </si>
  <si>
    <t>Total Ingresos</t>
  </si>
  <si>
    <t>Análisis de Costos de Operación II</t>
  </si>
  <si>
    <t>Ganancia Antes de Impuestos</t>
  </si>
  <si>
    <t>Ganancia (Pérdida)</t>
  </si>
  <si>
    <t>Tendencias</t>
  </si>
  <si>
    <t>REAL</t>
  </si>
  <si>
    <t>PROYECTADO</t>
  </si>
  <si>
    <t>Impuesto sobre la renta</t>
  </si>
  <si>
    <t>Total Gastos</t>
  </si>
  <si>
    <t>Utilidad antes de Impuestos</t>
  </si>
  <si>
    <t>Detalle de Otros Gastos</t>
  </si>
  <si>
    <t>Variación en Crecimiento</t>
  </si>
  <si>
    <t>EERR Proyectado (escenario real)</t>
  </si>
  <si>
    <t>Total Otros Gastos</t>
  </si>
  <si>
    <t>Ponderado sobre Ventas Totales</t>
  </si>
  <si>
    <t>EERR Proyectado</t>
  </si>
  <si>
    <t>Ingresos de actividades ordinarias</t>
  </si>
  <si>
    <t>Costo de ventas</t>
  </si>
  <si>
    <t>Ganancia bruta</t>
  </si>
  <si>
    <t>Otros ingresos</t>
  </si>
  <si>
    <t>Costos de distribución</t>
  </si>
  <si>
    <t>Gasto de administración</t>
  </si>
  <si>
    <t>Otras ganancias (pérdidas)</t>
  </si>
  <si>
    <t>Costos financieros</t>
  </si>
  <si>
    <t>Diferencias de cambio</t>
  </si>
  <si>
    <t>Resultados por unidades de reajuste</t>
  </si>
  <si>
    <t>Ganancia (pérdida), antes de impuestos</t>
  </si>
  <si>
    <t>Gasto por impuestos a las ganancias</t>
  </si>
  <si>
    <t>Ganancia (pérdida)</t>
  </si>
  <si>
    <t>Diciembre 2017 - Diciembre 2021</t>
  </si>
  <si>
    <t>EERR Ajustado</t>
  </si>
  <si>
    <t>Depreciacion + Amortización</t>
  </si>
  <si>
    <t>FCL Proyectado (IFRS)</t>
  </si>
  <si>
    <t>+</t>
  </si>
  <si>
    <t>-</t>
  </si>
  <si>
    <t>=</t>
  </si>
  <si>
    <t>Otros ingresos, por función</t>
  </si>
  <si>
    <t>Otros gastos, por función</t>
  </si>
  <si>
    <t>Ingresos financieros</t>
  </si>
  <si>
    <t>Participación en las ganancias (pérdidas)</t>
  </si>
  <si>
    <t>+/-</t>
  </si>
  <si>
    <t>Ganancia (o pérdida) Antes de Impuestos</t>
  </si>
  <si>
    <t xml:space="preserve">AJUSTES </t>
  </si>
  <si>
    <t>Depreciación de Activo Fijo</t>
  </si>
  <si>
    <t>Amortización de Activos Intangibles</t>
  </si>
  <si>
    <t>Otros ingresos, por función (después de Impuestos)</t>
  </si>
  <si>
    <t>Otros gastos, por función (después de Impuestos)</t>
  </si>
  <si>
    <t>Otras ganancias (pérdidas) (después de Impuestos)</t>
  </si>
  <si>
    <t>Ingresos financieros (después de Impuestos)</t>
  </si>
  <si>
    <t>Costos financieros (después de Impuestos)</t>
  </si>
  <si>
    <t xml:space="preserve">Participación en las ganancias (pérdidas) </t>
  </si>
  <si>
    <t>-/+</t>
  </si>
  <si>
    <t>FLUJO DE CAJA BRUTO PERMANENTE</t>
  </si>
  <si>
    <t>INVERSIONES</t>
  </si>
  <si>
    <t>Inversión en Reposición</t>
  </si>
  <si>
    <t>FLUJO DE CAJA LIBRE</t>
  </si>
  <si>
    <t>Inversiones</t>
  </si>
  <si>
    <t>Inversión en Reposición, histórico</t>
  </si>
  <si>
    <t>Inversión en Reposición (% depreciación y amortización)</t>
  </si>
  <si>
    <t>Inversión en Capital de Trabajo</t>
  </si>
  <si>
    <t>Inversión en Activo Fijo (% de ventas)</t>
  </si>
  <si>
    <t>Cuentas comerciales y otras cuentas corrientes por pagar</t>
  </si>
  <si>
    <t>Cuentas por pagar a entidades relacionadas, corrientes</t>
  </si>
  <si>
    <t>CTON</t>
  </si>
  <si>
    <t>RCTON</t>
  </si>
  <si>
    <t>RCTON en dias (360)</t>
  </si>
  <si>
    <t>Inversión en Capital de Trabajo (% de ventas)</t>
  </si>
  <si>
    <t xml:space="preserve">CTON Δ </t>
  </si>
  <si>
    <t>Costo Promedio Ponderado del Capital</t>
  </si>
  <si>
    <t>Kp TAGA =</t>
  </si>
  <si>
    <t>Kb TAGA =</t>
  </si>
  <si>
    <t>B/V =</t>
  </si>
  <si>
    <t>P/V =</t>
  </si>
  <si>
    <t>TAGA tc =</t>
  </si>
  <si>
    <t>Ko TAGA =</t>
  </si>
  <si>
    <t xml:space="preserve"> Kp TAGA x (P/V) + Kb TAGA x (1 - TAGA tc) x (B/V)</t>
  </si>
  <si>
    <t>FLUJO DE CAJA LIBRE + VALOR TERMINAL</t>
  </si>
  <si>
    <t>Valoración</t>
  </si>
  <si>
    <t>Valor de los Activos Operacionales</t>
  </si>
  <si>
    <t>Valor Total de los Activos</t>
  </si>
  <si>
    <t>Número de Acciones</t>
  </si>
  <si>
    <t>Activos Prescindibles</t>
  </si>
  <si>
    <t>Total Activos Prescindibles</t>
  </si>
  <si>
    <t>Activos Prescindibles (Balance General Junio 2017)</t>
  </si>
  <si>
    <t>Exceso (déficit) de Capital de Trabajo (Balance General Junio 2017)</t>
  </si>
  <si>
    <t>Deuda Financiera (Balance General Junio 2017)</t>
  </si>
  <si>
    <t>Inversión en Capital Físico (Activo Fijo)</t>
  </si>
  <si>
    <t>Como % de Ventas</t>
  </si>
  <si>
    <t>Fundación Panos y Maritza Kitras</t>
  </si>
  <si>
    <t>Efect S.A.</t>
  </si>
  <si>
    <t>Deuda Parte Relacionada con Interés (Bonos Privados)</t>
  </si>
  <si>
    <t>Bonos Privados</t>
  </si>
  <si>
    <t>Reducción en Inversión de Reposición</t>
  </si>
  <si>
    <t>Última Tasa de Inversión</t>
  </si>
  <si>
    <t>Tasa de Inversión Proyectada</t>
  </si>
  <si>
    <t>MIN</t>
  </si>
  <si>
    <t>BAC + Banco General</t>
  </si>
  <si>
    <t>Arrendamiento Financiero</t>
  </si>
  <si>
    <t>*Menos Sobregiros Bancarios</t>
  </si>
  <si>
    <t>*Los Sobregiros Bancarios están incluídos en Préstamos por Pagar (Balance General), pero no generan intereses.</t>
  </si>
  <si>
    <t>Beta de la Deuda</t>
  </si>
  <si>
    <t>Kb</t>
  </si>
  <si>
    <t>Rf</t>
  </si>
  <si>
    <t>PRM</t>
  </si>
  <si>
    <t>β Deuda TAGA =</t>
  </si>
  <si>
    <t>Beta Apalancado a Estructura de TAGA</t>
  </si>
  <si>
    <t>Debido a que TAGA no cuenta con información suficiente para calcular los datos necesarios que conforman el costo de capital, se ha adoptado un Beta patrimonial sin deuda desde la página web de Damodaran[1]. Se ha seleccionado el Beta sin deuda para la industria del Retail (General) el cual asciende a 0.80.</t>
  </si>
  <si>
    <t>β TAGA con Deuda =</t>
  </si>
  <si>
    <t>Costo de Patrimonio de TAGA</t>
  </si>
  <si>
    <t>PAN Rf =</t>
  </si>
  <si>
    <t>PAN PRM =</t>
  </si>
  <si>
    <t>Kp TAGA = PAN Rf + PAN PRM x β TAGA con Deuda</t>
  </si>
  <si>
    <t>TOTAL</t>
  </si>
  <si>
    <t>OPERACIONAL</t>
  </si>
  <si>
    <t>PRESCINDIBLE</t>
  </si>
  <si>
    <t>Prescindible</t>
  </si>
  <si>
    <t>Precio de la Acción (valoración)</t>
  </si>
  <si>
    <t>Diferencia Absoluta</t>
  </si>
  <si>
    <t>Precio de la Acción en Bolsa de Valores de Panamá (Junio 2017)</t>
  </si>
  <si>
    <t>Ganancia (pérdida) después de Depreciación + Amortización</t>
  </si>
  <si>
    <t>Gasto por impuestos a las ganancias (26%)</t>
  </si>
  <si>
    <t>Tasa de Reposición Proyectada</t>
  </si>
  <si>
    <t xml:space="preserve">Cálculo de Tasa de Reposición Proyectada </t>
  </si>
  <si>
    <t>Ventas</t>
  </si>
  <si>
    <t>Inversión en Activo Fijo Histórico</t>
  </si>
  <si>
    <t>Variación en Inversión de Activo Fijo</t>
  </si>
  <si>
    <t>Análisis de Activo Fijo</t>
  </si>
  <si>
    <t>Mejoras a la Propiedad</t>
  </si>
  <si>
    <t>Mobiliario y Equipo</t>
  </si>
  <si>
    <t>Equipo Rodante</t>
  </si>
  <si>
    <t>Valor en Libros</t>
  </si>
  <si>
    <t>Vida Útil (en años)</t>
  </si>
  <si>
    <t>N/A</t>
  </si>
  <si>
    <t>Total Activo Fijo</t>
  </si>
  <si>
    <t>Total Activo Fijo, menos Terreno</t>
  </si>
  <si>
    <t>Composición del Activo Fijo, sin considerar Terreno</t>
  </si>
  <si>
    <t>*Activo Fijo</t>
  </si>
  <si>
    <t>Variación en el valor(%)</t>
  </si>
  <si>
    <t>*Activo Fijo, sin considerar Terreno.</t>
  </si>
  <si>
    <t>Deudores comerciales y otras cuentas por cobrar corrientes (incluye partes relacionadas)</t>
  </si>
  <si>
    <t>Valor de Compra</t>
  </si>
  <si>
    <t>Terrenos (incluye plusvalía)</t>
  </si>
  <si>
    <t>*2014</t>
  </si>
  <si>
    <t>*En 2014 se transfirieron $5,265,000 a Propiedades de Inversión</t>
  </si>
  <si>
    <t>Valor de Avalúo</t>
  </si>
  <si>
    <t>Plusvalía</t>
  </si>
  <si>
    <t>*Plusvalía de Terreno</t>
  </si>
  <si>
    <t>Diferencia Porcentual (con respecto a precio de mercado)</t>
  </si>
  <si>
    <t>Proyección de CTON</t>
  </si>
  <si>
    <t>2017 - 2021</t>
  </si>
  <si>
    <t>CTON Δ (calculado como % de diferencia en ventas)</t>
  </si>
  <si>
    <t>Observado</t>
  </si>
  <si>
    <t>Proyectados</t>
  </si>
  <si>
    <t>Supuestos Expresados como tasas de crecimiento</t>
  </si>
  <si>
    <t>Supuestos basados en eficiencia histórica, expresados como % de Ventas.</t>
  </si>
  <si>
    <t>Supuestos expresados como % de Ventas.</t>
  </si>
  <si>
    <t>Supuesto basado en que no hay impuestos que pagar, porque hay pérdidas.</t>
  </si>
  <si>
    <t>Cada uno de estos supuestos se fundamenta en los cálculos encontrados en sus respectivas pestañas.</t>
  </si>
  <si>
    <t>Inversión en Reposición (%)</t>
  </si>
  <si>
    <t>Inversión en Activo Fijo (%)</t>
  </si>
  <si>
    <t>CTON Δ  (Exceso ó Déficit en Capital de Trabajo)</t>
  </si>
  <si>
    <t>Terrenos (valor de compra)</t>
  </si>
  <si>
    <t>Terrenos (plusvalía)</t>
  </si>
  <si>
    <t>Valor Total Terreno</t>
  </si>
  <si>
    <t>Los supuestos basados en eficiencia histórica, se refieren a que las respectivas cuentas, expresadas como % de Ventas, a través de los años tuvieron distinos niveles (porcentaje de venta). Dicho esto, en las cuentas que mi parecer podían ser sujetas a eficiencia, se tomó el valor mínimo en vez del promedio. El supuesto de "ser eficiente con los gastos" es razonable, consierando que la empresa lo logró en algún momento.</t>
  </si>
  <si>
    <t>Variación</t>
  </si>
  <si>
    <t>% del PIB</t>
  </si>
  <si>
    <t>Montos expresados en millones de dólares.</t>
  </si>
  <si>
    <t>Fuente: Contraloría de la República de Panamá y Estados Financieros de Empresas Tagarópulos, S.A.</t>
  </si>
  <si>
    <t>Beta de la Industria</t>
  </si>
  <si>
    <t>TAGA tc (tasa impositiva)</t>
  </si>
  <si>
    <t xml:space="preserve">TAGA B/P </t>
  </si>
  <si>
    <t>% Total</t>
  </si>
  <si>
    <t>% Ventas</t>
  </si>
  <si>
    <t>Δ Periodo</t>
  </si>
  <si>
    <t>Operacionales</t>
  </si>
  <si>
    <t>Total Activos No Operacionales</t>
  </si>
  <si>
    <t>Total Activos Operacionales</t>
  </si>
  <si>
    <t>No Operacionales</t>
  </si>
  <si>
    <t>Expresado como porcentaje de Ingresos Totales</t>
  </si>
  <si>
    <t>Resultado</t>
  </si>
  <si>
    <t>Pérdida</t>
  </si>
  <si>
    <t>Ganancia</t>
  </si>
  <si>
    <t>tasa impositiva</t>
  </si>
  <si>
    <t>2022  -  ∞</t>
  </si>
  <si>
    <t>Diferencia en Ventas, entre periodos</t>
  </si>
  <si>
    <t>2017 - 2018</t>
  </si>
  <si>
    <t>2018 - 2019</t>
  </si>
  <si>
    <t>2019 - 2020</t>
  </si>
  <si>
    <t>2020 - 2021</t>
  </si>
  <si>
    <t>Inversión en Capital de Trabajo (CTON Δ)</t>
  </si>
  <si>
    <t>Residual</t>
  </si>
  <si>
    <r>
      <t xml:space="preserve">2021 - </t>
    </r>
    <r>
      <rPr>
        <sz val="10"/>
        <color theme="1"/>
        <rFont val="Arial Black"/>
        <family val="2"/>
      </rPr>
      <t>∞</t>
    </r>
  </si>
  <si>
    <r>
      <t xml:space="preserve"> </t>
    </r>
    <r>
      <rPr>
        <sz val="10"/>
        <color theme="1"/>
        <rFont val="Arial Black"/>
        <family val="2"/>
      </rPr>
      <t>∞</t>
    </r>
  </si>
  <si>
    <t xml:space="preserve"> ∞
</t>
  </si>
  <si>
    <t>Inversión Total</t>
  </si>
  <si>
    <t>Supuestos de Inversión</t>
  </si>
  <si>
    <t>Aplicado a</t>
  </si>
  <si>
    <t>Ventas Totales</t>
  </si>
  <si>
    <t>Tipo de Inversión</t>
  </si>
  <si>
    <t>Reposicíon</t>
  </si>
  <si>
    <t>Activo Fijo</t>
  </si>
  <si>
    <t>Resumen Ejecutivo</t>
  </si>
  <si>
    <t>Metodología</t>
  </si>
  <si>
    <t>Descripción de la Empresa</t>
  </si>
  <si>
    <t>Reseña Histórica</t>
  </si>
  <si>
    <t>Fundamento Legal</t>
  </si>
  <si>
    <t>Actualidad</t>
  </si>
  <si>
    <t>Descripción del Negocio</t>
  </si>
  <si>
    <t>Competidores</t>
  </si>
  <si>
    <t>Descripción de la Industria</t>
  </si>
  <si>
    <t>Financiamiento</t>
  </si>
  <si>
    <t>Deuda a Parte Relacionada</t>
  </si>
  <si>
    <t>Sobre los Bonos a Parte Relacionada</t>
  </si>
  <si>
    <t>Descripción del Financiamiento</t>
  </si>
  <si>
    <t>Financiamiento via Bonos y otros instrumentos</t>
  </si>
  <si>
    <t>Estructura de Capital Objetivo</t>
  </si>
  <si>
    <t>Estimación del Costo de Capital de la Empresa</t>
  </si>
  <si>
    <t>Costo de la Deuda (Kb)</t>
  </si>
  <si>
    <t>Costo Patrimonial (Kp)</t>
  </si>
  <si>
    <t>Costo de Capital (Ko)</t>
  </si>
  <si>
    <t>Análisis Operacional</t>
  </si>
  <si>
    <t>Activos Corrientes y  No Corrientes</t>
  </si>
  <si>
    <t>Deuda y Patrimonio</t>
  </si>
  <si>
    <t>Ingresos, segmentos y compra de mercancías</t>
  </si>
  <si>
    <t>Costos Operacionales</t>
  </si>
  <si>
    <t>Cuentas No Operacionales</t>
  </si>
  <si>
    <t>Análisis de Activos</t>
  </si>
  <si>
    <t>Proyección de Estado de Resultados</t>
  </si>
  <si>
    <t>Explicación de Supuestos</t>
  </si>
  <si>
    <t>Resultados Negativos</t>
  </si>
  <si>
    <t>Estado de Resultado proyectado</t>
  </si>
  <si>
    <t>Proyección de Flujo Libre de Caja</t>
  </si>
  <si>
    <t>Estado de Resultado proyectado, ajustado</t>
  </si>
  <si>
    <t>Nuevas inversiones de Activo Fijo</t>
  </si>
  <si>
    <t>Proyección de Inversiones</t>
  </si>
  <si>
    <t>Flujo Libre de Caja proyectado</t>
  </si>
  <si>
    <t>Valoración Económica</t>
  </si>
  <si>
    <t>Movimiento de la acción, histórico</t>
  </si>
  <si>
    <t>Conclusiones</t>
  </si>
  <si>
    <t>Índice de Tablas y Gráficas</t>
  </si>
  <si>
    <t>Página</t>
  </si>
  <si>
    <t>PIB Panamá, Industria, Ventas TAGA</t>
  </si>
  <si>
    <t>Resumen del Financiamiento</t>
  </si>
  <si>
    <t>Valores Comerciales Negociables (VCN)</t>
  </si>
  <si>
    <t>Precio de la Acción vs Patrimonio Económico</t>
  </si>
  <si>
    <t>Costo de la Deuda</t>
  </si>
  <si>
    <t>Balance General, Activos (junio 2017)</t>
  </si>
  <si>
    <t>Balance General, Pasivos y Capital (junio 2017)</t>
  </si>
  <si>
    <t>Estado de Resultados (junio 2017)</t>
  </si>
  <si>
    <t>Ventas por Segmento (junio 2017)</t>
  </si>
  <si>
    <t>Otros Gastos (junio 2017)</t>
  </si>
  <si>
    <t>Costos Operativos</t>
  </si>
  <si>
    <t>Activos Operativos y No Operativos</t>
  </si>
  <si>
    <t>Explicación de Resultados Negativos (costos, gastos)</t>
  </si>
  <si>
    <t>30 - 31</t>
  </si>
  <si>
    <t>Estado de Resultados proyectado</t>
  </si>
  <si>
    <t>Estado de Resultados proyectado, ajustado</t>
  </si>
  <si>
    <t>Tasa de Reposición</t>
  </si>
  <si>
    <t>Flujos de Efectivo, Actividades de Inversión</t>
  </si>
  <si>
    <t>Tasa de Inversión en Activo Fijo</t>
  </si>
  <si>
    <t>Inversión en  Capital de Trabajo</t>
  </si>
  <si>
    <t>38 - 39</t>
  </si>
  <si>
    <t>Proyección CTON</t>
  </si>
  <si>
    <t>Inversión en CTON</t>
  </si>
  <si>
    <t>Inversiones Proyectadas</t>
  </si>
  <si>
    <t>Movimiento de la Acción</t>
  </si>
  <si>
    <t>Estados Financieros Empresas Tagarópulos, S.A. (año 2013)</t>
  </si>
  <si>
    <t>Estados Financieros Empresas Tagarópulos, S.A. (año 2014)</t>
  </si>
  <si>
    <t>Estados Financieros Empresas Tagarópulos, S.A. (año 2015)</t>
  </si>
  <si>
    <t>Estados Financieros Empresas Tagarópulos, S.A. (año 2016)</t>
  </si>
  <si>
    <t>Estados Financieros Empresas Tagarópulos, S.A. (30 de junio 2017)</t>
  </si>
  <si>
    <t>Banco Mundial en Panamá, Panorama General Octubre, 2017</t>
  </si>
  <si>
    <t>Información Contable</t>
  </si>
  <si>
    <t>Información de Mercado (doméstico e internacional)</t>
  </si>
  <si>
    <t>Contraloría General de la República de Panamá, PIB 2013 - 2016</t>
  </si>
  <si>
    <t>Aswath Damodaran, Stern School of Business, NYU</t>
  </si>
  <si>
    <t>Juan Gabriel González, Perspectivas Económicas para Panamá 2018 APC Buró, S.A., julio 2017</t>
  </si>
  <si>
    <t>Bolsa de Valores de Panamá</t>
  </si>
  <si>
    <t>Septiembre 2013 - Junio 2017</t>
  </si>
  <si>
    <t xml:space="preserve">Patrimonio </t>
  </si>
  <si>
    <t>B:</t>
  </si>
  <si>
    <t xml:space="preserve">P: </t>
  </si>
  <si>
    <t>V:</t>
  </si>
  <si>
    <t>Valor de la Empresa, Deuda + Patrimonio</t>
  </si>
  <si>
    <t>n/a</t>
  </si>
  <si>
    <t>Patrimonio / Acciones en Circulación</t>
  </si>
  <si>
    <t>Ratios Financieros</t>
  </si>
  <si>
    <t>Prueba Ácida</t>
  </si>
  <si>
    <t>Endeudamiento sobre la Inversión Total</t>
  </si>
  <si>
    <t>Dias de Rotación de Inventario</t>
  </si>
  <si>
    <t>Endeudamiento sobre Patrimonio Total</t>
  </si>
  <si>
    <t>Ratio</t>
  </si>
  <si>
    <t>Fórmula</t>
  </si>
  <si>
    <t>Gráficas</t>
  </si>
  <si>
    <t>365/((Compra de Mercancía / Inventarios))</t>
  </si>
  <si>
    <t>(Activo corriente) / Pasivo Corriente</t>
  </si>
  <si>
    <t xml:space="preserve">(Activo corriente - Inventario) / Pasivo Corriente </t>
  </si>
  <si>
    <t>(Pasivo Corriente + Pasivo Largo Plazo) / Activo Total</t>
  </si>
  <si>
    <t>(Pasivo Corriente + Pasivo no Corriente) / Patrimonio Neto</t>
  </si>
  <si>
    <t>Activo Corriente</t>
  </si>
  <si>
    <t>Pasivo Corriente</t>
  </si>
  <si>
    <t>Total Pasivo Corriente</t>
  </si>
  <si>
    <t>Total Pasivo No Corriente</t>
  </si>
  <si>
    <t>Ingresos Totales</t>
  </si>
  <si>
    <t>Premio por Liquidez =</t>
  </si>
  <si>
    <t>Kp TAGA + Premio por Liquidez =</t>
  </si>
  <si>
    <t>Sep. 2017</t>
  </si>
  <si>
    <t>Ene - Jun 2017</t>
  </si>
  <si>
    <t>Jul - Sep 2017</t>
  </si>
  <si>
    <t>Septiembre 2013 - Septiembre 2021</t>
  </si>
  <si>
    <t>Julio - Septiembre 2017</t>
  </si>
  <si>
    <t>Jun vs Sep 2017</t>
  </si>
  <si>
    <t>Jun - Sep 2017</t>
  </si>
  <si>
    <t>Sep 2017 - 2018</t>
  </si>
  <si>
    <t>CTON Δ  (Exceso en Capital de Trabajo) Entre Junio y Septiembre 2017</t>
  </si>
  <si>
    <t>Nota</t>
  </si>
  <si>
    <t>Jul a Sep 2017 - Sept 2021</t>
  </si>
  <si>
    <t>Jun. 2017</t>
  </si>
  <si>
    <t>Valor Presente</t>
  </si>
  <si>
    <t>Ko mensual =</t>
  </si>
  <si>
    <t>Ko trimestral =</t>
  </si>
  <si>
    <t>Factor de Descuento</t>
  </si>
  <si>
    <t>Periodo Proyectado</t>
  </si>
  <si>
    <t>2021  -  ∞</t>
  </si>
  <si>
    <t>VALOR TERMINAL (2022  -  ∞)</t>
  </si>
  <si>
    <t>Diferencia</t>
  </si>
  <si>
    <t>2017 completo</t>
  </si>
  <si>
    <t>a Jun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</si>
</sst>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quot;$&quot;#,##0.00"/>
    <numFmt numFmtId="165" formatCode="&quot;$&quot;#,##0"/>
    <numFmt numFmtId="166" formatCode="_(* #,##0_);_(* \(#,##0\);_(* &quot;-&quot;??_);_(@_)"/>
    <numFmt numFmtId="167" formatCode="#,##0.0"/>
    <numFmt numFmtId="168" formatCode="0.0"/>
    <numFmt numFmtId="169" formatCode="0.0%"/>
    <numFmt numFmtId="170" formatCode="0.000%"/>
    <numFmt numFmtId="171" formatCode="&quot;$&quot;#,##0.0"/>
    <numFmt numFmtId="172" formatCode="0.0000000000000000%"/>
    <numFmt numFmtId="173" formatCode="0.000"/>
    <numFmt numFmtId="174" formatCode="0.0000"/>
  </numFmts>
  <fonts count="57" x14ac:knownFonts="1">
    <font>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
      <sz val="10"/>
      <color theme="1"/>
      <name val="Calibri"/>
      <family val="2"/>
      <scheme val="minor"/>
    </font>
    <font>
      <b/>
      <sz val="13"/>
      <name val="Arial"/>
      <family val="2"/>
    </font>
    <font>
      <sz val="11"/>
      <name val="Arial"/>
      <family val="2"/>
    </font>
    <font>
      <b/>
      <sz val="11"/>
      <name val="Arial"/>
      <family val="2"/>
    </font>
    <font>
      <b/>
      <sz val="11"/>
      <color indexed="8"/>
      <name val="Arial"/>
      <family val="2"/>
    </font>
    <font>
      <sz val="11"/>
      <color indexed="8"/>
      <name val="Arial"/>
      <family val="2"/>
    </font>
    <font>
      <b/>
      <sz val="10"/>
      <color theme="1"/>
      <name val="Calibri"/>
      <family val="2"/>
      <scheme val="minor"/>
    </font>
    <font>
      <u/>
      <sz val="11"/>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8"/>
      <color theme="1"/>
      <name val="Calibri"/>
      <family val="2"/>
      <scheme val="minor"/>
    </font>
    <font>
      <i/>
      <sz val="9"/>
      <color theme="1"/>
      <name val="Calibri"/>
      <family val="2"/>
      <scheme val="minor"/>
    </font>
    <font>
      <b/>
      <sz val="9"/>
      <color theme="1"/>
      <name val="Calibri"/>
      <family val="2"/>
      <scheme val="minor"/>
    </font>
    <font>
      <sz val="10"/>
      <color rgb="FF000000"/>
      <name val="Calibri"/>
      <family val="2"/>
    </font>
    <font>
      <b/>
      <sz val="11"/>
      <color rgb="FF000000"/>
      <name val="Calibri"/>
      <family val="2"/>
    </font>
    <font>
      <sz val="11"/>
      <color rgb="FF000000"/>
      <name val="Calibri"/>
      <family val="2"/>
    </font>
    <font>
      <b/>
      <sz val="11"/>
      <color indexed="8"/>
      <name val="Calibri"/>
      <family val="2"/>
    </font>
    <font>
      <sz val="11"/>
      <color rgb="FF000000"/>
      <name val="Calibri"/>
      <family val="2"/>
      <scheme val="minor"/>
    </font>
    <font>
      <b/>
      <sz val="11"/>
      <color theme="0"/>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i/>
      <sz val="8"/>
      <color theme="4" tint="-0.249977111117893"/>
      <name val="Calibri"/>
      <family val="2"/>
      <scheme val="minor"/>
    </font>
    <font>
      <b/>
      <i/>
      <sz val="8"/>
      <color theme="4" tint="-0.249977111117893"/>
      <name val="Calibri"/>
      <family val="2"/>
      <scheme val="minor"/>
    </font>
    <font>
      <b/>
      <i/>
      <sz val="12"/>
      <color theme="1"/>
      <name val="Calibri"/>
      <family val="2"/>
      <scheme val="minor"/>
    </font>
    <font>
      <i/>
      <sz val="11"/>
      <color theme="4" tint="-0.249977111117893"/>
      <name val="Calibri"/>
      <family val="2"/>
      <scheme val="minor"/>
    </font>
    <font>
      <b/>
      <i/>
      <sz val="10"/>
      <color theme="1"/>
      <name val="Calibri"/>
      <family val="2"/>
      <scheme val="minor"/>
    </font>
    <font>
      <b/>
      <i/>
      <sz val="9"/>
      <color theme="1"/>
      <name val="Calibri"/>
      <family val="2"/>
      <scheme val="minor"/>
    </font>
    <font>
      <sz val="9"/>
      <color theme="1"/>
      <name val="Calibri"/>
      <family val="2"/>
      <scheme val="minor"/>
    </font>
    <font>
      <sz val="8"/>
      <color theme="1"/>
      <name val="Calibri"/>
      <family val="2"/>
      <scheme val="minor"/>
    </font>
    <font>
      <b/>
      <i/>
      <sz val="9"/>
      <color theme="4" tint="-0.249977111117893"/>
      <name val="Calibri"/>
      <family val="2"/>
      <scheme val="minor"/>
    </font>
    <font>
      <i/>
      <sz val="9"/>
      <color theme="4" tint="-0.249977111117893"/>
      <name val="Calibri"/>
      <family val="2"/>
      <scheme val="minor"/>
    </font>
    <font>
      <i/>
      <sz val="10"/>
      <color theme="1"/>
      <name val="Calibri"/>
      <family val="2"/>
      <scheme val="minor"/>
    </font>
    <font>
      <b/>
      <sz val="10"/>
      <color theme="0"/>
      <name val="Calibri"/>
      <family val="2"/>
      <scheme val="minor"/>
    </font>
    <font>
      <sz val="10"/>
      <color theme="0"/>
      <name val="Calibri"/>
      <family val="2"/>
      <scheme val="minor"/>
    </font>
    <font>
      <b/>
      <sz val="10"/>
      <color theme="9" tint="-0.499984740745262"/>
      <name val="Calibri"/>
      <family val="2"/>
      <scheme val="minor"/>
    </font>
    <font>
      <sz val="10"/>
      <color theme="9" tint="-0.499984740745262"/>
      <name val="Calibri"/>
      <family val="2"/>
      <scheme val="minor"/>
    </font>
    <font>
      <sz val="10"/>
      <color theme="1"/>
      <name val="Arial Black"/>
      <family val="2"/>
    </font>
    <font>
      <b/>
      <i/>
      <sz val="9"/>
      <color theme="0"/>
      <name val="Calibri"/>
      <family val="2"/>
      <scheme val="minor"/>
    </font>
    <font>
      <i/>
      <sz val="11"/>
      <color rgb="FF0070C0"/>
      <name val="Calibri"/>
      <family val="2"/>
      <scheme val="minor"/>
    </font>
    <font>
      <b/>
      <sz val="11"/>
      <color theme="1"/>
      <name val="Times New Roman"/>
      <family val="1"/>
    </font>
    <font>
      <sz val="11"/>
      <color theme="1"/>
      <name val="Times New Roman"/>
      <family val="1"/>
    </font>
    <font>
      <sz val="12"/>
      <color rgb="FF000000"/>
      <name val="Calibri"/>
      <family val="2"/>
      <scheme val="minor"/>
    </font>
    <font>
      <b/>
      <sz val="12"/>
      <color rgb="FF000000"/>
      <name val="Calibri"/>
      <family val="2"/>
      <scheme val="minor"/>
    </font>
    <font>
      <b/>
      <sz val="11"/>
      <color theme="1"/>
      <name val="Calibri Light"/>
      <family val="2"/>
      <scheme val="major"/>
    </font>
    <font>
      <sz val="11"/>
      <color theme="1"/>
      <name val="Calibri Light"/>
      <family val="2"/>
      <scheme val="major"/>
    </font>
    <font>
      <sz val="11"/>
      <color rgb="FF000000"/>
      <name val="Calibri Light"/>
      <family val="2"/>
      <scheme val="major"/>
    </font>
    <font>
      <b/>
      <sz val="9"/>
      <color theme="0"/>
      <name val="Calibri"/>
      <family val="2"/>
      <scheme val="minor"/>
    </font>
    <font>
      <sz val="9"/>
      <color theme="0"/>
      <name val="Calibri"/>
      <family val="2"/>
      <scheme val="minor"/>
    </font>
    <font>
      <sz val="11"/>
      <color rgb="FFFF0000"/>
      <name val="Calibri"/>
      <family val="2"/>
      <scheme val="minor"/>
    </font>
  </fonts>
  <fills count="25">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3" tint="0.39997558519241921"/>
        <bgColor indexed="64"/>
      </patternFill>
    </fill>
    <fill>
      <patternFill patternType="solid">
        <fgColor theme="1"/>
        <bgColor indexed="64"/>
      </patternFill>
    </fill>
    <fill>
      <patternFill patternType="solid">
        <fgColor theme="4" tint="-0.249977111117893"/>
        <bgColor indexed="64"/>
      </patternFill>
    </fill>
    <fill>
      <patternFill patternType="solid">
        <fgColor rgb="FF0070C0"/>
        <bgColor indexed="64"/>
      </patternFill>
    </fill>
    <fill>
      <patternFill patternType="solid">
        <fgColor theme="0" tint="-0.499984740745262"/>
        <bgColor indexed="64"/>
      </patternFill>
    </fill>
    <fill>
      <patternFill patternType="solid">
        <fgColor rgb="FFFF6699"/>
        <bgColor indexed="64"/>
      </patternFill>
    </fill>
  </fills>
  <borders count="52">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diagonal/>
    </border>
    <border>
      <left style="thin">
        <color indexed="8"/>
      </left>
      <right style="thin">
        <color indexed="64"/>
      </right>
      <top style="thin">
        <color indexed="8"/>
      </top>
      <bottom/>
      <diagonal/>
    </border>
    <border>
      <left/>
      <right style="thin">
        <color indexed="8"/>
      </right>
      <top/>
      <bottom/>
      <diagonal/>
    </border>
    <border>
      <left style="thin">
        <color indexed="8"/>
      </left>
      <right style="thin">
        <color indexed="64"/>
      </right>
      <top/>
      <bottom/>
      <diagonal/>
    </border>
    <border>
      <left/>
      <right style="thin">
        <color indexed="8"/>
      </right>
      <top/>
      <bottom style="thin">
        <color indexed="64"/>
      </bottom>
      <diagonal/>
    </border>
    <border>
      <left style="thin">
        <color indexed="8"/>
      </left>
      <right style="thin">
        <color indexed="64"/>
      </right>
      <top/>
      <bottom style="thin">
        <color indexed="64"/>
      </bottom>
      <diagonal/>
    </border>
    <border>
      <left style="thin">
        <color indexed="8"/>
      </left>
      <right/>
      <top/>
      <bottom style="thin">
        <color indexed="64"/>
      </bottom>
      <diagonal/>
    </border>
    <border>
      <left style="thin">
        <color indexed="8"/>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top/>
      <bottom/>
      <diagonal/>
    </border>
    <border>
      <left style="thin">
        <color indexed="8"/>
      </left>
      <right style="thin">
        <color indexed="8"/>
      </right>
      <top/>
      <bottom/>
      <diagonal/>
    </border>
    <border>
      <left style="thin">
        <color indexed="8"/>
      </left>
      <right style="thin">
        <color indexed="8"/>
      </right>
      <top/>
      <bottom style="thin">
        <color indexed="64"/>
      </bottom>
      <diagonal/>
    </border>
    <border>
      <left style="thin">
        <color indexed="64"/>
      </left>
      <right style="thin">
        <color indexed="8"/>
      </right>
      <top style="thin">
        <color indexed="64"/>
      </top>
      <bottom style="thin">
        <color indexed="64"/>
      </bottom>
      <diagonal/>
    </border>
    <border>
      <left style="thin">
        <color indexed="8"/>
      </left>
      <right style="thin">
        <color indexed="8"/>
      </right>
      <top style="thin">
        <color auto="1"/>
      </top>
      <bottom style="thin">
        <color auto="1"/>
      </bottom>
      <diagonal/>
    </border>
    <border>
      <left style="thin">
        <color indexed="8"/>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style="medium">
        <color indexed="64"/>
      </right>
      <top/>
      <bottom style="thin">
        <color indexed="64"/>
      </bottom>
      <diagonal/>
    </border>
    <border>
      <left style="medium">
        <color indexed="64"/>
      </left>
      <right style="thin">
        <color rgb="FF000000"/>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medium">
        <color indexed="64"/>
      </top>
      <bottom style="medium">
        <color indexed="64"/>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cellStyleXfs>
  <cellXfs count="815">
    <xf numFmtId="0" fontId="0" fillId="0" borderId="0" xfId="0"/>
    <xf numFmtId="0" fontId="1" fillId="0" borderId="0" xfId="0" applyFont="1"/>
    <xf numFmtId="0" fontId="1" fillId="0" borderId="0" xfId="0" applyFont="1" applyAlignment="1">
      <alignment horizontal="center"/>
    </xf>
    <xf numFmtId="17" fontId="1" fillId="0" borderId="0" xfId="0" applyNumberFormat="1" applyFont="1" applyAlignment="1">
      <alignment horizontal="center"/>
    </xf>
    <xf numFmtId="0" fontId="0" fillId="0" borderId="0" xfId="0" applyFont="1"/>
    <xf numFmtId="0" fontId="3" fillId="0" borderId="0" xfId="0" applyFont="1"/>
    <xf numFmtId="0" fontId="4" fillId="0" borderId="0" xfId="0" applyFont="1"/>
    <xf numFmtId="0" fontId="3" fillId="0" borderId="0" xfId="0" applyFont="1" applyAlignment="1">
      <alignment horizontal="center"/>
    </xf>
    <xf numFmtId="17" fontId="3" fillId="0" borderId="0" xfId="0" applyNumberFormat="1" applyFont="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165" fontId="0" fillId="0" borderId="0" xfId="0" applyNumberFormat="1"/>
    <xf numFmtId="165" fontId="0" fillId="0" borderId="1" xfId="0" applyNumberFormat="1" applyBorder="1" applyAlignment="1">
      <alignment horizontal="center"/>
    </xf>
    <xf numFmtId="0" fontId="1" fillId="0" borderId="2" xfId="0" applyFont="1" applyBorder="1"/>
    <xf numFmtId="165" fontId="0" fillId="0" borderId="2" xfId="0" applyNumberFormat="1" applyBorder="1" applyAlignment="1">
      <alignment horizontal="center"/>
    </xf>
    <xf numFmtId="165" fontId="4" fillId="0" borderId="0" xfId="0" applyNumberFormat="1" applyFont="1" applyAlignment="1">
      <alignment horizontal="center"/>
    </xf>
    <xf numFmtId="165" fontId="4" fillId="0" borderId="1" xfId="0" applyNumberFormat="1" applyFont="1" applyBorder="1" applyAlignment="1">
      <alignment horizontal="center"/>
    </xf>
    <xf numFmtId="0" fontId="3" fillId="0" borderId="2" xfId="0" applyFont="1" applyBorder="1"/>
    <xf numFmtId="165" fontId="4" fillId="0" borderId="2" xfId="0" applyNumberFormat="1" applyFont="1" applyBorder="1" applyAlignment="1">
      <alignment horizontal="center"/>
    </xf>
    <xf numFmtId="0" fontId="0" fillId="0" borderId="0" xfId="0" applyFont="1" applyAlignment="1">
      <alignment horizontal="left" indent="1"/>
    </xf>
    <xf numFmtId="165" fontId="0" fillId="0" borderId="0" xfId="0" applyNumberFormat="1" applyAlignment="1">
      <alignment horizontal="center" vertical="center"/>
    </xf>
    <xf numFmtId="165" fontId="0" fillId="0" borderId="1" xfId="0" applyNumberFormat="1" applyBorder="1" applyAlignment="1">
      <alignment horizontal="center" vertical="center"/>
    </xf>
    <xf numFmtId="165" fontId="0" fillId="0" borderId="2" xfId="0" applyNumberFormat="1" applyBorder="1" applyAlignment="1">
      <alignment horizontal="center" vertical="center"/>
    </xf>
    <xf numFmtId="165" fontId="0" fillId="0" borderId="0" xfId="0" applyNumberFormat="1" applyBorder="1" applyAlignment="1">
      <alignment horizontal="center" vertical="center"/>
    </xf>
    <xf numFmtId="0" fontId="5" fillId="0" borderId="0" xfId="0" applyFont="1" applyAlignment="1">
      <alignment horizontal="right"/>
    </xf>
    <xf numFmtId="165" fontId="5" fillId="0" borderId="0" xfId="0" applyNumberFormat="1" applyFont="1" applyAlignment="1">
      <alignment horizontal="center"/>
    </xf>
    <xf numFmtId="0" fontId="3" fillId="0" borderId="2" xfId="0" applyFont="1" applyBorder="1" applyAlignment="1">
      <alignment horizontal="right"/>
    </xf>
    <xf numFmtId="0" fontId="0" fillId="0" borderId="0" xfId="0"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0" xfId="0" applyFont="1" applyFill="1"/>
    <xf numFmtId="165" fontId="0" fillId="0" borderId="0" xfId="0" applyNumberFormat="1" applyFont="1" applyFill="1" applyAlignment="1">
      <alignment horizontal="center"/>
    </xf>
    <xf numFmtId="165" fontId="0" fillId="0" borderId="0" xfId="0" applyNumberFormat="1" applyFont="1" applyFill="1" applyBorder="1" applyAlignment="1">
      <alignment horizontal="center"/>
    </xf>
    <xf numFmtId="165" fontId="1" fillId="0" borderId="2" xfId="0" applyNumberFormat="1" applyFont="1" applyBorder="1" applyAlignment="1">
      <alignment horizontal="center"/>
    </xf>
    <xf numFmtId="14" fontId="0" fillId="0" borderId="5" xfId="0" applyNumberFormat="1" applyFont="1" applyBorder="1" applyAlignment="1">
      <alignment horizontal="center" vertical="center" wrapText="1"/>
    </xf>
    <xf numFmtId="14" fontId="0" fillId="0" borderId="6" xfId="0" applyNumberFormat="1" applyFont="1" applyBorder="1" applyAlignment="1">
      <alignment horizontal="center" vertical="center" wrapText="1"/>
    </xf>
    <xf numFmtId="0" fontId="0" fillId="0" borderId="5" xfId="0" applyFont="1" applyBorder="1" applyAlignment="1">
      <alignment horizontal="center" vertical="center" wrapText="1"/>
    </xf>
    <xf numFmtId="0" fontId="0" fillId="0" borderId="6" xfId="0" applyFont="1" applyBorder="1" applyAlignment="1">
      <alignment horizontal="center" vertical="center" wrapText="1"/>
    </xf>
    <xf numFmtId="0" fontId="0" fillId="0" borderId="8" xfId="0" applyFont="1" applyBorder="1" applyAlignment="1">
      <alignment horizontal="center" vertical="center" wrapText="1"/>
    </xf>
    <xf numFmtId="0" fontId="1" fillId="0" borderId="9" xfId="0" applyFont="1" applyBorder="1"/>
    <xf numFmtId="0" fontId="1" fillId="0" borderId="9" xfId="0" applyFont="1" applyBorder="1" applyAlignment="1">
      <alignment horizontal="center"/>
    </xf>
    <xf numFmtId="0" fontId="1" fillId="0" borderId="10" xfId="0" applyFont="1" applyBorder="1" applyAlignment="1">
      <alignment horizontal="center"/>
    </xf>
    <xf numFmtId="0" fontId="1" fillId="0" borderId="10" xfId="0" applyFont="1" applyBorder="1"/>
    <xf numFmtId="14" fontId="0" fillId="0" borderId="7" xfId="0" applyNumberFormat="1" applyFont="1" applyBorder="1" applyAlignment="1">
      <alignment horizontal="center" vertical="center" wrapText="1"/>
    </xf>
    <xf numFmtId="10" fontId="0" fillId="0" borderId="0" xfId="0" applyNumberFormat="1" applyFont="1" applyFill="1" applyAlignment="1">
      <alignment horizontal="center"/>
    </xf>
    <xf numFmtId="10" fontId="0" fillId="0" borderId="0" xfId="0" applyNumberFormat="1" applyFont="1" applyFill="1" applyBorder="1" applyAlignment="1">
      <alignment horizontal="center"/>
    </xf>
    <xf numFmtId="0" fontId="0" fillId="0" borderId="5" xfId="0" applyNumberFormat="1" applyFont="1" applyBorder="1" applyAlignment="1">
      <alignment horizontal="center" vertical="center" wrapText="1"/>
    </xf>
    <xf numFmtId="0" fontId="0" fillId="0" borderId="7" xfId="0" applyNumberFormat="1" applyFont="1" applyBorder="1" applyAlignment="1">
      <alignment horizontal="center" vertical="center" wrapText="1"/>
    </xf>
    <xf numFmtId="0" fontId="1" fillId="0" borderId="0" xfId="0" applyFont="1" applyAlignment="1">
      <alignment horizontal="right"/>
    </xf>
    <xf numFmtId="166" fontId="0" fillId="0" borderId="0" xfId="1" applyNumberFormat="1" applyFont="1" applyAlignment="1">
      <alignment horizontal="center"/>
    </xf>
    <xf numFmtId="166" fontId="0" fillId="0" borderId="0" xfId="1" applyNumberFormat="1" applyFont="1" applyAlignment="1"/>
    <xf numFmtId="165" fontId="0" fillId="0" borderId="0" xfId="1" applyNumberFormat="1" applyFont="1" applyAlignment="1">
      <alignment horizontal="center"/>
    </xf>
    <xf numFmtId="0" fontId="1" fillId="0" borderId="9" xfId="0" applyFont="1" applyBorder="1" applyAlignment="1">
      <alignment horizontal="right"/>
    </xf>
    <xf numFmtId="164" fontId="0" fillId="0" borderId="10" xfId="0" applyNumberFormat="1" applyBorder="1" applyAlignment="1">
      <alignment horizontal="center"/>
    </xf>
    <xf numFmtId="165" fontId="0" fillId="0" borderId="0" xfId="0" applyNumberFormat="1" applyFont="1" applyAlignment="1">
      <alignment horizontal="center"/>
    </xf>
    <xf numFmtId="2" fontId="6" fillId="0" borderId="0" xfId="0" applyNumberFormat="1" applyFont="1" applyBorder="1" applyAlignment="1">
      <alignment horizontal="center"/>
    </xf>
    <xf numFmtId="165" fontId="0" fillId="0" borderId="5" xfId="0" applyNumberFormat="1" applyFont="1" applyBorder="1" applyAlignment="1">
      <alignment horizontal="center"/>
    </xf>
    <xf numFmtId="165" fontId="0" fillId="0" borderId="0" xfId="0" applyNumberFormat="1" applyFont="1" applyBorder="1" applyAlignment="1">
      <alignment horizontal="center"/>
    </xf>
    <xf numFmtId="165" fontId="0" fillId="0" borderId="6" xfId="0" applyNumberFormat="1" applyFont="1" applyBorder="1" applyAlignment="1">
      <alignment horizontal="center"/>
    </xf>
    <xf numFmtId="2" fontId="6" fillId="0" borderId="5" xfId="0" applyNumberFormat="1" applyFont="1" applyBorder="1" applyAlignment="1">
      <alignment horizontal="center"/>
    </xf>
    <xf numFmtId="0" fontId="3" fillId="0" borderId="9" xfId="0" applyFont="1" applyBorder="1" applyAlignment="1">
      <alignment horizontal="center"/>
    </xf>
    <xf numFmtId="165" fontId="0" fillId="0" borderId="3" xfId="0" applyNumberFormat="1" applyFont="1" applyBorder="1" applyAlignment="1">
      <alignment horizontal="center"/>
    </xf>
    <xf numFmtId="165" fontId="0" fillId="0" borderId="11" xfId="0" applyNumberFormat="1" applyFont="1" applyBorder="1" applyAlignment="1">
      <alignment horizontal="center"/>
    </xf>
    <xf numFmtId="165" fontId="0" fillId="0" borderId="4" xfId="0" applyNumberFormat="1" applyFont="1" applyBorder="1" applyAlignment="1">
      <alignment horizontal="center"/>
    </xf>
    <xf numFmtId="2" fontId="0" fillId="0" borderId="5" xfId="0" applyNumberFormat="1" applyFont="1" applyBorder="1" applyAlignment="1">
      <alignment horizontal="center"/>
    </xf>
    <xf numFmtId="2" fontId="0" fillId="0" borderId="0" xfId="0" applyNumberFormat="1" applyFont="1" applyBorder="1" applyAlignment="1">
      <alignment horizontal="center"/>
    </xf>
    <xf numFmtId="2" fontId="0" fillId="0" borderId="6" xfId="0" applyNumberFormat="1" applyFont="1" applyBorder="1" applyAlignment="1">
      <alignment horizontal="center"/>
    </xf>
    <xf numFmtId="9" fontId="3" fillId="0" borderId="0" xfId="0" applyNumberFormat="1" applyFont="1"/>
    <xf numFmtId="165" fontId="0" fillId="0" borderId="0" xfId="0" applyNumberFormat="1" applyBorder="1" applyAlignment="1">
      <alignment horizontal="center"/>
    </xf>
    <xf numFmtId="165" fontId="0" fillId="0" borderId="10" xfId="0" applyNumberFormat="1" applyBorder="1" applyAlignment="1">
      <alignment horizontal="center"/>
    </xf>
    <xf numFmtId="9" fontId="0" fillId="0" borderId="0" xfId="2" applyFont="1" applyBorder="1" applyAlignment="1">
      <alignment horizontal="center" vertical="center"/>
    </xf>
    <xf numFmtId="9" fontId="0" fillId="0" borderId="0" xfId="2" applyFont="1" applyAlignment="1">
      <alignment horizontal="center"/>
    </xf>
    <xf numFmtId="10" fontId="0" fillId="0" borderId="0" xfId="2" applyNumberFormat="1" applyFont="1" applyAlignment="1">
      <alignment horizontal="center"/>
    </xf>
    <xf numFmtId="165" fontId="1" fillId="0" borderId="0" xfId="0" applyNumberFormat="1" applyFont="1"/>
    <xf numFmtId="0" fontId="1" fillId="0" borderId="12" xfId="0" applyFont="1" applyBorder="1" applyAlignment="1">
      <alignment horizontal="center"/>
    </xf>
    <xf numFmtId="10" fontId="0" fillId="0" borderId="13" xfId="0" applyNumberFormat="1" applyBorder="1" applyAlignment="1">
      <alignment horizontal="center"/>
    </xf>
    <xf numFmtId="9" fontId="0" fillId="2" borderId="0" xfId="2" applyFont="1" applyFill="1" applyAlignment="1">
      <alignment horizontal="center" vertical="center"/>
    </xf>
    <xf numFmtId="0" fontId="7" fillId="3" borderId="0" xfId="0" applyFont="1" applyFill="1" applyAlignment="1">
      <alignment horizontal="centerContinuous" vertical="center" wrapText="1"/>
    </xf>
    <xf numFmtId="0" fontId="8" fillId="3" borderId="0" xfId="0" quotePrefix="1" applyFont="1" applyFill="1" applyAlignment="1" applyProtection="1">
      <alignment horizontal="center" vertical="center" wrapText="1"/>
    </xf>
    <xf numFmtId="0" fontId="9" fillId="3" borderId="0" xfId="0" quotePrefix="1" applyFont="1" applyFill="1" applyAlignment="1" applyProtection="1">
      <alignment horizontal="center" vertical="center" wrapText="1"/>
    </xf>
    <xf numFmtId="0" fontId="8" fillId="3" borderId="0" xfId="0" quotePrefix="1" applyFont="1" applyFill="1" applyAlignment="1" applyProtection="1">
      <alignment vertical="center"/>
    </xf>
    <xf numFmtId="0" fontId="8" fillId="3" borderId="0" xfId="0" applyFont="1" applyFill="1" applyBorder="1" applyAlignment="1" applyProtection="1">
      <alignment vertical="center" wrapText="1"/>
    </xf>
    <xf numFmtId="0" fontId="10" fillId="5" borderId="21" xfId="0" applyFont="1" applyFill="1" applyBorder="1" applyAlignment="1" applyProtection="1">
      <alignment horizontal="center" vertical="center"/>
    </xf>
    <xf numFmtId="0" fontId="10" fillId="2" borderId="21" xfId="0" applyFont="1" applyFill="1" applyBorder="1" applyAlignment="1" applyProtection="1">
      <alignment horizontal="center" vertical="center"/>
    </xf>
    <xf numFmtId="0" fontId="10" fillId="5" borderId="22" xfId="0" applyFont="1" applyFill="1" applyBorder="1" applyAlignment="1" applyProtection="1">
      <alignment horizontal="center" vertical="center"/>
    </xf>
    <xf numFmtId="0" fontId="10" fillId="2" borderId="23" xfId="0" applyFont="1" applyFill="1" applyBorder="1" applyAlignment="1" applyProtection="1">
      <alignment horizontal="center" vertical="center"/>
    </xf>
    <xf numFmtId="0" fontId="10" fillId="5" borderId="9" xfId="0" applyNumberFormat="1" applyFont="1" applyFill="1" applyBorder="1" applyAlignment="1" applyProtection="1">
      <alignment horizontal="center" vertical="center"/>
    </xf>
    <xf numFmtId="0" fontId="8" fillId="3" borderId="0" xfId="0" applyFont="1" applyFill="1" applyAlignment="1">
      <alignment horizontal="centerContinuous" vertical="center" wrapText="1"/>
    </xf>
    <xf numFmtId="0" fontId="8" fillId="3" borderId="0" xfId="0" applyFont="1" applyFill="1" applyAlignment="1">
      <alignment vertical="center"/>
    </xf>
    <xf numFmtId="0" fontId="8" fillId="3" borderId="0" xfId="0" applyFont="1" applyFill="1" applyAlignment="1">
      <alignment horizontal="center" vertical="center" wrapText="1"/>
    </xf>
    <xf numFmtId="0" fontId="9" fillId="3" borderId="0" xfId="0" applyFont="1" applyFill="1" applyAlignment="1">
      <alignment horizontal="centerContinuous" vertical="center" wrapText="1"/>
    </xf>
    <xf numFmtId="0" fontId="8" fillId="3" borderId="0" xfId="0" applyFont="1" applyFill="1" applyBorder="1" applyAlignment="1">
      <alignment vertical="center"/>
    </xf>
    <xf numFmtId="0" fontId="9" fillId="4" borderId="16" xfId="0" applyFont="1" applyFill="1" applyBorder="1" applyAlignment="1">
      <alignment horizontal="centerContinuous" vertical="center" wrapText="1"/>
    </xf>
    <xf numFmtId="0" fontId="9" fillId="4" borderId="18" xfId="0" applyFont="1" applyFill="1" applyBorder="1" applyAlignment="1">
      <alignment horizontal="center" vertical="center" wrapText="1"/>
    </xf>
    <xf numFmtId="0" fontId="9" fillId="4" borderId="20" xfId="0" applyFont="1" applyFill="1" applyBorder="1" applyAlignment="1">
      <alignment horizontal="centerContinuous" vertical="center" wrapText="1"/>
    </xf>
    <xf numFmtId="0" fontId="8" fillId="3" borderId="17" xfId="0" applyFont="1" applyFill="1" applyBorder="1" applyAlignment="1" applyProtection="1">
      <alignment vertical="center"/>
    </xf>
    <xf numFmtId="0" fontId="8" fillId="5" borderId="24" xfId="0" applyFont="1" applyFill="1" applyBorder="1" applyAlignment="1">
      <alignment horizontal="center" vertical="center"/>
    </xf>
    <xf numFmtId="0" fontId="8" fillId="2" borderId="24" xfId="0" applyFont="1" applyFill="1" applyBorder="1" applyAlignment="1">
      <alignment horizontal="center" vertical="center"/>
    </xf>
    <xf numFmtId="0" fontId="8" fillId="2" borderId="12" xfId="0" applyFont="1" applyFill="1" applyBorder="1" applyAlignment="1">
      <alignment horizontal="center" vertical="center"/>
    </xf>
    <xf numFmtId="0" fontId="8" fillId="5" borderId="5" xfId="0" applyFont="1" applyFill="1" applyBorder="1" applyAlignment="1">
      <alignment horizontal="center" vertical="center"/>
    </xf>
    <xf numFmtId="0" fontId="8" fillId="3" borderId="17" xfId="0" applyFont="1" applyFill="1" applyBorder="1" applyAlignment="1">
      <alignment horizontal="centerContinuous" vertical="center"/>
    </xf>
    <xf numFmtId="167" fontId="11" fillId="5" borderId="25" xfId="0" applyNumberFormat="1" applyFont="1" applyFill="1" applyBorder="1" applyAlignment="1" applyProtection="1">
      <alignment horizontal="center" vertical="center"/>
    </xf>
    <xf numFmtId="10" fontId="11" fillId="2" borderId="25" xfId="2" applyNumberFormat="1" applyFont="1" applyFill="1" applyBorder="1" applyAlignment="1" applyProtection="1">
      <alignment horizontal="center" vertical="center"/>
    </xf>
    <xf numFmtId="167" fontId="11" fillId="5" borderId="24" xfId="0" applyNumberFormat="1" applyFont="1" applyFill="1" applyBorder="1" applyAlignment="1" applyProtection="1">
      <alignment horizontal="center" vertical="center"/>
    </xf>
    <xf numFmtId="168" fontId="8" fillId="3" borderId="0" xfId="0" applyNumberFormat="1" applyFont="1" applyFill="1" applyAlignment="1">
      <alignment vertical="center"/>
    </xf>
    <xf numFmtId="43" fontId="8" fillId="3" borderId="0" xfId="1" applyFont="1" applyFill="1" applyAlignment="1">
      <alignment vertical="center"/>
    </xf>
    <xf numFmtId="0" fontId="8" fillId="3" borderId="19" xfId="0" applyFont="1" applyFill="1" applyBorder="1" applyAlignment="1">
      <alignment horizontal="centerContinuous" vertical="center"/>
    </xf>
    <xf numFmtId="0" fontId="8" fillId="3" borderId="21" xfId="0" applyFont="1" applyFill="1" applyBorder="1" applyAlignment="1">
      <alignment vertical="center" wrapText="1"/>
    </xf>
    <xf numFmtId="167" fontId="11" fillId="5" borderId="26" xfId="0" applyNumberFormat="1" applyFont="1" applyFill="1" applyBorder="1" applyAlignment="1" applyProtection="1">
      <alignment horizontal="center" vertical="center"/>
    </xf>
    <xf numFmtId="167" fontId="11" fillId="5" borderId="20" xfId="0" applyNumberFormat="1" applyFont="1" applyFill="1" applyBorder="1" applyAlignment="1" applyProtection="1">
      <alignment horizontal="center" vertical="center"/>
    </xf>
    <xf numFmtId="167" fontId="11" fillId="5" borderId="21" xfId="0" applyNumberFormat="1" applyFont="1" applyFill="1" applyBorder="1" applyAlignment="1" applyProtection="1">
      <alignment horizontal="center" vertical="center"/>
    </xf>
    <xf numFmtId="0" fontId="8" fillId="3" borderId="0" xfId="0" applyFont="1" applyFill="1" applyBorder="1" applyAlignment="1">
      <alignment horizontal="centerContinuous" vertical="center"/>
    </xf>
    <xf numFmtId="0" fontId="8" fillId="3" borderId="5" xfId="0" applyFont="1" applyFill="1" applyBorder="1" applyAlignment="1">
      <alignment vertical="center"/>
    </xf>
    <xf numFmtId="0" fontId="8" fillId="3" borderId="1" xfId="0" applyFont="1" applyFill="1" applyBorder="1" applyAlignment="1">
      <alignment horizontal="centerContinuous" vertical="center"/>
    </xf>
    <xf numFmtId="0" fontId="8" fillId="3" borderId="7" xfId="0" applyFont="1" applyFill="1" applyBorder="1" applyAlignment="1">
      <alignment vertical="center"/>
    </xf>
    <xf numFmtId="0" fontId="9" fillId="3" borderId="0" xfId="0" applyFont="1" applyFill="1" applyBorder="1" applyAlignment="1">
      <alignment horizontal="centerContinuous" vertical="center"/>
    </xf>
    <xf numFmtId="0" fontId="8" fillId="3" borderId="5" xfId="0" applyFont="1" applyFill="1" applyBorder="1" applyAlignment="1">
      <alignment vertical="center" wrapText="1"/>
    </xf>
    <xf numFmtId="0" fontId="8" fillId="3" borderId="2" xfId="0" applyFont="1" applyFill="1" applyBorder="1" applyAlignment="1">
      <alignment horizontal="centerContinuous" vertical="center"/>
    </xf>
    <xf numFmtId="0" fontId="9" fillId="3" borderId="9" xfId="0" applyFont="1" applyFill="1" applyBorder="1" applyAlignment="1">
      <alignment horizontal="centerContinuous" vertical="center" wrapText="1"/>
    </xf>
    <xf numFmtId="167" fontId="10" fillId="5" borderId="27" xfId="0" applyNumberFormat="1" applyFont="1" applyFill="1" applyBorder="1" applyAlignment="1" applyProtection="1">
      <alignment horizontal="center" vertical="center"/>
    </xf>
    <xf numFmtId="167" fontId="10" fillId="2" borderId="28" xfId="0" applyNumberFormat="1" applyFont="1" applyFill="1" applyBorder="1" applyAlignment="1" applyProtection="1">
      <alignment horizontal="center" vertical="center"/>
    </xf>
    <xf numFmtId="167" fontId="10" fillId="5" borderId="28" xfId="0" applyNumberFormat="1" applyFont="1" applyFill="1" applyBorder="1" applyAlignment="1" applyProtection="1">
      <alignment horizontal="center" vertical="center"/>
    </xf>
    <xf numFmtId="10" fontId="11" fillId="2" borderId="28" xfId="2" applyNumberFormat="1" applyFont="1" applyFill="1" applyBorder="1" applyAlignment="1" applyProtection="1">
      <alignment horizontal="center" vertical="center"/>
    </xf>
    <xf numFmtId="167" fontId="10" fillId="5" borderId="22" xfId="0" applyNumberFormat="1" applyFont="1" applyFill="1" applyBorder="1" applyAlignment="1" applyProtection="1">
      <alignment horizontal="center" vertical="center"/>
    </xf>
    <xf numFmtId="10" fontId="11" fillId="2" borderId="29" xfId="2" applyNumberFormat="1" applyFont="1" applyFill="1" applyBorder="1" applyAlignment="1" applyProtection="1">
      <alignment horizontal="center" vertical="center"/>
    </xf>
    <xf numFmtId="0" fontId="8" fillId="6" borderId="17" xfId="0" applyFont="1" applyFill="1" applyBorder="1" applyAlignment="1">
      <alignment horizontal="centerContinuous" vertical="center"/>
    </xf>
    <xf numFmtId="0" fontId="8" fillId="6" borderId="0" xfId="0" applyFont="1" applyFill="1" applyBorder="1" applyAlignment="1">
      <alignment vertical="center"/>
    </xf>
    <xf numFmtId="167" fontId="11" fillId="6" borderId="25" xfId="0" applyNumberFormat="1" applyFont="1" applyFill="1" applyBorder="1" applyAlignment="1" applyProtection="1">
      <alignment horizontal="center" vertical="center"/>
    </xf>
    <xf numFmtId="10" fontId="11" fillId="6" borderId="25" xfId="2" applyNumberFormat="1" applyFont="1" applyFill="1" applyBorder="1" applyAlignment="1" applyProtection="1">
      <alignment horizontal="center" vertical="center"/>
    </xf>
    <xf numFmtId="167" fontId="11" fillId="6" borderId="24" xfId="0" applyNumberFormat="1" applyFont="1" applyFill="1" applyBorder="1" applyAlignment="1" applyProtection="1">
      <alignment horizontal="center" vertical="center"/>
    </xf>
    <xf numFmtId="0" fontId="0" fillId="0" borderId="0" xfId="0" applyAlignment="1">
      <alignment horizontal="center" wrapText="1"/>
    </xf>
    <xf numFmtId="0" fontId="0" fillId="0" borderId="23" xfId="0" applyBorder="1" applyAlignment="1">
      <alignment horizontal="center" wrapText="1"/>
    </xf>
    <xf numFmtId="0" fontId="0" fillId="0" borderId="23" xfId="0" applyFont="1" applyBorder="1" applyAlignment="1">
      <alignment horizontal="center" wrapText="1"/>
    </xf>
    <xf numFmtId="0" fontId="1" fillId="6" borderId="0" xfId="0" applyFont="1" applyFill="1"/>
    <xf numFmtId="2" fontId="1" fillId="6" borderId="0" xfId="0" applyNumberFormat="1" applyFont="1" applyFill="1" applyAlignment="1">
      <alignment horizontal="center"/>
    </xf>
    <xf numFmtId="0" fontId="0" fillId="0" borderId="0" xfId="0" applyAlignment="1">
      <alignment horizontal="right"/>
    </xf>
    <xf numFmtId="10" fontId="0" fillId="0" borderId="0" xfId="0" applyNumberFormat="1" applyAlignment="1">
      <alignment horizontal="center"/>
    </xf>
    <xf numFmtId="10" fontId="1" fillId="6" borderId="0" xfId="0" applyNumberFormat="1" applyFont="1" applyFill="1" applyAlignment="1">
      <alignment horizontal="center"/>
    </xf>
    <xf numFmtId="0" fontId="1" fillId="0" borderId="3" xfId="0" applyFont="1" applyBorder="1"/>
    <xf numFmtId="0" fontId="0" fillId="0" borderId="5" xfId="0" applyBorder="1"/>
    <xf numFmtId="164" fontId="0" fillId="0" borderId="0" xfId="0" applyNumberFormat="1" applyBorder="1" applyAlignment="1">
      <alignment horizontal="center"/>
    </xf>
    <xf numFmtId="9" fontId="0" fillId="2" borderId="0" xfId="2" applyFont="1" applyFill="1" applyBorder="1" applyAlignment="1">
      <alignment horizontal="center" vertical="center"/>
    </xf>
    <xf numFmtId="164" fontId="0" fillId="0" borderId="6" xfId="0" applyNumberFormat="1" applyBorder="1" applyAlignment="1">
      <alignment horizontal="center"/>
    </xf>
    <xf numFmtId="0" fontId="0" fillId="0" borderId="7" xfId="0" applyBorder="1"/>
    <xf numFmtId="10" fontId="0" fillId="0" borderId="1" xfId="2" applyNumberFormat="1" applyFont="1" applyBorder="1" applyAlignment="1">
      <alignment horizontal="center"/>
    </xf>
    <xf numFmtId="10" fontId="0" fillId="0" borderId="8" xfId="2" applyNumberFormat="1" applyFont="1" applyBorder="1" applyAlignment="1">
      <alignment horizontal="center"/>
    </xf>
    <xf numFmtId="0" fontId="0" fillId="0" borderId="3" xfId="0" applyBorder="1"/>
    <xf numFmtId="0" fontId="1" fillId="0" borderId="7" xfId="0" applyFont="1" applyBorder="1"/>
    <xf numFmtId="165" fontId="0" fillId="0" borderId="8" xfId="0" applyNumberFormat="1" applyBorder="1" applyAlignment="1">
      <alignment horizontal="center" vertical="center"/>
    </xf>
    <xf numFmtId="0" fontId="1" fillId="0" borderId="7" xfId="0" applyFont="1" applyBorder="1" applyAlignment="1">
      <alignment horizontal="left"/>
    </xf>
    <xf numFmtId="9" fontId="0" fillId="0" borderId="0" xfId="0" applyNumberFormat="1" applyAlignment="1">
      <alignment horizontal="center"/>
    </xf>
    <xf numFmtId="9" fontId="0" fillId="0" borderId="1" xfId="2" applyFont="1" applyBorder="1" applyAlignment="1">
      <alignment horizontal="center"/>
    </xf>
    <xf numFmtId="165" fontId="1" fillId="0" borderId="0" xfId="0" applyNumberFormat="1" applyFont="1" applyAlignment="1">
      <alignment horizontal="center"/>
    </xf>
    <xf numFmtId="10" fontId="0" fillId="2" borderId="1" xfId="2" applyNumberFormat="1" applyFont="1" applyFill="1" applyBorder="1" applyAlignment="1">
      <alignment horizontal="center" vertical="center"/>
    </xf>
    <xf numFmtId="10" fontId="0" fillId="2" borderId="0" xfId="2" applyNumberFormat="1" applyFont="1" applyFill="1" applyBorder="1" applyAlignment="1">
      <alignment horizontal="center" vertical="center"/>
    </xf>
    <xf numFmtId="0" fontId="0" fillId="0" borderId="0" xfId="0" applyFont="1" applyAlignment="1">
      <alignment wrapText="1"/>
    </xf>
    <xf numFmtId="0" fontId="13" fillId="0" borderId="0" xfId="0" applyFont="1" applyBorder="1" applyAlignment="1">
      <alignment wrapText="1"/>
    </xf>
    <xf numFmtId="165" fontId="1" fillId="0" borderId="31" xfId="0" applyNumberFormat="1" applyFont="1" applyBorder="1" applyAlignment="1">
      <alignment horizontal="center"/>
    </xf>
    <xf numFmtId="0" fontId="1" fillId="0" borderId="30" xfId="0" applyFont="1" applyBorder="1" applyAlignment="1">
      <alignment horizontal="right"/>
    </xf>
    <xf numFmtId="0" fontId="0" fillId="0" borderId="0" xfId="0" applyFont="1" applyBorder="1"/>
    <xf numFmtId="9" fontId="0" fillId="0" borderId="0" xfId="2" applyFont="1" applyBorder="1" applyAlignment="1">
      <alignment horizontal="center"/>
    </xf>
    <xf numFmtId="0" fontId="0" fillId="0" borderId="0" xfId="0" applyBorder="1"/>
    <xf numFmtId="0" fontId="0" fillId="0" borderId="0" xfId="0" applyFont="1" applyBorder="1" applyAlignment="1">
      <alignment wrapText="1"/>
    </xf>
    <xf numFmtId="0" fontId="1" fillId="0" borderId="0" xfId="0" applyFont="1" applyBorder="1" applyAlignment="1">
      <alignment horizontal="right"/>
    </xf>
    <xf numFmtId="0" fontId="1" fillId="0" borderId="0" xfId="0" applyFont="1" applyBorder="1"/>
    <xf numFmtId="165" fontId="0" fillId="0" borderId="0" xfId="2" applyNumberFormat="1" applyFont="1" applyBorder="1" applyAlignment="1">
      <alignment horizontal="center"/>
    </xf>
    <xf numFmtId="9" fontId="0" fillId="2" borderId="1" xfId="2" applyFont="1" applyFill="1" applyBorder="1" applyAlignment="1">
      <alignment horizontal="center" vertical="center"/>
    </xf>
    <xf numFmtId="0" fontId="1" fillId="0" borderId="0" xfId="0" applyNumberFormat="1" applyFont="1" applyAlignment="1">
      <alignment horizontal="center"/>
    </xf>
    <xf numFmtId="0" fontId="3" fillId="2" borderId="0" xfId="0" applyNumberFormat="1" applyFont="1" applyFill="1" applyBorder="1" applyAlignment="1">
      <alignment horizontal="center"/>
    </xf>
    <xf numFmtId="0" fontId="1" fillId="0" borderId="11" xfId="0" applyNumberFormat="1" applyFont="1" applyBorder="1" applyAlignment="1">
      <alignment horizontal="center"/>
    </xf>
    <xf numFmtId="0" fontId="3" fillId="2" borderId="11" xfId="0" applyNumberFormat="1" applyFont="1" applyFill="1" applyBorder="1" applyAlignment="1">
      <alignment horizontal="center"/>
    </xf>
    <xf numFmtId="0" fontId="1" fillId="0" borderId="4" xfId="0" applyNumberFormat="1" applyFont="1" applyBorder="1" applyAlignment="1">
      <alignment horizontal="center"/>
    </xf>
    <xf numFmtId="0" fontId="3" fillId="2" borderId="11" xfId="0" applyFont="1" applyFill="1" applyBorder="1" applyAlignment="1">
      <alignment horizontal="center"/>
    </xf>
    <xf numFmtId="17" fontId="1" fillId="0" borderId="4" xfId="0" applyNumberFormat="1" applyFont="1" applyBorder="1" applyAlignment="1">
      <alignment horizontal="center"/>
    </xf>
    <xf numFmtId="9" fontId="0" fillId="0" borderId="0" xfId="2" applyFont="1"/>
    <xf numFmtId="0" fontId="0" fillId="0" borderId="0" xfId="0" applyFont="1" applyAlignment="1">
      <alignment horizontal="right"/>
    </xf>
    <xf numFmtId="9" fontId="0" fillId="2" borderId="0" xfId="2" applyFont="1" applyFill="1"/>
    <xf numFmtId="10" fontId="0" fillId="2" borderId="0" xfId="2" applyNumberFormat="1" applyFont="1" applyFill="1" applyAlignment="1">
      <alignment horizontal="center"/>
    </xf>
    <xf numFmtId="10" fontId="0" fillId="2" borderId="1" xfId="2" applyNumberFormat="1" applyFont="1" applyFill="1" applyBorder="1" applyAlignment="1">
      <alignment horizontal="center"/>
    </xf>
    <xf numFmtId="10" fontId="1" fillId="2" borderId="0" xfId="2" applyNumberFormat="1" applyFont="1" applyFill="1" applyAlignment="1">
      <alignment horizontal="center"/>
    </xf>
    <xf numFmtId="166" fontId="0" fillId="0" borderId="0" xfId="1" applyNumberFormat="1" applyFont="1" applyAlignment="1">
      <alignment vertical="center"/>
    </xf>
    <xf numFmtId="0" fontId="0" fillId="0" borderId="0" xfId="0" applyFont="1" applyAlignment="1">
      <alignment horizontal="left"/>
    </xf>
    <xf numFmtId="0" fontId="0" fillId="0" borderId="0" xfId="0" applyFont="1" applyAlignment="1">
      <alignment horizontal="center"/>
    </xf>
    <xf numFmtId="0" fontId="1" fillId="0" borderId="3" xfId="0" applyFont="1" applyBorder="1" applyAlignment="1">
      <alignment horizontal="center"/>
    </xf>
    <xf numFmtId="0" fontId="0" fillId="0" borderId="13" xfId="0" applyBorder="1"/>
    <xf numFmtId="0" fontId="1" fillId="0" borderId="13" xfId="0" applyFont="1" applyBorder="1" applyAlignment="1">
      <alignment horizontal="center"/>
    </xf>
    <xf numFmtId="0" fontId="0" fillId="0" borderId="13" xfId="0" applyBorder="1" applyAlignment="1">
      <alignment horizontal="right"/>
    </xf>
    <xf numFmtId="0" fontId="0" fillId="0" borderId="14" xfId="0" applyBorder="1" applyAlignment="1">
      <alignment horizontal="right"/>
    </xf>
    <xf numFmtId="1" fontId="1" fillId="0" borderId="0" xfId="0" applyNumberFormat="1" applyFont="1" applyAlignment="1">
      <alignment horizontal="center"/>
    </xf>
    <xf numFmtId="10" fontId="0" fillId="0" borderId="0" xfId="2" applyNumberFormat="1" applyFont="1"/>
    <xf numFmtId="10" fontId="3" fillId="2" borderId="0" xfId="0" applyNumberFormat="1" applyFont="1" applyFill="1" applyBorder="1" applyAlignment="1">
      <alignment horizontal="center"/>
    </xf>
    <xf numFmtId="10" fontId="1" fillId="2" borderId="0" xfId="0" applyNumberFormat="1" applyFont="1" applyFill="1" applyBorder="1" applyAlignment="1">
      <alignment horizontal="center"/>
    </xf>
    <xf numFmtId="10" fontId="1" fillId="7" borderId="0" xfId="0" applyNumberFormat="1" applyFont="1" applyFill="1" applyBorder="1" applyAlignment="1">
      <alignment horizontal="center"/>
    </xf>
    <xf numFmtId="10" fontId="0" fillId="7" borderId="0" xfId="2" applyNumberFormat="1" applyFont="1" applyFill="1" applyBorder="1" applyAlignment="1">
      <alignment horizontal="center" vertical="center"/>
    </xf>
    <xf numFmtId="10" fontId="0" fillId="7" borderId="1" xfId="2" applyNumberFormat="1" applyFont="1" applyFill="1" applyBorder="1" applyAlignment="1">
      <alignment horizontal="center" vertical="center"/>
    </xf>
    <xf numFmtId="165" fontId="0" fillId="0" borderId="0" xfId="2" applyNumberFormat="1" applyFont="1" applyAlignment="1">
      <alignment horizontal="center"/>
    </xf>
    <xf numFmtId="0" fontId="0" fillId="0" borderId="6" xfId="0" applyBorder="1"/>
    <xf numFmtId="0" fontId="0" fillId="0" borderId="5" xfId="0" applyBorder="1" applyAlignment="1">
      <alignment horizontal="center"/>
    </xf>
    <xf numFmtId="1" fontId="1" fillId="7" borderId="2" xfId="0" applyNumberFormat="1" applyFont="1" applyFill="1" applyBorder="1" applyAlignment="1">
      <alignment horizontal="center"/>
    </xf>
    <xf numFmtId="165" fontId="0" fillId="7" borderId="0" xfId="0" applyNumberFormat="1" applyFill="1" applyBorder="1" applyAlignment="1">
      <alignment horizontal="center"/>
    </xf>
    <xf numFmtId="165" fontId="0" fillId="7" borderId="7" xfId="0" applyNumberFormat="1" applyFill="1" applyBorder="1" applyAlignment="1">
      <alignment horizontal="center"/>
    </xf>
    <xf numFmtId="165" fontId="0" fillId="7" borderId="1" xfId="0" applyNumberFormat="1" applyFill="1" applyBorder="1" applyAlignment="1">
      <alignment horizontal="center"/>
    </xf>
    <xf numFmtId="165" fontId="0" fillId="7" borderId="8" xfId="0" applyNumberFormat="1" applyFill="1" applyBorder="1" applyAlignment="1">
      <alignment horizontal="center"/>
    </xf>
    <xf numFmtId="165" fontId="0" fillId="7" borderId="0" xfId="0" applyNumberFormat="1" applyFill="1" applyAlignment="1">
      <alignment horizontal="center"/>
    </xf>
    <xf numFmtId="1" fontId="1" fillId="8" borderId="9" xfId="0" applyNumberFormat="1" applyFont="1" applyFill="1" applyBorder="1" applyAlignment="1">
      <alignment horizontal="center"/>
    </xf>
    <xf numFmtId="1" fontId="1" fillId="8" borderId="2" xfId="0" applyNumberFormat="1" applyFont="1" applyFill="1" applyBorder="1" applyAlignment="1">
      <alignment horizontal="center"/>
    </xf>
    <xf numFmtId="165" fontId="0" fillId="8" borderId="0" xfId="0" applyNumberFormat="1" applyFill="1" applyBorder="1" applyAlignment="1">
      <alignment horizontal="center"/>
    </xf>
    <xf numFmtId="165" fontId="0" fillId="8" borderId="4" xfId="0" applyNumberFormat="1" applyFill="1" applyBorder="1" applyAlignment="1">
      <alignment horizontal="center"/>
    </xf>
    <xf numFmtId="165" fontId="0" fillId="8" borderId="7" xfId="0" applyNumberFormat="1" applyFill="1" applyBorder="1" applyAlignment="1">
      <alignment horizontal="center"/>
    </xf>
    <xf numFmtId="165" fontId="0" fillId="8" borderId="1" xfId="0" applyNumberFormat="1" applyFill="1" applyBorder="1" applyAlignment="1">
      <alignment horizontal="center"/>
    </xf>
    <xf numFmtId="165" fontId="0" fillId="8" borderId="8" xfId="0" applyNumberFormat="1" applyFill="1" applyBorder="1" applyAlignment="1">
      <alignment horizontal="center"/>
    </xf>
    <xf numFmtId="165" fontId="0" fillId="8" borderId="0" xfId="0" applyNumberFormat="1" applyFill="1" applyAlignment="1">
      <alignment horizontal="center"/>
    </xf>
    <xf numFmtId="165" fontId="1" fillId="8" borderId="0" xfId="0" applyNumberFormat="1" applyFont="1" applyFill="1" applyBorder="1" applyAlignment="1">
      <alignment horizontal="center"/>
    </xf>
    <xf numFmtId="165" fontId="0" fillId="8" borderId="6" xfId="0" applyNumberFormat="1" applyFill="1" applyBorder="1" applyAlignment="1">
      <alignment horizontal="center"/>
    </xf>
    <xf numFmtId="0" fontId="0" fillId="8" borderId="0" xfId="0" applyFill="1"/>
    <xf numFmtId="1" fontId="1" fillId="7" borderId="10" xfId="0" applyNumberFormat="1" applyFont="1" applyFill="1" applyBorder="1" applyAlignment="1">
      <alignment horizontal="center"/>
    </xf>
    <xf numFmtId="165" fontId="0" fillId="7" borderId="0" xfId="2" applyNumberFormat="1" applyFont="1" applyFill="1" applyAlignment="1">
      <alignment horizontal="center"/>
    </xf>
    <xf numFmtId="165" fontId="0" fillId="7" borderId="1" xfId="2" applyNumberFormat="1" applyFont="1" applyFill="1" applyBorder="1" applyAlignment="1">
      <alignment horizontal="center"/>
    </xf>
    <xf numFmtId="164" fontId="0" fillId="7" borderId="0" xfId="0" applyNumberFormat="1" applyFill="1" applyAlignment="1">
      <alignment horizontal="center"/>
    </xf>
    <xf numFmtId="0" fontId="1" fillId="7" borderId="0" xfId="0" applyFont="1" applyFill="1" applyAlignment="1">
      <alignment horizontal="center"/>
    </xf>
    <xf numFmtId="0" fontId="0" fillId="7" borderId="0" xfId="0" applyFill="1" applyAlignment="1">
      <alignment horizontal="center"/>
    </xf>
    <xf numFmtId="165" fontId="1" fillId="7" borderId="31" xfId="0" applyNumberFormat="1" applyFont="1" applyFill="1" applyBorder="1" applyAlignment="1">
      <alignment horizontal="center"/>
    </xf>
    <xf numFmtId="164" fontId="1" fillId="7" borderId="31" xfId="0" applyNumberFormat="1" applyFont="1" applyFill="1" applyBorder="1" applyAlignment="1">
      <alignment horizontal="center"/>
    </xf>
    <xf numFmtId="164" fontId="0" fillId="7" borderId="31" xfId="0" applyNumberFormat="1" applyFill="1" applyBorder="1" applyAlignment="1">
      <alignment horizontal="center"/>
    </xf>
    <xf numFmtId="1" fontId="1" fillId="8" borderId="10" xfId="0" applyNumberFormat="1" applyFont="1" applyFill="1" applyBorder="1" applyAlignment="1">
      <alignment horizontal="center"/>
    </xf>
    <xf numFmtId="165" fontId="0" fillId="8" borderId="5" xfId="0" applyNumberFormat="1" applyFill="1" applyBorder="1" applyAlignment="1">
      <alignment horizontal="center"/>
    </xf>
    <xf numFmtId="165" fontId="1" fillId="8" borderId="5" xfId="0" applyNumberFormat="1" applyFont="1" applyFill="1" applyBorder="1" applyAlignment="1">
      <alignment horizontal="center"/>
    </xf>
    <xf numFmtId="165" fontId="1" fillId="8" borderId="6" xfId="0" applyNumberFormat="1" applyFont="1" applyFill="1" applyBorder="1" applyAlignment="1">
      <alignment horizontal="center"/>
    </xf>
    <xf numFmtId="165" fontId="0" fillId="8" borderId="9" xfId="0" applyNumberFormat="1" applyFill="1" applyBorder="1" applyAlignment="1">
      <alignment horizontal="center"/>
    </xf>
    <xf numFmtId="165" fontId="0" fillId="8" borderId="2" xfId="0" applyNumberFormat="1" applyFill="1" applyBorder="1" applyAlignment="1">
      <alignment horizontal="center"/>
    </xf>
    <xf numFmtId="165" fontId="0" fillId="8" borderId="10" xfId="0" applyNumberFormat="1" applyFill="1" applyBorder="1" applyAlignment="1">
      <alignment horizontal="center"/>
    </xf>
    <xf numFmtId="165" fontId="0" fillId="7" borderId="2" xfId="0" applyNumberFormat="1" applyFill="1" applyBorder="1" applyAlignment="1">
      <alignment horizontal="center"/>
    </xf>
    <xf numFmtId="164" fontId="0" fillId="7" borderId="2" xfId="0" applyNumberFormat="1" applyFill="1" applyBorder="1" applyAlignment="1">
      <alignment horizontal="center"/>
    </xf>
    <xf numFmtId="164" fontId="0" fillId="7" borderId="10" xfId="0" applyNumberFormat="1" applyFill="1" applyBorder="1" applyAlignment="1">
      <alignment horizontal="center"/>
    </xf>
    <xf numFmtId="0" fontId="0" fillId="0" borderId="6" xfId="0" applyBorder="1" applyAlignment="1">
      <alignment horizontal="center"/>
    </xf>
    <xf numFmtId="165" fontId="1" fillId="8" borderId="31" xfId="0" applyNumberFormat="1" applyFont="1" applyFill="1" applyBorder="1" applyAlignment="1">
      <alignment horizontal="center"/>
    </xf>
    <xf numFmtId="0" fontId="0" fillId="3" borderId="0" xfId="0" applyFill="1"/>
    <xf numFmtId="10" fontId="0" fillId="3" borderId="0" xfId="2" applyNumberFormat="1" applyFont="1" applyFill="1" applyBorder="1" applyAlignment="1">
      <alignment horizontal="center" vertical="center"/>
    </xf>
    <xf numFmtId="10" fontId="3" fillId="0" borderId="0" xfId="2" applyNumberFormat="1" applyFont="1" applyAlignment="1">
      <alignment horizontal="center"/>
    </xf>
    <xf numFmtId="9" fontId="0" fillId="2" borderId="31" xfId="2" applyFont="1" applyFill="1" applyBorder="1" applyAlignment="1">
      <alignment horizontal="center" vertical="center"/>
    </xf>
    <xf numFmtId="165" fontId="1" fillId="0" borderId="32" xfId="0" applyNumberFormat="1" applyFont="1" applyBorder="1" applyAlignment="1">
      <alignment horizontal="center"/>
    </xf>
    <xf numFmtId="17" fontId="1" fillId="2" borderId="0" xfId="0" applyNumberFormat="1" applyFont="1" applyFill="1" applyAlignment="1">
      <alignment horizontal="center"/>
    </xf>
    <xf numFmtId="165" fontId="0" fillId="2" borderId="0" xfId="0" applyNumberFormat="1" applyFill="1" applyAlignment="1">
      <alignment horizontal="center"/>
    </xf>
    <xf numFmtId="165" fontId="0" fillId="2" borderId="0" xfId="0" applyNumberFormat="1" applyFont="1" applyFill="1" applyAlignment="1">
      <alignment horizontal="center"/>
    </xf>
    <xf numFmtId="10" fontId="18" fillId="0" borderId="0" xfId="0" applyNumberFormat="1" applyFont="1" applyAlignment="1">
      <alignment horizontal="left"/>
    </xf>
    <xf numFmtId="10" fontId="18" fillId="0" borderId="0" xfId="2" applyNumberFormat="1" applyFont="1" applyAlignment="1">
      <alignment horizontal="center"/>
    </xf>
    <xf numFmtId="0" fontId="12" fillId="0" borderId="0" xfId="0" applyFont="1" applyAlignment="1">
      <alignment wrapText="1"/>
    </xf>
    <xf numFmtId="0" fontId="19" fillId="2" borderId="0" xfId="0" applyNumberFormat="1" applyFont="1" applyFill="1" applyBorder="1" applyAlignment="1">
      <alignment horizontal="center" vertical="center"/>
    </xf>
    <xf numFmtId="165" fontId="0" fillId="7" borderId="5" xfId="0" applyNumberFormat="1" applyFill="1" applyBorder="1" applyAlignment="1">
      <alignment horizontal="center"/>
    </xf>
    <xf numFmtId="0" fontId="1" fillId="0" borderId="0" xfId="0" applyFont="1" applyAlignment="1">
      <alignment horizontal="left"/>
    </xf>
    <xf numFmtId="10" fontId="1" fillId="7" borderId="0" xfId="2" applyNumberFormat="1" applyFont="1" applyFill="1" applyBorder="1" applyAlignment="1">
      <alignment horizontal="center" vertical="center"/>
    </xf>
    <xf numFmtId="0" fontId="0" fillId="0" borderId="0" xfId="0" applyFont="1" applyBorder="1" applyAlignment="1">
      <alignment horizontal="left" indent="1"/>
    </xf>
    <xf numFmtId="169" fontId="1" fillId="0" borderId="0" xfId="0" applyNumberFormat="1" applyFont="1" applyBorder="1" applyAlignment="1">
      <alignment horizontal="center"/>
    </xf>
    <xf numFmtId="0" fontId="22" fillId="0" borderId="0" xfId="0" applyFont="1" applyBorder="1" applyAlignment="1">
      <alignment vertical="center" wrapText="1"/>
    </xf>
    <xf numFmtId="0" fontId="21" fillId="0" borderId="0" xfId="0" applyFont="1" applyBorder="1" applyAlignment="1">
      <alignment vertical="center" wrapText="1"/>
    </xf>
    <xf numFmtId="0" fontId="21" fillId="0" borderId="0" xfId="0" applyFont="1" applyBorder="1" applyAlignment="1">
      <alignment horizontal="center" vertical="center" wrapText="1"/>
    </xf>
    <xf numFmtId="0" fontId="0" fillId="0" borderId="0" xfId="0" applyAlignment="1">
      <alignment vertical="center"/>
    </xf>
    <xf numFmtId="0" fontId="0" fillId="6" borderId="0" xfId="0" applyFont="1" applyFill="1"/>
    <xf numFmtId="165" fontId="0" fillId="6" borderId="1" xfId="0" applyNumberFormat="1" applyFill="1" applyBorder="1" applyAlignment="1">
      <alignment horizontal="center"/>
    </xf>
    <xf numFmtId="9" fontId="0" fillId="6" borderId="1" xfId="2" applyFont="1" applyFill="1" applyBorder="1" applyAlignment="1">
      <alignment horizontal="center" vertical="center"/>
    </xf>
    <xf numFmtId="165" fontId="0" fillId="6" borderId="0" xfId="0" applyNumberFormat="1" applyFill="1" applyAlignment="1">
      <alignment horizontal="center"/>
    </xf>
    <xf numFmtId="9" fontId="0" fillId="6" borderId="0" xfId="2" applyFont="1" applyFill="1" applyBorder="1" applyAlignment="1">
      <alignment horizontal="center" vertical="center"/>
    </xf>
    <xf numFmtId="165" fontId="0" fillId="0" borderId="0" xfId="0" applyNumberFormat="1" applyBorder="1"/>
    <xf numFmtId="165" fontId="0" fillId="3" borderId="0" xfId="0" applyNumberFormat="1" applyFill="1" applyAlignment="1">
      <alignment horizontal="center"/>
    </xf>
    <xf numFmtId="0" fontId="1" fillId="6" borderId="0" xfId="0" applyFont="1" applyFill="1" applyAlignment="1">
      <alignment horizontal="center"/>
    </xf>
    <xf numFmtId="0" fontId="0" fillId="0" borderId="35" xfId="0" applyBorder="1" applyAlignment="1">
      <alignment horizontal="left" wrapText="1"/>
    </xf>
    <xf numFmtId="0" fontId="0" fillId="0" borderId="36" xfId="0" applyBorder="1" applyAlignment="1">
      <alignment horizontal="left" wrapText="1"/>
    </xf>
    <xf numFmtId="0" fontId="0" fillId="0" borderId="1" xfId="0" applyBorder="1" applyAlignment="1">
      <alignment horizontal="left" wrapText="1"/>
    </xf>
    <xf numFmtId="3" fontId="0" fillId="0" borderId="1" xfId="0" applyNumberFormat="1" applyBorder="1" applyAlignment="1">
      <alignment horizontal="center" wrapText="1"/>
    </xf>
    <xf numFmtId="0" fontId="0" fillId="0" borderId="38" xfId="0" applyBorder="1" applyAlignment="1">
      <alignment horizontal="left" wrapText="1"/>
    </xf>
    <xf numFmtId="3" fontId="0" fillId="0" borderId="2" xfId="0" applyNumberFormat="1" applyBorder="1" applyAlignment="1">
      <alignment horizontal="center" wrapText="1"/>
    </xf>
    <xf numFmtId="0" fontId="23" fillId="6" borderId="30" xfId="0" applyFont="1" applyFill="1" applyBorder="1" applyAlignment="1">
      <alignment horizontal="left" wrapText="1"/>
    </xf>
    <xf numFmtId="3" fontId="23" fillId="6" borderId="31" xfId="0" applyNumberFormat="1" applyFont="1" applyFill="1" applyBorder="1" applyAlignment="1">
      <alignment horizontal="center"/>
    </xf>
    <xf numFmtId="165" fontId="1" fillId="2" borderId="31" xfId="0" applyNumberFormat="1" applyFont="1" applyFill="1" applyBorder="1" applyAlignment="1">
      <alignment horizontal="center"/>
    </xf>
    <xf numFmtId="0" fontId="23" fillId="10" borderId="30" xfId="0" applyFont="1" applyFill="1" applyBorder="1" applyAlignment="1">
      <alignment horizontal="left" wrapText="1"/>
    </xf>
    <xf numFmtId="10" fontId="1" fillId="10" borderId="31" xfId="2" applyNumberFormat="1" applyFont="1" applyFill="1" applyBorder="1" applyAlignment="1">
      <alignment horizontal="center"/>
    </xf>
    <xf numFmtId="0" fontId="1" fillId="9" borderId="30" xfId="0" applyFont="1" applyFill="1" applyBorder="1"/>
    <xf numFmtId="1" fontId="1" fillId="9" borderId="31" xfId="0" applyNumberFormat="1" applyFont="1" applyFill="1" applyBorder="1" applyAlignment="1">
      <alignment horizontal="center"/>
    </xf>
    <xf numFmtId="0" fontId="0" fillId="0" borderId="39" xfId="0" applyBorder="1"/>
    <xf numFmtId="0" fontId="0" fillId="0" borderId="36" xfId="0" applyBorder="1"/>
    <xf numFmtId="0" fontId="1" fillId="0" borderId="37" xfId="0" applyFont="1" applyBorder="1" applyAlignment="1">
      <alignment horizontal="right"/>
    </xf>
    <xf numFmtId="0" fontId="1" fillId="6" borderId="0" xfId="0" applyFont="1" applyFill="1" applyAlignment="1">
      <alignment horizontal="left"/>
    </xf>
    <xf numFmtId="0" fontId="0" fillId="0" borderId="23" xfId="0" applyBorder="1"/>
    <xf numFmtId="0" fontId="23" fillId="0" borderId="23" xfId="0" applyFont="1" applyBorder="1"/>
    <xf numFmtId="165" fontId="0" fillId="2" borderId="0" xfId="0" applyNumberFormat="1" applyFont="1" applyFill="1" applyBorder="1" applyAlignment="1">
      <alignment horizontal="center"/>
    </xf>
    <xf numFmtId="165" fontId="0" fillId="2" borderId="0" xfId="0" applyNumberFormat="1" applyFill="1" applyBorder="1" applyAlignment="1">
      <alignment horizontal="center"/>
    </xf>
    <xf numFmtId="165" fontId="1" fillId="6" borderId="0" xfId="0" applyNumberFormat="1" applyFont="1" applyFill="1" applyAlignment="1">
      <alignment horizontal="center"/>
    </xf>
    <xf numFmtId="165" fontId="0" fillId="0" borderId="23" xfId="0" applyNumberFormat="1" applyBorder="1" applyAlignment="1">
      <alignment horizontal="center"/>
    </xf>
    <xf numFmtId="3" fontId="1" fillId="0" borderId="23" xfId="1" applyNumberFormat="1" applyFont="1" applyBorder="1" applyAlignment="1">
      <alignment horizontal="center"/>
    </xf>
    <xf numFmtId="3" fontId="2" fillId="0" borderId="23" xfId="1" applyNumberFormat="1" applyFont="1" applyBorder="1" applyAlignment="1">
      <alignment horizontal="center"/>
    </xf>
    <xf numFmtId="0" fontId="0" fillId="0" borderId="30" xfId="0" applyBorder="1"/>
    <xf numFmtId="166" fontId="0" fillId="0" borderId="32" xfId="1" applyNumberFormat="1" applyFont="1" applyBorder="1" applyAlignment="1">
      <alignment vertical="center"/>
    </xf>
    <xf numFmtId="0" fontId="26" fillId="11" borderId="0" xfId="0" applyFont="1" applyFill="1" applyAlignment="1">
      <alignment horizontal="right"/>
    </xf>
    <xf numFmtId="10" fontId="26" fillId="11" borderId="0" xfId="2" applyNumberFormat="1" applyFont="1" applyFill="1" applyAlignment="1">
      <alignment horizontal="center"/>
    </xf>
    <xf numFmtId="9" fontId="26" fillId="11" borderId="0" xfId="2" applyFont="1" applyFill="1" applyBorder="1" applyAlignment="1">
      <alignment horizontal="center" vertical="center"/>
    </xf>
    <xf numFmtId="0" fontId="0" fillId="6" borderId="0" xfId="0" applyFill="1"/>
    <xf numFmtId="0" fontId="0" fillId="6" borderId="0" xfId="0" applyFill="1" applyAlignment="1">
      <alignment horizontal="center"/>
    </xf>
    <xf numFmtId="10" fontId="1" fillId="6" borderId="1" xfId="0" applyNumberFormat="1" applyFont="1" applyFill="1" applyBorder="1" applyAlignment="1">
      <alignment horizontal="center"/>
    </xf>
    <xf numFmtId="10" fontId="0" fillId="6" borderId="0" xfId="2" applyNumberFormat="1" applyFont="1" applyFill="1" applyAlignment="1">
      <alignment horizontal="center"/>
    </xf>
    <xf numFmtId="10" fontId="0" fillId="6" borderId="1" xfId="2" applyNumberFormat="1" applyFont="1" applyFill="1" applyBorder="1" applyAlignment="1">
      <alignment horizontal="center"/>
    </xf>
    <xf numFmtId="172" fontId="0" fillId="0" borderId="0" xfId="0" applyNumberFormat="1"/>
    <xf numFmtId="0" fontId="1" fillId="10" borderId="0" xfId="0" applyFont="1" applyFill="1" applyAlignment="1">
      <alignment horizontal="center"/>
    </xf>
    <xf numFmtId="0" fontId="0" fillId="10" borderId="0" xfId="0" applyFill="1" applyAlignment="1">
      <alignment horizontal="center"/>
    </xf>
    <xf numFmtId="0" fontId="0" fillId="10" borderId="0" xfId="0" applyFill="1"/>
    <xf numFmtId="169" fontId="0" fillId="10" borderId="0" xfId="2" applyNumberFormat="1" applyFont="1" applyFill="1" applyAlignment="1">
      <alignment horizontal="center"/>
    </xf>
    <xf numFmtId="169" fontId="0" fillId="10" borderId="1" xfId="2" applyNumberFormat="1" applyFont="1" applyFill="1" applyBorder="1" applyAlignment="1">
      <alignment horizontal="center"/>
    </xf>
    <xf numFmtId="165" fontId="0" fillId="3" borderId="0" xfId="0" applyNumberFormat="1" applyFill="1" applyBorder="1" applyAlignment="1">
      <alignment horizontal="center"/>
    </xf>
    <xf numFmtId="0" fontId="0" fillId="0" borderId="0" xfId="0" applyFill="1" applyAlignment="1">
      <alignment vertical="top" wrapText="1"/>
    </xf>
    <xf numFmtId="0" fontId="0" fillId="0" borderId="0" xfId="0" applyFill="1"/>
    <xf numFmtId="9" fontId="0" fillId="0" borderId="0" xfId="2" applyFont="1" applyFill="1" applyAlignment="1">
      <alignment horizontal="center"/>
    </xf>
    <xf numFmtId="2" fontId="0" fillId="0" borderId="0" xfId="0" applyNumberFormat="1" applyFill="1" applyAlignment="1">
      <alignment horizontal="center"/>
    </xf>
    <xf numFmtId="0" fontId="1" fillId="12" borderId="0" xfId="0" applyFont="1" applyFill="1" applyAlignment="1">
      <alignment horizontal="center"/>
    </xf>
    <xf numFmtId="0" fontId="1" fillId="12" borderId="0" xfId="0" applyFont="1" applyFill="1"/>
    <xf numFmtId="165" fontId="1" fillId="12" borderId="0" xfId="0" applyNumberFormat="1" applyFont="1" applyFill="1" applyAlignment="1">
      <alignment horizontal="center"/>
    </xf>
    <xf numFmtId="164" fontId="1" fillId="6" borderId="0" xfId="0" applyNumberFormat="1" applyFont="1" applyFill="1" applyAlignment="1">
      <alignment horizontal="center" vertical="center"/>
    </xf>
    <xf numFmtId="164" fontId="1" fillId="6" borderId="0" xfId="0" applyNumberFormat="1" applyFont="1" applyFill="1" applyAlignment="1">
      <alignment horizontal="center"/>
    </xf>
    <xf numFmtId="0" fontId="1" fillId="10" borderId="0" xfId="0" applyFont="1" applyFill="1"/>
    <xf numFmtId="164" fontId="1" fillId="10" borderId="0" xfId="0" applyNumberFormat="1" applyFont="1" applyFill="1" applyAlignment="1">
      <alignment horizontal="center"/>
    </xf>
    <xf numFmtId="9" fontId="1" fillId="10" borderId="0" xfId="2" applyFont="1" applyFill="1" applyAlignment="1">
      <alignment horizontal="center"/>
    </xf>
    <xf numFmtId="3" fontId="22" fillId="7" borderId="0" xfId="0" applyNumberFormat="1" applyFont="1" applyFill="1" applyBorder="1" applyAlignment="1">
      <alignment horizontal="center" wrapText="1"/>
    </xf>
    <xf numFmtId="3" fontId="22" fillId="7" borderId="1" xfId="0" applyNumberFormat="1" applyFont="1" applyFill="1" applyBorder="1" applyAlignment="1">
      <alignment horizontal="center" wrapText="1"/>
    </xf>
    <xf numFmtId="3" fontId="21" fillId="7" borderId="0" xfId="0" applyNumberFormat="1" applyFont="1" applyFill="1" applyBorder="1" applyAlignment="1">
      <alignment horizontal="center" wrapText="1"/>
    </xf>
    <xf numFmtId="165" fontId="22" fillId="7" borderId="0" xfId="0" applyNumberFormat="1" applyFont="1" applyFill="1" applyBorder="1" applyAlignment="1">
      <alignment horizontal="center" wrapText="1"/>
    </xf>
    <xf numFmtId="0" fontId="22" fillId="7" borderId="0" xfId="0" applyFont="1" applyFill="1" applyBorder="1" applyAlignment="1">
      <alignment horizontal="center" wrapText="1"/>
    </xf>
    <xf numFmtId="165" fontId="0" fillId="7" borderId="40" xfId="0" applyNumberFormat="1" applyFill="1" applyBorder="1" applyAlignment="1">
      <alignment horizontal="center"/>
    </xf>
    <xf numFmtId="165" fontId="0" fillId="7" borderId="34" xfId="0" applyNumberFormat="1" applyFill="1" applyBorder="1" applyAlignment="1">
      <alignment horizontal="center"/>
    </xf>
    <xf numFmtId="165" fontId="0" fillId="7" borderId="42" xfId="0" applyNumberFormat="1" applyFill="1" applyBorder="1" applyAlignment="1">
      <alignment horizontal="center"/>
    </xf>
    <xf numFmtId="165" fontId="1" fillId="7" borderId="41" xfId="0" applyNumberFormat="1" applyFont="1" applyFill="1" applyBorder="1" applyAlignment="1">
      <alignment horizontal="center"/>
    </xf>
    <xf numFmtId="165" fontId="1" fillId="7" borderId="33" xfId="0" applyNumberFormat="1" applyFont="1" applyFill="1" applyBorder="1" applyAlignment="1">
      <alignment horizontal="center"/>
    </xf>
    <xf numFmtId="0" fontId="21" fillId="13" borderId="30" xfId="0" applyFont="1" applyFill="1" applyBorder="1" applyAlignment="1">
      <alignment vertical="center" wrapText="1"/>
    </xf>
    <xf numFmtId="164" fontId="1" fillId="13" borderId="31" xfId="0" applyNumberFormat="1" applyFont="1" applyFill="1" applyBorder="1" applyAlignment="1">
      <alignment horizontal="center"/>
    </xf>
    <xf numFmtId="164" fontId="1" fillId="13" borderId="32" xfId="0" applyNumberFormat="1" applyFont="1" applyFill="1" applyBorder="1" applyAlignment="1">
      <alignment horizontal="center"/>
    </xf>
    <xf numFmtId="0" fontId="27" fillId="0" borderId="0" xfId="0" applyFont="1"/>
    <xf numFmtId="0" fontId="0" fillId="9" borderId="0" xfId="0" applyFill="1"/>
    <xf numFmtId="0" fontId="28" fillId="9" borderId="0" xfId="0" applyFont="1" applyFill="1"/>
    <xf numFmtId="0" fontId="27" fillId="9" borderId="0" xfId="0" applyFont="1" applyFill="1"/>
    <xf numFmtId="164" fontId="0" fillId="0" borderId="0" xfId="0" applyNumberFormat="1"/>
    <xf numFmtId="9" fontId="0" fillId="3" borderId="0" xfId="2" applyFont="1" applyFill="1" applyBorder="1" applyAlignment="1">
      <alignment horizontal="center"/>
    </xf>
    <xf numFmtId="169" fontId="0" fillId="3" borderId="0" xfId="2" applyNumberFormat="1" applyFont="1" applyFill="1" applyBorder="1" applyAlignment="1">
      <alignment horizontal="center"/>
    </xf>
    <xf numFmtId="10" fontId="1" fillId="3" borderId="0" xfId="2" applyNumberFormat="1" applyFont="1" applyFill="1" applyBorder="1" applyAlignment="1">
      <alignment horizontal="center"/>
    </xf>
    <xf numFmtId="0" fontId="0" fillId="0" borderId="0" xfId="0" applyFill="1" applyBorder="1"/>
    <xf numFmtId="0" fontId="0" fillId="0" borderId="0" xfId="0" applyBorder="1" applyAlignment="1">
      <alignment horizontal="center"/>
    </xf>
    <xf numFmtId="0" fontId="1" fillId="0" borderId="0" xfId="0" applyFont="1" applyBorder="1" applyAlignment="1"/>
    <xf numFmtId="0" fontId="29" fillId="0" borderId="0" xfId="0" applyFont="1"/>
    <xf numFmtId="9" fontId="29" fillId="0" borderId="0" xfId="0" applyNumberFormat="1" applyFont="1"/>
    <xf numFmtId="0" fontId="0" fillId="0" borderId="0" xfId="0" applyAlignment="1">
      <alignment vertical="top" wrapText="1"/>
    </xf>
    <xf numFmtId="0" fontId="0" fillId="0" borderId="0" xfId="0" applyAlignment="1">
      <alignment vertical="top"/>
    </xf>
    <xf numFmtId="164" fontId="0" fillId="0" borderId="23" xfId="0" applyNumberFormat="1" applyBorder="1" applyAlignment="1">
      <alignment horizontal="center"/>
    </xf>
    <xf numFmtId="0" fontId="0" fillId="6" borderId="0" xfId="0" applyFont="1" applyFill="1" applyAlignment="1">
      <alignment wrapText="1"/>
    </xf>
    <xf numFmtId="165" fontId="0" fillId="6" borderId="0" xfId="0" applyNumberFormat="1" applyFill="1" applyBorder="1" applyAlignment="1">
      <alignment horizontal="center" vertical="center"/>
    </xf>
    <xf numFmtId="0" fontId="28" fillId="0" borderId="0" xfId="0" applyFont="1"/>
    <xf numFmtId="0" fontId="31" fillId="6" borderId="43" xfId="0" applyFont="1" applyFill="1" applyBorder="1" applyAlignment="1">
      <alignment horizontal="left" wrapText="1"/>
    </xf>
    <xf numFmtId="165" fontId="28" fillId="6" borderId="31" xfId="0" applyNumberFormat="1" applyFont="1" applyFill="1" applyBorder="1" applyAlignment="1">
      <alignment horizontal="center"/>
    </xf>
    <xf numFmtId="165" fontId="28" fillId="6" borderId="32" xfId="0" applyNumberFormat="1" applyFont="1" applyFill="1" applyBorder="1" applyAlignment="1">
      <alignment horizontal="center"/>
    </xf>
    <xf numFmtId="165" fontId="27" fillId="0" borderId="0" xfId="0" applyNumberFormat="1" applyFont="1" applyAlignment="1">
      <alignment horizontal="center"/>
    </xf>
    <xf numFmtId="0" fontId="1" fillId="0" borderId="0" xfId="0" applyFont="1" applyBorder="1" applyAlignment="1">
      <alignment horizontal="center"/>
    </xf>
    <xf numFmtId="4" fontId="0" fillId="0" borderId="0" xfId="0" applyNumberFormat="1" applyAlignment="1">
      <alignment horizontal="right"/>
    </xf>
    <xf numFmtId="165" fontId="1" fillId="2" borderId="30" xfId="0" applyNumberFormat="1" applyFont="1" applyFill="1" applyBorder="1" applyAlignment="1">
      <alignment horizontal="left"/>
    </xf>
    <xf numFmtId="0" fontId="0" fillId="12" borderId="0" xfId="0" applyFill="1"/>
    <xf numFmtId="10" fontId="0" fillId="13" borderId="0" xfId="2" applyNumberFormat="1" applyFont="1" applyFill="1" applyAlignment="1">
      <alignment horizontal="center"/>
    </xf>
    <xf numFmtId="0" fontId="0" fillId="13" borderId="0" xfId="0" applyFill="1"/>
    <xf numFmtId="10" fontId="0" fillId="16" borderId="0" xfId="2" applyNumberFormat="1" applyFont="1" applyFill="1" applyAlignment="1">
      <alignment horizontal="center"/>
    </xf>
    <xf numFmtId="10" fontId="0" fillId="16" borderId="0" xfId="0" applyNumberFormat="1" applyFill="1" applyAlignment="1">
      <alignment horizontal="center"/>
    </xf>
    <xf numFmtId="10" fontId="0" fillId="13" borderId="0" xfId="0" applyNumberFormat="1" applyFill="1" applyAlignment="1">
      <alignment horizontal="center"/>
    </xf>
    <xf numFmtId="10" fontId="0" fillId="7" borderId="0" xfId="0" applyNumberFormat="1" applyFill="1" applyAlignment="1">
      <alignment horizontal="center"/>
    </xf>
    <xf numFmtId="0" fontId="0" fillId="7" borderId="0" xfId="0" applyFill="1"/>
    <xf numFmtId="10" fontId="0" fillId="3" borderId="0" xfId="0" applyNumberFormat="1" applyFill="1" applyAlignment="1">
      <alignment horizontal="center"/>
    </xf>
    <xf numFmtId="0" fontId="1" fillId="16" borderId="0" xfId="0" applyFont="1" applyFill="1" applyAlignment="1">
      <alignment horizontal="right"/>
    </xf>
    <xf numFmtId="0" fontId="1" fillId="12" borderId="0" xfId="0" applyFont="1" applyFill="1" applyAlignment="1">
      <alignment horizontal="right"/>
    </xf>
    <xf numFmtId="0" fontId="20" fillId="13" borderId="0" xfId="0" applyFont="1" applyFill="1" applyBorder="1" applyAlignment="1">
      <alignment vertical="center"/>
    </xf>
    <xf numFmtId="170" fontId="0" fillId="13" borderId="0" xfId="2" applyNumberFormat="1" applyFont="1" applyFill="1" applyAlignment="1">
      <alignment horizontal="center"/>
    </xf>
    <xf numFmtId="10" fontId="18" fillId="3" borderId="0" xfId="0" applyNumberFormat="1" applyFont="1" applyFill="1" applyAlignment="1">
      <alignment horizontal="left"/>
    </xf>
    <xf numFmtId="10" fontId="18" fillId="3" borderId="0" xfId="2" applyNumberFormat="1" applyFont="1" applyFill="1" applyAlignment="1">
      <alignment horizontal="center"/>
    </xf>
    <xf numFmtId="0" fontId="0" fillId="3" borderId="0" xfId="0" applyFill="1" applyAlignment="1">
      <alignment wrapText="1"/>
    </xf>
    <xf numFmtId="10" fontId="1" fillId="10" borderId="44" xfId="2" applyNumberFormat="1" applyFont="1" applyFill="1" applyBorder="1" applyAlignment="1">
      <alignment horizontal="center"/>
    </xf>
    <xf numFmtId="10" fontId="1" fillId="0" borderId="45" xfId="0" applyNumberFormat="1" applyFont="1" applyBorder="1" applyAlignment="1">
      <alignment horizontal="center"/>
    </xf>
    <xf numFmtId="0" fontId="1" fillId="0" borderId="46" xfId="0" applyFont="1" applyBorder="1" applyAlignment="1">
      <alignment horizontal="center"/>
    </xf>
    <xf numFmtId="164" fontId="26" fillId="3" borderId="0" xfId="0" applyNumberFormat="1" applyFont="1" applyFill="1" applyAlignment="1">
      <alignment horizontal="center"/>
    </xf>
    <xf numFmtId="0" fontId="26" fillId="3" borderId="0" xfId="0" applyFont="1" applyFill="1"/>
    <xf numFmtId="0" fontId="25" fillId="3" borderId="0" xfId="0" applyNumberFormat="1" applyFont="1" applyFill="1" applyAlignment="1">
      <alignment horizontal="center"/>
    </xf>
    <xf numFmtId="17" fontId="25" fillId="3" borderId="0" xfId="0" applyNumberFormat="1" applyFont="1" applyFill="1" applyAlignment="1">
      <alignment horizontal="center"/>
    </xf>
    <xf numFmtId="0" fontId="25" fillId="3" borderId="0" xfId="0" applyFont="1" applyFill="1" applyBorder="1" applyAlignment="1">
      <alignment horizontal="right"/>
    </xf>
    <xf numFmtId="164" fontId="26" fillId="3" borderId="0" xfId="2" applyNumberFormat="1" applyFont="1" applyFill="1" applyBorder="1" applyAlignment="1">
      <alignment horizontal="center"/>
    </xf>
    <xf numFmtId="166" fontId="0" fillId="0" borderId="32" xfId="1" applyNumberFormat="1" applyFont="1" applyBorder="1" applyAlignment="1">
      <alignment horizontal="center" vertical="center"/>
    </xf>
    <xf numFmtId="0" fontId="1" fillId="0" borderId="3" xfId="0" applyNumberFormat="1" applyFont="1" applyBorder="1" applyAlignment="1">
      <alignment horizontal="center"/>
    </xf>
    <xf numFmtId="0" fontId="33" fillId="2" borderId="11" xfId="0" applyNumberFormat="1" applyFont="1" applyFill="1" applyBorder="1" applyAlignment="1">
      <alignment horizontal="center"/>
    </xf>
    <xf numFmtId="165" fontId="0" fillId="0" borderId="9" xfId="0" applyNumberFormat="1" applyBorder="1" applyAlignment="1">
      <alignment horizontal="center" vertical="center"/>
    </xf>
    <xf numFmtId="10" fontId="0" fillId="2" borderId="2" xfId="2" applyNumberFormat="1" applyFont="1" applyFill="1" applyBorder="1" applyAlignment="1">
      <alignment horizontal="center" vertical="center"/>
    </xf>
    <xf numFmtId="165" fontId="0" fillId="0" borderId="10" xfId="0" applyNumberFormat="1" applyBorder="1" applyAlignment="1">
      <alignment horizontal="center" vertical="center"/>
    </xf>
    <xf numFmtId="0" fontId="34" fillId="0" borderId="11" xfId="0" applyFont="1" applyBorder="1" applyAlignment="1">
      <alignment horizontal="center"/>
    </xf>
    <xf numFmtId="0" fontId="34" fillId="0" borderId="4" xfId="0" applyFont="1" applyBorder="1" applyAlignment="1">
      <alignment horizontal="center"/>
    </xf>
    <xf numFmtId="165" fontId="0" fillId="0" borderId="9" xfId="0" applyNumberFormat="1" applyBorder="1" applyAlignment="1">
      <alignment horizontal="center"/>
    </xf>
    <xf numFmtId="10" fontId="0" fillId="2" borderId="10" xfId="2" applyNumberFormat="1" applyFont="1" applyFill="1" applyBorder="1" applyAlignment="1">
      <alignment horizontal="center" vertical="center"/>
    </xf>
    <xf numFmtId="0" fontId="1" fillId="0" borderId="9" xfId="0" applyFont="1" applyBorder="1" applyAlignment="1">
      <alignment horizontal="left"/>
    </xf>
    <xf numFmtId="171" fontId="0" fillId="0" borderId="9" xfId="0" applyNumberFormat="1" applyBorder="1" applyAlignment="1">
      <alignment horizontal="center" vertical="center"/>
    </xf>
    <xf numFmtId="171" fontId="0" fillId="0" borderId="2" xfId="0" applyNumberFormat="1" applyBorder="1" applyAlignment="1">
      <alignment horizontal="center" vertical="center"/>
    </xf>
    <xf numFmtId="0" fontId="18" fillId="0" borderId="0" xfId="0" applyFont="1"/>
    <xf numFmtId="0" fontId="1" fillId="0" borderId="0" xfId="0" applyFont="1" applyFill="1"/>
    <xf numFmtId="173" fontId="1" fillId="0" borderId="0" xfId="0" applyNumberFormat="1" applyFont="1" applyFill="1" applyAlignment="1">
      <alignment horizontal="center"/>
    </xf>
    <xf numFmtId="173" fontId="0" fillId="0" borderId="0" xfId="0" applyNumberFormat="1" applyAlignment="1">
      <alignment horizontal="center"/>
    </xf>
    <xf numFmtId="0" fontId="1" fillId="0" borderId="0" xfId="0" applyFont="1" applyFill="1" applyAlignment="1">
      <alignment vertical="top" wrapText="1"/>
    </xf>
    <xf numFmtId="10" fontId="0" fillId="0" borderId="0" xfId="2" applyNumberFormat="1" applyFont="1" applyFill="1" applyAlignment="1">
      <alignment horizontal="center" vertical="top" wrapText="1"/>
    </xf>
    <xf numFmtId="2" fontId="1" fillId="0" borderId="0" xfId="0" applyNumberFormat="1" applyFont="1" applyFill="1" applyAlignment="1">
      <alignment horizontal="center"/>
    </xf>
    <xf numFmtId="0" fontId="1" fillId="0" borderId="0" xfId="0" applyFont="1" applyFill="1" applyAlignment="1">
      <alignment horizontal="right"/>
    </xf>
    <xf numFmtId="0" fontId="1" fillId="0" borderId="0" xfId="0" applyFont="1" applyFill="1" applyAlignment="1">
      <alignment horizontal="left"/>
    </xf>
    <xf numFmtId="10" fontId="1" fillId="0" borderId="0" xfId="2" applyNumberFormat="1" applyFont="1" applyFill="1" applyAlignment="1">
      <alignment horizontal="center"/>
    </xf>
    <xf numFmtId="10" fontId="1" fillId="0" borderId="0" xfId="0" applyNumberFormat="1" applyFont="1" applyFill="1" applyAlignment="1">
      <alignment horizontal="center"/>
    </xf>
    <xf numFmtId="0" fontId="24" fillId="0" borderId="0" xfId="0" applyFont="1" applyFill="1" applyBorder="1" applyAlignment="1">
      <alignment horizontal="left" vertical="center"/>
    </xf>
    <xf numFmtId="174" fontId="0" fillId="0" borderId="0" xfId="0" applyNumberFormat="1" applyFill="1" applyAlignment="1">
      <alignment horizontal="center"/>
    </xf>
    <xf numFmtId="9" fontId="0" fillId="0" borderId="0" xfId="0" applyNumberFormat="1" applyFill="1" applyAlignment="1">
      <alignment horizontal="center"/>
    </xf>
    <xf numFmtId="0" fontId="0" fillId="0" borderId="0" xfId="0" applyFill="1" applyAlignment="1">
      <alignment horizontal="right"/>
    </xf>
    <xf numFmtId="0" fontId="6" fillId="0" borderId="0" xfId="0" applyFont="1"/>
    <xf numFmtId="0" fontId="35" fillId="0" borderId="0" xfId="0" applyFont="1"/>
    <xf numFmtId="9" fontId="35" fillId="2" borderId="0" xfId="2" applyFont="1" applyFill="1" applyBorder="1" applyAlignment="1">
      <alignment horizontal="center" vertical="center"/>
    </xf>
    <xf numFmtId="169" fontId="35" fillId="2" borderId="1" xfId="2" applyNumberFormat="1" applyFont="1" applyFill="1" applyBorder="1" applyAlignment="1">
      <alignment horizontal="center" vertical="center"/>
    </xf>
    <xf numFmtId="10" fontId="35" fillId="2" borderId="0" xfId="2" applyNumberFormat="1" applyFont="1" applyFill="1" applyBorder="1" applyAlignment="1">
      <alignment horizontal="center" vertical="center"/>
    </xf>
    <xf numFmtId="9" fontId="35" fillId="2" borderId="1" xfId="2" applyFont="1" applyFill="1" applyBorder="1" applyAlignment="1">
      <alignment horizontal="center" vertical="center"/>
    </xf>
    <xf numFmtId="9" fontId="35" fillId="2" borderId="2" xfId="2" applyFont="1" applyFill="1" applyBorder="1" applyAlignment="1">
      <alignment horizontal="center" vertical="center"/>
    </xf>
    <xf numFmtId="165" fontId="35" fillId="0" borderId="0" xfId="0" applyNumberFormat="1" applyFont="1"/>
    <xf numFmtId="0" fontId="4" fillId="0" borderId="0" xfId="0" applyFont="1" applyFill="1"/>
    <xf numFmtId="165" fontId="4" fillId="0" borderId="0" xfId="0" applyNumberFormat="1" applyFont="1" applyFill="1" applyAlignment="1">
      <alignment horizontal="center"/>
    </xf>
    <xf numFmtId="0" fontId="3" fillId="0" borderId="0" xfId="0" applyFont="1" applyFill="1"/>
    <xf numFmtId="9" fontId="35" fillId="0" borderId="0" xfId="2" applyFont="1" applyFill="1" applyBorder="1" applyAlignment="1">
      <alignment horizontal="center" vertical="center"/>
    </xf>
    <xf numFmtId="169" fontId="35" fillId="2" borderId="0" xfId="2" applyNumberFormat="1" applyFont="1" applyFill="1" applyBorder="1" applyAlignment="1">
      <alignment horizontal="center" vertical="center"/>
    </xf>
    <xf numFmtId="165" fontId="18" fillId="0" borderId="0" xfId="0" applyNumberFormat="1" applyFont="1" applyAlignment="1">
      <alignment horizontal="center"/>
    </xf>
    <xf numFmtId="0" fontId="19" fillId="2" borderId="0" xfId="0" applyFont="1" applyFill="1" applyBorder="1" applyAlignment="1">
      <alignment horizontal="center"/>
    </xf>
    <xf numFmtId="0" fontId="17" fillId="2" borderId="0" xfId="0" applyNumberFormat="1" applyFont="1" applyFill="1" applyBorder="1" applyAlignment="1">
      <alignment horizontal="center" vertical="center"/>
    </xf>
    <xf numFmtId="0" fontId="36" fillId="0" borderId="0" xfId="0" applyFont="1"/>
    <xf numFmtId="165" fontId="36" fillId="0" borderId="0" xfId="0" applyNumberFormat="1" applyFont="1"/>
    <xf numFmtId="9" fontId="36" fillId="2" borderId="0" xfId="2" applyFont="1" applyFill="1" applyBorder="1" applyAlignment="1">
      <alignment horizontal="center" vertical="center"/>
    </xf>
    <xf numFmtId="169" fontId="36" fillId="2" borderId="0" xfId="2" applyNumberFormat="1" applyFont="1" applyFill="1" applyBorder="1" applyAlignment="1">
      <alignment horizontal="center" vertical="center"/>
    </xf>
    <xf numFmtId="9" fontId="36" fillId="2" borderId="1" xfId="2" applyFont="1" applyFill="1" applyBorder="1" applyAlignment="1">
      <alignment horizontal="center" vertical="center"/>
    </xf>
    <xf numFmtId="169" fontId="36" fillId="2" borderId="2" xfId="2" applyNumberFormat="1" applyFont="1" applyFill="1" applyBorder="1" applyAlignment="1">
      <alignment horizontal="center" vertical="center"/>
    </xf>
    <xf numFmtId="10" fontId="36" fillId="2" borderId="1" xfId="2" applyNumberFormat="1" applyFont="1" applyFill="1" applyBorder="1" applyAlignment="1">
      <alignment horizontal="center" vertical="center"/>
    </xf>
    <xf numFmtId="9" fontId="36" fillId="2" borderId="2" xfId="2" applyFont="1" applyFill="1" applyBorder="1" applyAlignment="1">
      <alignment horizontal="center" vertical="center"/>
    </xf>
    <xf numFmtId="165" fontId="36" fillId="0" borderId="0" xfId="0" applyNumberFormat="1" applyFont="1" applyBorder="1" applyAlignment="1">
      <alignment horizontal="center" vertical="center"/>
    </xf>
    <xf numFmtId="165" fontId="35" fillId="0" borderId="0" xfId="0" applyNumberFormat="1" applyFont="1" applyAlignment="1">
      <alignment horizontal="center" vertical="center"/>
    </xf>
    <xf numFmtId="9" fontId="17" fillId="2" borderId="0" xfId="2" applyFont="1" applyFill="1" applyBorder="1" applyAlignment="1">
      <alignment horizontal="center" vertical="center"/>
    </xf>
    <xf numFmtId="17" fontId="17" fillId="0" borderId="0" xfId="0" applyNumberFormat="1" applyFont="1" applyAlignment="1">
      <alignment horizontal="center"/>
    </xf>
    <xf numFmtId="9" fontId="36" fillId="0" borderId="0" xfId="2" applyFont="1" applyAlignment="1">
      <alignment horizontal="center"/>
    </xf>
    <xf numFmtId="165" fontId="0" fillId="0" borderId="0" xfId="0" applyNumberFormat="1" applyFill="1" applyAlignment="1">
      <alignment horizontal="center"/>
    </xf>
    <xf numFmtId="0" fontId="1" fillId="0" borderId="0" xfId="0" applyFont="1" applyFill="1" applyAlignment="1">
      <alignment horizontal="center"/>
    </xf>
    <xf numFmtId="0" fontId="17" fillId="2" borderId="0" xfId="0" applyNumberFormat="1" applyFont="1" applyFill="1" applyBorder="1" applyAlignment="1">
      <alignment horizontal="center"/>
    </xf>
    <xf numFmtId="9" fontId="17" fillId="0" borderId="0" xfId="2" applyFont="1" applyFill="1" applyBorder="1" applyAlignment="1">
      <alignment horizontal="center" wrapText="1"/>
    </xf>
    <xf numFmtId="10" fontId="0" fillId="0" borderId="0" xfId="2" applyNumberFormat="1" applyFont="1" applyFill="1" applyAlignment="1">
      <alignment horizontal="center"/>
    </xf>
    <xf numFmtId="10" fontId="12" fillId="2" borderId="0" xfId="2" applyNumberFormat="1" applyFont="1" applyFill="1" applyAlignment="1">
      <alignment horizontal="center" wrapText="1"/>
    </xf>
    <xf numFmtId="165" fontId="1" fillId="0" borderId="0" xfId="0" applyNumberFormat="1" applyFont="1" applyFill="1" applyAlignment="1">
      <alignment horizontal="center"/>
    </xf>
    <xf numFmtId="10" fontId="0" fillId="0" borderId="0" xfId="2" applyNumberFormat="1" applyFont="1" applyFill="1" applyBorder="1" applyAlignment="1">
      <alignment horizontal="center" vertical="center"/>
    </xf>
    <xf numFmtId="169" fontId="0" fillId="0" borderId="0" xfId="2" applyNumberFormat="1" applyFont="1" applyFill="1" applyAlignment="1">
      <alignment horizontal="center"/>
    </xf>
    <xf numFmtId="9" fontId="0" fillId="0" borderId="0" xfId="2" applyFont="1" applyFill="1" applyBorder="1"/>
    <xf numFmtId="10" fontId="0" fillId="0" borderId="0" xfId="2" applyNumberFormat="1" applyFont="1" applyFill="1" applyBorder="1" applyAlignment="1">
      <alignment horizontal="center"/>
    </xf>
    <xf numFmtId="10" fontId="1" fillId="0" borderId="0" xfId="2" applyNumberFormat="1" applyFont="1" applyFill="1" applyBorder="1" applyAlignment="1">
      <alignment horizontal="center"/>
    </xf>
    <xf numFmtId="9" fontId="35" fillId="0" borderId="0" xfId="2" applyFont="1"/>
    <xf numFmtId="9" fontId="19" fillId="2" borderId="0" xfId="2" applyFont="1" applyFill="1" applyBorder="1" applyAlignment="1">
      <alignment horizontal="center" wrapText="1"/>
    </xf>
    <xf numFmtId="10" fontId="35" fillId="2" borderId="0" xfId="2" applyNumberFormat="1" applyFont="1" applyFill="1" applyAlignment="1">
      <alignment horizontal="center"/>
    </xf>
    <xf numFmtId="165" fontId="0" fillId="2" borderId="1" xfId="0" applyNumberFormat="1" applyFont="1" applyFill="1" applyBorder="1" applyAlignment="1">
      <alignment horizontal="center"/>
    </xf>
    <xf numFmtId="165" fontId="1" fillId="0" borderId="0" xfId="0" applyNumberFormat="1" applyFont="1" applyAlignment="1">
      <alignment horizontal="right"/>
    </xf>
    <xf numFmtId="0" fontId="1" fillId="0" borderId="0" xfId="0" applyFont="1" applyAlignment="1">
      <alignment horizontal="right" indent="1"/>
    </xf>
    <xf numFmtId="9" fontId="5" fillId="0" borderId="0" xfId="2" applyNumberFormat="1" applyFont="1" applyAlignment="1">
      <alignment horizontal="center"/>
    </xf>
    <xf numFmtId="164" fontId="0" fillId="0" borderId="0" xfId="0" applyNumberFormat="1" applyFill="1" applyAlignment="1">
      <alignment horizontal="center"/>
    </xf>
    <xf numFmtId="0" fontId="3" fillId="0" borderId="0" xfId="0" applyFont="1" applyBorder="1"/>
    <xf numFmtId="0" fontId="0" fillId="0" borderId="0" xfId="0" applyBorder="1" applyAlignment="1">
      <alignment horizontal="right"/>
    </xf>
    <xf numFmtId="165" fontId="0" fillId="0" borderId="0" xfId="0" applyNumberFormat="1" applyFill="1" applyBorder="1" applyAlignment="1">
      <alignment horizontal="center"/>
    </xf>
    <xf numFmtId="165" fontId="0" fillId="0" borderId="6" xfId="0" applyNumberFormat="1" applyFill="1" applyBorder="1" applyAlignment="1">
      <alignment horizontal="center"/>
    </xf>
    <xf numFmtId="165" fontId="1" fillId="0" borderId="0" xfId="0" applyNumberFormat="1" applyFont="1" applyFill="1" applyBorder="1" applyAlignment="1">
      <alignment horizontal="center"/>
    </xf>
    <xf numFmtId="165" fontId="1" fillId="0" borderId="6" xfId="0" applyNumberFormat="1" applyFont="1" applyFill="1" applyBorder="1" applyAlignment="1">
      <alignment horizontal="center"/>
    </xf>
    <xf numFmtId="0" fontId="0" fillId="0" borderId="0" xfId="0" applyFill="1" applyAlignment="1">
      <alignment horizontal="center"/>
    </xf>
    <xf numFmtId="164" fontId="0" fillId="7" borderId="11" xfId="0" applyNumberFormat="1" applyFill="1" applyBorder="1" applyAlignment="1">
      <alignment horizontal="center"/>
    </xf>
    <xf numFmtId="164" fontId="0" fillId="7" borderId="0" xfId="0" applyNumberFormat="1" applyFill="1" applyBorder="1" applyAlignment="1">
      <alignment horizontal="center"/>
    </xf>
    <xf numFmtId="0" fontId="0" fillId="0" borderId="0" xfId="0" applyFill="1" applyBorder="1" applyAlignment="1">
      <alignment horizontal="center"/>
    </xf>
    <xf numFmtId="0" fontId="1" fillId="0" borderId="0" xfId="0" applyFont="1" applyFill="1" applyBorder="1" applyAlignment="1">
      <alignment horizontal="center"/>
    </xf>
    <xf numFmtId="0" fontId="0" fillId="0" borderId="0" xfId="0" applyFill="1" applyBorder="1" applyAlignment="1">
      <alignment horizontal="right"/>
    </xf>
    <xf numFmtId="10" fontId="1" fillId="0" borderId="0" xfId="0" applyNumberFormat="1" applyFont="1" applyAlignment="1">
      <alignment horizontal="center"/>
    </xf>
    <xf numFmtId="0" fontId="32" fillId="0" borderId="0" xfId="0" applyFont="1" applyBorder="1" applyAlignment="1">
      <alignment horizontal="right"/>
    </xf>
    <xf numFmtId="0" fontId="32" fillId="0" borderId="0" xfId="0" applyFont="1" applyAlignment="1">
      <alignment horizontal="center"/>
    </xf>
    <xf numFmtId="1" fontId="1" fillId="7" borderId="9" xfId="0" applyNumberFormat="1" applyFont="1" applyFill="1" applyBorder="1" applyAlignment="1">
      <alignment horizontal="center"/>
    </xf>
    <xf numFmtId="1" fontId="1" fillId="7" borderId="23" xfId="0" applyNumberFormat="1" applyFont="1" applyFill="1" applyBorder="1" applyAlignment="1">
      <alignment horizontal="center"/>
    </xf>
    <xf numFmtId="0" fontId="0" fillId="0" borderId="0" xfId="0" applyFont="1" applyAlignment="1">
      <alignment vertical="center"/>
    </xf>
    <xf numFmtId="0" fontId="0" fillId="0" borderId="0" xfId="0" applyFont="1" applyAlignment="1">
      <alignment horizontal="right" vertical="center"/>
    </xf>
    <xf numFmtId="3" fontId="0" fillId="0" borderId="13" xfId="0" applyNumberFormat="1" applyFont="1" applyBorder="1" applyAlignment="1">
      <alignment horizontal="center"/>
    </xf>
    <xf numFmtId="3" fontId="0" fillId="17" borderId="13" xfId="0" applyNumberFormat="1" applyFont="1" applyFill="1" applyBorder="1" applyAlignment="1">
      <alignment horizontal="center"/>
    </xf>
    <xf numFmtId="0" fontId="1" fillId="9" borderId="0" xfId="0" applyFont="1" applyFill="1" applyAlignment="1">
      <alignment horizontal="right" vertical="center"/>
    </xf>
    <xf numFmtId="0" fontId="1" fillId="9" borderId="0" xfId="0" applyFont="1" applyFill="1" applyAlignment="1">
      <alignment vertical="center"/>
    </xf>
    <xf numFmtId="3" fontId="1" fillId="9" borderId="13" xfId="0" applyNumberFormat="1" applyFont="1" applyFill="1" applyBorder="1" applyAlignment="1">
      <alignment horizontal="center"/>
    </xf>
    <xf numFmtId="0" fontId="1" fillId="0" borderId="0" xfId="0" applyFont="1" applyAlignment="1">
      <alignment vertical="center"/>
    </xf>
    <xf numFmtId="0" fontId="0" fillId="0" borderId="13" xfId="0" applyFont="1" applyBorder="1" applyAlignment="1">
      <alignment horizontal="center"/>
    </xf>
    <xf numFmtId="0" fontId="0" fillId="17" borderId="13" xfId="0" applyFont="1" applyFill="1" applyBorder="1" applyAlignment="1">
      <alignment horizontal="center"/>
    </xf>
    <xf numFmtId="0" fontId="1" fillId="0" borderId="0" xfId="0" applyFont="1" applyAlignment="1">
      <alignment horizontal="justify" vertical="center"/>
    </xf>
    <xf numFmtId="9" fontId="5" fillId="0" borderId="13" xfId="0" applyNumberFormat="1" applyFont="1" applyBorder="1" applyAlignment="1">
      <alignment horizontal="center" vertical="center" wrapText="1"/>
    </xf>
    <xf numFmtId="9" fontId="5" fillId="17" borderId="13" xfId="0" applyNumberFormat="1" applyFont="1" applyFill="1" applyBorder="1" applyAlignment="1">
      <alignment horizontal="center" vertical="center" wrapText="1"/>
    </xf>
    <xf numFmtId="4" fontId="0" fillId="0" borderId="13" xfId="0" applyNumberFormat="1" applyFont="1" applyBorder="1" applyAlignment="1">
      <alignment horizontal="center"/>
    </xf>
    <xf numFmtId="0" fontId="0" fillId="0" borderId="0" xfId="0" applyFont="1" applyAlignment="1">
      <alignment horizontal="justify" vertical="center"/>
    </xf>
    <xf numFmtId="0" fontId="1" fillId="9" borderId="0" xfId="0" applyFont="1" applyFill="1" applyAlignment="1">
      <alignment horizontal="right"/>
    </xf>
    <xf numFmtId="0" fontId="1" fillId="9" borderId="0" xfId="0" applyFont="1" applyFill="1"/>
    <xf numFmtId="167" fontId="1" fillId="9" borderId="14" xfId="0" applyNumberFormat="1" applyFont="1" applyFill="1" applyBorder="1" applyAlignment="1">
      <alignment horizontal="center"/>
    </xf>
    <xf numFmtId="0" fontId="27" fillId="9" borderId="0" xfId="0" applyFont="1" applyFill="1" applyBorder="1"/>
    <xf numFmtId="0" fontId="6" fillId="0" borderId="0" xfId="0" applyFont="1" applyBorder="1"/>
    <xf numFmtId="0" fontId="12" fillId="0" borderId="0" xfId="0" applyNumberFormat="1" applyFont="1" applyAlignment="1">
      <alignment horizontal="center"/>
    </xf>
    <xf numFmtId="17" fontId="12" fillId="0" borderId="0" xfId="0" applyNumberFormat="1" applyFont="1" applyAlignment="1">
      <alignment horizontal="center"/>
    </xf>
    <xf numFmtId="165" fontId="6" fillId="0" borderId="0" xfId="0" applyNumberFormat="1" applyFont="1" applyBorder="1"/>
    <xf numFmtId="9" fontId="6" fillId="3" borderId="0" xfId="2" applyFont="1" applyFill="1" applyBorder="1" applyAlignment="1">
      <alignment horizontal="center"/>
    </xf>
    <xf numFmtId="0" fontId="1" fillId="19" borderId="0" xfId="0" applyFont="1" applyFill="1" applyBorder="1" applyAlignment="1">
      <alignment horizontal="center"/>
    </xf>
    <xf numFmtId="0" fontId="29" fillId="0" borderId="0" xfId="0" applyFont="1" applyFill="1"/>
    <xf numFmtId="9" fontId="29" fillId="0" borderId="0" xfId="0" applyNumberFormat="1" applyFont="1" applyFill="1"/>
    <xf numFmtId="0" fontId="35" fillId="0" borderId="0" xfId="0" applyFont="1" applyBorder="1"/>
    <xf numFmtId="0" fontId="35" fillId="0" borderId="0" xfId="0" applyFont="1" applyBorder="1" applyAlignment="1">
      <alignment horizontal="center"/>
    </xf>
    <xf numFmtId="1" fontId="19" fillId="7" borderId="23" xfId="0" applyNumberFormat="1" applyFont="1" applyFill="1" applyBorder="1" applyAlignment="1">
      <alignment horizontal="center"/>
    </xf>
    <xf numFmtId="1" fontId="19" fillId="7" borderId="2" xfId="0" applyNumberFormat="1" applyFont="1" applyFill="1" applyBorder="1" applyAlignment="1">
      <alignment horizontal="center"/>
    </xf>
    <xf numFmtId="165" fontId="35" fillId="7" borderId="13" xfId="0" applyNumberFormat="1" applyFont="1" applyFill="1" applyBorder="1" applyAlignment="1">
      <alignment horizontal="center"/>
    </xf>
    <xf numFmtId="165" fontId="35" fillId="7" borderId="0" xfId="0" applyNumberFormat="1" applyFont="1" applyFill="1" applyAlignment="1">
      <alignment horizontal="center"/>
    </xf>
    <xf numFmtId="165" fontId="38" fillId="7" borderId="13" xfId="0" applyNumberFormat="1" applyFont="1" applyFill="1" applyBorder="1" applyAlignment="1">
      <alignment horizontal="center"/>
    </xf>
    <xf numFmtId="9" fontId="38" fillId="7" borderId="0" xfId="2" applyFont="1" applyFill="1" applyAlignment="1">
      <alignment horizontal="center"/>
    </xf>
    <xf numFmtId="9" fontId="38" fillId="7" borderId="13" xfId="2" applyFont="1" applyFill="1" applyBorder="1" applyAlignment="1">
      <alignment horizontal="center"/>
    </xf>
    <xf numFmtId="0" fontId="35" fillId="0" borderId="0" xfId="0" applyFont="1" applyFill="1" applyBorder="1"/>
    <xf numFmtId="0" fontId="38" fillId="0" borderId="0" xfId="0" applyFont="1" applyFill="1" applyBorder="1"/>
    <xf numFmtId="165" fontId="35" fillId="7" borderId="0" xfId="0" applyNumberFormat="1" applyFont="1" applyFill="1" applyBorder="1" applyAlignment="1">
      <alignment horizontal="center"/>
    </xf>
    <xf numFmtId="165" fontId="38" fillId="0" borderId="13" xfId="0" applyNumberFormat="1" applyFont="1" applyFill="1" applyBorder="1" applyAlignment="1">
      <alignment horizontal="center"/>
    </xf>
    <xf numFmtId="9" fontId="38" fillId="0" borderId="0" xfId="2" applyFont="1" applyFill="1" applyAlignment="1">
      <alignment horizontal="center"/>
    </xf>
    <xf numFmtId="9" fontId="38" fillId="0" borderId="13" xfId="2" applyFont="1" applyFill="1" applyBorder="1" applyAlignment="1">
      <alignment horizontal="center"/>
    </xf>
    <xf numFmtId="0" fontId="19" fillId="0" borderId="30" xfId="0" applyFont="1" applyBorder="1" applyAlignment="1">
      <alignment horizontal="center"/>
    </xf>
    <xf numFmtId="165" fontId="19" fillId="0" borderId="47" xfId="0" applyNumberFormat="1" applyFont="1" applyBorder="1" applyAlignment="1">
      <alignment horizontal="center"/>
    </xf>
    <xf numFmtId="165" fontId="19" fillId="0" borderId="31" xfId="0" applyNumberFormat="1" applyFont="1" applyBorder="1" applyAlignment="1">
      <alignment horizontal="center"/>
    </xf>
    <xf numFmtId="165" fontId="19" fillId="0" borderId="48" xfId="0" applyNumberFormat="1" applyFont="1" applyBorder="1" applyAlignment="1">
      <alignment horizontal="center"/>
    </xf>
    <xf numFmtId="0" fontId="30" fillId="18" borderId="0" xfId="0" applyFont="1" applyFill="1" applyBorder="1" applyAlignment="1">
      <alignment horizontal="right" vertical="center"/>
    </xf>
    <xf numFmtId="165" fontId="38" fillId="18" borderId="13" xfId="0" applyNumberFormat="1" applyFont="1" applyFill="1" applyBorder="1" applyAlignment="1">
      <alignment horizontal="center" vertical="center"/>
    </xf>
    <xf numFmtId="9" fontId="38" fillId="18" borderId="0" xfId="2" applyFont="1" applyFill="1" applyAlignment="1">
      <alignment horizontal="center" vertical="center"/>
    </xf>
    <xf numFmtId="9" fontId="38" fillId="18" borderId="13" xfId="2" applyFont="1" applyFill="1" applyBorder="1" applyAlignment="1">
      <alignment horizontal="center" vertical="center"/>
    </xf>
    <xf numFmtId="0" fontId="19" fillId="9" borderId="30" xfId="0" applyFont="1" applyFill="1" applyBorder="1" applyAlignment="1">
      <alignment horizontal="center" vertical="center" wrapText="1"/>
    </xf>
    <xf numFmtId="165" fontId="6" fillId="9" borderId="31" xfId="0" applyNumberFormat="1" applyFont="1" applyFill="1" applyBorder="1" applyAlignment="1">
      <alignment horizontal="center" vertical="center"/>
    </xf>
    <xf numFmtId="165" fontId="6" fillId="9" borderId="32" xfId="0" applyNumberFormat="1" applyFont="1" applyFill="1" applyBorder="1" applyAlignment="1">
      <alignment horizontal="center" vertical="center"/>
    </xf>
    <xf numFmtId="0" fontId="37" fillId="3" borderId="0" xfId="0" applyFont="1" applyFill="1" applyBorder="1" applyAlignment="1">
      <alignment horizontal="right"/>
    </xf>
    <xf numFmtId="0" fontId="19" fillId="3" borderId="0" xfId="0" applyFont="1" applyFill="1" applyBorder="1" applyAlignment="1">
      <alignment horizontal="right"/>
    </xf>
    <xf numFmtId="0" fontId="12" fillId="19" borderId="0" xfId="0" applyFont="1" applyFill="1"/>
    <xf numFmtId="169" fontId="12" fillId="19" borderId="0" xfId="0" applyNumberFormat="1" applyFont="1" applyFill="1" applyAlignment="1">
      <alignment horizontal="center"/>
    </xf>
    <xf numFmtId="169" fontId="6" fillId="19" borderId="0" xfId="2" applyNumberFormat="1" applyFont="1" applyFill="1" applyAlignment="1">
      <alignment horizontal="center"/>
    </xf>
    <xf numFmtId="9" fontId="6" fillId="19" borderId="0" xfId="2" applyFont="1" applyFill="1" applyAlignment="1">
      <alignment horizontal="center"/>
    </xf>
    <xf numFmtId="169" fontId="6" fillId="19" borderId="1" xfId="2" applyNumberFormat="1" applyFont="1" applyFill="1" applyBorder="1" applyAlignment="1">
      <alignment horizontal="center"/>
    </xf>
    <xf numFmtId="9" fontId="6" fillId="19" borderId="1" xfId="2" applyFont="1" applyFill="1" applyBorder="1" applyAlignment="1">
      <alignment horizontal="center"/>
    </xf>
    <xf numFmtId="169" fontId="12" fillId="19" borderId="0" xfId="2" applyNumberFormat="1" applyFont="1" applyFill="1" applyAlignment="1">
      <alignment horizontal="center"/>
    </xf>
    <xf numFmtId="0" fontId="12" fillId="19" borderId="0" xfId="0" applyFont="1" applyFill="1" applyBorder="1" applyAlignment="1">
      <alignment horizontal="center"/>
    </xf>
    <xf numFmtId="165" fontId="6" fillId="19" borderId="0" xfId="0" applyNumberFormat="1" applyFont="1" applyFill="1" applyBorder="1" applyAlignment="1">
      <alignment horizontal="center"/>
    </xf>
    <xf numFmtId="165" fontId="6" fillId="19" borderId="1" xfId="0" applyNumberFormat="1" applyFont="1" applyFill="1" applyBorder="1" applyAlignment="1">
      <alignment horizontal="center"/>
    </xf>
    <xf numFmtId="0" fontId="12" fillId="19" borderId="0" xfId="0" applyFont="1" applyFill="1" applyAlignment="1">
      <alignment horizontal="right"/>
    </xf>
    <xf numFmtId="10" fontId="1" fillId="19" borderId="0" xfId="2" applyNumberFormat="1" applyFont="1" applyFill="1" applyBorder="1" applyAlignment="1">
      <alignment horizontal="center"/>
    </xf>
    <xf numFmtId="169" fontId="0" fillId="19" borderId="0" xfId="2" applyNumberFormat="1" applyFont="1" applyFill="1" applyBorder="1" applyAlignment="1">
      <alignment horizontal="center"/>
    </xf>
    <xf numFmtId="10" fontId="1" fillId="19" borderId="1" xfId="2" applyNumberFormat="1" applyFont="1" applyFill="1" applyBorder="1" applyAlignment="1">
      <alignment horizontal="center"/>
    </xf>
    <xf numFmtId="169" fontId="0" fillId="19" borderId="1" xfId="2" applyNumberFormat="1" applyFont="1" applyFill="1" applyBorder="1" applyAlignment="1">
      <alignment horizontal="center"/>
    </xf>
    <xf numFmtId="169" fontId="1" fillId="19" borderId="0" xfId="2" applyNumberFormat="1" applyFont="1" applyFill="1" applyAlignment="1">
      <alignment horizontal="center"/>
    </xf>
    <xf numFmtId="165" fontId="0" fillId="19" borderId="0" xfId="0" applyNumberFormat="1" applyFill="1" applyAlignment="1">
      <alignment horizontal="center"/>
    </xf>
    <xf numFmtId="165" fontId="0" fillId="19" borderId="0" xfId="0" applyNumberFormat="1" applyFill="1" applyBorder="1" applyAlignment="1">
      <alignment horizontal="center"/>
    </xf>
    <xf numFmtId="0" fontId="1" fillId="19" borderId="0" xfId="0" applyFont="1" applyFill="1" applyAlignment="1">
      <alignment horizontal="right"/>
    </xf>
    <xf numFmtId="0" fontId="12" fillId="9" borderId="30" xfId="0" applyFont="1" applyFill="1" applyBorder="1"/>
    <xf numFmtId="0" fontId="12" fillId="9" borderId="31" xfId="0" applyFont="1" applyFill="1" applyBorder="1"/>
    <xf numFmtId="10" fontId="12" fillId="9" borderId="32" xfId="2" applyNumberFormat="1" applyFont="1" applyFill="1" applyBorder="1" applyAlignment="1">
      <alignment horizontal="center"/>
    </xf>
    <xf numFmtId="0" fontId="1" fillId="19" borderId="0" xfId="0" applyFont="1" applyFill="1"/>
    <xf numFmtId="169" fontId="1" fillId="19" borderId="0" xfId="0" applyNumberFormat="1" applyFont="1" applyFill="1" applyAlignment="1">
      <alignment horizontal="center"/>
    </xf>
    <xf numFmtId="0" fontId="1" fillId="9" borderId="31" xfId="0" applyFont="1" applyFill="1" applyBorder="1"/>
    <xf numFmtId="10" fontId="1" fillId="9" borderId="32" xfId="2" applyNumberFormat="1" applyFont="1" applyFill="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2" fillId="0" borderId="0" xfId="0" applyFont="1"/>
    <xf numFmtId="0" fontId="12" fillId="0" borderId="0" xfId="0" applyFont="1" applyAlignment="1">
      <alignment horizontal="right"/>
    </xf>
    <xf numFmtId="0" fontId="6" fillId="3" borderId="0" xfId="0" applyFont="1" applyFill="1"/>
    <xf numFmtId="0" fontId="40" fillId="3" borderId="0" xfId="0" applyFont="1" applyFill="1" applyAlignment="1">
      <alignment horizontal="right"/>
    </xf>
    <xf numFmtId="164" fontId="41" fillId="3" borderId="0" xfId="0" applyNumberFormat="1" applyFont="1" applyFill="1" applyAlignment="1">
      <alignment horizontal="center"/>
    </xf>
    <xf numFmtId="164" fontId="41" fillId="3" borderId="0" xfId="3" applyNumberFormat="1" applyFont="1" applyFill="1" applyAlignment="1">
      <alignment horizontal="center"/>
    </xf>
    <xf numFmtId="17" fontId="12" fillId="14" borderId="0" xfId="0" applyNumberFormat="1" applyFont="1" applyFill="1" applyAlignment="1">
      <alignment horizontal="center"/>
    </xf>
    <xf numFmtId="0" fontId="12" fillId="14" borderId="0" xfId="0" applyFont="1" applyFill="1" applyAlignment="1">
      <alignment horizontal="center"/>
    </xf>
    <xf numFmtId="164" fontId="43" fillId="14" borderId="0" xfId="0" applyNumberFormat="1" applyFont="1" applyFill="1" applyAlignment="1">
      <alignment horizontal="center" vertical="center"/>
    </xf>
    <xf numFmtId="0" fontId="6" fillId="0" borderId="0" xfId="0" applyFont="1" applyAlignment="1">
      <alignment vertical="center"/>
    </xf>
    <xf numFmtId="164" fontId="6" fillId="0" borderId="0" xfId="0" applyNumberFormat="1" applyFont="1"/>
    <xf numFmtId="0" fontId="35" fillId="0" borderId="0" xfId="0" applyFont="1" applyAlignment="1">
      <alignment horizontal="center"/>
    </xf>
    <xf numFmtId="164" fontId="35" fillId="3" borderId="0" xfId="0" applyNumberFormat="1" applyFont="1" applyFill="1" applyAlignment="1">
      <alignment horizontal="center"/>
    </xf>
    <xf numFmtId="164" fontId="35" fillId="3" borderId="5" xfId="0" applyNumberFormat="1" applyFont="1" applyFill="1" applyBorder="1" applyAlignment="1">
      <alignment horizontal="center"/>
    </xf>
    <xf numFmtId="164" fontId="35" fillId="3" borderId="0" xfId="3" applyNumberFormat="1" applyFont="1" applyFill="1" applyBorder="1" applyAlignment="1">
      <alignment horizontal="center"/>
    </xf>
    <xf numFmtId="164" fontId="35" fillId="3" borderId="0" xfId="0" applyNumberFormat="1" applyFont="1" applyFill="1" applyBorder="1" applyAlignment="1">
      <alignment horizontal="center"/>
    </xf>
    <xf numFmtId="164" fontId="35" fillId="15" borderId="7" xfId="3" applyNumberFormat="1" applyFont="1" applyFill="1" applyBorder="1" applyAlignment="1">
      <alignment horizontal="center"/>
    </xf>
    <xf numFmtId="164" fontId="35" fillId="15" borderId="1" xfId="3" applyNumberFormat="1" applyFont="1" applyFill="1" applyBorder="1" applyAlignment="1">
      <alignment horizontal="center"/>
    </xf>
    <xf numFmtId="0" fontId="39" fillId="0" borderId="23" xfId="0" applyFont="1" applyBorder="1" applyAlignment="1">
      <alignment horizontal="center"/>
    </xf>
    <xf numFmtId="164" fontId="35" fillId="3" borderId="13" xfId="3" applyNumberFormat="1" applyFont="1" applyFill="1" applyBorder="1" applyAlignment="1">
      <alignment horizontal="center"/>
    </xf>
    <xf numFmtId="164" fontId="35" fillId="15" borderId="14" xfId="0" applyNumberFormat="1" applyFont="1" applyFill="1" applyBorder="1" applyAlignment="1">
      <alignment horizontal="center"/>
    </xf>
    <xf numFmtId="0" fontId="19" fillId="0" borderId="0" xfId="0" applyFont="1" applyAlignment="1">
      <alignment horizontal="right" indent="1"/>
    </xf>
    <xf numFmtId="0" fontId="19" fillId="3" borderId="0" xfId="0" applyFont="1" applyFill="1" applyAlignment="1">
      <alignment horizontal="right" indent="1"/>
    </xf>
    <xf numFmtId="0" fontId="19" fillId="18" borderId="0" xfId="0" applyFont="1" applyFill="1" applyAlignment="1">
      <alignment horizontal="center"/>
    </xf>
    <xf numFmtId="164" fontId="35" fillId="18" borderId="0" xfId="0" applyNumberFormat="1" applyFont="1" applyFill="1" applyAlignment="1">
      <alignment horizontal="center"/>
    </xf>
    <xf numFmtId="0" fontId="19" fillId="2" borderId="3" xfId="0" applyFont="1" applyFill="1" applyBorder="1" applyAlignment="1">
      <alignment horizontal="center"/>
    </xf>
    <xf numFmtId="0" fontId="6" fillId="0" borderId="13" xfId="0" applyFont="1" applyBorder="1"/>
    <xf numFmtId="0" fontId="0" fillId="0" borderId="0" xfId="0" applyAlignment="1">
      <alignment horizontal="left"/>
    </xf>
    <xf numFmtId="17" fontId="19" fillId="2" borderId="12" xfId="0" applyNumberFormat="1" applyFont="1" applyFill="1" applyBorder="1" applyAlignment="1">
      <alignment horizontal="center"/>
    </xf>
    <xf numFmtId="164" fontId="35" fillId="2" borderId="13" xfId="3" applyNumberFormat="1" applyFont="1" applyFill="1" applyBorder="1" applyAlignment="1">
      <alignment horizontal="center"/>
    </xf>
    <xf numFmtId="164" fontId="35" fillId="2" borderId="5" xfId="3" applyNumberFormat="1" applyFont="1" applyFill="1" applyBorder="1" applyAlignment="1">
      <alignment horizontal="center"/>
    </xf>
    <xf numFmtId="164" fontId="35" fillId="2" borderId="0" xfId="3" applyNumberFormat="1" applyFont="1" applyFill="1" applyBorder="1" applyAlignment="1">
      <alignment horizontal="center"/>
    </xf>
    <xf numFmtId="0" fontId="0" fillId="3" borderId="0" xfId="0" applyFont="1" applyFill="1"/>
    <xf numFmtId="0" fontId="0" fillId="3" borderId="0" xfId="0" applyFont="1" applyFill="1" applyBorder="1"/>
    <xf numFmtId="0" fontId="26" fillId="0" borderId="0" xfId="0" applyFont="1"/>
    <xf numFmtId="0" fontId="25" fillId="20" borderId="0" xfId="0" applyFont="1" applyFill="1" applyAlignment="1">
      <alignment horizontal="center"/>
    </xf>
    <xf numFmtId="164" fontId="26" fillId="20" borderId="0" xfId="0" applyNumberFormat="1" applyFont="1" applyFill="1" applyAlignment="1">
      <alignment horizontal="center"/>
    </xf>
    <xf numFmtId="0" fontId="19" fillId="2" borderId="13" xfId="0" applyFont="1" applyFill="1" applyBorder="1" applyAlignment="1">
      <alignment horizontal="center"/>
    </xf>
    <xf numFmtId="164" fontId="35" fillId="2" borderId="13" xfId="0" applyNumberFormat="1" applyFont="1" applyFill="1" applyBorder="1"/>
    <xf numFmtId="0" fontId="6" fillId="3" borderId="13" xfId="0" applyFont="1" applyFill="1" applyBorder="1"/>
    <xf numFmtId="164" fontId="35" fillId="15" borderId="14" xfId="3" applyNumberFormat="1" applyFont="1" applyFill="1" applyBorder="1" applyAlignment="1">
      <alignment horizontal="center"/>
    </xf>
    <xf numFmtId="0" fontId="19" fillId="18" borderId="13" xfId="0" applyFont="1" applyFill="1" applyBorder="1" applyAlignment="1">
      <alignment horizontal="center"/>
    </xf>
    <xf numFmtId="164" fontId="35" fillId="18" borderId="13" xfId="0" applyNumberFormat="1" applyFont="1" applyFill="1" applyBorder="1" applyAlignment="1">
      <alignment horizontal="center"/>
    </xf>
    <xf numFmtId="0" fontId="12" fillId="14" borderId="13" xfId="0" applyFont="1" applyFill="1" applyBorder="1" applyAlignment="1">
      <alignment horizontal="center"/>
    </xf>
    <xf numFmtId="164" fontId="43" fillId="14" borderId="14" xfId="0" applyNumberFormat="1" applyFont="1" applyFill="1" applyBorder="1" applyAlignment="1">
      <alignment horizontal="center" vertical="center"/>
    </xf>
    <xf numFmtId="3" fontId="23" fillId="6" borderId="47" xfId="0" applyNumberFormat="1" applyFont="1" applyFill="1" applyBorder="1" applyAlignment="1">
      <alignment horizontal="center"/>
    </xf>
    <xf numFmtId="165" fontId="1" fillId="2" borderId="47" xfId="0" applyNumberFormat="1" applyFont="1" applyFill="1" applyBorder="1" applyAlignment="1">
      <alignment horizontal="center"/>
    </xf>
    <xf numFmtId="10" fontId="1" fillId="10" borderId="47" xfId="2" applyNumberFormat="1" applyFont="1" applyFill="1" applyBorder="1" applyAlignment="1">
      <alignment horizontal="center"/>
    </xf>
    <xf numFmtId="1" fontId="1" fillId="9" borderId="49" xfId="0" applyNumberFormat="1" applyFont="1" applyFill="1" applyBorder="1" applyAlignment="1">
      <alignment horizontal="center"/>
    </xf>
    <xf numFmtId="164" fontId="0" fillId="0" borderId="1" xfId="0" applyNumberFormat="1" applyBorder="1" applyAlignment="1">
      <alignment horizontal="center" vertical="center" wrapText="1"/>
    </xf>
    <xf numFmtId="164" fontId="0" fillId="0" borderId="11" xfId="0" applyNumberFormat="1" applyBorder="1" applyAlignment="1">
      <alignment horizontal="center" vertical="center" wrapText="1"/>
    </xf>
    <xf numFmtId="0" fontId="25" fillId="21" borderId="0" xfId="0" applyFont="1" applyFill="1"/>
    <xf numFmtId="164" fontId="25" fillId="21" borderId="0" xfId="0" applyNumberFormat="1" applyFont="1" applyFill="1" applyAlignment="1">
      <alignment horizontal="center"/>
    </xf>
    <xf numFmtId="0" fontId="1" fillId="2" borderId="0" xfId="0" applyFont="1" applyFill="1"/>
    <xf numFmtId="164" fontId="1" fillId="2" borderId="0" xfId="0" applyNumberFormat="1" applyFont="1" applyFill="1" applyAlignment="1">
      <alignment horizontal="center" vertical="center"/>
    </xf>
    <xf numFmtId="0" fontId="25" fillId="22" borderId="0" xfId="0" applyFont="1" applyFill="1"/>
    <xf numFmtId="164" fontId="25" fillId="22" borderId="0" xfId="0" applyNumberFormat="1" applyFont="1" applyFill="1" applyAlignment="1">
      <alignment horizontal="center"/>
    </xf>
    <xf numFmtId="49" fontId="25" fillId="20" borderId="0" xfId="0" applyNumberFormat="1" applyFont="1" applyFill="1" applyAlignment="1">
      <alignment horizontal="center"/>
    </xf>
    <xf numFmtId="0" fontId="0" fillId="0" borderId="23" xfId="0" applyBorder="1" applyAlignment="1">
      <alignment vertical="center"/>
    </xf>
    <xf numFmtId="165" fontId="0" fillId="0" borderId="23" xfId="0" applyNumberFormat="1" applyBorder="1" applyAlignment="1">
      <alignment horizontal="center" vertical="center"/>
    </xf>
    <xf numFmtId="0" fontId="0" fillId="0" borderId="0" xfId="0" applyAlignment="1">
      <alignment horizontal="left" vertical="center"/>
    </xf>
    <xf numFmtId="164" fontId="0" fillId="0" borderId="23" xfId="0" applyNumberFormat="1" applyBorder="1" applyAlignment="1">
      <alignment horizontal="center" vertical="center"/>
    </xf>
    <xf numFmtId="164" fontId="0" fillId="0" borderId="0" xfId="0" applyNumberFormat="1" applyAlignment="1">
      <alignment vertical="center"/>
    </xf>
    <xf numFmtId="0" fontId="23" fillId="0" borderId="23" xfId="0" applyFont="1" applyBorder="1" applyAlignment="1">
      <alignment vertical="center"/>
    </xf>
    <xf numFmtId="0" fontId="45" fillId="21" borderId="0" xfId="0" applyFont="1" applyFill="1"/>
    <xf numFmtId="9" fontId="45" fillId="21" borderId="0" xfId="2" applyFont="1" applyFill="1" applyAlignment="1">
      <alignment horizontal="center"/>
    </xf>
    <xf numFmtId="0" fontId="46" fillId="0" borderId="0" xfId="0" applyFont="1"/>
    <xf numFmtId="9" fontId="46" fillId="0" borderId="0" xfId="2" applyFont="1" applyAlignment="1">
      <alignment horizontal="center"/>
    </xf>
    <xf numFmtId="9" fontId="39" fillId="0" borderId="0" xfId="2" applyFont="1" applyAlignment="1">
      <alignment horizontal="left"/>
    </xf>
    <xf numFmtId="2" fontId="6" fillId="3" borderId="6" xfId="0" applyNumberFormat="1" applyFont="1" applyFill="1" applyBorder="1" applyAlignment="1">
      <alignment horizontal="center"/>
    </xf>
    <xf numFmtId="0" fontId="47" fillId="0" borderId="0" xfId="0" applyFont="1"/>
    <xf numFmtId="0" fontId="48" fillId="0" borderId="0" xfId="0" applyFont="1"/>
    <xf numFmtId="0" fontId="48" fillId="0" borderId="0" xfId="0" applyFont="1" applyAlignment="1">
      <alignment horizontal="center"/>
    </xf>
    <xf numFmtId="0" fontId="49" fillId="0" borderId="0" xfId="0" applyFont="1" applyBorder="1" applyAlignment="1">
      <alignment horizontal="right" vertical="center"/>
    </xf>
    <xf numFmtId="17" fontId="1" fillId="0" borderId="10" xfId="0" applyNumberFormat="1" applyFont="1" applyBorder="1" applyAlignment="1">
      <alignment horizontal="center"/>
    </xf>
    <xf numFmtId="17" fontId="1" fillId="0" borderId="0" xfId="0" applyNumberFormat="1" applyFont="1" applyBorder="1" applyAlignment="1">
      <alignment horizontal="center"/>
    </xf>
    <xf numFmtId="0" fontId="50" fillId="0" borderId="0" xfId="0" applyFont="1" applyBorder="1" applyAlignment="1">
      <alignment horizontal="right" vertical="center"/>
    </xf>
    <xf numFmtId="2" fontId="0" fillId="3" borderId="6" xfId="0" applyNumberFormat="1" applyFont="1" applyFill="1" applyBorder="1" applyAlignment="1">
      <alignment horizontal="center"/>
    </xf>
    <xf numFmtId="2" fontId="49" fillId="0" borderId="7" xfId="0" applyNumberFormat="1" applyFont="1" applyBorder="1" applyAlignment="1">
      <alignment horizontal="center" vertical="center"/>
    </xf>
    <xf numFmtId="2" fontId="49" fillId="0" borderId="1" xfId="0" applyNumberFormat="1" applyFont="1" applyBorder="1" applyAlignment="1">
      <alignment horizontal="center" vertical="center"/>
    </xf>
    <xf numFmtId="2" fontId="49" fillId="0" borderId="8" xfId="0" applyNumberFormat="1" applyFont="1" applyBorder="1" applyAlignment="1">
      <alignment horizontal="center" vertical="center"/>
    </xf>
    <xf numFmtId="2" fontId="0" fillId="0" borderId="0" xfId="0" applyNumberFormat="1" applyFont="1" applyAlignment="1">
      <alignment horizontal="center"/>
    </xf>
    <xf numFmtId="0" fontId="50" fillId="0" borderId="23" xfId="0" applyFont="1" applyBorder="1" applyAlignment="1">
      <alignment horizontal="center" vertical="center"/>
    </xf>
    <xf numFmtId="2" fontId="0" fillId="0" borderId="23" xfId="0" applyNumberFormat="1" applyFont="1" applyBorder="1" applyAlignment="1">
      <alignment horizontal="center"/>
    </xf>
    <xf numFmtId="0" fontId="1" fillId="0" borderId="0" xfId="0" applyFont="1" applyAlignment="1">
      <alignment horizontal="right" vertical="center"/>
    </xf>
    <xf numFmtId="4" fontId="0" fillId="0" borderId="14" xfId="0" applyNumberFormat="1" applyFont="1" applyBorder="1" applyAlignment="1">
      <alignment horizontal="center"/>
    </xf>
    <xf numFmtId="4" fontId="1" fillId="0" borderId="13" xfId="0" applyNumberFormat="1" applyFont="1" applyBorder="1" applyAlignment="1">
      <alignment horizontal="center" vertical="center"/>
    </xf>
    <xf numFmtId="0" fontId="0" fillId="17" borderId="13" xfId="0" applyFont="1" applyFill="1" applyBorder="1" applyAlignment="1">
      <alignment horizontal="center" vertical="center"/>
    </xf>
    <xf numFmtId="0" fontId="27" fillId="0" borderId="0" xfId="0" applyFont="1" applyAlignment="1">
      <alignment vertical="center"/>
    </xf>
    <xf numFmtId="0" fontId="52" fillId="3" borderId="0" xfId="0" applyFont="1" applyFill="1" applyAlignment="1">
      <alignment horizontal="center"/>
    </xf>
    <xf numFmtId="0" fontId="53" fillId="3" borderId="0" xfId="0" applyFont="1" applyFill="1" applyBorder="1" applyAlignment="1">
      <alignment horizontal="center" vertical="center"/>
    </xf>
    <xf numFmtId="10" fontId="52" fillId="3" borderId="0" xfId="2" applyNumberFormat="1" applyFont="1" applyFill="1" applyAlignment="1">
      <alignment horizontal="center"/>
    </xf>
    <xf numFmtId="170" fontId="52" fillId="3" borderId="0" xfId="2" applyNumberFormat="1" applyFont="1" applyFill="1" applyAlignment="1">
      <alignment horizontal="center"/>
    </xf>
    <xf numFmtId="10" fontId="52" fillId="3" borderId="0" xfId="0" applyNumberFormat="1" applyFont="1" applyFill="1" applyAlignment="1">
      <alignment horizontal="center"/>
    </xf>
    <xf numFmtId="0" fontId="51" fillId="3" borderId="30" xfId="0" applyFont="1" applyFill="1" applyBorder="1" applyAlignment="1">
      <alignment horizontal="center"/>
    </xf>
    <xf numFmtId="1" fontId="51" fillId="3" borderId="31" xfId="0" applyNumberFormat="1" applyFont="1" applyFill="1" applyBorder="1" applyAlignment="1">
      <alignment horizontal="center"/>
    </xf>
    <xf numFmtId="164" fontId="1" fillId="0" borderId="23" xfId="1" applyNumberFormat="1" applyFont="1" applyBorder="1" applyAlignment="1">
      <alignment horizontal="center" vertical="center"/>
    </xf>
    <xf numFmtId="164" fontId="2" fillId="0" borderId="23" xfId="1" applyNumberFormat="1" applyFont="1" applyBorder="1" applyAlignment="1">
      <alignment horizontal="center" vertical="center"/>
    </xf>
    <xf numFmtId="0" fontId="48" fillId="0" borderId="0" xfId="0" applyFont="1" applyAlignment="1">
      <alignment horizontal="left" indent="1"/>
    </xf>
    <xf numFmtId="0" fontId="47" fillId="0" borderId="0" xfId="0" applyFont="1" applyAlignment="1">
      <alignment horizontal="left"/>
    </xf>
    <xf numFmtId="0" fontId="47" fillId="0" borderId="0" xfId="0" applyFont="1" applyAlignment="1"/>
    <xf numFmtId="0" fontId="48" fillId="0" borderId="0" xfId="0" applyFont="1" applyAlignment="1">
      <alignment horizontal="left" indent="2"/>
    </xf>
    <xf numFmtId="0" fontId="47" fillId="0" borderId="0" xfId="0" applyFont="1" applyAlignment="1">
      <alignment horizontal="center" vertical="center"/>
    </xf>
    <xf numFmtId="0" fontId="48" fillId="0" borderId="0" xfId="0" applyFont="1" applyAlignment="1">
      <alignment vertical="center"/>
    </xf>
    <xf numFmtId="0" fontId="48" fillId="0" borderId="0" xfId="0" applyFont="1" applyAlignment="1">
      <alignment horizontal="center" vertical="center"/>
    </xf>
    <xf numFmtId="0" fontId="47" fillId="0" borderId="0" xfId="0" applyFont="1" applyAlignment="1">
      <alignment vertical="center"/>
    </xf>
    <xf numFmtId="0" fontId="48" fillId="0" borderId="0" xfId="0" applyFont="1" applyAlignment="1">
      <alignment horizontal="left" vertical="center"/>
    </xf>
    <xf numFmtId="0" fontId="3" fillId="0" borderId="0" xfId="0" applyFont="1" applyAlignment="1">
      <alignment horizontal="left"/>
    </xf>
    <xf numFmtId="0" fontId="1" fillId="0" borderId="0" xfId="0" applyFont="1" applyAlignment="1">
      <alignment vertical="top"/>
    </xf>
    <xf numFmtId="165" fontId="0" fillId="6" borderId="30" xfId="0" applyNumberFormat="1" applyFill="1" applyBorder="1" applyAlignment="1">
      <alignment horizontal="center"/>
    </xf>
    <xf numFmtId="10" fontId="1" fillId="6" borderId="48" xfId="2" applyNumberFormat="1" applyFont="1" applyFill="1" applyBorder="1" applyAlignment="1">
      <alignment horizontal="center"/>
    </xf>
    <xf numFmtId="0" fontId="1" fillId="6" borderId="30" xfId="0" applyFont="1" applyFill="1" applyBorder="1" applyAlignment="1">
      <alignment horizontal="right"/>
    </xf>
    <xf numFmtId="10" fontId="1" fillId="6" borderId="32" xfId="2" applyNumberFormat="1" applyFont="1" applyFill="1" applyBorder="1"/>
    <xf numFmtId="9" fontId="54" fillId="11" borderId="0" xfId="2" applyFont="1" applyFill="1" applyBorder="1" applyAlignment="1">
      <alignment horizontal="center" vertical="center"/>
    </xf>
    <xf numFmtId="9" fontId="55" fillId="11" borderId="0" xfId="2" applyFont="1" applyFill="1" applyBorder="1" applyAlignment="1">
      <alignment horizontal="center" vertical="center"/>
    </xf>
    <xf numFmtId="0" fontId="0" fillId="2" borderId="0" xfId="2" applyNumberFormat="1" applyFont="1" applyFill="1" applyBorder="1" applyAlignment="1">
      <alignment horizontal="center" vertical="center"/>
    </xf>
    <xf numFmtId="0" fontId="25" fillId="23" borderId="0" xfId="0" applyFont="1" applyFill="1" applyAlignment="1">
      <alignment horizontal="center"/>
    </xf>
    <xf numFmtId="10" fontId="25" fillId="23" borderId="0" xfId="0" applyNumberFormat="1" applyFont="1" applyFill="1" applyAlignment="1">
      <alignment horizontal="center"/>
    </xf>
    <xf numFmtId="0" fontId="0" fillId="0" borderId="0" xfId="0" applyAlignment="1">
      <alignment wrapText="1"/>
    </xf>
    <xf numFmtId="0" fontId="1" fillId="0" borderId="9" xfId="0" applyFont="1" applyBorder="1" applyAlignment="1">
      <alignment horizontal="left" vertical="center" wrapText="1" indent="1"/>
    </xf>
    <xf numFmtId="169" fontId="0" fillId="0" borderId="2" xfId="2" applyNumberFormat="1" applyFont="1" applyBorder="1" applyAlignment="1">
      <alignment horizontal="center" vertical="center"/>
    </xf>
    <xf numFmtId="0" fontId="1" fillId="0" borderId="3" xfId="0" applyFont="1" applyBorder="1" applyAlignment="1">
      <alignment horizontal="left" vertical="center" wrapText="1" indent="1"/>
    </xf>
    <xf numFmtId="9" fontId="0" fillId="0" borderId="11" xfId="2" applyFont="1" applyBorder="1" applyAlignment="1">
      <alignment horizontal="center" vertical="center"/>
    </xf>
    <xf numFmtId="9" fontId="0" fillId="0" borderId="2" xfId="2" applyFont="1" applyBorder="1" applyAlignment="1">
      <alignment horizontal="center" vertical="center"/>
    </xf>
    <xf numFmtId="168" fontId="0" fillId="0" borderId="2" xfId="0" applyNumberFormat="1" applyBorder="1" applyAlignment="1">
      <alignment horizontal="center" vertical="center"/>
    </xf>
    <xf numFmtId="1" fontId="0" fillId="0" borderId="2" xfId="0" applyNumberFormat="1" applyBorder="1" applyAlignment="1">
      <alignment horizontal="center" vertical="center"/>
    </xf>
    <xf numFmtId="0" fontId="0" fillId="0" borderId="23" xfId="0" applyBorder="1" applyAlignment="1">
      <alignment horizontal="center" vertical="center" wrapText="1"/>
    </xf>
    <xf numFmtId="0" fontId="0" fillId="0" borderId="12" xfId="0" applyBorder="1" applyAlignment="1">
      <alignment horizontal="center" vertical="center" wrapText="1"/>
    </xf>
    <xf numFmtId="0" fontId="50" fillId="0" borderId="3" xfId="0" applyFont="1" applyBorder="1" applyAlignment="1">
      <alignment horizontal="center" vertical="center"/>
    </xf>
    <xf numFmtId="0" fontId="50" fillId="0" borderId="11" xfId="0" applyFont="1" applyBorder="1" applyAlignment="1">
      <alignment horizontal="center" vertical="center"/>
    </xf>
    <xf numFmtId="0" fontId="1" fillId="0" borderId="11" xfId="0" applyFont="1" applyBorder="1" applyAlignment="1">
      <alignment horizontal="center"/>
    </xf>
    <xf numFmtId="0" fontId="16" fillId="8" borderId="1" xfId="0" applyFont="1" applyFill="1" applyBorder="1" applyAlignment="1">
      <alignment horizontal="center"/>
    </xf>
    <xf numFmtId="9" fontId="16" fillId="2" borderId="23" xfId="2" applyFont="1" applyFill="1" applyBorder="1" applyAlignment="1">
      <alignment horizontal="center" vertical="center"/>
    </xf>
    <xf numFmtId="9" fontId="5" fillId="2" borderId="14" xfId="2" applyFont="1" applyFill="1" applyBorder="1" applyAlignment="1">
      <alignment horizontal="center" vertical="center"/>
    </xf>
    <xf numFmtId="2" fontId="5" fillId="2" borderId="14" xfId="2" applyNumberFormat="1" applyFont="1" applyFill="1" applyBorder="1" applyAlignment="1">
      <alignment horizontal="center" vertical="center"/>
    </xf>
    <xf numFmtId="1" fontId="5" fillId="2" borderId="14" xfId="2" applyNumberFormat="1" applyFont="1" applyFill="1" applyBorder="1" applyAlignment="1">
      <alignment horizontal="center" vertical="center"/>
    </xf>
    <xf numFmtId="0" fontId="1" fillId="0" borderId="40" xfId="0" applyNumberFormat="1" applyFont="1" applyBorder="1" applyAlignment="1">
      <alignment horizontal="center"/>
    </xf>
    <xf numFmtId="17" fontId="1" fillId="0" borderId="34" xfId="0" applyNumberFormat="1" applyFont="1" applyBorder="1" applyAlignment="1">
      <alignment horizontal="center"/>
    </xf>
    <xf numFmtId="0" fontId="1" fillId="0" borderId="36" xfId="0" applyFont="1" applyBorder="1"/>
    <xf numFmtId="165" fontId="0" fillId="0" borderId="50" xfId="0" applyNumberFormat="1" applyBorder="1" applyAlignment="1">
      <alignment horizontal="center"/>
    </xf>
    <xf numFmtId="0" fontId="1" fillId="0" borderId="37" xfId="0" applyFont="1" applyBorder="1"/>
    <xf numFmtId="165" fontId="0" fillId="0" borderId="41" xfId="0" applyNumberFormat="1" applyBorder="1" applyAlignment="1">
      <alignment horizontal="center"/>
    </xf>
    <xf numFmtId="165" fontId="0" fillId="0" borderId="33" xfId="0" applyNumberFormat="1" applyBorder="1" applyAlignment="1">
      <alignment horizontal="center"/>
    </xf>
    <xf numFmtId="0" fontId="1" fillId="0" borderId="39" xfId="0" applyFont="1" applyBorder="1"/>
    <xf numFmtId="0" fontId="1" fillId="0" borderId="36" xfId="0" applyFont="1" applyBorder="1" applyAlignment="1"/>
    <xf numFmtId="0" fontId="1" fillId="0" borderId="37" xfId="0" applyFont="1" applyBorder="1" applyAlignment="1">
      <alignment horizontal="left"/>
    </xf>
    <xf numFmtId="0" fontId="1" fillId="0" borderId="36" xfId="0" applyFont="1" applyBorder="1" applyAlignment="1">
      <alignment horizontal="left"/>
    </xf>
    <xf numFmtId="9" fontId="0" fillId="12" borderId="0" xfId="0" applyNumberFormat="1" applyFont="1" applyFill="1" applyAlignment="1">
      <alignment horizontal="center"/>
    </xf>
    <xf numFmtId="49" fontId="1" fillId="8" borderId="2" xfId="0" applyNumberFormat="1" applyFont="1" applyFill="1" applyBorder="1" applyAlignment="1">
      <alignment horizontal="center"/>
    </xf>
    <xf numFmtId="0" fontId="1" fillId="0" borderId="0" xfId="0" applyFont="1" applyBorder="1" applyAlignment="1">
      <alignment horizontal="center"/>
    </xf>
    <xf numFmtId="0" fontId="1" fillId="7" borderId="2" xfId="0" applyNumberFormat="1" applyFont="1" applyFill="1" applyBorder="1" applyAlignment="1">
      <alignment horizontal="center"/>
    </xf>
    <xf numFmtId="9" fontId="0" fillId="12" borderId="0" xfId="2" applyFont="1" applyFill="1" applyAlignment="1">
      <alignment horizontal="center"/>
    </xf>
    <xf numFmtId="165" fontId="0" fillId="8" borderId="14" xfId="0" applyNumberFormat="1" applyFill="1" applyBorder="1" applyAlignment="1">
      <alignment horizontal="center"/>
    </xf>
    <xf numFmtId="165" fontId="0" fillId="8" borderId="13" xfId="0" applyNumberFormat="1" applyFill="1" applyBorder="1" applyAlignment="1">
      <alignment horizontal="center"/>
    </xf>
    <xf numFmtId="165" fontId="0" fillId="8" borderId="11" xfId="0" applyNumberFormat="1" applyFill="1" applyBorder="1" applyAlignment="1">
      <alignment horizontal="center"/>
    </xf>
    <xf numFmtId="49" fontId="1" fillId="24" borderId="23" xfId="0" applyNumberFormat="1" applyFont="1" applyFill="1" applyBorder="1" applyAlignment="1">
      <alignment horizontal="center"/>
    </xf>
    <xf numFmtId="165" fontId="0" fillId="24" borderId="12" xfId="0" applyNumberFormat="1" applyFill="1" applyBorder="1" applyAlignment="1">
      <alignment horizontal="center"/>
    </xf>
    <xf numFmtId="165" fontId="0" fillId="24" borderId="14" xfId="0" applyNumberFormat="1" applyFill="1" applyBorder="1" applyAlignment="1">
      <alignment horizontal="center"/>
    </xf>
    <xf numFmtId="165" fontId="0" fillId="24" borderId="13" xfId="0" applyNumberFormat="1" applyFill="1" applyBorder="1" applyAlignment="1">
      <alignment horizontal="center"/>
    </xf>
    <xf numFmtId="165" fontId="0" fillId="24" borderId="0" xfId="0" applyNumberFormat="1" applyFill="1" applyBorder="1" applyAlignment="1">
      <alignment horizontal="center"/>
    </xf>
    <xf numFmtId="165" fontId="0" fillId="8" borderId="23" xfId="0" applyNumberFormat="1" applyFill="1" applyBorder="1" applyAlignment="1">
      <alignment horizontal="center"/>
    </xf>
    <xf numFmtId="165" fontId="0" fillId="24" borderId="23" xfId="0" applyNumberFormat="1" applyFill="1" applyBorder="1" applyAlignment="1">
      <alignment horizontal="center"/>
    </xf>
    <xf numFmtId="0" fontId="21" fillId="7" borderId="2" xfId="0" applyFont="1" applyFill="1" applyBorder="1" applyAlignment="1">
      <alignment horizontal="center" wrapText="1"/>
    </xf>
    <xf numFmtId="0" fontId="56" fillId="0" borderId="0" xfId="0" applyFont="1" applyAlignment="1">
      <alignment horizontal="center"/>
    </xf>
    <xf numFmtId="0" fontId="16" fillId="8" borderId="7" xfId="0" applyFont="1" applyFill="1" applyBorder="1" applyAlignment="1">
      <alignment horizontal="center"/>
    </xf>
    <xf numFmtId="10" fontId="16" fillId="7" borderId="1" xfId="0" applyNumberFormat="1" applyFont="1" applyFill="1" applyBorder="1" applyAlignment="1"/>
    <xf numFmtId="10" fontId="16" fillId="7" borderId="8" xfId="0" applyNumberFormat="1" applyFont="1" applyFill="1" applyBorder="1" applyAlignment="1"/>
    <xf numFmtId="0" fontId="1" fillId="7" borderId="10" xfId="0" applyNumberFormat="1" applyFont="1" applyFill="1" applyBorder="1" applyAlignment="1">
      <alignment horizontal="center"/>
    </xf>
    <xf numFmtId="165" fontId="0" fillId="7" borderId="4" xfId="2" applyNumberFormat="1" applyFont="1" applyFill="1" applyBorder="1" applyAlignment="1">
      <alignment horizontal="center"/>
    </xf>
    <xf numFmtId="165" fontId="0" fillId="7" borderId="14" xfId="2" applyNumberFormat="1" applyFont="1" applyFill="1" applyBorder="1" applyAlignment="1">
      <alignment horizontal="center"/>
    </xf>
    <xf numFmtId="165" fontId="0" fillId="7" borderId="6" xfId="0" applyNumberFormat="1" applyFill="1" applyBorder="1" applyAlignment="1">
      <alignment horizontal="center"/>
    </xf>
    <xf numFmtId="0" fontId="1" fillId="0" borderId="6" xfId="0" applyFont="1" applyFill="1" applyBorder="1" applyAlignment="1">
      <alignment horizontal="center"/>
    </xf>
    <xf numFmtId="0" fontId="0" fillId="0" borderId="6" xfId="0" applyFill="1" applyBorder="1" applyAlignment="1">
      <alignment horizontal="center"/>
    </xf>
    <xf numFmtId="165" fontId="0" fillId="7" borderId="14" xfId="0" applyNumberFormat="1" applyFill="1" applyBorder="1" applyAlignment="1">
      <alignment horizontal="center"/>
    </xf>
    <xf numFmtId="165" fontId="0" fillId="7" borderId="13" xfId="0" applyNumberFormat="1" applyFill="1" applyBorder="1" applyAlignment="1">
      <alignment horizontal="center"/>
    </xf>
    <xf numFmtId="165" fontId="0" fillId="7" borderId="10" xfId="0" applyNumberFormat="1" applyFill="1" applyBorder="1" applyAlignment="1">
      <alignment horizontal="center"/>
    </xf>
    <xf numFmtId="165" fontId="1" fillId="7" borderId="44" xfId="0" applyNumberFormat="1" applyFont="1" applyFill="1" applyBorder="1" applyAlignment="1">
      <alignment horizontal="center"/>
    </xf>
    <xf numFmtId="164" fontId="0" fillId="7" borderId="44" xfId="0" applyNumberFormat="1" applyFill="1" applyBorder="1" applyAlignment="1">
      <alignment horizontal="center"/>
    </xf>
    <xf numFmtId="165" fontId="0" fillId="0" borderId="13" xfId="0" applyNumberFormat="1" applyFill="1" applyBorder="1" applyAlignment="1">
      <alignment horizontal="center"/>
    </xf>
    <xf numFmtId="0" fontId="0" fillId="0" borderId="5" xfId="0" applyFill="1" applyBorder="1"/>
    <xf numFmtId="165" fontId="1" fillId="8" borderId="51" xfId="0" applyNumberFormat="1" applyFont="1" applyFill="1" applyBorder="1" applyAlignment="1">
      <alignment horizontal="center"/>
    </xf>
    <xf numFmtId="165" fontId="0" fillId="0" borderId="5" xfId="0" applyNumberFormat="1" applyFill="1" applyBorder="1" applyAlignment="1">
      <alignment horizontal="center"/>
    </xf>
    <xf numFmtId="0" fontId="0" fillId="0" borderId="0" xfId="0" applyFill="1" applyBorder="1" applyAlignment="1">
      <alignment horizontal="right" indent="1"/>
    </xf>
    <xf numFmtId="0" fontId="1" fillId="0" borderId="0" xfId="0" applyFont="1" applyFill="1" applyBorder="1" applyAlignment="1">
      <alignment horizontal="right" indent="1"/>
    </xf>
    <xf numFmtId="0" fontId="0" fillId="0" borderId="0" xfId="0" applyBorder="1" applyAlignment="1">
      <alignment horizontal="right" indent="1"/>
    </xf>
    <xf numFmtId="10" fontId="1" fillId="6" borderId="32" xfId="2" applyNumberFormat="1" applyFont="1" applyFill="1" applyBorder="1" applyAlignment="1">
      <alignment horizontal="center"/>
    </xf>
    <xf numFmtId="0" fontId="31" fillId="9" borderId="0" xfId="0" applyFont="1" applyFill="1" applyBorder="1" applyAlignment="1">
      <alignment horizontal="right" wrapText="1"/>
    </xf>
    <xf numFmtId="171" fontId="31" fillId="9" borderId="0" xfId="0" applyNumberFormat="1" applyFont="1" applyFill="1" applyBorder="1" applyAlignment="1">
      <alignment horizontal="center"/>
    </xf>
    <xf numFmtId="0" fontId="28" fillId="0" borderId="0" xfId="0" applyFont="1" applyAlignment="1">
      <alignment horizontal="right"/>
    </xf>
    <xf numFmtId="165" fontId="27" fillId="0" borderId="0" xfId="0" applyNumberFormat="1" applyFont="1"/>
    <xf numFmtId="0" fontId="16" fillId="12" borderId="0" xfId="0" applyFont="1" applyFill="1" applyBorder="1" applyAlignment="1">
      <alignment horizontal="right"/>
    </xf>
    <xf numFmtId="0" fontId="5" fillId="0" borderId="12" xfId="0" applyFont="1" applyBorder="1" applyAlignment="1">
      <alignment horizontal="center"/>
    </xf>
    <xf numFmtId="2" fontId="16" fillId="12" borderId="13" xfId="1" applyNumberFormat="1" applyFont="1" applyFill="1" applyBorder="1" applyAlignment="1">
      <alignment horizontal="center"/>
    </xf>
    <xf numFmtId="165" fontId="27" fillId="3" borderId="13" xfId="0" applyNumberFormat="1" applyFont="1" applyFill="1" applyBorder="1" applyAlignment="1">
      <alignment horizontal="center"/>
    </xf>
    <xf numFmtId="1" fontId="1" fillId="3" borderId="14" xfId="0" applyNumberFormat="1" applyFont="1" applyFill="1" applyBorder="1" applyAlignment="1">
      <alignment horizontal="center"/>
    </xf>
    <xf numFmtId="165" fontId="1" fillId="8" borderId="2" xfId="0" applyNumberFormat="1" applyFont="1" applyFill="1" applyBorder="1" applyAlignment="1">
      <alignment horizontal="center"/>
    </xf>
    <xf numFmtId="165" fontId="0" fillId="24" borderId="2" xfId="0" applyNumberFormat="1" applyFill="1" applyBorder="1" applyAlignment="1">
      <alignment horizontal="center"/>
    </xf>
    <xf numFmtId="0" fontId="0" fillId="3" borderId="0" xfId="0" applyFill="1" applyBorder="1" applyAlignment="1">
      <alignment horizontal="right"/>
    </xf>
    <xf numFmtId="10" fontId="0" fillId="3" borderId="0" xfId="0" applyNumberFormat="1" applyFill="1" applyBorder="1" applyAlignment="1">
      <alignment horizontal="center"/>
    </xf>
    <xf numFmtId="0" fontId="0" fillId="3" borderId="0" xfId="0" applyFill="1" applyBorder="1"/>
    <xf numFmtId="0" fontId="1" fillId="3" borderId="0" xfId="0" applyFont="1" applyFill="1" applyBorder="1" applyAlignment="1">
      <alignment horizontal="center"/>
    </xf>
    <xf numFmtId="0" fontId="1" fillId="3" borderId="0" xfId="0" applyFont="1" applyFill="1" applyBorder="1" applyAlignment="1">
      <alignment vertical="center"/>
    </xf>
    <xf numFmtId="16" fontId="1" fillId="3" borderId="0" xfId="0" applyNumberFormat="1" applyFont="1" applyFill="1" applyAlignment="1">
      <alignment horizontal="center"/>
    </xf>
    <xf numFmtId="0" fontId="0" fillId="16" borderId="5" xfId="0" applyFill="1" applyBorder="1"/>
    <xf numFmtId="0" fontId="0" fillId="7" borderId="5" xfId="0" applyFill="1" applyBorder="1"/>
    <xf numFmtId="10" fontId="26" fillId="3" borderId="0" xfId="0" applyNumberFormat="1" applyFont="1" applyFill="1" applyBorder="1" applyAlignment="1">
      <alignment horizontal="center"/>
    </xf>
    <xf numFmtId="0" fontId="52" fillId="3" borderId="0" xfId="0" applyFont="1" applyFill="1" applyAlignment="1">
      <alignment horizontal="left"/>
    </xf>
    <xf numFmtId="0" fontId="1" fillId="0" borderId="3" xfId="0" applyFont="1" applyBorder="1" applyAlignment="1">
      <alignment horizontal="center"/>
    </xf>
    <xf numFmtId="0" fontId="1" fillId="0" borderId="4" xfId="0" applyFont="1" applyBorder="1" applyAlignment="1">
      <alignment horizontal="center"/>
    </xf>
    <xf numFmtId="0" fontId="1" fillId="0" borderId="2" xfId="0" applyFont="1" applyBorder="1" applyAlignment="1">
      <alignment horizontal="right"/>
    </xf>
    <xf numFmtId="0" fontId="1" fillId="0" borderId="0" xfId="0" applyFont="1" applyBorder="1" applyAlignment="1">
      <alignment horizontal="center"/>
    </xf>
    <xf numFmtId="0" fontId="18" fillId="0" borderId="0" xfId="0" applyFont="1" applyAlignment="1">
      <alignment horizontal="left"/>
    </xf>
    <xf numFmtId="0" fontId="13" fillId="0" borderId="0" xfId="0" applyFont="1" applyAlignment="1">
      <alignment horizontal="left" wrapText="1"/>
    </xf>
    <xf numFmtId="0" fontId="1" fillId="0" borderId="23" xfId="0" applyFont="1" applyBorder="1" applyAlignment="1">
      <alignment horizontal="center"/>
    </xf>
    <xf numFmtId="0" fontId="0" fillId="0" borderId="0" xfId="0" applyFill="1" applyAlignment="1">
      <alignment horizontal="left" vertical="top" wrapText="1"/>
    </xf>
    <xf numFmtId="0" fontId="9" fillId="3" borderId="0" xfId="0" quotePrefix="1" applyFont="1" applyFill="1" applyAlignment="1" applyProtection="1">
      <alignment horizontal="center" vertical="center" wrapText="1"/>
    </xf>
    <xf numFmtId="0" fontId="9" fillId="4" borderId="15" xfId="0" applyFont="1" applyFill="1" applyBorder="1" applyAlignment="1">
      <alignment horizontal="center" vertical="center" wrapText="1"/>
    </xf>
    <xf numFmtId="0" fontId="9" fillId="4" borderId="17" xfId="0" applyFont="1" applyFill="1" applyBorder="1" applyAlignment="1">
      <alignment horizontal="center" vertical="center" wrapText="1"/>
    </xf>
    <xf numFmtId="0" fontId="9" fillId="4" borderId="19" xfId="0" applyFont="1" applyFill="1" applyBorder="1" applyAlignment="1">
      <alignment horizontal="center" vertical="center" wrapText="1"/>
    </xf>
    <xf numFmtId="0" fontId="9" fillId="4" borderId="3" xfId="0" applyFont="1" applyFill="1" applyBorder="1" applyAlignment="1" applyProtection="1">
      <alignment horizontal="center" vertical="center" wrapText="1"/>
    </xf>
    <xf numFmtId="0" fontId="9" fillId="4" borderId="11" xfId="0" applyFont="1" applyFill="1" applyBorder="1" applyAlignment="1" applyProtection="1">
      <alignment horizontal="center" vertical="center" wrapText="1"/>
    </xf>
    <xf numFmtId="0" fontId="9" fillId="4" borderId="4" xfId="0" applyFont="1" applyFill="1" applyBorder="1" applyAlignment="1" applyProtection="1">
      <alignment horizontal="center" vertical="center" wrapText="1"/>
    </xf>
    <xf numFmtId="0" fontId="9" fillId="4" borderId="7" xfId="0" applyFont="1" applyFill="1" applyBorder="1" applyAlignment="1" applyProtection="1">
      <alignment horizontal="center" vertical="center" wrapText="1"/>
    </xf>
    <xf numFmtId="0" fontId="9" fillId="4" borderId="1" xfId="0" applyFont="1" applyFill="1" applyBorder="1" applyAlignment="1" applyProtection="1">
      <alignment horizontal="center" vertical="center" wrapText="1"/>
    </xf>
    <xf numFmtId="0" fontId="9" fillId="4" borderId="8" xfId="0" applyFont="1" applyFill="1" applyBorder="1" applyAlignment="1" applyProtection="1">
      <alignment horizontal="center" vertical="center" wrapText="1"/>
    </xf>
    <xf numFmtId="0" fontId="1" fillId="0" borderId="1" xfId="0" applyFont="1" applyBorder="1" applyAlignment="1">
      <alignment horizontal="center"/>
    </xf>
    <xf numFmtId="0" fontId="12" fillId="19" borderId="0" xfId="0" applyFont="1" applyFill="1" applyAlignment="1">
      <alignment horizontal="center" wrapText="1"/>
    </xf>
    <xf numFmtId="0" fontId="34" fillId="0" borderId="1" xfId="0" applyFont="1" applyBorder="1" applyAlignment="1">
      <alignment horizontal="center"/>
    </xf>
    <xf numFmtId="0" fontId="37" fillId="0" borderId="0" xfId="0" applyFont="1" applyBorder="1" applyAlignment="1">
      <alignment horizontal="left"/>
    </xf>
    <xf numFmtId="0" fontId="1" fillId="19" borderId="0" xfId="0" applyFont="1" applyFill="1" applyBorder="1" applyAlignment="1">
      <alignment horizontal="center" wrapText="1"/>
    </xf>
    <xf numFmtId="0" fontId="40" fillId="20" borderId="0" xfId="0" applyFont="1" applyFill="1" applyAlignment="1">
      <alignment horizontal="center" vertical="center" wrapText="1"/>
    </xf>
    <xf numFmtId="0" fontId="12" fillId="18" borderId="0" xfId="0" applyFont="1" applyFill="1" applyAlignment="1">
      <alignment horizontal="right" indent="1"/>
    </xf>
    <xf numFmtId="0" fontId="39" fillId="0" borderId="9" xfId="0" applyFont="1" applyBorder="1" applyAlignment="1">
      <alignment horizontal="center"/>
    </xf>
    <xf numFmtId="0" fontId="39" fillId="0" borderId="2" xfId="0" applyFont="1" applyBorder="1" applyAlignment="1">
      <alignment horizontal="center"/>
    </xf>
    <xf numFmtId="0" fontId="12" fillId="0" borderId="0" xfId="0" applyFont="1" applyAlignment="1">
      <alignment horizontal="center"/>
    </xf>
    <xf numFmtId="0" fontId="42" fillId="14" borderId="0" xfId="0" applyFont="1" applyFill="1" applyAlignment="1">
      <alignment horizontal="right" vertical="center" indent="1"/>
    </xf>
    <xf numFmtId="9" fontId="17" fillId="2" borderId="0" xfId="2" applyFont="1" applyFill="1" applyBorder="1" applyAlignment="1">
      <alignment horizontal="center" wrapText="1"/>
    </xf>
    <xf numFmtId="0" fontId="52" fillId="3" borderId="0" xfId="0" applyFont="1" applyFill="1" applyAlignment="1">
      <alignment horizontal="left"/>
    </xf>
    <xf numFmtId="0" fontId="51" fillId="3" borderId="31" xfId="0" applyFont="1" applyFill="1" applyBorder="1" applyAlignment="1">
      <alignment horizontal="center"/>
    </xf>
    <xf numFmtId="0" fontId="51" fillId="3" borderId="32" xfId="0" applyFont="1" applyFill="1" applyBorder="1" applyAlignment="1">
      <alignment horizontal="center"/>
    </xf>
    <xf numFmtId="0" fontId="0" fillId="13" borderId="0" xfId="0" applyFill="1" applyAlignment="1">
      <alignment horizontal="center" vertical="center" wrapText="1"/>
    </xf>
    <xf numFmtId="0" fontId="32" fillId="0" borderId="0" xfId="0" applyFont="1" applyAlignment="1">
      <alignment horizontal="center" vertical="center" wrapText="1"/>
    </xf>
    <xf numFmtId="0" fontId="1" fillId="16" borderId="0" xfId="0" applyFont="1" applyFill="1" applyAlignment="1">
      <alignment horizontal="center" vertical="center"/>
    </xf>
    <xf numFmtId="0" fontId="1" fillId="16" borderId="0" xfId="0" applyFont="1" applyFill="1" applyAlignment="1">
      <alignment horizontal="center" wrapText="1"/>
    </xf>
    <xf numFmtId="0" fontId="0" fillId="12" borderId="0" xfId="0" applyFill="1" applyAlignment="1">
      <alignment horizontal="center" wrapText="1"/>
    </xf>
    <xf numFmtId="0" fontId="1" fillId="7" borderId="0" xfId="0" applyFont="1" applyFill="1" applyAlignment="1">
      <alignment horizontal="center" vertical="center" wrapText="1"/>
    </xf>
    <xf numFmtId="0" fontId="1" fillId="16" borderId="0" xfId="0" applyFont="1" applyFill="1" applyAlignment="1">
      <alignment horizontal="center" vertical="center" wrapText="1"/>
    </xf>
    <xf numFmtId="0" fontId="1" fillId="0" borderId="3" xfId="2" applyNumberFormat="1" applyFont="1" applyBorder="1" applyAlignment="1">
      <alignment horizontal="center"/>
    </xf>
    <xf numFmtId="0" fontId="1" fillId="0" borderId="4" xfId="2" applyNumberFormat="1" applyFont="1" applyBorder="1" applyAlignment="1">
      <alignment horizontal="center"/>
    </xf>
    <xf numFmtId="0" fontId="16" fillId="8" borderId="1" xfId="0" applyFont="1" applyFill="1" applyBorder="1" applyAlignment="1">
      <alignment horizontal="center"/>
    </xf>
    <xf numFmtId="10" fontId="16" fillId="7" borderId="1" xfId="0" applyNumberFormat="1" applyFont="1" applyFill="1" applyBorder="1" applyAlignment="1">
      <alignment horizontal="center"/>
    </xf>
    <xf numFmtId="1" fontId="5" fillId="7" borderId="11" xfId="0" applyNumberFormat="1" applyFont="1" applyFill="1" applyBorder="1" applyAlignment="1">
      <alignment horizontal="center"/>
    </xf>
    <xf numFmtId="1" fontId="5" fillId="8" borderId="11" xfId="0" applyNumberFormat="1" applyFont="1" applyFill="1" applyBorder="1" applyAlignment="1">
      <alignment horizontal="center"/>
    </xf>
    <xf numFmtId="0" fontId="1" fillId="0" borderId="2" xfId="0" applyFont="1" applyBorder="1" applyAlignment="1">
      <alignment horizontal="center"/>
    </xf>
    <xf numFmtId="0" fontId="1" fillId="0" borderId="10" xfId="0" applyFont="1" applyBorder="1" applyAlignment="1">
      <alignment horizontal="center"/>
    </xf>
  </cellXfs>
  <cellStyles count="4">
    <cellStyle name="Comma" xfId="1" builtinId="3"/>
    <cellStyle name="Currency" xfId="3" builtinId="4"/>
    <cellStyle name="Normal" xfId="0" builtinId="0"/>
    <cellStyle name="Percent" xfId="2" builtinId="5"/>
  </cellStyles>
  <dxfs count="0"/>
  <tableStyles count="0" defaultTableStyle="TableStyleMedium2" defaultPivotStyle="PivotStyleLight16"/>
  <colors>
    <mruColors>
      <color rgb="FFFF6699"/>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 Anuales</a:t>
            </a:r>
            <a:r>
              <a:rPr lang="en-US" baseline="0"/>
              <a:t> por Segmento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'Utilidad por Segmento'!$A$6</c:f>
              <c:strCache>
                <c:ptCount val="1"/>
                <c:pt idx="0">
                  <c:v>Panamá</c:v>
                </c:pt>
              </c:strCache>
            </c:strRef>
          </c:tx>
          <c:spPr>
            <a:solidFill>
              <a:schemeClr val="accent1"/>
            </a:solidFill>
            <a:ln>
              <a:noFill/>
            </a:ln>
            <a:effectLst/>
          </c:spPr>
          <c:invertIfNegative val="0"/>
          <c:cat>
            <c:numRef>
              <c:f>'Utilidad por Segmento'!$B$5:$G$5</c:f>
              <c:numCache>
                <c:formatCode>General</c:formatCode>
                <c:ptCount val="6"/>
                <c:pt idx="1">
                  <c:v>2013</c:v>
                </c:pt>
                <c:pt idx="2">
                  <c:v>2014</c:v>
                </c:pt>
                <c:pt idx="3">
                  <c:v>2015</c:v>
                </c:pt>
                <c:pt idx="4">
                  <c:v>2016</c:v>
                </c:pt>
                <c:pt idx="5" formatCode="mmm\-yy">
                  <c:v>42887</c:v>
                </c:pt>
              </c:numCache>
            </c:numRef>
          </c:cat>
          <c:val>
            <c:numRef>
              <c:f>'Utilidad por Segmento'!$B$6:$G$6</c:f>
              <c:numCache>
                <c:formatCode>"$"#,##0</c:formatCode>
                <c:ptCount val="6"/>
                <c:pt idx="1">
                  <c:v>15686756</c:v>
                </c:pt>
                <c:pt idx="2">
                  <c:v>17595690</c:v>
                </c:pt>
                <c:pt idx="3">
                  <c:v>18111071</c:v>
                </c:pt>
                <c:pt idx="4">
                  <c:v>15076545</c:v>
                </c:pt>
                <c:pt idx="5">
                  <c:v>10868991</c:v>
                </c:pt>
              </c:numCache>
            </c:numRef>
          </c:val>
          <c:extLst>
            <c:ext xmlns:c16="http://schemas.microsoft.com/office/drawing/2014/chart" uri="{C3380CC4-5D6E-409C-BE32-E72D297353CC}">
              <c16:uniqueId val="{00000000-3059-4DDD-89C2-B1DB0DF764AF}"/>
            </c:ext>
          </c:extLst>
        </c:ser>
        <c:ser>
          <c:idx val="1"/>
          <c:order val="1"/>
          <c:tx>
            <c:strRef>
              <c:f>'Utilidad por Segmento'!$A$7</c:f>
              <c:strCache>
                <c:ptCount val="1"/>
                <c:pt idx="0">
                  <c:v>Provincias Centrales</c:v>
                </c:pt>
              </c:strCache>
            </c:strRef>
          </c:tx>
          <c:spPr>
            <a:solidFill>
              <a:schemeClr val="accent2"/>
            </a:solidFill>
            <a:ln>
              <a:noFill/>
            </a:ln>
            <a:effectLst/>
          </c:spPr>
          <c:invertIfNegative val="0"/>
          <c:cat>
            <c:numRef>
              <c:f>'Utilidad por Segmento'!$B$5:$G$5</c:f>
              <c:numCache>
                <c:formatCode>General</c:formatCode>
                <c:ptCount val="6"/>
                <c:pt idx="1">
                  <c:v>2013</c:v>
                </c:pt>
                <c:pt idx="2">
                  <c:v>2014</c:v>
                </c:pt>
                <c:pt idx="3">
                  <c:v>2015</c:v>
                </c:pt>
                <c:pt idx="4">
                  <c:v>2016</c:v>
                </c:pt>
                <c:pt idx="5" formatCode="mmm\-yy">
                  <c:v>42887</c:v>
                </c:pt>
              </c:numCache>
            </c:numRef>
          </c:cat>
          <c:val>
            <c:numRef>
              <c:f>'Utilidad por Segmento'!$B$7:$G$7</c:f>
              <c:numCache>
                <c:formatCode>"$"#,##0</c:formatCode>
                <c:ptCount val="6"/>
                <c:pt idx="1">
                  <c:v>2489245</c:v>
                </c:pt>
                <c:pt idx="2">
                  <c:v>2794767</c:v>
                </c:pt>
                <c:pt idx="3">
                  <c:v>3109672</c:v>
                </c:pt>
                <c:pt idx="4">
                  <c:v>2937319</c:v>
                </c:pt>
                <c:pt idx="5">
                  <c:v>1999159</c:v>
                </c:pt>
              </c:numCache>
            </c:numRef>
          </c:val>
          <c:extLst>
            <c:ext xmlns:c16="http://schemas.microsoft.com/office/drawing/2014/chart" uri="{C3380CC4-5D6E-409C-BE32-E72D297353CC}">
              <c16:uniqueId val="{00000001-3059-4DDD-89C2-B1DB0DF764AF}"/>
            </c:ext>
          </c:extLst>
        </c:ser>
        <c:ser>
          <c:idx val="2"/>
          <c:order val="2"/>
          <c:tx>
            <c:strRef>
              <c:f>'Utilidad por Segmento'!$A$8</c:f>
              <c:strCache>
                <c:ptCount val="1"/>
                <c:pt idx="0">
                  <c:v>Colón</c:v>
                </c:pt>
              </c:strCache>
            </c:strRef>
          </c:tx>
          <c:spPr>
            <a:solidFill>
              <a:schemeClr val="accent3"/>
            </a:solidFill>
            <a:ln>
              <a:noFill/>
            </a:ln>
            <a:effectLst/>
          </c:spPr>
          <c:invertIfNegative val="0"/>
          <c:cat>
            <c:numRef>
              <c:f>'Utilidad por Segmento'!$B$5:$G$5</c:f>
              <c:numCache>
                <c:formatCode>General</c:formatCode>
                <c:ptCount val="6"/>
                <c:pt idx="1">
                  <c:v>2013</c:v>
                </c:pt>
                <c:pt idx="2">
                  <c:v>2014</c:v>
                </c:pt>
                <c:pt idx="3">
                  <c:v>2015</c:v>
                </c:pt>
                <c:pt idx="4">
                  <c:v>2016</c:v>
                </c:pt>
                <c:pt idx="5" formatCode="mmm\-yy">
                  <c:v>42887</c:v>
                </c:pt>
              </c:numCache>
            </c:numRef>
          </c:cat>
          <c:val>
            <c:numRef>
              <c:f>'Utilidad por Segmento'!$B$8:$G$8</c:f>
              <c:numCache>
                <c:formatCode>"$"#,##0</c:formatCode>
                <c:ptCount val="6"/>
                <c:pt idx="1">
                  <c:v>1249201</c:v>
                </c:pt>
                <c:pt idx="2">
                  <c:v>1313030</c:v>
                </c:pt>
                <c:pt idx="3">
                  <c:v>1394559</c:v>
                </c:pt>
                <c:pt idx="4">
                  <c:v>1198777</c:v>
                </c:pt>
                <c:pt idx="5">
                  <c:v>852593</c:v>
                </c:pt>
              </c:numCache>
            </c:numRef>
          </c:val>
          <c:extLst>
            <c:ext xmlns:c16="http://schemas.microsoft.com/office/drawing/2014/chart" uri="{C3380CC4-5D6E-409C-BE32-E72D297353CC}">
              <c16:uniqueId val="{00000002-3059-4DDD-89C2-B1DB0DF764AF}"/>
            </c:ext>
          </c:extLst>
        </c:ser>
        <c:ser>
          <c:idx val="3"/>
          <c:order val="3"/>
          <c:tx>
            <c:strRef>
              <c:f>'Utilidad por Segmento'!$A$9</c:f>
              <c:strCache>
                <c:ptCount val="1"/>
                <c:pt idx="0">
                  <c:v>Chiriquí</c:v>
                </c:pt>
              </c:strCache>
            </c:strRef>
          </c:tx>
          <c:spPr>
            <a:solidFill>
              <a:schemeClr val="accent4"/>
            </a:solidFill>
            <a:ln>
              <a:noFill/>
            </a:ln>
            <a:effectLst/>
          </c:spPr>
          <c:invertIfNegative val="0"/>
          <c:cat>
            <c:numRef>
              <c:f>'Utilidad por Segmento'!$B$5:$G$5</c:f>
              <c:numCache>
                <c:formatCode>General</c:formatCode>
                <c:ptCount val="6"/>
                <c:pt idx="1">
                  <c:v>2013</c:v>
                </c:pt>
                <c:pt idx="2">
                  <c:v>2014</c:v>
                </c:pt>
                <c:pt idx="3">
                  <c:v>2015</c:v>
                </c:pt>
                <c:pt idx="4">
                  <c:v>2016</c:v>
                </c:pt>
                <c:pt idx="5" formatCode="mmm\-yy">
                  <c:v>42887</c:v>
                </c:pt>
              </c:numCache>
            </c:numRef>
          </c:cat>
          <c:val>
            <c:numRef>
              <c:f>'Utilidad por Segmento'!$B$9:$G$9</c:f>
              <c:numCache>
                <c:formatCode>"$"#,##0</c:formatCode>
                <c:ptCount val="6"/>
                <c:pt idx="1">
                  <c:v>2837947</c:v>
                </c:pt>
                <c:pt idx="2">
                  <c:v>3112892</c:v>
                </c:pt>
                <c:pt idx="3">
                  <c:v>3131007</c:v>
                </c:pt>
                <c:pt idx="4">
                  <c:v>2771366</c:v>
                </c:pt>
                <c:pt idx="5">
                  <c:v>1935784</c:v>
                </c:pt>
              </c:numCache>
            </c:numRef>
          </c:val>
          <c:extLst>
            <c:ext xmlns:c16="http://schemas.microsoft.com/office/drawing/2014/chart" uri="{C3380CC4-5D6E-409C-BE32-E72D297353CC}">
              <c16:uniqueId val="{00000003-3059-4DDD-89C2-B1DB0DF764AF}"/>
            </c:ext>
          </c:extLst>
        </c:ser>
        <c:dLbls>
          <c:showLegendKey val="0"/>
          <c:showVal val="0"/>
          <c:showCatName val="0"/>
          <c:showSerName val="0"/>
          <c:showPercent val="0"/>
          <c:showBubbleSize val="0"/>
        </c:dLbls>
        <c:gapWidth val="219"/>
        <c:overlap val="-27"/>
        <c:axId val="758298664"/>
        <c:axId val="758296368"/>
      </c:barChart>
      <c:catAx>
        <c:axId val="758298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296368"/>
        <c:crosses val="autoZero"/>
        <c:auto val="1"/>
        <c:lblAlgn val="ctr"/>
        <c:lblOffset val="100"/>
        <c:noMultiLvlLbl val="0"/>
      </c:catAx>
      <c:valAx>
        <c:axId val="7582963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298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Activos</a:t>
            </a:r>
            <a:r>
              <a:rPr lang="en-US" baseline="0"/>
              <a:t> Corrientes vs Pasivos Corrientes</a:t>
            </a:r>
          </a:p>
          <a:p>
            <a:pPr>
              <a:defRPr/>
            </a:pPr>
            <a:r>
              <a:rPr lang="en-US" baseline="0"/>
              <a:t>2013 - Junio 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Graficas!$A$24</c:f>
              <c:strCache>
                <c:ptCount val="1"/>
                <c:pt idx="0">
                  <c:v>Total Activos Corrientes</c:v>
                </c:pt>
              </c:strCache>
            </c:strRef>
          </c:tx>
          <c:spPr>
            <a:solidFill>
              <a:schemeClr val="accent6"/>
            </a:solidFill>
            <a:ln>
              <a:noFill/>
            </a:ln>
            <a:effectLst/>
          </c:spPr>
          <c:invertIfNegative val="0"/>
          <c:cat>
            <c:numRef>
              <c:f>Graficas!$B$23:$F$23</c:f>
              <c:numCache>
                <c:formatCode>General</c:formatCode>
                <c:ptCount val="5"/>
                <c:pt idx="0">
                  <c:v>2013</c:v>
                </c:pt>
                <c:pt idx="1">
                  <c:v>2014</c:v>
                </c:pt>
                <c:pt idx="2">
                  <c:v>2015</c:v>
                </c:pt>
                <c:pt idx="3">
                  <c:v>2016</c:v>
                </c:pt>
                <c:pt idx="4" formatCode="mmm\-yy">
                  <c:v>42887</c:v>
                </c:pt>
              </c:numCache>
            </c:numRef>
          </c:cat>
          <c:val>
            <c:numRef>
              <c:f>Graficas!$B$24:$F$24</c:f>
              <c:numCache>
                <c:formatCode>"$"#,##0</c:formatCode>
                <c:ptCount val="5"/>
                <c:pt idx="0">
                  <c:v>33015516</c:v>
                </c:pt>
                <c:pt idx="1">
                  <c:v>39897199</c:v>
                </c:pt>
                <c:pt idx="2">
                  <c:v>36419513</c:v>
                </c:pt>
                <c:pt idx="3">
                  <c:v>34465721</c:v>
                </c:pt>
                <c:pt idx="4">
                  <c:v>31640078</c:v>
                </c:pt>
              </c:numCache>
            </c:numRef>
          </c:val>
          <c:extLst>
            <c:ext xmlns:c16="http://schemas.microsoft.com/office/drawing/2014/chart" uri="{C3380CC4-5D6E-409C-BE32-E72D297353CC}">
              <c16:uniqueId val="{00000000-1757-478C-8A71-5890D4B8A89B}"/>
            </c:ext>
          </c:extLst>
        </c:ser>
        <c:ser>
          <c:idx val="1"/>
          <c:order val="1"/>
          <c:tx>
            <c:strRef>
              <c:f>Graficas!$A$25</c:f>
              <c:strCache>
                <c:ptCount val="1"/>
                <c:pt idx="0">
                  <c:v>Total Pasivos Corrientes</c:v>
                </c:pt>
              </c:strCache>
            </c:strRef>
          </c:tx>
          <c:spPr>
            <a:solidFill>
              <a:srgbClr val="0070C0"/>
            </a:solidFill>
            <a:ln>
              <a:noFill/>
            </a:ln>
            <a:effectLst/>
          </c:spPr>
          <c:invertIfNegative val="0"/>
          <c:cat>
            <c:numRef>
              <c:f>Graficas!$B$23:$F$23</c:f>
              <c:numCache>
                <c:formatCode>General</c:formatCode>
                <c:ptCount val="5"/>
                <c:pt idx="0">
                  <c:v>2013</c:v>
                </c:pt>
                <c:pt idx="1">
                  <c:v>2014</c:v>
                </c:pt>
                <c:pt idx="2">
                  <c:v>2015</c:v>
                </c:pt>
                <c:pt idx="3">
                  <c:v>2016</c:v>
                </c:pt>
                <c:pt idx="4" formatCode="mmm\-yy">
                  <c:v>42887</c:v>
                </c:pt>
              </c:numCache>
            </c:numRef>
          </c:cat>
          <c:val>
            <c:numRef>
              <c:f>Graficas!$B$25:$F$25</c:f>
              <c:numCache>
                <c:formatCode>"$"#,##0</c:formatCode>
                <c:ptCount val="5"/>
                <c:pt idx="0">
                  <c:v>33156515</c:v>
                </c:pt>
                <c:pt idx="1">
                  <c:v>38440198</c:v>
                </c:pt>
                <c:pt idx="2">
                  <c:v>29998298</c:v>
                </c:pt>
                <c:pt idx="3">
                  <c:v>31677708</c:v>
                </c:pt>
                <c:pt idx="4">
                  <c:v>31997784</c:v>
                </c:pt>
              </c:numCache>
            </c:numRef>
          </c:val>
          <c:extLst>
            <c:ext xmlns:c16="http://schemas.microsoft.com/office/drawing/2014/chart" uri="{C3380CC4-5D6E-409C-BE32-E72D297353CC}">
              <c16:uniqueId val="{00000001-1757-478C-8A71-5890D4B8A89B}"/>
            </c:ext>
          </c:extLst>
        </c:ser>
        <c:dLbls>
          <c:showLegendKey val="0"/>
          <c:showVal val="0"/>
          <c:showCatName val="0"/>
          <c:showSerName val="0"/>
          <c:showPercent val="0"/>
          <c:showBubbleSize val="0"/>
        </c:dLbls>
        <c:gapWidth val="219"/>
        <c:overlap val="-27"/>
        <c:axId val="813930080"/>
        <c:axId val="813930408"/>
      </c:barChart>
      <c:catAx>
        <c:axId val="81393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930408"/>
        <c:crosses val="autoZero"/>
        <c:auto val="1"/>
        <c:lblAlgn val="ctr"/>
        <c:lblOffset val="100"/>
        <c:noMultiLvlLbl val="0"/>
      </c:catAx>
      <c:valAx>
        <c:axId val="813930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93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effectLst/>
              </a:rPr>
              <a:t>Activos No Corrientes vs</a:t>
            </a:r>
            <a:r>
              <a:rPr lang="en-US" baseline="0">
                <a:effectLst/>
              </a:rPr>
              <a:t> Pasivos No Corrientes</a:t>
            </a:r>
          </a:p>
          <a:p>
            <a:pPr>
              <a:defRPr/>
            </a:pPr>
            <a:r>
              <a:rPr lang="en-US" baseline="0">
                <a:effectLst/>
              </a:rPr>
              <a:t>2013 - Junio 2017</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Graficas!$A$44</c:f>
              <c:strCache>
                <c:ptCount val="1"/>
                <c:pt idx="0">
                  <c:v>Total Activos No Corrientes</c:v>
                </c:pt>
              </c:strCache>
            </c:strRef>
          </c:tx>
          <c:spPr>
            <a:solidFill>
              <a:srgbClr val="92D050"/>
            </a:solidFill>
            <a:ln>
              <a:noFill/>
            </a:ln>
            <a:effectLst/>
          </c:spPr>
          <c:invertIfNegative val="0"/>
          <c:cat>
            <c:numRef>
              <c:f>Graficas!$B$43:$F$43</c:f>
              <c:numCache>
                <c:formatCode>General</c:formatCode>
                <c:ptCount val="5"/>
                <c:pt idx="0">
                  <c:v>2013</c:v>
                </c:pt>
                <c:pt idx="1">
                  <c:v>2014</c:v>
                </c:pt>
                <c:pt idx="2">
                  <c:v>2015</c:v>
                </c:pt>
                <c:pt idx="3">
                  <c:v>2016</c:v>
                </c:pt>
                <c:pt idx="4" formatCode="mmm\-yy">
                  <c:v>42887</c:v>
                </c:pt>
              </c:numCache>
            </c:numRef>
          </c:cat>
          <c:val>
            <c:numRef>
              <c:f>Graficas!$B$44:$F$44</c:f>
              <c:numCache>
                <c:formatCode>"$"#,##0</c:formatCode>
                <c:ptCount val="5"/>
                <c:pt idx="0">
                  <c:v>54410647</c:v>
                </c:pt>
                <c:pt idx="1">
                  <c:v>62141504</c:v>
                </c:pt>
                <c:pt idx="2">
                  <c:v>58491304</c:v>
                </c:pt>
                <c:pt idx="3">
                  <c:v>57029664</c:v>
                </c:pt>
                <c:pt idx="4">
                  <c:v>54038374</c:v>
                </c:pt>
              </c:numCache>
            </c:numRef>
          </c:val>
          <c:extLst>
            <c:ext xmlns:c16="http://schemas.microsoft.com/office/drawing/2014/chart" uri="{C3380CC4-5D6E-409C-BE32-E72D297353CC}">
              <c16:uniqueId val="{00000000-4777-44B6-AB60-140415E00EFD}"/>
            </c:ext>
          </c:extLst>
        </c:ser>
        <c:ser>
          <c:idx val="1"/>
          <c:order val="1"/>
          <c:tx>
            <c:strRef>
              <c:f>Graficas!$A$45</c:f>
              <c:strCache>
                <c:ptCount val="1"/>
                <c:pt idx="0">
                  <c:v>Total de Pasivos no Corrientes</c:v>
                </c:pt>
              </c:strCache>
            </c:strRef>
          </c:tx>
          <c:spPr>
            <a:solidFill>
              <a:schemeClr val="accent5">
                <a:lumMod val="75000"/>
              </a:schemeClr>
            </a:solidFill>
            <a:ln>
              <a:noFill/>
            </a:ln>
            <a:effectLst/>
          </c:spPr>
          <c:invertIfNegative val="0"/>
          <c:cat>
            <c:numRef>
              <c:f>Graficas!$B$43:$F$43</c:f>
              <c:numCache>
                <c:formatCode>General</c:formatCode>
                <c:ptCount val="5"/>
                <c:pt idx="0">
                  <c:v>2013</c:v>
                </c:pt>
                <c:pt idx="1">
                  <c:v>2014</c:v>
                </c:pt>
                <c:pt idx="2">
                  <c:v>2015</c:v>
                </c:pt>
                <c:pt idx="3">
                  <c:v>2016</c:v>
                </c:pt>
                <c:pt idx="4" formatCode="mmm\-yy">
                  <c:v>42887</c:v>
                </c:pt>
              </c:numCache>
            </c:numRef>
          </c:cat>
          <c:val>
            <c:numRef>
              <c:f>Graficas!$B$45:$F$45</c:f>
              <c:numCache>
                <c:formatCode>"$"#,##0</c:formatCode>
                <c:ptCount val="5"/>
                <c:pt idx="0">
                  <c:v>9749782</c:v>
                </c:pt>
                <c:pt idx="1">
                  <c:v>10225366</c:v>
                </c:pt>
                <c:pt idx="2">
                  <c:v>15189333</c:v>
                </c:pt>
                <c:pt idx="3">
                  <c:v>14508419</c:v>
                </c:pt>
                <c:pt idx="4">
                  <c:v>13841859</c:v>
                </c:pt>
              </c:numCache>
            </c:numRef>
          </c:val>
          <c:extLst>
            <c:ext xmlns:c16="http://schemas.microsoft.com/office/drawing/2014/chart" uri="{C3380CC4-5D6E-409C-BE32-E72D297353CC}">
              <c16:uniqueId val="{00000001-4777-44B6-AB60-140415E00EFD}"/>
            </c:ext>
          </c:extLst>
        </c:ser>
        <c:dLbls>
          <c:showLegendKey val="0"/>
          <c:showVal val="0"/>
          <c:showCatName val="0"/>
          <c:showSerName val="0"/>
          <c:showPercent val="0"/>
          <c:showBubbleSize val="0"/>
        </c:dLbls>
        <c:gapWidth val="219"/>
        <c:overlap val="-27"/>
        <c:axId val="813893224"/>
        <c:axId val="752170648"/>
      </c:barChart>
      <c:catAx>
        <c:axId val="81389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170648"/>
        <c:crosses val="autoZero"/>
        <c:auto val="1"/>
        <c:lblAlgn val="ctr"/>
        <c:lblOffset val="100"/>
        <c:noMultiLvlLbl val="0"/>
      </c:catAx>
      <c:valAx>
        <c:axId val="752170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893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Compra de Mercancía,</a:t>
            </a:r>
            <a:r>
              <a:rPr lang="en-US" baseline="0"/>
              <a:t> Inventarios y Ventas Netas</a:t>
            </a:r>
          </a:p>
          <a:p>
            <a:pPr>
              <a:defRPr/>
            </a:pPr>
            <a:r>
              <a:rPr lang="en-US" baseline="0"/>
              <a:t>2013 - Junio 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Graficas!$A$84</c:f>
              <c:strCache>
                <c:ptCount val="1"/>
                <c:pt idx="0">
                  <c:v>Compra de Mercancía</c:v>
                </c:pt>
              </c:strCache>
            </c:strRef>
          </c:tx>
          <c:spPr>
            <a:solidFill>
              <a:schemeClr val="accent1"/>
            </a:solidFill>
            <a:ln>
              <a:noFill/>
            </a:ln>
            <a:effectLst/>
          </c:spPr>
          <c:invertIfNegative val="0"/>
          <c:cat>
            <c:numRef>
              <c:f>Graficas!$B$83:$F$83</c:f>
              <c:numCache>
                <c:formatCode>General</c:formatCode>
                <c:ptCount val="5"/>
                <c:pt idx="0">
                  <c:v>2013</c:v>
                </c:pt>
                <c:pt idx="1">
                  <c:v>2014</c:v>
                </c:pt>
                <c:pt idx="2">
                  <c:v>2015</c:v>
                </c:pt>
                <c:pt idx="3">
                  <c:v>2016</c:v>
                </c:pt>
                <c:pt idx="4" formatCode="mmm\-yy">
                  <c:v>42887</c:v>
                </c:pt>
              </c:numCache>
            </c:numRef>
          </c:cat>
          <c:val>
            <c:numRef>
              <c:f>Graficas!$B$84:$F$84</c:f>
              <c:numCache>
                <c:formatCode>"$"#,##0</c:formatCode>
                <c:ptCount val="5"/>
                <c:pt idx="0">
                  <c:v>90537704</c:v>
                </c:pt>
                <c:pt idx="1">
                  <c:v>90891061</c:v>
                </c:pt>
                <c:pt idx="2">
                  <c:v>101078938</c:v>
                </c:pt>
                <c:pt idx="3">
                  <c:v>83263356</c:v>
                </c:pt>
                <c:pt idx="4">
                  <c:v>66110714</c:v>
                </c:pt>
              </c:numCache>
            </c:numRef>
          </c:val>
          <c:extLst>
            <c:ext xmlns:c16="http://schemas.microsoft.com/office/drawing/2014/chart" uri="{C3380CC4-5D6E-409C-BE32-E72D297353CC}">
              <c16:uniqueId val="{00000000-838E-4AE3-90A3-1019F5B9B50D}"/>
            </c:ext>
          </c:extLst>
        </c:ser>
        <c:ser>
          <c:idx val="1"/>
          <c:order val="1"/>
          <c:tx>
            <c:strRef>
              <c:f>Graficas!$A$85</c:f>
              <c:strCache>
                <c:ptCount val="1"/>
                <c:pt idx="0">
                  <c:v>Inventarios</c:v>
                </c:pt>
              </c:strCache>
            </c:strRef>
          </c:tx>
          <c:spPr>
            <a:solidFill>
              <a:schemeClr val="accent2"/>
            </a:solidFill>
            <a:ln>
              <a:noFill/>
            </a:ln>
            <a:effectLst/>
          </c:spPr>
          <c:invertIfNegative val="0"/>
          <c:cat>
            <c:numRef>
              <c:f>Graficas!$B$83:$F$83</c:f>
              <c:numCache>
                <c:formatCode>General</c:formatCode>
                <c:ptCount val="5"/>
                <c:pt idx="0">
                  <c:v>2013</c:v>
                </c:pt>
                <c:pt idx="1">
                  <c:v>2014</c:v>
                </c:pt>
                <c:pt idx="2">
                  <c:v>2015</c:v>
                </c:pt>
                <c:pt idx="3">
                  <c:v>2016</c:v>
                </c:pt>
                <c:pt idx="4" formatCode="mmm\-yy">
                  <c:v>42887</c:v>
                </c:pt>
              </c:numCache>
            </c:numRef>
          </c:cat>
          <c:val>
            <c:numRef>
              <c:f>Graficas!$B$85:$F$85</c:f>
              <c:numCache>
                <c:formatCode>"$"#,##0</c:formatCode>
                <c:ptCount val="5"/>
                <c:pt idx="0">
                  <c:v>13196876</c:v>
                </c:pt>
                <c:pt idx="1">
                  <c:v>17427496</c:v>
                </c:pt>
                <c:pt idx="2">
                  <c:v>16032065</c:v>
                </c:pt>
                <c:pt idx="3">
                  <c:v>17009482</c:v>
                </c:pt>
                <c:pt idx="4">
                  <c:v>14338108</c:v>
                </c:pt>
              </c:numCache>
            </c:numRef>
          </c:val>
          <c:extLst>
            <c:ext xmlns:c16="http://schemas.microsoft.com/office/drawing/2014/chart" uri="{C3380CC4-5D6E-409C-BE32-E72D297353CC}">
              <c16:uniqueId val="{00000001-838E-4AE3-90A3-1019F5B9B50D}"/>
            </c:ext>
          </c:extLst>
        </c:ser>
        <c:dLbls>
          <c:showLegendKey val="0"/>
          <c:showVal val="0"/>
          <c:showCatName val="0"/>
          <c:showSerName val="0"/>
          <c:showPercent val="0"/>
          <c:showBubbleSize val="0"/>
        </c:dLbls>
        <c:gapWidth val="219"/>
        <c:overlap val="-27"/>
        <c:axId val="810405448"/>
        <c:axId val="810404792"/>
      </c:barChart>
      <c:lineChart>
        <c:grouping val="standard"/>
        <c:varyColors val="0"/>
        <c:ser>
          <c:idx val="2"/>
          <c:order val="2"/>
          <c:tx>
            <c:strRef>
              <c:f>Graficas!$A$86</c:f>
              <c:strCache>
                <c:ptCount val="1"/>
                <c:pt idx="0">
                  <c:v>Ventas Netas</c:v>
                </c:pt>
              </c:strCache>
            </c:strRef>
          </c:tx>
          <c:spPr>
            <a:ln w="28575" cap="rnd">
              <a:solidFill>
                <a:srgbClr val="92D050"/>
              </a:solidFill>
              <a:round/>
            </a:ln>
            <a:effectLst/>
          </c:spPr>
          <c:marker>
            <c:symbol val="none"/>
          </c:marker>
          <c:cat>
            <c:numRef>
              <c:f>Graficas!$B$83:$F$83</c:f>
              <c:numCache>
                <c:formatCode>General</c:formatCode>
                <c:ptCount val="5"/>
                <c:pt idx="0">
                  <c:v>2013</c:v>
                </c:pt>
                <c:pt idx="1">
                  <c:v>2014</c:v>
                </c:pt>
                <c:pt idx="2">
                  <c:v>2015</c:v>
                </c:pt>
                <c:pt idx="3">
                  <c:v>2016</c:v>
                </c:pt>
                <c:pt idx="4" formatCode="mmm\-yy">
                  <c:v>42887</c:v>
                </c:pt>
              </c:numCache>
            </c:numRef>
          </c:cat>
          <c:val>
            <c:numRef>
              <c:f>Graficas!$B$86:$F$86</c:f>
              <c:numCache>
                <c:formatCode>"$"#,##0</c:formatCode>
                <c:ptCount val="5"/>
                <c:pt idx="0">
                  <c:v>109918725</c:v>
                </c:pt>
                <c:pt idx="1">
                  <c:v>119938060</c:v>
                </c:pt>
                <c:pt idx="2">
                  <c:v>125429816</c:v>
                </c:pt>
                <c:pt idx="3">
                  <c:v>106224781</c:v>
                </c:pt>
                <c:pt idx="4">
                  <c:v>79095866</c:v>
                </c:pt>
              </c:numCache>
            </c:numRef>
          </c:val>
          <c:smooth val="0"/>
          <c:extLst>
            <c:ext xmlns:c16="http://schemas.microsoft.com/office/drawing/2014/chart" uri="{C3380CC4-5D6E-409C-BE32-E72D297353CC}">
              <c16:uniqueId val="{00000002-838E-4AE3-90A3-1019F5B9B50D}"/>
            </c:ext>
          </c:extLst>
        </c:ser>
        <c:dLbls>
          <c:showLegendKey val="0"/>
          <c:showVal val="0"/>
          <c:showCatName val="0"/>
          <c:showSerName val="0"/>
          <c:showPercent val="0"/>
          <c:showBubbleSize val="0"/>
        </c:dLbls>
        <c:marker val="1"/>
        <c:smooth val="0"/>
        <c:axId val="812081560"/>
        <c:axId val="812080904"/>
      </c:lineChart>
      <c:catAx>
        <c:axId val="810405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404792"/>
        <c:crosses val="autoZero"/>
        <c:auto val="1"/>
        <c:lblAlgn val="ctr"/>
        <c:lblOffset val="100"/>
        <c:noMultiLvlLbl val="0"/>
      </c:catAx>
      <c:valAx>
        <c:axId val="8104047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405448"/>
        <c:crosses val="autoZero"/>
        <c:crossBetween val="between"/>
      </c:valAx>
      <c:valAx>
        <c:axId val="812080904"/>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081560"/>
        <c:crosses val="max"/>
        <c:crossBetween val="between"/>
      </c:valAx>
      <c:catAx>
        <c:axId val="812081560"/>
        <c:scaling>
          <c:orientation val="minMax"/>
        </c:scaling>
        <c:delete val="1"/>
        <c:axPos val="b"/>
        <c:numFmt formatCode="General" sourceLinked="1"/>
        <c:majorTickMark val="out"/>
        <c:minorTickMark val="none"/>
        <c:tickLblPos val="nextTo"/>
        <c:crossAx val="8120809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Ingresos Totales</a:t>
            </a:r>
            <a:r>
              <a:rPr lang="en-US" baseline="0"/>
              <a:t> vs Margen Operativo</a:t>
            </a:r>
          </a:p>
          <a:p>
            <a:pPr>
              <a:defRPr/>
            </a:pPr>
            <a:r>
              <a:rPr lang="en-US" baseline="0"/>
              <a:t>2013 - Junio 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Graficas!$A$105</c:f>
              <c:strCache>
                <c:ptCount val="1"/>
                <c:pt idx="0">
                  <c:v>Ingresos Totales</c:v>
                </c:pt>
              </c:strCache>
            </c:strRef>
          </c:tx>
          <c:spPr>
            <a:solidFill>
              <a:schemeClr val="accent1">
                <a:lumMod val="60000"/>
                <a:lumOff val="40000"/>
              </a:schemeClr>
            </a:solidFill>
            <a:ln>
              <a:noFill/>
            </a:ln>
            <a:effectLst/>
          </c:spPr>
          <c:invertIfNegative val="0"/>
          <c:cat>
            <c:numRef>
              <c:f>Graficas!$B$104:$F$104</c:f>
              <c:numCache>
                <c:formatCode>General</c:formatCode>
                <c:ptCount val="5"/>
                <c:pt idx="0">
                  <c:v>2013</c:v>
                </c:pt>
                <c:pt idx="1">
                  <c:v>2014</c:v>
                </c:pt>
                <c:pt idx="2">
                  <c:v>2015</c:v>
                </c:pt>
                <c:pt idx="3">
                  <c:v>2016</c:v>
                </c:pt>
                <c:pt idx="4" formatCode="mmm\-yy">
                  <c:v>42887</c:v>
                </c:pt>
              </c:numCache>
            </c:numRef>
          </c:cat>
          <c:val>
            <c:numRef>
              <c:f>Graficas!$B$105:$F$105</c:f>
              <c:numCache>
                <c:formatCode>"$"#,##0</c:formatCode>
                <c:ptCount val="5"/>
                <c:pt idx="0">
                  <c:v>110316468</c:v>
                </c:pt>
                <c:pt idx="1">
                  <c:v>120402931</c:v>
                </c:pt>
                <c:pt idx="2">
                  <c:v>125594519</c:v>
                </c:pt>
                <c:pt idx="3">
                  <c:v>106401223</c:v>
                </c:pt>
                <c:pt idx="4">
                  <c:v>79504517</c:v>
                </c:pt>
              </c:numCache>
            </c:numRef>
          </c:val>
          <c:extLst>
            <c:ext xmlns:c16="http://schemas.microsoft.com/office/drawing/2014/chart" uri="{C3380CC4-5D6E-409C-BE32-E72D297353CC}">
              <c16:uniqueId val="{00000000-5EF5-48B8-8BD9-E4224BB376EB}"/>
            </c:ext>
          </c:extLst>
        </c:ser>
        <c:dLbls>
          <c:showLegendKey val="0"/>
          <c:showVal val="0"/>
          <c:showCatName val="0"/>
          <c:showSerName val="0"/>
          <c:showPercent val="0"/>
          <c:showBubbleSize val="0"/>
        </c:dLbls>
        <c:gapWidth val="219"/>
        <c:axId val="752229240"/>
        <c:axId val="752225632"/>
      </c:barChart>
      <c:lineChart>
        <c:grouping val="stacked"/>
        <c:varyColors val="0"/>
        <c:ser>
          <c:idx val="1"/>
          <c:order val="1"/>
          <c:tx>
            <c:strRef>
              <c:f>Graficas!$A$106</c:f>
              <c:strCache>
                <c:ptCount val="1"/>
                <c:pt idx="0">
                  <c:v>Margen Operativo</c:v>
                </c:pt>
              </c:strCache>
            </c:strRef>
          </c:tx>
          <c:spPr>
            <a:ln w="28575" cap="rnd">
              <a:solidFill>
                <a:srgbClr val="92D050"/>
              </a:solidFill>
              <a:round/>
            </a:ln>
            <a:effectLst/>
          </c:spPr>
          <c:marker>
            <c:symbol val="none"/>
          </c:marker>
          <c:cat>
            <c:numRef>
              <c:f>Graficas!$B$104:$F$104</c:f>
              <c:numCache>
                <c:formatCode>General</c:formatCode>
                <c:ptCount val="5"/>
                <c:pt idx="0">
                  <c:v>2013</c:v>
                </c:pt>
                <c:pt idx="1">
                  <c:v>2014</c:v>
                </c:pt>
                <c:pt idx="2">
                  <c:v>2015</c:v>
                </c:pt>
                <c:pt idx="3">
                  <c:v>2016</c:v>
                </c:pt>
                <c:pt idx="4" formatCode="mmm\-yy">
                  <c:v>42887</c:v>
                </c:pt>
              </c:numCache>
            </c:numRef>
          </c:cat>
          <c:val>
            <c:numRef>
              <c:f>Graficas!$B$106:$F$106</c:f>
              <c:numCache>
                <c:formatCode>"$"#,##0</c:formatCode>
                <c:ptCount val="5"/>
                <c:pt idx="0">
                  <c:v>22011530</c:v>
                </c:pt>
                <c:pt idx="1">
                  <c:v>24816379</c:v>
                </c:pt>
                <c:pt idx="2">
                  <c:v>25746309</c:v>
                </c:pt>
                <c:pt idx="3">
                  <c:v>21984007</c:v>
                </c:pt>
                <c:pt idx="4">
                  <c:v>15656527</c:v>
                </c:pt>
              </c:numCache>
            </c:numRef>
          </c:val>
          <c:smooth val="0"/>
          <c:extLst>
            <c:ext xmlns:c16="http://schemas.microsoft.com/office/drawing/2014/chart" uri="{C3380CC4-5D6E-409C-BE32-E72D297353CC}">
              <c16:uniqueId val="{00000001-5EF5-48B8-8BD9-E4224BB376EB}"/>
            </c:ext>
          </c:extLst>
        </c:ser>
        <c:dLbls>
          <c:showLegendKey val="0"/>
          <c:showVal val="0"/>
          <c:showCatName val="0"/>
          <c:showSerName val="0"/>
          <c:showPercent val="0"/>
          <c:showBubbleSize val="0"/>
        </c:dLbls>
        <c:marker val="1"/>
        <c:smooth val="0"/>
        <c:axId val="752229896"/>
        <c:axId val="752229568"/>
      </c:lineChart>
      <c:valAx>
        <c:axId val="752229568"/>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229896"/>
        <c:crosses val="max"/>
        <c:crossBetween val="between"/>
      </c:valAx>
      <c:catAx>
        <c:axId val="752229896"/>
        <c:scaling>
          <c:orientation val="minMax"/>
        </c:scaling>
        <c:delete val="1"/>
        <c:axPos val="b"/>
        <c:numFmt formatCode="General" sourceLinked="1"/>
        <c:majorTickMark val="out"/>
        <c:minorTickMark val="none"/>
        <c:tickLblPos val="nextTo"/>
        <c:crossAx val="752229568"/>
        <c:crosses val="autoZero"/>
        <c:auto val="1"/>
        <c:lblAlgn val="ctr"/>
        <c:lblOffset val="100"/>
        <c:noMultiLvlLbl val="0"/>
      </c:catAx>
      <c:valAx>
        <c:axId val="752225632"/>
        <c:scaling>
          <c:orientation val="minMax"/>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229240"/>
        <c:crosses val="autoZero"/>
        <c:crossBetween val="between"/>
      </c:valAx>
      <c:catAx>
        <c:axId val="752229240"/>
        <c:scaling>
          <c:orientation val="minMax"/>
        </c:scaling>
        <c:delete val="1"/>
        <c:axPos val="b"/>
        <c:numFmt formatCode="General" sourceLinked="1"/>
        <c:majorTickMark val="out"/>
        <c:minorTickMark val="none"/>
        <c:tickLblPos val="nextTo"/>
        <c:crossAx val="7522256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Ventas</a:t>
            </a:r>
            <a:r>
              <a:rPr lang="en-US" baseline="0"/>
              <a:t> Segmentadas por Área</a:t>
            </a:r>
          </a:p>
          <a:p>
            <a:pPr>
              <a:defRPr/>
            </a:pPr>
            <a:r>
              <a:rPr lang="en-US" baseline="0"/>
              <a:t>2013 - Junio 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Graficas!$A$126</c:f>
              <c:strCache>
                <c:ptCount val="1"/>
                <c:pt idx="0">
                  <c:v>Panamá</c:v>
                </c:pt>
              </c:strCache>
            </c:strRef>
          </c:tx>
          <c:spPr>
            <a:solidFill>
              <a:schemeClr val="accent1"/>
            </a:solidFill>
            <a:ln>
              <a:noFill/>
            </a:ln>
            <a:effectLst/>
          </c:spPr>
          <c:invertIfNegative val="0"/>
          <c:cat>
            <c:numRef>
              <c:f>Graficas!$B$125:$F$125</c:f>
              <c:numCache>
                <c:formatCode>General</c:formatCode>
                <c:ptCount val="5"/>
                <c:pt idx="0">
                  <c:v>2013</c:v>
                </c:pt>
                <c:pt idx="1">
                  <c:v>2014</c:v>
                </c:pt>
                <c:pt idx="2">
                  <c:v>2015</c:v>
                </c:pt>
                <c:pt idx="3">
                  <c:v>2016</c:v>
                </c:pt>
                <c:pt idx="4" formatCode="mmm\-yy">
                  <c:v>42887</c:v>
                </c:pt>
              </c:numCache>
            </c:numRef>
          </c:cat>
          <c:val>
            <c:numRef>
              <c:f>Graficas!$B$126:$F$126</c:f>
              <c:numCache>
                <c:formatCode>"$"#,##0</c:formatCode>
                <c:ptCount val="5"/>
                <c:pt idx="0">
                  <c:v>15686756</c:v>
                </c:pt>
                <c:pt idx="1">
                  <c:v>17595690</c:v>
                </c:pt>
                <c:pt idx="2">
                  <c:v>18111071</c:v>
                </c:pt>
                <c:pt idx="3">
                  <c:v>15076545</c:v>
                </c:pt>
                <c:pt idx="4">
                  <c:v>10868991</c:v>
                </c:pt>
              </c:numCache>
            </c:numRef>
          </c:val>
          <c:extLst>
            <c:ext xmlns:c16="http://schemas.microsoft.com/office/drawing/2014/chart" uri="{C3380CC4-5D6E-409C-BE32-E72D297353CC}">
              <c16:uniqueId val="{00000000-BA89-4FCB-B6E2-8F9CE2C75CCE}"/>
            </c:ext>
          </c:extLst>
        </c:ser>
        <c:ser>
          <c:idx val="1"/>
          <c:order val="1"/>
          <c:tx>
            <c:strRef>
              <c:f>Graficas!$A$127</c:f>
              <c:strCache>
                <c:ptCount val="1"/>
                <c:pt idx="0">
                  <c:v>Provincias Centrales</c:v>
                </c:pt>
              </c:strCache>
            </c:strRef>
          </c:tx>
          <c:spPr>
            <a:solidFill>
              <a:schemeClr val="accent2"/>
            </a:solidFill>
            <a:ln>
              <a:noFill/>
            </a:ln>
            <a:effectLst/>
          </c:spPr>
          <c:invertIfNegative val="0"/>
          <c:cat>
            <c:numRef>
              <c:f>Graficas!$B$125:$F$125</c:f>
              <c:numCache>
                <c:formatCode>General</c:formatCode>
                <c:ptCount val="5"/>
                <c:pt idx="0">
                  <c:v>2013</c:v>
                </c:pt>
                <c:pt idx="1">
                  <c:v>2014</c:v>
                </c:pt>
                <c:pt idx="2">
                  <c:v>2015</c:v>
                </c:pt>
                <c:pt idx="3">
                  <c:v>2016</c:v>
                </c:pt>
                <c:pt idx="4" formatCode="mmm\-yy">
                  <c:v>42887</c:v>
                </c:pt>
              </c:numCache>
            </c:numRef>
          </c:cat>
          <c:val>
            <c:numRef>
              <c:f>Graficas!$B$127:$F$127</c:f>
              <c:numCache>
                <c:formatCode>"$"#,##0</c:formatCode>
                <c:ptCount val="5"/>
                <c:pt idx="0">
                  <c:v>2489245</c:v>
                </c:pt>
                <c:pt idx="1">
                  <c:v>2794767</c:v>
                </c:pt>
                <c:pt idx="2">
                  <c:v>3109672</c:v>
                </c:pt>
                <c:pt idx="3">
                  <c:v>2937319</c:v>
                </c:pt>
                <c:pt idx="4">
                  <c:v>1999159</c:v>
                </c:pt>
              </c:numCache>
            </c:numRef>
          </c:val>
          <c:extLst>
            <c:ext xmlns:c16="http://schemas.microsoft.com/office/drawing/2014/chart" uri="{C3380CC4-5D6E-409C-BE32-E72D297353CC}">
              <c16:uniqueId val="{00000001-BA89-4FCB-B6E2-8F9CE2C75CCE}"/>
            </c:ext>
          </c:extLst>
        </c:ser>
        <c:ser>
          <c:idx val="2"/>
          <c:order val="2"/>
          <c:tx>
            <c:strRef>
              <c:f>Graficas!$A$128</c:f>
              <c:strCache>
                <c:ptCount val="1"/>
                <c:pt idx="0">
                  <c:v>Colón</c:v>
                </c:pt>
              </c:strCache>
            </c:strRef>
          </c:tx>
          <c:spPr>
            <a:solidFill>
              <a:schemeClr val="accent3"/>
            </a:solidFill>
            <a:ln>
              <a:noFill/>
            </a:ln>
            <a:effectLst/>
          </c:spPr>
          <c:invertIfNegative val="0"/>
          <c:cat>
            <c:numRef>
              <c:f>Graficas!$B$125:$F$125</c:f>
              <c:numCache>
                <c:formatCode>General</c:formatCode>
                <c:ptCount val="5"/>
                <c:pt idx="0">
                  <c:v>2013</c:v>
                </c:pt>
                <c:pt idx="1">
                  <c:v>2014</c:v>
                </c:pt>
                <c:pt idx="2">
                  <c:v>2015</c:v>
                </c:pt>
                <c:pt idx="3">
                  <c:v>2016</c:v>
                </c:pt>
                <c:pt idx="4" formatCode="mmm\-yy">
                  <c:v>42887</c:v>
                </c:pt>
              </c:numCache>
            </c:numRef>
          </c:cat>
          <c:val>
            <c:numRef>
              <c:f>Graficas!$B$128:$F$128</c:f>
              <c:numCache>
                <c:formatCode>"$"#,##0</c:formatCode>
                <c:ptCount val="5"/>
                <c:pt idx="0">
                  <c:v>1249201</c:v>
                </c:pt>
                <c:pt idx="1">
                  <c:v>1313030</c:v>
                </c:pt>
                <c:pt idx="2">
                  <c:v>1394559</c:v>
                </c:pt>
                <c:pt idx="3">
                  <c:v>1198777</c:v>
                </c:pt>
                <c:pt idx="4">
                  <c:v>852593</c:v>
                </c:pt>
              </c:numCache>
            </c:numRef>
          </c:val>
          <c:extLst>
            <c:ext xmlns:c16="http://schemas.microsoft.com/office/drawing/2014/chart" uri="{C3380CC4-5D6E-409C-BE32-E72D297353CC}">
              <c16:uniqueId val="{00000002-BA89-4FCB-B6E2-8F9CE2C75CCE}"/>
            </c:ext>
          </c:extLst>
        </c:ser>
        <c:ser>
          <c:idx val="3"/>
          <c:order val="3"/>
          <c:tx>
            <c:strRef>
              <c:f>Graficas!$A$129</c:f>
              <c:strCache>
                <c:ptCount val="1"/>
                <c:pt idx="0">
                  <c:v>Chiriquí</c:v>
                </c:pt>
              </c:strCache>
            </c:strRef>
          </c:tx>
          <c:spPr>
            <a:solidFill>
              <a:schemeClr val="accent4"/>
            </a:solidFill>
            <a:ln>
              <a:noFill/>
            </a:ln>
            <a:effectLst/>
          </c:spPr>
          <c:invertIfNegative val="0"/>
          <c:cat>
            <c:numRef>
              <c:f>Graficas!$B$125:$F$125</c:f>
              <c:numCache>
                <c:formatCode>General</c:formatCode>
                <c:ptCount val="5"/>
                <c:pt idx="0">
                  <c:v>2013</c:v>
                </c:pt>
                <c:pt idx="1">
                  <c:v>2014</c:v>
                </c:pt>
                <c:pt idx="2">
                  <c:v>2015</c:v>
                </c:pt>
                <c:pt idx="3">
                  <c:v>2016</c:v>
                </c:pt>
                <c:pt idx="4" formatCode="mmm\-yy">
                  <c:v>42887</c:v>
                </c:pt>
              </c:numCache>
            </c:numRef>
          </c:cat>
          <c:val>
            <c:numRef>
              <c:f>Graficas!$B$129:$F$129</c:f>
              <c:numCache>
                <c:formatCode>"$"#,##0</c:formatCode>
                <c:ptCount val="5"/>
                <c:pt idx="0">
                  <c:v>2837947</c:v>
                </c:pt>
                <c:pt idx="1">
                  <c:v>3112892</c:v>
                </c:pt>
                <c:pt idx="2">
                  <c:v>3131007</c:v>
                </c:pt>
                <c:pt idx="3">
                  <c:v>2771366</c:v>
                </c:pt>
                <c:pt idx="4">
                  <c:v>1935784</c:v>
                </c:pt>
              </c:numCache>
            </c:numRef>
          </c:val>
          <c:extLst>
            <c:ext xmlns:c16="http://schemas.microsoft.com/office/drawing/2014/chart" uri="{C3380CC4-5D6E-409C-BE32-E72D297353CC}">
              <c16:uniqueId val="{00000003-BA89-4FCB-B6E2-8F9CE2C75CCE}"/>
            </c:ext>
          </c:extLst>
        </c:ser>
        <c:dLbls>
          <c:showLegendKey val="0"/>
          <c:showVal val="0"/>
          <c:showCatName val="0"/>
          <c:showSerName val="0"/>
          <c:showPercent val="0"/>
          <c:showBubbleSize val="0"/>
        </c:dLbls>
        <c:gapWidth val="150"/>
        <c:overlap val="100"/>
        <c:axId val="758304896"/>
        <c:axId val="758308832"/>
      </c:barChart>
      <c:catAx>
        <c:axId val="75830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308832"/>
        <c:crosses val="autoZero"/>
        <c:auto val="1"/>
        <c:lblAlgn val="ctr"/>
        <c:lblOffset val="100"/>
        <c:noMultiLvlLbl val="0"/>
      </c:catAx>
      <c:valAx>
        <c:axId val="758308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304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Deuda</a:t>
            </a:r>
            <a:r>
              <a:rPr lang="en-US" baseline="0"/>
              <a:t> Corto Plazo vs Deuda Largo Plazo</a:t>
            </a:r>
          </a:p>
          <a:p>
            <a:pPr>
              <a:defRPr/>
            </a:pPr>
            <a:r>
              <a:rPr lang="en-US" baseline="0"/>
              <a:t>2013 - Junio 2017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Graficas!$A$64</c:f>
              <c:strCache>
                <c:ptCount val="1"/>
                <c:pt idx="0">
                  <c:v>Total Pasivo Corriente</c:v>
                </c:pt>
              </c:strCache>
            </c:strRef>
          </c:tx>
          <c:spPr>
            <a:solidFill>
              <a:schemeClr val="accent1">
                <a:lumMod val="40000"/>
                <a:lumOff val="60000"/>
              </a:schemeClr>
            </a:solidFill>
            <a:ln>
              <a:noFill/>
            </a:ln>
            <a:effectLst/>
          </c:spPr>
          <c:invertIfNegative val="0"/>
          <c:cat>
            <c:numRef>
              <c:f>Graficas!$B$63:$F$63</c:f>
              <c:numCache>
                <c:formatCode>General</c:formatCode>
                <c:ptCount val="5"/>
                <c:pt idx="0">
                  <c:v>2013</c:v>
                </c:pt>
                <c:pt idx="1">
                  <c:v>2014</c:v>
                </c:pt>
                <c:pt idx="2">
                  <c:v>2015</c:v>
                </c:pt>
                <c:pt idx="3">
                  <c:v>2016</c:v>
                </c:pt>
                <c:pt idx="4" formatCode="mmm\-yy">
                  <c:v>42887</c:v>
                </c:pt>
              </c:numCache>
            </c:numRef>
          </c:cat>
          <c:val>
            <c:numRef>
              <c:f>Graficas!$B$64:$F$64</c:f>
              <c:numCache>
                <c:formatCode>"$"#,##0</c:formatCode>
                <c:ptCount val="5"/>
                <c:pt idx="0">
                  <c:v>33156515</c:v>
                </c:pt>
                <c:pt idx="1">
                  <c:v>38440198</c:v>
                </c:pt>
                <c:pt idx="2">
                  <c:v>29998298</c:v>
                </c:pt>
                <c:pt idx="3">
                  <c:v>31677708</c:v>
                </c:pt>
                <c:pt idx="4">
                  <c:v>31997784</c:v>
                </c:pt>
              </c:numCache>
            </c:numRef>
          </c:val>
          <c:extLst>
            <c:ext xmlns:c16="http://schemas.microsoft.com/office/drawing/2014/chart" uri="{C3380CC4-5D6E-409C-BE32-E72D297353CC}">
              <c16:uniqueId val="{00000000-E97F-48C2-BD03-4ECA1F718F61}"/>
            </c:ext>
          </c:extLst>
        </c:ser>
        <c:ser>
          <c:idx val="1"/>
          <c:order val="1"/>
          <c:tx>
            <c:strRef>
              <c:f>Graficas!$A$65</c:f>
              <c:strCache>
                <c:ptCount val="1"/>
                <c:pt idx="0">
                  <c:v>Total Pasivo No Corriente</c:v>
                </c:pt>
              </c:strCache>
            </c:strRef>
          </c:tx>
          <c:spPr>
            <a:solidFill>
              <a:srgbClr val="FFC000"/>
            </a:solidFill>
            <a:ln>
              <a:noFill/>
            </a:ln>
            <a:effectLst/>
          </c:spPr>
          <c:invertIfNegative val="0"/>
          <c:cat>
            <c:numRef>
              <c:f>Graficas!$B$63:$F$63</c:f>
              <c:numCache>
                <c:formatCode>General</c:formatCode>
                <c:ptCount val="5"/>
                <c:pt idx="0">
                  <c:v>2013</c:v>
                </c:pt>
                <c:pt idx="1">
                  <c:v>2014</c:v>
                </c:pt>
                <c:pt idx="2">
                  <c:v>2015</c:v>
                </c:pt>
                <c:pt idx="3">
                  <c:v>2016</c:v>
                </c:pt>
                <c:pt idx="4" formatCode="mmm\-yy">
                  <c:v>42887</c:v>
                </c:pt>
              </c:numCache>
            </c:numRef>
          </c:cat>
          <c:val>
            <c:numRef>
              <c:f>Graficas!$B$65:$F$65</c:f>
              <c:numCache>
                <c:formatCode>"$"#,##0</c:formatCode>
                <c:ptCount val="5"/>
                <c:pt idx="0">
                  <c:v>9749782</c:v>
                </c:pt>
                <c:pt idx="1">
                  <c:v>10225366</c:v>
                </c:pt>
                <c:pt idx="2">
                  <c:v>15189333</c:v>
                </c:pt>
                <c:pt idx="3">
                  <c:v>14508419</c:v>
                </c:pt>
                <c:pt idx="4">
                  <c:v>13841859</c:v>
                </c:pt>
              </c:numCache>
            </c:numRef>
          </c:val>
          <c:extLst>
            <c:ext xmlns:c16="http://schemas.microsoft.com/office/drawing/2014/chart" uri="{C3380CC4-5D6E-409C-BE32-E72D297353CC}">
              <c16:uniqueId val="{00000001-E97F-48C2-BD03-4ECA1F718F61}"/>
            </c:ext>
          </c:extLst>
        </c:ser>
        <c:dLbls>
          <c:showLegendKey val="0"/>
          <c:showVal val="0"/>
          <c:showCatName val="0"/>
          <c:showSerName val="0"/>
          <c:showPercent val="0"/>
          <c:showBubbleSize val="0"/>
        </c:dLbls>
        <c:gapWidth val="182"/>
        <c:axId val="818013656"/>
        <c:axId val="818018248"/>
      </c:barChart>
      <c:catAx>
        <c:axId val="818013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018248"/>
        <c:crosses val="autoZero"/>
        <c:auto val="1"/>
        <c:lblAlgn val="ctr"/>
        <c:lblOffset val="100"/>
        <c:noMultiLvlLbl val="0"/>
      </c:catAx>
      <c:valAx>
        <c:axId val="8180182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013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236220</xdr:colOff>
      <xdr:row>2</xdr:row>
      <xdr:rowOff>26670</xdr:rowOff>
    </xdr:from>
    <xdr:to>
      <xdr:col>15</xdr:col>
      <xdr:colOff>541020</xdr:colOff>
      <xdr:row>17</xdr:row>
      <xdr:rowOff>26670</xdr:rowOff>
    </xdr:to>
    <xdr:graphicFrame macro="">
      <xdr:nvGraphicFramePr>
        <xdr:cNvPr id="2" name="Chart 1">
          <a:extLst>
            <a:ext uri="{FF2B5EF4-FFF2-40B4-BE49-F238E27FC236}">
              <a16:creationId xmlns:a16="http://schemas.microsoft.com/office/drawing/2014/main" id="{4677681E-F8D0-4C4B-A520-153628F53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1165860</xdr:colOff>
      <xdr:row>6</xdr:row>
      <xdr:rowOff>140970</xdr:rowOff>
    </xdr:from>
    <xdr:to>
      <xdr:col>5</xdr:col>
      <xdr:colOff>7620</xdr:colOff>
      <xdr:row>21</xdr:row>
      <xdr:rowOff>95250</xdr:rowOff>
    </xdr:to>
    <xdr:graphicFrame macro="">
      <xdr:nvGraphicFramePr>
        <xdr:cNvPr id="2" name="Chart 1">
          <a:extLst>
            <a:ext uri="{FF2B5EF4-FFF2-40B4-BE49-F238E27FC236}">
              <a16:creationId xmlns:a16="http://schemas.microsoft.com/office/drawing/2014/main" id="{79237618-8757-403D-B08B-861D70C79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1135380</xdr:colOff>
      <xdr:row>26</xdr:row>
      <xdr:rowOff>118110</xdr:rowOff>
    </xdr:from>
    <xdr:to>
      <xdr:col>4</xdr:col>
      <xdr:colOff>914400</xdr:colOff>
      <xdr:row>41</xdr:row>
      <xdr:rowOff>95250</xdr:rowOff>
    </xdr:to>
    <xdr:graphicFrame macro="">
      <xdr:nvGraphicFramePr>
        <xdr:cNvPr id="3" name="Chart 2">
          <a:extLst>
            <a:ext uri="{FF2B5EF4-FFF2-40B4-BE49-F238E27FC236}">
              <a16:creationId xmlns:a16="http://schemas.microsoft.com/office/drawing/2014/main" id="{61E50147-89D4-498F-B928-EE052BC70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1203960</xdr:colOff>
      <xdr:row>66</xdr:row>
      <xdr:rowOff>118110</xdr:rowOff>
    </xdr:from>
    <xdr:to>
      <xdr:col>5</xdr:col>
      <xdr:colOff>45720</xdr:colOff>
      <xdr:row>81</xdr:row>
      <xdr:rowOff>133350</xdr:rowOff>
    </xdr:to>
    <xdr:graphicFrame macro="">
      <xdr:nvGraphicFramePr>
        <xdr:cNvPr id="4" name="Chart 3">
          <a:extLst>
            <a:ext uri="{FF2B5EF4-FFF2-40B4-BE49-F238E27FC236}">
              <a16:creationId xmlns:a16="http://schemas.microsoft.com/office/drawing/2014/main" id="{94F26716-19C4-4B56-B39E-6A5339BF4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1097280</xdr:colOff>
      <xdr:row>87</xdr:row>
      <xdr:rowOff>118110</xdr:rowOff>
    </xdr:from>
    <xdr:to>
      <xdr:col>4</xdr:col>
      <xdr:colOff>876300</xdr:colOff>
      <xdr:row>102</xdr:row>
      <xdr:rowOff>118110</xdr:rowOff>
    </xdr:to>
    <xdr:graphicFrame macro="">
      <xdr:nvGraphicFramePr>
        <xdr:cNvPr id="5" name="Chart 4">
          <a:extLst>
            <a:ext uri="{FF2B5EF4-FFF2-40B4-BE49-F238E27FC236}">
              <a16:creationId xmlns:a16="http://schemas.microsoft.com/office/drawing/2014/main" id="{529CA032-3AFD-4E08-BF9C-1C1B06760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1066800</xdr:colOff>
      <xdr:row>108</xdr:row>
      <xdr:rowOff>72390</xdr:rowOff>
    </xdr:from>
    <xdr:to>
      <xdr:col>4</xdr:col>
      <xdr:colOff>845820</xdr:colOff>
      <xdr:row>123</xdr:row>
      <xdr:rowOff>72390</xdr:rowOff>
    </xdr:to>
    <xdr:graphicFrame macro="">
      <xdr:nvGraphicFramePr>
        <xdr:cNvPr id="6" name="Chart 5">
          <a:extLst>
            <a:ext uri="{FF2B5EF4-FFF2-40B4-BE49-F238E27FC236}">
              <a16:creationId xmlns:a16="http://schemas.microsoft.com/office/drawing/2014/main" id="{F29973D5-72B8-4A82-97B4-197F25F68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1165860</xdr:colOff>
      <xdr:row>46</xdr:row>
      <xdr:rowOff>41910</xdr:rowOff>
    </xdr:from>
    <xdr:to>
      <xdr:col>5</xdr:col>
      <xdr:colOff>7620</xdr:colOff>
      <xdr:row>61</xdr:row>
      <xdr:rowOff>26670</xdr:rowOff>
    </xdr:to>
    <xdr:graphicFrame macro="">
      <xdr:nvGraphicFramePr>
        <xdr:cNvPr id="7" name="Chart 6">
          <a:extLst>
            <a:ext uri="{FF2B5EF4-FFF2-40B4-BE49-F238E27FC236}">
              <a16:creationId xmlns:a16="http://schemas.microsoft.com/office/drawing/2014/main" id="{20EB56BF-C5A3-40C1-8C57-09C9BB5E4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7B6C6-B37C-4EBE-BF40-8259941DB3E0}">
  <dimension ref="A1:D15"/>
  <sheetViews>
    <sheetView showGridLines="0" workbookViewId="0">
      <selection activeCell="D24" sqref="D24"/>
    </sheetView>
  </sheetViews>
  <sheetFormatPr defaultRowHeight="15" x14ac:dyDescent="0.25"/>
  <cols>
    <col min="1" max="1" width="34.85546875" customWidth="1"/>
    <col min="2" max="2" width="16.28515625" customWidth="1"/>
    <col min="3" max="6" width="11.85546875" customWidth="1"/>
    <col min="7" max="7" width="16.7109375" customWidth="1"/>
    <col min="8" max="8" width="14.7109375" customWidth="1"/>
    <col min="9" max="10" width="10.85546875" bestFit="1" customWidth="1"/>
    <col min="11" max="11" width="9.85546875" bestFit="1" customWidth="1"/>
  </cols>
  <sheetData>
    <row r="1" spans="1:4" x14ac:dyDescent="0.25">
      <c r="A1" s="5" t="s">
        <v>0</v>
      </c>
    </row>
    <row r="2" spans="1:4" x14ac:dyDescent="0.25">
      <c r="A2" s="1" t="s">
        <v>117</v>
      </c>
    </row>
    <row r="3" spans="1:4" x14ac:dyDescent="0.25">
      <c r="A3" s="1" t="s">
        <v>116</v>
      </c>
    </row>
    <row r="5" spans="1:4" x14ac:dyDescent="0.25">
      <c r="A5" s="2" t="s">
        <v>118</v>
      </c>
      <c r="B5" s="2" t="s">
        <v>119</v>
      </c>
      <c r="C5" s="2" t="s">
        <v>108</v>
      </c>
      <c r="D5" s="2" t="s">
        <v>124</v>
      </c>
    </row>
    <row r="6" spans="1:4" x14ac:dyDescent="0.25">
      <c r="A6" s="1" t="s">
        <v>120</v>
      </c>
      <c r="B6" s="10">
        <v>3000000</v>
      </c>
      <c r="C6" s="72">
        <v>3.7499999999999999E-2</v>
      </c>
      <c r="D6" s="71">
        <f>B6/$B$11</f>
        <v>0.31123034230254226</v>
      </c>
    </row>
    <row r="7" spans="1:4" x14ac:dyDescent="0.25">
      <c r="A7" s="1" t="s">
        <v>121</v>
      </c>
      <c r="B7" s="10">
        <v>1900000</v>
      </c>
      <c r="C7" s="72">
        <v>0.05</v>
      </c>
      <c r="D7" s="71">
        <f t="shared" ref="D7:D10" si="0">B7/$B$11</f>
        <v>0.19711255012494341</v>
      </c>
    </row>
    <row r="8" spans="1:4" x14ac:dyDescent="0.25">
      <c r="A8" s="1" t="s">
        <v>120</v>
      </c>
      <c r="B8" s="10">
        <v>501324</v>
      </c>
      <c r="C8" s="72">
        <v>5.5199999999999999E-2</v>
      </c>
      <c r="D8" s="71">
        <f t="shared" si="0"/>
        <v>5.2009080041493232E-2</v>
      </c>
    </row>
    <row r="9" spans="1:4" x14ac:dyDescent="0.25">
      <c r="A9" s="1" t="s">
        <v>120</v>
      </c>
      <c r="B9" s="10">
        <v>3856719</v>
      </c>
      <c r="C9" s="72">
        <v>4.8399999999999999E-2</v>
      </c>
      <c r="D9" s="71">
        <f t="shared" si="0"/>
        <v>0.40010932484490613</v>
      </c>
    </row>
    <row r="10" spans="1:4" x14ac:dyDescent="0.25">
      <c r="A10" s="1" t="s">
        <v>122</v>
      </c>
      <c r="B10" s="12">
        <v>381120</v>
      </c>
      <c r="C10" s="72">
        <v>5.7500000000000002E-2</v>
      </c>
      <c r="D10" s="71">
        <f t="shared" si="0"/>
        <v>3.9538702686114965E-2</v>
      </c>
    </row>
    <row r="11" spans="1:4" x14ac:dyDescent="0.25">
      <c r="A11" s="48" t="s">
        <v>123</v>
      </c>
      <c r="B11" s="10">
        <f>SUM(B6:B10)</f>
        <v>9639163</v>
      </c>
    </row>
    <row r="12" spans="1:4" x14ac:dyDescent="0.25">
      <c r="B12" s="10"/>
    </row>
    <row r="13" spans="1:4" x14ac:dyDescent="0.25">
      <c r="B13" s="10"/>
    </row>
    <row r="14" spans="1:4" x14ac:dyDescent="0.25">
      <c r="B14" s="10"/>
    </row>
    <row r="15" spans="1:4" x14ac:dyDescent="0.25">
      <c r="B15" s="1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C8700-57A1-483E-A110-9833D13B13F5}">
  <dimension ref="A1:S12"/>
  <sheetViews>
    <sheetView showGridLines="0" workbookViewId="0">
      <selection activeCell="M17" sqref="M17"/>
    </sheetView>
  </sheetViews>
  <sheetFormatPr defaultRowHeight="15" x14ac:dyDescent="0.25"/>
  <cols>
    <col min="1" max="1" width="23.7109375" customWidth="1"/>
    <col min="2" max="2" width="27.28515625" customWidth="1"/>
    <col min="8" max="8" width="10.28515625" customWidth="1"/>
  </cols>
  <sheetData>
    <row r="1" spans="1:19" x14ac:dyDescent="0.25">
      <c r="A1" s="5" t="s">
        <v>0</v>
      </c>
      <c r="K1" s="678"/>
      <c r="L1" s="678"/>
      <c r="M1" s="678"/>
      <c r="N1" s="678"/>
      <c r="O1" s="678"/>
      <c r="P1" s="678"/>
      <c r="Q1" s="678"/>
      <c r="R1" s="678"/>
      <c r="S1" s="678"/>
    </row>
    <row r="2" spans="1:19" x14ac:dyDescent="0.25">
      <c r="A2" s="1" t="s">
        <v>610</v>
      </c>
      <c r="K2" s="678"/>
      <c r="L2" s="678"/>
      <c r="M2" s="678"/>
      <c r="N2" s="678"/>
      <c r="O2" s="678"/>
      <c r="P2" s="678"/>
      <c r="Q2" s="678"/>
      <c r="R2" s="678"/>
      <c r="S2" s="678"/>
    </row>
    <row r="3" spans="1:19" x14ac:dyDescent="0.25">
      <c r="A3" s="1" t="s">
        <v>602</v>
      </c>
      <c r="K3" s="678"/>
      <c r="L3" s="678"/>
      <c r="M3" s="678"/>
      <c r="N3" s="678"/>
      <c r="O3" s="678"/>
      <c r="P3" s="678"/>
      <c r="Q3" s="678"/>
      <c r="R3" s="678"/>
      <c r="S3" s="678"/>
    </row>
    <row r="6" spans="1:19" x14ac:dyDescent="0.25">
      <c r="A6" s="2" t="s">
        <v>615</v>
      </c>
      <c r="B6" s="2" t="s">
        <v>616</v>
      </c>
      <c r="C6" s="167">
        <v>2013</v>
      </c>
      <c r="D6" s="167">
        <f>C6+1</f>
        <v>2014</v>
      </c>
      <c r="E6" s="167">
        <f>D6+1</f>
        <v>2015</v>
      </c>
      <c r="F6" s="167">
        <f t="shared" ref="F6" si="0">E6+1</f>
        <v>2016</v>
      </c>
      <c r="G6" s="3">
        <v>42887</v>
      </c>
      <c r="H6" s="692" t="s">
        <v>92</v>
      </c>
    </row>
    <row r="7" spans="1:19" s="236" customFormat="1" ht="33.6" customHeight="1" x14ac:dyDescent="0.25">
      <c r="A7" s="679" t="s">
        <v>288</v>
      </c>
      <c r="B7" s="686" t="s">
        <v>619</v>
      </c>
      <c r="C7" s="680">
        <f>+Activos!B12/'Pasivos y Patrimonio'!B12</f>
        <v>0.99574747225394467</v>
      </c>
      <c r="D7" s="680">
        <f>+Activos!D12/'Pasivos y Patrimonio'!D12</f>
        <v>1.0379030565867533</v>
      </c>
      <c r="E7" s="680">
        <f>+Activos!F12/'Pasivos y Patrimonio'!F12</f>
        <v>1.2140526439199983</v>
      </c>
      <c r="F7" s="680">
        <f>+Activos!H12/'Pasivos y Patrimonio'!H12</f>
        <v>1.0880118283810181</v>
      </c>
      <c r="G7" s="680">
        <f>+Activos!J12/'Pasivos y Patrimonio'!J12</f>
        <v>0.9888209133482494</v>
      </c>
      <c r="H7" s="693">
        <f>+AVERAGE(C7:G7)</f>
        <v>1.0649071828979928</v>
      </c>
    </row>
    <row r="8" spans="1:19" s="256" customFormat="1" ht="33.6" customHeight="1" x14ac:dyDescent="0.25">
      <c r="A8" s="681" t="s">
        <v>611</v>
      </c>
      <c r="B8" s="687" t="s">
        <v>620</v>
      </c>
      <c r="C8" s="682">
        <f>+(Activos!B12-Activos!B9)/'Pasivos y Patrimonio'!B12</f>
        <v>0.59772988807780314</v>
      </c>
      <c r="D8" s="682">
        <f>+(Activos!D12-Activos!D9)/'Pasivos y Patrimonio'!D12</f>
        <v>0.58453660930674711</v>
      </c>
      <c r="E8" s="682">
        <f>+(Activos!F12-Activos!F9)/'Pasivos y Patrimonio'!F12</f>
        <v>0.67962015711691381</v>
      </c>
      <c r="F8" s="682">
        <f>+(Activos!H12-Activos!H9)/'Pasivos y Patrimonio'!H12</f>
        <v>0.55105751337817743</v>
      </c>
      <c r="G8" s="682">
        <f>+(Activos!J12-Activos!J9)/'Pasivos y Patrimonio'!J12</f>
        <v>0.54072400763752893</v>
      </c>
      <c r="H8" s="693">
        <f>+AVERAGE(C8:G8)</f>
        <v>0.59073363510343402</v>
      </c>
    </row>
    <row r="9" spans="1:19" ht="33.6" customHeight="1" x14ac:dyDescent="0.25">
      <c r="A9" s="679" t="s">
        <v>612</v>
      </c>
      <c r="B9" s="686" t="s">
        <v>621</v>
      </c>
      <c r="C9" s="683">
        <f>+('Pasivos y Patrimonio'!B12+'Pasivos y Patrimonio'!B23)/Activos!B24</f>
        <v>0.78856435947177761</v>
      </c>
      <c r="D9" s="683">
        <f>+('Pasivos y Patrimonio'!D12+'Pasivos y Patrimonio'!D23)/Activos!D24</f>
        <v>0.78314107106258646</v>
      </c>
      <c r="E9" s="683">
        <f>+('Pasivos y Patrimonio'!F12+'Pasivos y Patrimonio'!F23)/Activos!F24</f>
        <v>0.77255297642193099</v>
      </c>
      <c r="F9" s="683">
        <f>+('Pasivos y Patrimonio'!H12+'Pasivos y Patrimonio'!H23)/Activos!H24</f>
        <v>0.8098614608706094</v>
      </c>
      <c r="G9" s="683">
        <f>+('Pasivos y Patrimonio'!J12+'Pasivos y Patrimonio'!J23)/Activos!J24</f>
        <v>0.84827946525556075</v>
      </c>
      <c r="H9" s="693">
        <f>+AVERAGE(C9:G9)</f>
        <v>0.80047986661649306</v>
      </c>
    </row>
    <row r="10" spans="1:19" ht="33.6" customHeight="1" x14ac:dyDescent="0.25">
      <c r="A10" s="679" t="s">
        <v>614</v>
      </c>
      <c r="B10" s="686" t="s">
        <v>622</v>
      </c>
      <c r="C10" s="684">
        <f>+('Pasivos y Patrimonio'!B12+'Pasivos y Patrimonio'!B23)/'Pasivos y Patrimonio'!B38</f>
        <v>3.7295715968307639</v>
      </c>
      <c r="D10" s="684">
        <f>+('Pasivos y Patrimonio'!D12+'Pasivos y Patrimonio'!D23)/'Pasivos y Patrimonio'!D38</f>
        <v>3.6112927187268569</v>
      </c>
      <c r="E10" s="684">
        <f>+('Pasivos y Patrimonio'!F12+'Pasivos y Patrimonio'!F23)/'Pasivos y Patrimonio'!F38</f>
        <v>3.3966282093674431</v>
      </c>
      <c r="F10" s="684">
        <f>+('Pasivos y Patrimonio'!H12+'Pasivos y Patrimonio'!H23)/'Pasivos y Patrimonio'!H38</f>
        <v>4.2593230419188872</v>
      </c>
      <c r="G10" s="684">
        <f>+('Pasivos y Patrimonio'!J12+'Pasivos y Patrimonio'!J23)/'Pasivos y Patrimonio'!J38</f>
        <v>5.5910656173498072</v>
      </c>
      <c r="H10" s="694">
        <f>+AVERAGE(C10:G10)</f>
        <v>4.117576236838751</v>
      </c>
    </row>
    <row r="11" spans="1:19" ht="33.6" customHeight="1" x14ac:dyDescent="0.25">
      <c r="A11" s="679" t="s">
        <v>613</v>
      </c>
      <c r="B11" s="686" t="s">
        <v>618</v>
      </c>
      <c r="C11" s="685">
        <f>365/((-'Estado de Resultados'!B9)/Activos!B9)</f>
        <v>53.202804215136709</v>
      </c>
      <c r="D11" s="685">
        <f>365/((-'Estado de Resultados'!D9)/Activos!D9)</f>
        <v>69.985276549912868</v>
      </c>
      <c r="E11" s="685">
        <f>365/((-'Estado de Resultados'!F9)/Activos!F9)</f>
        <v>57.892413996276851</v>
      </c>
      <c r="F11" s="685">
        <f>365/((-'Estado de Resultados'!H9)/Activos!H9)</f>
        <v>74.564144760151152</v>
      </c>
      <c r="G11" s="685">
        <f>365/((-'Estado de Resultados'!J9)/Activos!J9)</f>
        <v>79.161290256220795</v>
      </c>
      <c r="H11" s="695">
        <f>+AVERAGE(C11:G11)</f>
        <v>66.961185955539676</v>
      </c>
    </row>
    <row r="12" spans="1:19" x14ac:dyDescent="0.25">
      <c r="A12" s="23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68073-26BF-42D9-8049-9D637C5775F5}">
  <dimension ref="A1:M18"/>
  <sheetViews>
    <sheetView showGridLines="0" workbookViewId="0">
      <selection activeCell="G15" sqref="G15"/>
    </sheetView>
  </sheetViews>
  <sheetFormatPr defaultRowHeight="15" x14ac:dyDescent="0.25"/>
  <cols>
    <col min="3" max="3" width="7" customWidth="1"/>
    <col min="4" max="4" width="12.5703125" customWidth="1"/>
    <col min="5" max="5" width="6.28515625" style="427" bestFit="1" customWidth="1"/>
    <col min="6" max="6" width="11.85546875" bestFit="1" customWidth="1"/>
    <col min="7" max="7" width="6.28515625" bestFit="1" customWidth="1"/>
    <col min="8" max="8" width="12" customWidth="1"/>
    <col min="9" max="9" width="6.28515625" bestFit="1" customWidth="1"/>
    <col min="10" max="10" width="12" customWidth="1"/>
    <col min="11" max="11" width="6.28515625" bestFit="1" customWidth="1"/>
    <col min="12" max="12" width="12" customWidth="1"/>
    <col min="13" max="13" width="6.28515625" bestFit="1" customWidth="1"/>
  </cols>
  <sheetData>
    <row r="1" spans="1:13" x14ac:dyDescent="0.25">
      <c r="A1" s="5" t="s">
        <v>0</v>
      </c>
    </row>
    <row r="2" spans="1:13" x14ac:dyDescent="0.25">
      <c r="A2" s="1" t="s">
        <v>186</v>
      </c>
    </row>
    <row r="3" spans="1:13" x14ac:dyDescent="0.25">
      <c r="A3" s="5" t="s">
        <v>1</v>
      </c>
      <c r="B3" s="1" t="s">
        <v>602</v>
      </c>
      <c r="M3" s="246" t="s">
        <v>129</v>
      </c>
    </row>
    <row r="4" spans="1:13" ht="14.45" customHeight="1" x14ac:dyDescent="0.25">
      <c r="M4" s="246"/>
    </row>
    <row r="5" spans="1:13" x14ac:dyDescent="0.25">
      <c r="D5" s="167">
        <v>2013</v>
      </c>
      <c r="E5" s="426" t="s">
        <v>496</v>
      </c>
      <c r="F5" s="167">
        <v>2014</v>
      </c>
      <c r="G5" s="426" t="s">
        <v>496</v>
      </c>
      <c r="H5" s="167">
        <v>2015</v>
      </c>
      <c r="I5" s="426" t="s">
        <v>496</v>
      </c>
      <c r="J5" s="167">
        <v>2016</v>
      </c>
      <c r="K5" s="426" t="s">
        <v>496</v>
      </c>
      <c r="L5" s="3">
        <v>42887</v>
      </c>
      <c r="M5" s="426" t="s">
        <v>496</v>
      </c>
    </row>
    <row r="6" spans="1:13" x14ac:dyDescent="0.25">
      <c r="A6" s="1" t="s">
        <v>187</v>
      </c>
      <c r="D6" s="10">
        <v>76619088</v>
      </c>
      <c r="E6" s="429">
        <f>D6/D10</f>
        <v>0.69705219015231479</v>
      </c>
      <c r="F6" s="10">
        <v>83424385</v>
      </c>
      <c r="G6" s="429">
        <f>F6/F10</f>
        <v>0.695562234373309</v>
      </c>
      <c r="H6" s="10">
        <v>87153812</v>
      </c>
      <c r="I6" s="429">
        <f>H6/H10</f>
        <v>0.69484126485523989</v>
      </c>
      <c r="J6" s="10">
        <v>73152566</v>
      </c>
      <c r="K6" s="429">
        <f>J6/J10</f>
        <v>0.68865819549206697</v>
      </c>
      <c r="L6" s="10">
        <v>54440594</v>
      </c>
      <c r="M6" s="429">
        <f>L6/L10</f>
        <v>0.68828621207586249</v>
      </c>
    </row>
    <row r="7" spans="1:13" x14ac:dyDescent="0.25">
      <c r="A7" s="1" t="s">
        <v>188</v>
      </c>
      <c r="D7" s="10">
        <v>12489295</v>
      </c>
      <c r="E7" s="429">
        <f>D7/D10</f>
        <v>0.11362299735554611</v>
      </c>
      <c r="F7" s="10">
        <v>14012631</v>
      </c>
      <c r="G7" s="429">
        <f>F7/F10</f>
        <v>0.11683222990266809</v>
      </c>
      <c r="H7" s="10">
        <v>15231645</v>
      </c>
      <c r="I7" s="429">
        <f>H7/H10</f>
        <v>0.12143560028821218</v>
      </c>
      <c r="J7" s="10">
        <v>13750717</v>
      </c>
      <c r="K7" s="429">
        <f>J7/J10</f>
        <v>0.12944923840323097</v>
      </c>
      <c r="L7" s="10">
        <v>9834223</v>
      </c>
      <c r="M7" s="429">
        <f>L7/L10</f>
        <v>0.1243329581851977</v>
      </c>
    </row>
    <row r="8" spans="1:13" x14ac:dyDescent="0.25">
      <c r="A8" s="1" t="s">
        <v>189</v>
      </c>
      <c r="D8" s="10">
        <v>6240480</v>
      </c>
      <c r="E8" s="429">
        <f>D8/D10</f>
        <v>5.6773584300582089E-2</v>
      </c>
      <c r="F8" s="10">
        <v>6532856</v>
      </c>
      <c r="G8" s="429">
        <f>F8/F10</f>
        <v>5.4468581532834529E-2</v>
      </c>
      <c r="H8" s="10">
        <v>6488601</v>
      </c>
      <c r="I8" s="429">
        <f>H8/H10</f>
        <v>5.1730929749590003E-2</v>
      </c>
      <c r="J8" s="10">
        <v>5383880</v>
      </c>
      <c r="K8" s="429">
        <f>J8/J10</f>
        <v>5.0683841842893512E-2</v>
      </c>
      <c r="L8" s="10">
        <v>3924130</v>
      </c>
      <c r="M8" s="429">
        <f>L8/L10</f>
        <v>4.961232740027146E-2</v>
      </c>
    </row>
    <row r="9" spans="1:13" x14ac:dyDescent="0.25">
      <c r="A9" s="1" t="s">
        <v>190</v>
      </c>
      <c r="D9" s="12">
        <v>14569862</v>
      </c>
      <c r="E9" s="429">
        <f>D9/D10</f>
        <v>0.13255122819155699</v>
      </c>
      <c r="F9" s="12">
        <v>15968188</v>
      </c>
      <c r="G9" s="429">
        <f>F9/F10</f>
        <v>0.13313695419118834</v>
      </c>
      <c r="H9" s="12">
        <v>16555758</v>
      </c>
      <c r="I9" s="429">
        <f>H9/H10</f>
        <v>0.13199220510695797</v>
      </c>
      <c r="J9" s="12">
        <v>13937618</v>
      </c>
      <c r="K9" s="429">
        <f>J9/J10</f>
        <v>0.13120872426180855</v>
      </c>
      <c r="L9" s="12">
        <v>10896919</v>
      </c>
      <c r="M9" s="429">
        <f>L9/L10</f>
        <v>0.13776850233866836</v>
      </c>
    </row>
    <row r="10" spans="1:13" x14ac:dyDescent="0.25">
      <c r="C10" s="1" t="s">
        <v>123</v>
      </c>
      <c r="D10" s="152">
        <f>SUM(D6:D9)</f>
        <v>109918725</v>
      </c>
      <c r="E10" s="437">
        <f>D10/D10</f>
        <v>1</v>
      </c>
      <c r="F10" s="152">
        <f t="shared" ref="F10:L10" si="0">SUM(F6:F9)</f>
        <v>119938060</v>
      </c>
      <c r="G10" s="437">
        <f>F10/F10</f>
        <v>1</v>
      </c>
      <c r="H10" s="152">
        <f t="shared" si="0"/>
        <v>125429816</v>
      </c>
      <c r="I10" s="437">
        <f>H10/H10</f>
        <v>1</v>
      </c>
      <c r="J10" s="152">
        <f t="shared" si="0"/>
        <v>106224781</v>
      </c>
      <c r="K10" s="437">
        <f>J10/J10</f>
        <v>1</v>
      </c>
      <c r="L10" s="152">
        <f t="shared" si="0"/>
        <v>79095866</v>
      </c>
      <c r="M10" s="437">
        <f>L10/L10</f>
        <v>1</v>
      </c>
    </row>
    <row r="13" spans="1:13" x14ac:dyDescent="0.25">
      <c r="A13" s="1"/>
    </row>
    <row r="14" spans="1:13" x14ac:dyDescent="0.25">
      <c r="D14" s="3"/>
      <c r="E14" s="438"/>
      <c r="F14" s="3"/>
      <c r="G14" s="3"/>
      <c r="H14" s="3"/>
      <c r="I14" s="2"/>
    </row>
    <row r="15" spans="1:13" x14ac:dyDescent="0.25">
      <c r="A15" s="1"/>
      <c r="D15" s="71"/>
      <c r="E15" s="439"/>
      <c r="F15" s="71"/>
      <c r="G15" s="71"/>
      <c r="H15" s="71"/>
      <c r="I15" s="150"/>
    </row>
    <row r="16" spans="1:13" x14ac:dyDescent="0.25">
      <c r="A16" s="1"/>
      <c r="D16" s="71"/>
      <c r="E16" s="439"/>
      <c r="F16" s="71"/>
      <c r="G16" s="71"/>
      <c r="H16" s="71"/>
      <c r="I16" s="150"/>
    </row>
    <row r="17" spans="1:9" x14ac:dyDescent="0.25">
      <c r="A17" s="1"/>
      <c r="D17" s="71"/>
      <c r="E17" s="439"/>
      <c r="F17" s="71"/>
      <c r="G17" s="71"/>
      <c r="H17" s="71"/>
      <c r="I17" s="150"/>
    </row>
    <row r="18" spans="1:9" x14ac:dyDescent="0.25">
      <c r="A18" s="1"/>
      <c r="D18" s="71"/>
      <c r="E18" s="439"/>
      <c r="F18" s="71"/>
      <c r="G18" s="71"/>
      <c r="H18" s="71"/>
      <c r="I18" s="15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A38F-1629-4304-9260-8745902557C8}">
  <dimension ref="A1:H19"/>
  <sheetViews>
    <sheetView showGridLines="0" workbookViewId="0">
      <selection activeCell="O26" sqref="O26"/>
    </sheetView>
  </sheetViews>
  <sheetFormatPr defaultRowHeight="15" x14ac:dyDescent="0.25"/>
  <cols>
    <col min="3" max="3" width="10.85546875" bestFit="1" customWidth="1"/>
    <col min="4" max="4" width="12.5703125" customWidth="1"/>
    <col min="5" max="5" width="11.85546875" bestFit="1" customWidth="1"/>
    <col min="6" max="8" width="12" customWidth="1"/>
  </cols>
  <sheetData>
    <row r="1" spans="1:8" x14ac:dyDescent="0.25">
      <c r="A1" s="5" t="s">
        <v>0</v>
      </c>
    </row>
    <row r="2" spans="1:8" x14ac:dyDescent="0.25">
      <c r="A2" s="1" t="s">
        <v>191</v>
      </c>
    </row>
    <row r="3" spans="1:8" x14ac:dyDescent="0.25">
      <c r="A3" s="1" t="s">
        <v>602</v>
      </c>
    </row>
    <row r="5" spans="1:8" x14ac:dyDescent="0.25">
      <c r="C5" s="167">
        <v>2013</v>
      </c>
      <c r="D5" s="167">
        <f>C5+1</f>
        <v>2014</v>
      </c>
      <c r="E5" s="167">
        <f t="shared" ref="E5:F5" si="0">D5+1</f>
        <v>2015</v>
      </c>
      <c r="F5" s="167">
        <f t="shared" si="0"/>
        <v>2016</v>
      </c>
      <c r="G5" s="3">
        <v>42887</v>
      </c>
    </row>
    <row r="6" spans="1:8" x14ac:dyDescent="0.25">
      <c r="A6" s="1" t="s">
        <v>187</v>
      </c>
      <c r="C6" s="10">
        <v>15686756</v>
      </c>
      <c r="D6" s="10">
        <v>17595690</v>
      </c>
      <c r="E6" s="10">
        <v>18111071</v>
      </c>
      <c r="F6" s="10">
        <v>15076545</v>
      </c>
      <c r="G6" s="10">
        <v>10868991</v>
      </c>
    </row>
    <row r="7" spans="1:8" x14ac:dyDescent="0.25">
      <c r="A7" s="1" t="s">
        <v>188</v>
      </c>
      <c r="C7" s="10">
        <v>2489245</v>
      </c>
      <c r="D7" s="10">
        <v>2794767</v>
      </c>
      <c r="E7" s="10">
        <v>3109672</v>
      </c>
      <c r="F7" s="10">
        <v>2937319</v>
      </c>
      <c r="G7" s="10">
        <v>1999159</v>
      </c>
    </row>
    <row r="8" spans="1:8" x14ac:dyDescent="0.25">
      <c r="A8" s="1" t="s">
        <v>189</v>
      </c>
      <c r="C8" s="10">
        <v>1249201</v>
      </c>
      <c r="D8" s="10">
        <v>1313030</v>
      </c>
      <c r="E8" s="10">
        <v>1394559</v>
      </c>
      <c r="F8" s="10">
        <v>1198777</v>
      </c>
      <c r="G8" s="10">
        <v>852593</v>
      </c>
    </row>
    <row r="9" spans="1:8" x14ac:dyDescent="0.25">
      <c r="A9" s="1" t="s">
        <v>190</v>
      </c>
      <c r="C9" s="12">
        <v>2837947</v>
      </c>
      <c r="D9" s="12">
        <v>3112892</v>
      </c>
      <c r="E9" s="12">
        <v>3131007</v>
      </c>
      <c r="F9" s="12">
        <v>2771366</v>
      </c>
      <c r="G9" s="12">
        <v>1935784</v>
      </c>
    </row>
    <row r="10" spans="1:8" x14ac:dyDescent="0.25">
      <c r="B10" t="s">
        <v>123</v>
      </c>
      <c r="C10" s="10">
        <f>SUM(C6:C9)</f>
        <v>22263149</v>
      </c>
      <c r="D10" s="10">
        <f t="shared" ref="D10:G10" si="1">SUM(D6:D9)</f>
        <v>24816379</v>
      </c>
      <c r="E10" s="10">
        <f t="shared" si="1"/>
        <v>25746309</v>
      </c>
      <c r="F10" s="10">
        <f t="shared" si="1"/>
        <v>21984007</v>
      </c>
      <c r="G10" s="10">
        <f t="shared" si="1"/>
        <v>15656527</v>
      </c>
    </row>
    <row r="13" spans="1:8" x14ac:dyDescent="0.25">
      <c r="A13" s="1" t="s">
        <v>192</v>
      </c>
    </row>
    <row r="14" spans="1:8" x14ac:dyDescent="0.25">
      <c r="C14" s="167">
        <v>2013</v>
      </c>
      <c r="D14" s="167">
        <f>C14+1</f>
        <v>2014</v>
      </c>
      <c r="E14" s="167">
        <f t="shared" ref="E14:F14" si="2">D14+1</f>
        <v>2015</v>
      </c>
      <c r="F14" s="167">
        <f t="shared" si="2"/>
        <v>2016</v>
      </c>
      <c r="G14" s="3">
        <v>42887</v>
      </c>
      <c r="H14" s="2" t="s">
        <v>92</v>
      </c>
    </row>
    <row r="15" spans="1:8" x14ac:dyDescent="0.25">
      <c r="A15" s="1" t="s">
        <v>187</v>
      </c>
      <c r="C15" s="71">
        <f>C6/'Segmentos de Venta'!D6</f>
        <v>0.20473691882106454</v>
      </c>
      <c r="D15" s="71">
        <f>D6/'Segmentos de Venta'!F6</f>
        <v>0.21091782696390271</v>
      </c>
      <c r="E15" s="71">
        <f>E6/'Segmentos de Venta'!H6</f>
        <v>0.20780583871649813</v>
      </c>
      <c r="F15" s="71">
        <f>F6/'Segmentos de Venta'!J6</f>
        <v>0.20609728167293545</v>
      </c>
      <c r="G15" s="71">
        <f>G6/'Segmentos de Venta'!L6</f>
        <v>0.19964864821276565</v>
      </c>
      <c r="H15" s="150">
        <f>AVERAGE(C15:G15)</f>
        <v>0.2058413028774333</v>
      </c>
    </row>
    <row r="16" spans="1:8" x14ac:dyDescent="0.25">
      <c r="A16" s="1" t="s">
        <v>188</v>
      </c>
      <c r="C16" s="71">
        <f>C7/'Segmentos de Venta'!D7</f>
        <v>0.19931028933178374</v>
      </c>
      <c r="D16" s="71">
        <f>D7/'Segmentos de Venta'!F7</f>
        <v>0.19944627101077592</v>
      </c>
      <c r="E16" s="71">
        <f>E7/'Segmentos de Venta'!H7</f>
        <v>0.20415864471631265</v>
      </c>
      <c r="F16" s="71">
        <f>F7/'Segmentos de Venta'!J7</f>
        <v>0.21361206110197745</v>
      </c>
      <c r="G16" s="71">
        <f>G7/'Segmentos de Venta'!L7</f>
        <v>0.20328591287791622</v>
      </c>
      <c r="H16" s="150">
        <f>AVERAGE(C16:G16)</f>
        <v>0.20396263580775323</v>
      </c>
    </row>
    <row r="17" spans="1:8" x14ac:dyDescent="0.25">
      <c r="A17" s="1" t="s">
        <v>189</v>
      </c>
      <c r="C17" s="71">
        <f>C8/'Segmentos de Venta'!D8</f>
        <v>0.2001770697125862</v>
      </c>
      <c r="D17" s="71">
        <f>D8/'Segmentos de Venta'!F8</f>
        <v>0.20098866406974225</v>
      </c>
      <c r="E17" s="71">
        <f>E8/'Segmentos de Venta'!H8</f>
        <v>0.21492444981591563</v>
      </c>
      <c r="F17" s="71">
        <f>F8/'Segmentos de Venta'!J8</f>
        <v>0.22266042333781585</v>
      </c>
      <c r="G17" s="71">
        <f>G8/'Segmentos de Venta'!L8</f>
        <v>0.217269305553078</v>
      </c>
      <c r="H17" s="150">
        <f>AVERAGE(C17:G17)</f>
        <v>0.21120398249782762</v>
      </c>
    </row>
    <row r="18" spans="1:8" x14ac:dyDescent="0.25">
      <c r="A18" s="1" t="s">
        <v>190</v>
      </c>
      <c r="C18" s="151">
        <f>C9/'Segmentos de Venta'!D9</f>
        <v>0.19478200960311087</v>
      </c>
      <c r="D18" s="151">
        <f>D9/'Segmentos de Venta'!F9</f>
        <v>0.19494334610789904</v>
      </c>
      <c r="E18" s="151">
        <f>E9/'Segmentos de Venta'!H9</f>
        <v>0.1891189156062803</v>
      </c>
      <c r="F18" s="151">
        <f>F9/'Segmentos de Venta'!J9</f>
        <v>0.198840720128791</v>
      </c>
      <c r="G18" s="151">
        <f>G9/'Segmentos de Venta'!L9</f>
        <v>0.17764507564018783</v>
      </c>
      <c r="H18" s="150">
        <f>AVERAGE(C18:G18)</f>
        <v>0.19106601341725382</v>
      </c>
    </row>
    <row r="19" spans="1:8" x14ac:dyDescent="0.25">
      <c r="B19" t="s">
        <v>123</v>
      </c>
      <c r="C19" s="71">
        <f>C10/'Segmentos de Venta'!D10</f>
        <v>0.20254191449182113</v>
      </c>
      <c r="D19" s="71">
        <f>D10/'Segmentos de Venta'!F10</f>
        <v>0.20690995835683851</v>
      </c>
      <c r="E19" s="71">
        <f>E10/'Segmentos de Venta'!H10</f>
        <v>0.20526466370643484</v>
      </c>
      <c r="F19" s="71">
        <f>F10/'Segmentos de Venta'!J10</f>
        <v>0.20695742361662295</v>
      </c>
      <c r="G19" s="71">
        <f>G10/'Segmentos de Venta'!L10</f>
        <v>0.19794368266983764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C46F5-327E-4EA6-9BE2-82AAAD698EEF}">
  <dimension ref="B3:J10"/>
  <sheetViews>
    <sheetView showGridLines="0" workbookViewId="0">
      <selection activeCell="H18" sqref="H18"/>
    </sheetView>
  </sheetViews>
  <sheetFormatPr defaultRowHeight="15" x14ac:dyDescent="0.25"/>
  <cols>
    <col min="2" max="2" width="41.5703125" customWidth="1"/>
  </cols>
  <sheetData>
    <row r="3" spans="2:10" x14ac:dyDescent="0.25">
      <c r="C3" s="384">
        <v>2013</v>
      </c>
      <c r="D3" s="385" t="s">
        <v>488</v>
      </c>
      <c r="E3" s="169">
        <v>2014</v>
      </c>
      <c r="F3" s="385" t="s">
        <v>488</v>
      </c>
      <c r="G3" s="169">
        <v>2015</v>
      </c>
      <c r="H3" s="385" t="s">
        <v>488</v>
      </c>
      <c r="I3" s="171">
        <v>2016</v>
      </c>
    </row>
    <row r="4" spans="2:10" x14ac:dyDescent="0.25">
      <c r="B4" s="39" t="s">
        <v>185</v>
      </c>
      <c r="C4" s="386">
        <v>43844.232450177362</v>
      </c>
      <c r="D4" s="387">
        <v>9.3650830964207746E-2</v>
      </c>
      <c r="E4" s="22">
        <v>47950.281252124354</v>
      </c>
      <c r="F4" s="387">
        <v>8.9688976055977226E-2</v>
      </c>
      <c r="G4" s="22">
        <v>52250.892879223509</v>
      </c>
      <c r="H4" s="387">
        <v>6.2284627899105251E-2</v>
      </c>
      <c r="I4" s="388">
        <v>55505.320299601954</v>
      </c>
    </row>
    <row r="6" spans="2:10" x14ac:dyDescent="0.25">
      <c r="C6" s="384">
        <v>2013</v>
      </c>
      <c r="D6" s="389" t="s">
        <v>489</v>
      </c>
      <c r="E6" s="169">
        <v>2014</v>
      </c>
      <c r="F6" s="389" t="s">
        <v>489</v>
      </c>
      <c r="G6" s="169">
        <v>2015</v>
      </c>
      <c r="H6" s="389" t="s">
        <v>489</v>
      </c>
      <c r="I6" s="169">
        <v>2016</v>
      </c>
      <c r="J6" s="390" t="s">
        <v>489</v>
      </c>
    </row>
    <row r="7" spans="2:10" x14ac:dyDescent="0.25">
      <c r="B7" s="39" t="s">
        <v>151</v>
      </c>
      <c r="C7" s="391">
        <v>9714.4225072005502</v>
      </c>
      <c r="D7" s="387">
        <v>0.22156671389422972</v>
      </c>
      <c r="E7" s="14">
        <v>10235.575098995816</v>
      </c>
      <c r="F7" s="387">
        <v>0.21346225364512011</v>
      </c>
      <c r="G7" s="14">
        <v>10616.943625986756</v>
      </c>
      <c r="H7" s="387">
        <v>0.20319162106047695</v>
      </c>
      <c r="I7" s="14">
        <v>11019.455189999999</v>
      </c>
      <c r="J7" s="392">
        <v>0.1985297108551056</v>
      </c>
    </row>
    <row r="8" spans="2:10" x14ac:dyDescent="0.25">
      <c r="B8" s="393" t="s">
        <v>132</v>
      </c>
      <c r="C8" s="394">
        <v>109.91872499999999</v>
      </c>
      <c r="D8" s="387">
        <v>2.5070281507358293E-3</v>
      </c>
      <c r="E8" s="395">
        <v>119.93805999999999</v>
      </c>
      <c r="F8" s="387">
        <v>2.501300448465802E-3</v>
      </c>
      <c r="G8" s="395">
        <v>125.429816</v>
      </c>
      <c r="H8" s="387">
        <v>2.4005296194636815E-3</v>
      </c>
      <c r="I8" s="395">
        <v>106.22478099999999</v>
      </c>
      <c r="J8" s="392">
        <v>1.9137765609968341E-3</v>
      </c>
    </row>
    <row r="9" spans="2:10" x14ac:dyDescent="0.25">
      <c r="B9" s="396" t="s">
        <v>490</v>
      </c>
    </row>
    <row r="10" spans="2:10" x14ac:dyDescent="0.25">
      <c r="B10" s="771" t="s">
        <v>491</v>
      </c>
      <c r="C10" s="771"/>
      <c r="D10" s="771"/>
      <c r="E10" s="771"/>
      <c r="F10" s="771"/>
    </row>
  </sheetData>
  <mergeCells count="1">
    <mergeCell ref="B10:F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12ACD-9AC0-4274-A820-B06967A38699}">
  <dimension ref="A1:K34"/>
  <sheetViews>
    <sheetView showGridLines="0" zoomScale="90" zoomScaleNormal="90" workbookViewId="0">
      <pane xSplit="1" topLeftCell="B1" activePane="topRight" state="frozen"/>
      <selection pane="topRight" activeCell="D8" sqref="D8"/>
    </sheetView>
  </sheetViews>
  <sheetFormatPr defaultRowHeight="15" x14ac:dyDescent="0.25"/>
  <cols>
    <col min="1" max="1" width="30.85546875" customWidth="1"/>
    <col min="2" max="2" width="16.7109375" customWidth="1"/>
    <col min="3" max="3" width="6.5703125" bestFit="1" customWidth="1"/>
    <col min="4" max="4" width="16.7109375" customWidth="1"/>
    <col min="5" max="5" width="6.5703125" bestFit="1" customWidth="1"/>
    <col min="6" max="6" width="16.7109375" customWidth="1"/>
    <col min="7" max="7" width="6.5703125" bestFit="1" customWidth="1"/>
    <col min="8" max="8" width="16.7109375" customWidth="1"/>
    <col min="9" max="9" width="6.5703125" bestFit="1" customWidth="1"/>
    <col min="10" max="10" width="16.7109375" customWidth="1"/>
    <col min="11" max="11" width="6.5703125" bestFit="1" customWidth="1"/>
  </cols>
  <sheetData>
    <row r="1" spans="1:11" x14ac:dyDescent="0.25">
      <c r="A1" s="5" t="s">
        <v>0</v>
      </c>
    </row>
    <row r="2" spans="1:11" x14ac:dyDescent="0.25">
      <c r="A2" s="1" t="s">
        <v>333</v>
      </c>
    </row>
    <row r="3" spans="1:11" x14ac:dyDescent="0.25">
      <c r="A3" s="1" t="s">
        <v>602</v>
      </c>
    </row>
    <row r="6" spans="1:11" s="27" customFormat="1" x14ac:dyDescent="0.25">
      <c r="B6" s="167">
        <v>2013</v>
      </c>
      <c r="C6" s="426" t="s">
        <v>496</v>
      </c>
      <c r="D6" s="167">
        <v>2014</v>
      </c>
      <c r="E6" s="426" t="s">
        <v>496</v>
      </c>
      <c r="F6" s="167">
        <v>2015</v>
      </c>
      <c r="G6" s="426" t="s">
        <v>496</v>
      </c>
      <c r="H6" s="167">
        <v>2016</v>
      </c>
      <c r="I6" s="426" t="s">
        <v>496</v>
      </c>
      <c r="J6" s="3">
        <v>42887</v>
      </c>
      <c r="K6" s="426" t="s">
        <v>496</v>
      </c>
    </row>
    <row r="7" spans="1:11" x14ac:dyDescent="0.25">
      <c r="A7" t="s">
        <v>234</v>
      </c>
      <c r="B7" s="20">
        <v>1045944.0499023503</v>
      </c>
      <c r="C7" s="430">
        <f>B7/'Estado de Resultados'!$B$6</f>
        <v>9.5156130122720246E-3</v>
      </c>
      <c r="D7" s="20">
        <v>1200163</v>
      </c>
      <c r="E7" s="430">
        <f>D7/'Estado de Resultados'!$D$6</f>
        <v>1.0006523367144674E-2</v>
      </c>
      <c r="F7" s="20">
        <v>1148752</v>
      </c>
      <c r="G7" s="430">
        <f>F7/'Estado de Resultados'!$F$6</f>
        <v>9.1585241582432045E-3</v>
      </c>
      <c r="H7" s="20">
        <v>1225590</v>
      </c>
      <c r="I7" s="430">
        <f>H7/'Estado de Resultados'!$H$6</f>
        <v>1.1537703240828522E-2</v>
      </c>
      <c r="J7" s="20">
        <v>755312</v>
      </c>
      <c r="K7" s="430">
        <f>J7/'Estado de Resultados'!$J$6</f>
        <v>9.549323348959856E-3</v>
      </c>
    </row>
    <row r="8" spans="1:11" x14ac:dyDescent="0.25">
      <c r="A8" t="s">
        <v>235</v>
      </c>
      <c r="B8" s="20">
        <v>1004453.7278927838</v>
      </c>
      <c r="C8" s="430">
        <f>B8/'Estado de Resultados'!$B$6</f>
        <v>9.1381493725730886E-3</v>
      </c>
      <c r="D8" s="20">
        <v>904701</v>
      </c>
      <c r="E8" s="430">
        <f>D8/'Estado de Resultados'!$D$6</f>
        <v>7.5430684805140253E-3</v>
      </c>
      <c r="F8" s="20">
        <v>1093996</v>
      </c>
      <c r="G8" s="430">
        <f>F8/'Estado de Resultados'!$F$6</f>
        <v>8.7219772370550237E-3</v>
      </c>
      <c r="H8" s="20">
        <v>1204276</v>
      </c>
      <c r="I8" s="430">
        <f>H8/'Estado de Resultados'!$H$6</f>
        <v>1.1337053262552738E-2</v>
      </c>
      <c r="J8" s="20">
        <v>906080</v>
      </c>
      <c r="K8" s="430">
        <f>J8/'Estado de Resultados'!$J$6</f>
        <v>1.1455465953176364E-2</v>
      </c>
    </row>
    <row r="9" spans="1:11" x14ac:dyDescent="0.25">
      <c r="A9" t="s">
        <v>236</v>
      </c>
      <c r="B9" s="20">
        <v>832961.66567069711</v>
      </c>
      <c r="C9" s="430">
        <f>B9/'Estado de Resultados'!$B$6</f>
        <v>7.5779778711106511E-3</v>
      </c>
      <c r="D9" s="20">
        <v>897430</v>
      </c>
      <c r="E9" s="430">
        <f>D9/'Estado de Resultados'!$D$6</f>
        <v>7.4824455222970926E-3</v>
      </c>
      <c r="F9" s="20">
        <v>923889</v>
      </c>
      <c r="G9" s="430">
        <f>F9/'Estado de Resultados'!$F$6</f>
        <v>7.3657845436048471E-3</v>
      </c>
      <c r="H9" s="20">
        <v>929912</v>
      </c>
      <c r="I9" s="430">
        <f>H9/'Estado de Resultados'!$H$6</f>
        <v>8.7541907947073106E-3</v>
      </c>
      <c r="J9" s="20">
        <v>676693</v>
      </c>
      <c r="K9" s="430">
        <f>J9/'Estado de Resultados'!$J$6</f>
        <v>8.5553523113331871E-3</v>
      </c>
    </row>
    <row r="10" spans="1:11" x14ac:dyDescent="0.25">
      <c r="A10" t="s">
        <v>237</v>
      </c>
      <c r="B10" s="20">
        <v>1013294.8697581631</v>
      </c>
      <c r="C10" s="430">
        <f>B10/'Estado de Resultados'!$B$6</f>
        <v>9.2185828188797048E-3</v>
      </c>
      <c r="D10" s="20">
        <v>1125275</v>
      </c>
      <c r="E10" s="430">
        <f>D10/'Estado de Resultados'!$D$6</f>
        <v>9.3821344117121785E-3</v>
      </c>
      <c r="F10" s="20">
        <v>823878</v>
      </c>
      <c r="G10" s="430">
        <f>F10/'Estado de Resultados'!$F$6</f>
        <v>6.5684382411913926E-3</v>
      </c>
      <c r="H10" s="20">
        <v>1476139</v>
      </c>
      <c r="I10" s="430">
        <f>H10/'Estado de Resultados'!$H$6</f>
        <v>1.3896371318477936E-2</v>
      </c>
      <c r="J10" s="20">
        <v>767266</v>
      </c>
      <c r="K10" s="430">
        <f>J10/'Estado de Resultados'!$J$6</f>
        <v>9.7004564056483045E-3</v>
      </c>
    </row>
    <row r="11" spans="1:11" x14ac:dyDescent="0.25">
      <c r="A11" t="s">
        <v>238</v>
      </c>
      <c r="B11" s="20">
        <v>632025.10543385101</v>
      </c>
      <c r="C11" s="430">
        <f>B11/'Estado de Resultados'!$B$6</f>
        <v>5.7499311917405434E-3</v>
      </c>
      <c r="D11" s="20">
        <v>720217</v>
      </c>
      <c r="E11" s="430">
        <f>D11/'Estado de Resultados'!$D$6</f>
        <v>6.0049078666104825E-3</v>
      </c>
      <c r="F11" s="20">
        <v>742551</v>
      </c>
      <c r="G11" s="430">
        <f>F11/'Estado de Resultados'!$F$6</f>
        <v>5.9200517363431357E-3</v>
      </c>
      <c r="H11" s="20">
        <v>653406</v>
      </c>
      <c r="I11" s="430">
        <f>H11/'Estado de Resultados'!$H$6</f>
        <v>6.15116354064312E-3</v>
      </c>
      <c r="J11" s="20">
        <v>490179</v>
      </c>
      <c r="K11" s="430">
        <f>J11/'Estado de Resultados'!$J$6</f>
        <v>6.1972771118025309E-3</v>
      </c>
    </row>
    <row r="12" spans="1:11" x14ac:dyDescent="0.25">
      <c r="A12" t="s">
        <v>239</v>
      </c>
      <c r="B12" s="20">
        <v>611175.01946623379</v>
      </c>
      <c r="C12" s="430">
        <f>B12/'Estado de Resultados'!$B$6</f>
        <v>5.560244803296561E-3</v>
      </c>
      <c r="D12" s="20">
        <v>899156</v>
      </c>
      <c r="E12" s="430">
        <f>D12/'Estado de Resultados'!$D$6</f>
        <v>7.4968362836617501E-3</v>
      </c>
      <c r="F12" s="20">
        <v>686262</v>
      </c>
      <c r="G12" s="430">
        <f>F12/'Estado de Resultados'!$F$6</f>
        <v>5.4712828407561401E-3</v>
      </c>
      <c r="H12" s="20">
        <v>527239</v>
      </c>
      <c r="I12" s="430">
        <f>H12/'Estado de Resultados'!$H$6</f>
        <v>4.9634275075605945E-3</v>
      </c>
      <c r="J12" s="20">
        <v>423715</v>
      </c>
      <c r="K12" s="430">
        <f>J12/'Estado de Resultados'!$J$6</f>
        <v>5.3569803509073404E-3</v>
      </c>
    </row>
    <row r="13" spans="1:11" x14ac:dyDescent="0.25">
      <c r="A13" t="s">
        <v>240</v>
      </c>
      <c r="B13" s="20">
        <v>638027.03489884746</v>
      </c>
      <c r="C13" s="430">
        <f>B13/'Estado de Resultados'!$B$6</f>
        <v>5.8045345312988982E-3</v>
      </c>
      <c r="D13" s="20">
        <v>649351</v>
      </c>
      <c r="E13" s="430">
        <f>D13/'Estado de Resultados'!$D$6</f>
        <v>5.4140528869651549E-3</v>
      </c>
      <c r="F13" s="20">
        <v>676395</v>
      </c>
      <c r="G13" s="430">
        <f>F13/'Estado de Resultados'!$F$6</f>
        <v>5.3926173343027146E-3</v>
      </c>
      <c r="H13" s="20">
        <v>734476</v>
      </c>
      <c r="I13" s="430">
        <f>H13/'Estado de Resultados'!$H$6</f>
        <v>6.914356453227237E-3</v>
      </c>
      <c r="J13" s="20">
        <v>556136</v>
      </c>
      <c r="K13" s="430">
        <f>J13/'Estado de Resultados'!$J$6</f>
        <v>7.0311639296041081E-3</v>
      </c>
    </row>
    <row r="14" spans="1:11" x14ac:dyDescent="0.25">
      <c r="A14" t="s">
        <v>241</v>
      </c>
      <c r="B14" s="20">
        <v>504541.4687993158</v>
      </c>
      <c r="C14" s="430">
        <f>B14/'Estado de Resultados'!$B$6</f>
        <v>4.5901321071484024E-3</v>
      </c>
      <c r="D14" s="20">
        <v>719489</v>
      </c>
      <c r="E14" s="430">
        <f>D14/'Estado de Resultados'!$D$6</f>
        <v>5.9988380669155393E-3</v>
      </c>
      <c r="F14" s="20">
        <v>674546</v>
      </c>
      <c r="G14" s="430">
        <f>F14/'Estado de Resultados'!$F$6</f>
        <v>5.3778760227153645E-3</v>
      </c>
      <c r="H14" s="20">
        <v>418462</v>
      </c>
      <c r="I14" s="430">
        <f>H14/'Estado de Resultados'!$H$6</f>
        <v>3.9394009200169593E-3</v>
      </c>
      <c r="J14" s="20">
        <v>292939</v>
      </c>
      <c r="K14" s="430">
        <f>J14/'Estado de Resultados'!$J$6</f>
        <v>3.7035943193289016E-3</v>
      </c>
    </row>
    <row r="15" spans="1:11" x14ac:dyDescent="0.25">
      <c r="A15" t="s">
        <v>242</v>
      </c>
      <c r="B15" s="20">
        <v>472614.36173010041</v>
      </c>
      <c r="C15" s="430">
        <f>B15/'Estado de Resultados'!$B$6</f>
        <v>4.2996710681469461E-3</v>
      </c>
      <c r="D15" s="20">
        <v>604248</v>
      </c>
      <c r="E15" s="430">
        <f>D15/'Estado de Resultados'!$D$6</f>
        <v>5.0380004478978568E-3</v>
      </c>
      <c r="F15" s="20">
        <v>578398</v>
      </c>
      <c r="G15" s="430">
        <f>F15/'Estado de Resultados'!$F$6</f>
        <v>4.6113278201731552E-3</v>
      </c>
      <c r="H15" s="20">
        <v>513777</v>
      </c>
      <c r="I15" s="430">
        <f>H15/'Estado de Resultados'!$H$6</f>
        <v>4.836696250755273E-3</v>
      </c>
      <c r="J15" s="20">
        <v>275984</v>
      </c>
      <c r="K15" s="430">
        <f>J15/'Estado de Resultados'!$J$6</f>
        <v>3.489234190823576E-3</v>
      </c>
    </row>
    <row r="16" spans="1:11" x14ac:dyDescent="0.25">
      <c r="A16" t="s">
        <v>243</v>
      </c>
      <c r="B16" s="20">
        <v>367781.91597015597</v>
      </c>
      <c r="C16" s="430">
        <f>B16/'Estado de Resultados'!$B$6</f>
        <v>3.3459441598340588E-3</v>
      </c>
      <c r="D16" s="20">
        <v>340409</v>
      </c>
      <c r="E16" s="430">
        <f>D16/'Estado de Resultados'!$D$6</f>
        <v>2.8382066543347459E-3</v>
      </c>
      <c r="F16" s="20">
        <v>511418</v>
      </c>
      <c r="G16" s="430">
        <f>F16/'Estado de Resultados'!$F$6</f>
        <v>4.0773240072360471E-3</v>
      </c>
      <c r="H16" s="20">
        <v>398096</v>
      </c>
      <c r="I16" s="430">
        <f>H16/'Estado de Resultados'!$H$6</f>
        <v>3.7476754129528401E-3</v>
      </c>
      <c r="J16" s="20">
        <v>268209</v>
      </c>
      <c r="K16" s="430">
        <f>J16/'Estado de Resultados'!$J$6</f>
        <v>3.3909357538357316E-3</v>
      </c>
    </row>
    <row r="17" spans="1:11" x14ac:dyDescent="0.25">
      <c r="A17" t="s">
        <v>244</v>
      </c>
      <c r="B17" s="20">
        <v>265590.12179989181</v>
      </c>
      <c r="C17" s="430">
        <f>B17/'Estado de Resultados'!$B$6</f>
        <v>2.4162409252826743E-3</v>
      </c>
      <c r="D17" s="20">
        <v>372765</v>
      </c>
      <c r="E17" s="430">
        <f>D17/'Estado de Resultados'!$D$6</f>
        <v>3.1079792352819448E-3</v>
      </c>
      <c r="F17" s="20">
        <v>454868</v>
      </c>
      <c r="G17" s="430">
        <f>F17/'Estado de Resultados'!$F$6</f>
        <v>3.6264742666926976E-3</v>
      </c>
      <c r="H17" s="20">
        <v>32356</v>
      </c>
      <c r="I17" s="430">
        <f>H17/'Estado de Resultados'!$H$6</f>
        <v>3.045993570935204E-4</v>
      </c>
      <c r="J17" s="20">
        <v>226950</v>
      </c>
      <c r="K17" s="430">
        <f>J17/'Estado de Resultados'!$J$6</f>
        <v>2.869302929182165E-3</v>
      </c>
    </row>
    <row r="18" spans="1:11" x14ac:dyDescent="0.25">
      <c r="A18" t="s">
        <v>245</v>
      </c>
      <c r="B18" s="20">
        <v>565881.45324113488</v>
      </c>
      <c r="C18" s="430">
        <f>B18/'Estado de Resultados'!$B$6</f>
        <v>5.1481806511232261E-3</v>
      </c>
      <c r="D18" s="20">
        <v>327883</v>
      </c>
      <c r="E18" s="430">
        <f>D18/'Estado de Resultados'!$D$6</f>
        <v>2.7337694139791821E-3</v>
      </c>
      <c r="F18" s="20">
        <v>409453</v>
      </c>
      <c r="G18" s="430">
        <f>F18/'Estado de Resultados'!$F$6</f>
        <v>3.2643992717010764E-3</v>
      </c>
      <c r="H18" s="20">
        <v>579726</v>
      </c>
      <c r="I18" s="430">
        <f>H18/'Estado de Resultados'!$H$6</f>
        <v>5.4575400819136541E-3</v>
      </c>
      <c r="J18" s="20">
        <v>900753</v>
      </c>
      <c r="K18" s="430">
        <f>J18/'Estado de Resultados'!$J$6</f>
        <v>1.1388117300593182E-2</v>
      </c>
    </row>
    <row r="19" spans="1:11" x14ac:dyDescent="0.25">
      <c r="A19" t="s">
        <v>246</v>
      </c>
      <c r="B19" s="20">
        <v>326482.57591262186</v>
      </c>
      <c r="C19" s="430">
        <f>B19/'Estado de Resultados'!$B$6</f>
        <v>2.9702180034623022E-3</v>
      </c>
      <c r="D19" s="20">
        <v>503627</v>
      </c>
      <c r="E19" s="430">
        <f>D19/'Estado de Resultados'!$D$6</f>
        <v>4.1990590809956405E-3</v>
      </c>
      <c r="F19" s="20">
        <v>322452</v>
      </c>
      <c r="G19" s="430">
        <f>F19/'Estado de Resultados'!$F$6</f>
        <v>2.5707763136637303E-3</v>
      </c>
      <c r="H19" s="20">
        <v>348388</v>
      </c>
      <c r="I19" s="430">
        <f>H19/'Estado de Resultados'!$H$6</f>
        <v>3.27972434228883E-3</v>
      </c>
      <c r="J19" s="20">
        <v>190940</v>
      </c>
      <c r="K19" s="430">
        <f>J19/'Estado de Resultados'!$J$6</f>
        <v>2.4140326120204564E-3</v>
      </c>
    </row>
    <row r="20" spans="1:11" x14ac:dyDescent="0.25">
      <c r="A20" t="s">
        <v>247</v>
      </c>
      <c r="B20" s="20">
        <v>251748.7569503843</v>
      </c>
      <c r="C20" s="430">
        <f>B20/'Estado de Resultados'!$B$6</f>
        <v>2.2903172953505808E-3</v>
      </c>
      <c r="D20" s="20">
        <v>328606</v>
      </c>
      <c r="E20" s="430">
        <f>D20/'Estado de Resultados'!$D$6</f>
        <v>2.7397975254894067E-3</v>
      </c>
      <c r="F20" s="20">
        <v>284925</v>
      </c>
      <c r="G20" s="430">
        <f>F20/'Estado de Resultados'!$F$6</f>
        <v>2.2715890773530273E-3</v>
      </c>
      <c r="H20" s="20">
        <v>243551</v>
      </c>
      <c r="I20" s="430">
        <f>H20/'Estado de Resultados'!$H$6</f>
        <v>2.2927889114687842E-3</v>
      </c>
      <c r="J20" s="20">
        <v>184571</v>
      </c>
      <c r="K20" s="430">
        <f>J20/'Estado de Resultados'!$J$6</f>
        <v>2.3335100724480341E-3</v>
      </c>
    </row>
    <row r="21" spans="1:11" x14ac:dyDescent="0.25">
      <c r="A21" t="s">
        <v>248</v>
      </c>
      <c r="B21" s="20">
        <v>263668.53856289381</v>
      </c>
      <c r="C21" s="430">
        <f>B21/'Estado de Resultados'!$B$6</f>
        <v>2.3987590700573886E-3</v>
      </c>
      <c r="D21" s="20">
        <v>301821</v>
      </c>
      <c r="E21" s="430">
        <f>D21/'Estado de Resultados'!$D$6</f>
        <v>2.5164739199550167E-3</v>
      </c>
      <c r="F21" s="20">
        <v>281050</v>
      </c>
      <c r="G21" s="430">
        <f>F21/'Estado de Resultados'!$F$6</f>
        <v>2.2406953064493056E-3</v>
      </c>
      <c r="H21" s="20">
        <v>282861</v>
      </c>
      <c r="I21" s="430">
        <f>H21/'Estado de Resultados'!$H$6</f>
        <v>2.6628532187795238E-3</v>
      </c>
      <c r="J21" s="20">
        <v>218690</v>
      </c>
      <c r="K21" s="430">
        <f>J21/'Estado de Resultados'!$J$6</f>
        <v>2.7648726925880046E-3</v>
      </c>
    </row>
    <row r="22" spans="1:11" x14ac:dyDescent="0.25">
      <c r="A22" t="s">
        <v>249</v>
      </c>
      <c r="B22" s="20">
        <v>199982.21992044934</v>
      </c>
      <c r="C22" s="430">
        <f>B22/'Estado de Resultados'!$B$6</f>
        <v>1.8193644433234586E-3</v>
      </c>
      <c r="D22" s="20">
        <v>198221</v>
      </c>
      <c r="E22" s="430">
        <f>D22/'Estado de Resultados'!$D$6</f>
        <v>1.6526947325978091E-3</v>
      </c>
      <c r="F22" s="20">
        <v>196802</v>
      </c>
      <c r="G22" s="430">
        <f>F22/'Estado de Resultados'!$F$6</f>
        <v>1.5690208777791718E-3</v>
      </c>
      <c r="H22" s="20">
        <v>209823</v>
      </c>
      <c r="I22" s="430">
        <f>H22/'Estado de Resultados'!$H$6</f>
        <v>1.9752735475161865E-3</v>
      </c>
      <c r="J22" s="20">
        <v>207114</v>
      </c>
      <c r="K22" s="430">
        <f>J22/'Estado de Resultados'!$J$6</f>
        <v>2.6185186467267453E-3</v>
      </c>
    </row>
    <row r="23" spans="1:11" x14ac:dyDescent="0.25">
      <c r="A23" t="s">
        <v>250</v>
      </c>
      <c r="B23" s="20">
        <v>293988.45141898631</v>
      </c>
      <c r="C23" s="430">
        <f>B23/'Estado de Resultados'!$B$6</f>
        <v>2.6745984491631093E-3</v>
      </c>
      <c r="D23" s="20">
        <v>224603</v>
      </c>
      <c r="E23" s="430">
        <f>D23/'Estado de Resultados'!$D$6</f>
        <v>1.8726582704439274E-3</v>
      </c>
      <c r="F23" s="20">
        <v>196159</v>
      </c>
      <c r="G23" s="430">
        <f>F23/'Estado de Resultados'!$F$6</f>
        <v>1.5638945049556638E-3</v>
      </c>
      <c r="H23" s="20">
        <v>430333</v>
      </c>
      <c r="I23" s="430">
        <f>H23/'Estado de Resultados'!$H$6</f>
        <v>4.0511545041453179E-3</v>
      </c>
      <c r="J23" s="20">
        <v>336077</v>
      </c>
      <c r="K23" s="430">
        <f>J23/'Estado de Resultados'!$J$6</f>
        <v>4.2489831263747713E-3</v>
      </c>
    </row>
    <row r="24" spans="1:11" x14ac:dyDescent="0.25">
      <c r="A24" t="s">
        <v>251</v>
      </c>
      <c r="B24" s="20">
        <v>143384.91516122076</v>
      </c>
      <c r="C24" s="430">
        <f>B24/'Estado de Resultados'!$B$6</f>
        <v>1.3044630490502938E-3</v>
      </c>
      <c r="D24" s="20">
        <v>161828</v>
      </c>
      <c r="E24" s="430">
        <f>D24/'Estado de Resultados'!$D$6</f>
        <v>1.3492631113092874E-3</v>
      </c>
      <c r="F24" s="20">
        <v>174615</v>
      </c>
      <c r="G24" s="430">
        <f>F24/'Estado de Resultados'!$F$6</f>
        <v>1.3921331113170093E-3</v>
      </c>
      <c r="H24" s="20">
        <v>140139</v>
      </c>
      <c r="I24" s="430">
        <f>H24/'Estado de Resultados'!$H$6</f>
        <v>1.3192684294637425E-3</v>
      </c>
      <c r="J24" s="20">
        <v>113853</v>
      </c>
      <c r="K24" s="430">
        <f>J24/'Estado de Resultados'!$J$6</f>
        <v>1.4394304754182729E-3</v>
      </c>
    </row>
    <row r="25" spans="1:11" x14ac:dyDescent="0.25">
      <c r="A25" t="s">
        <v>252</v>
      </c>
      <c r="B25" s="20">
        <v>136957.10058445725</v>
      </c>
      <c r="C25" s="430">
        <f>B25/'Estado de Resultados'!$B$6</f>
        <v>1.2459851638968451E-3</v>
      </c>
      <c r="D25" s="20">
        <v>149406</v>
      </c>
      <c r="E25" s="430">
        <f>D25/'Estado de Resultados'!$D$6</f>
        <v>1.2456929851958586E-3</v>
      </c>
      <c r="F25" s="20">
        <v>158836</v>
      </c>
      <c r="G25" s="430">
        <f>F25/'Estado de Resultados'!$F$6</f>
        <v>1.2663336761970536E-3</v>
      </c>
      <c r="H25" s="20">
        <v>133495</v>
      </c>
      <c r="I25" s="430">
        <f>H25/'Estado de Resultados'!$H$6</f>
        <v>1.2567218189887348E-3</v>
      </c>
      <c r="J25" s="20">
        <v>119588</v>
      </c>
      <c r="K25" s="430">
        <f>J25/'Estado de Resultados'!$J$6</f>
        <v>1.5119374254022328E-3</v>
      </c>
    </row>
    <row r="26" spans="1:11" x14ac:dyDescent="0.25">
      <c r="A26" t="s">
        <v>253</v>
      </c>
      <c r="B26" s="20">
        <v>256562.30457816401</v>
      </c>
      <c r="C26" s="430">
        <f>B26/'Estado de Resultados'!$B$6</f>
        <v>2.334109175467274E-3</v>
      </c>
      <c r="D26" s="20">
        <v>157170</v>
      </c>
      <c r="E26" s="430">
        <f>D26/'Estado de Resultados'!$D$6</f>
        <v>1.3104263984259875E-3</v>
      </c>
      <c r="F26" s="20">
        <v>122256</v>
      </c>
      <c r="G26" s="430">
        <f>F26/'Estado de Resultados'!$F$6</f>
        <v>9.746964788659181E-4</v>
      </c>
      <c r="H26" s="20">
        <v>87404</v>
      </c>
      <c r="I26" s="430">
        <f>H26/'Estado de Resultados'!$H$6</f>
        <v>8.2282118331691357E-4</v>
      </c>
      <c r="J26" s="20">
        <v>592932</v>
      </c>
      <c r="K26" s="430">
        <f>J26/'Estado de Resultados'!$J$6</f>
        <v>7.4963715549937844E-3</v>
      </c>
    </row>
    <row r="27" spans="1:11" x14ac:dyDescent="0.25">
      <c r="A27" t="s">
        <v>254</v>
      </c>
      <c r="B27" s="20">
        <v>58440.613508044145</v>
      </c>
      <c r="C27" s="430">
        <f>B27/'Estado de Resultados'!$B$6</f>
        <v>5.3167113708828175E-4</v>
      </c>
      <c r="D27" s="20">
        <v>77087</v>
      </c>
      <c r="E27" s="430">
        <f>D27/'Estado de Resultados'!$D$6</f>
        <v>6.4272341907147738E-4</v>
      </c>
      <c r="F27" s="20">
        <v>69058</v>
      </c>
      <c r="G27" s="430">
        <f>F27/'Estado de Resultados'!$F$6</f>
        <v>5.5057084672754367E-4</v>
      </c>
      <c r="H27" s="20">
        <v>59280</v>
      </c>
      <c r="I27" s="430">
        <f>H27/'Estado de Resultados'!$H$6</f>
        <v>5.5806187070416274E-4</v>
      </c>
      <c r="J27" s="20">
        <v>37653</v>
      </c>
      <c r="K27" s="430">
        <f>J27/'Estado de Resultados'!$J$6</f>
        <v>4.7604257850846464E-4</v>
      </c>
    </row>
    <row r="28" spans="1:11" x14ac:dyDescent="0.25">
      <c r="A28" s="236" t="s">
        <v>255</v>
      </c>
      <c r="B28" s="20">
        <v>61011.717199327279</v>
      </c>
      <c r="C28" s="430">
        <f>B28/'Estado de Resultados'!$B$6</f>
        <v>5.5506208973336694E-4</v>
      </c>
      <c r="D28" s="20">
        <v>0</v>
      </c>
      <c r="E28" s="430">
        <f>D28/'Estado de Resultados'!$D$6</f>
        <v>0</v>
      </c>
      <c r="F28" s="20">
        <v>51891</v>
      </c>
      <c r="G28" s="430">
        <f>F28/'Estado de Resultados'!$F$6</f>
        <v>4.1370546218452557E-4</v>
      </c>
      <c r="H28" s="20">
        <v>101118</v>
      </c>
      <c r="I28" s="430">
        <f>H28/'Estado de Resultados'!$H$6</f>
        <v>9.519247679126775E-4</v>
      </c>
      <c r="J28" s="20">
        <v>87893</v>
      </c>
      <c r="K28" s="430">
        <f>J28/'Estado de Resultados'!$J$6</f>
        <v>1.1112211604080548E-3</v>
      </c>
    </row>
    <row r="29" spans="1:11" x14ac:dyDescent="0.25">
      <c r="A29" t="s">
        <v>256</v>
      </c>
      <c r="B29" s="20">
        <v>88218.057034609054</v>
      </c>
      <c r="C29" s="430">
        <f>B29/'Estado de Resultados'!$B$6</f>
        <v>8.025753304053432E-4</v>
      </c>
      <c r="D29" s="20">
        <v>143669</v>
      </c>
      <c r="E29" s="430">
        <f>D29/'Estado de Resultados'!$D$6</f>
        <v>1.1978599620504117E-3</v>
      </c>
      <c r="F29" s="20">
        <v>30035</v>
      </c>
      <c r="G29" s="430">
        <f>F29/'Estado de Resultados'!$F$6</f>
        <v>2.39456621701494E-4</v>
      </c>
      <c r="H29" s="20">
        <v>163517</v>
      </c>
      <c r="I29" s="430">
        <f>H29/'Estado de Resultados'!$H$6</f>
        <v>1.5393489020231541E-3</v>
      </c>
      <c r="J29" s="20">
        <v>37027</v>
      </c>
      <c r="K29" s="430">
        <f>J29/'Estado de Resultados'!$J$6</f>
        <v>4.6812813200629224E-4</v>
      </c>
    </row>
    <row r="30" spans="1:11" x14ac:dyDescent="0.25">
      <c r="A30" t="s">
        <v>257</v>
      </c>
      <c r="B30" s="20">
        <v>14911.434448148817</v>
      </c>
      <c r="C30" s="430">
        <f>B30/'Estado de Resultados'!$B$6</f>
        <v>1.3565872828445578E-4</v>
      </c>
      <c r="D30" s="20">
        <v>18500</v>
      </c>
      <c r="E30" s="430">
        <f>D30/'Estado de Resultados'!$D$6</f>
        <v>1.542462834566442E-4</v>
      </c>
      <c r="F30" s="20">
        <v>18500</v>
      </c>
      <c r="G30" s="430">
        <f>F30/'Estado de Resultados'!$F$6</f>
        <v>1.4749284173389842E-4</v>
      </c>
      <c r="H30" s="20">
        <v>13000</v>
      </c>
      <c r="I30" s="430">
        <f>H30/'Estado de Resultados'!$H$6</f>
        <v>1.2238198918950938E-4</v>
      </c>
      <c r="J30" s="20">
        <v>11500</v>
      </c>
      <c r="K30" s="430">
        <f>J30/'Estado de Resultados'!$J$6</f>
        <v>1.4539318654150648E-4</v>
      </c>
    </row>
    <row r="31" spans="1:11" x14ac:dyDescent="0.25">
      <c r="A31" t="s">
        <v>258</v>
      </c>
      <c r="B31" s="21">
        <v>6628.5201571679327</v>
      </c>
      <c r="C31" s="430">
        <f>B31/'Estado de Resultados'!$B$6</f>
        <v>6.0303830463535059E-5</v>
      </c>
      <c r="D31" s="21">
        <v>10100</v>
      </c>
      <c r="E31" s="430">
        <f>D31/'Estado de Resultados'!$D$6</f>
        <v>8.421013313038414E-5</v>
      </c>
      <c r="F31" s="21">
        <v>8500</v>
      </c>
      <c r="G31" s="430">
        <f>F31/'Estado de Resultados'!$F$6</f>
        <v>6.7766981337196577E-5</v>
      </c>
      <c r="H31" s="21">
        <v>7500</v>
      </c>
      <c r="I31" s="430">
        <f>H31/'Estado de Resultados'!$H$6</f>
        <v>7.0604993763178481E-5</v>
      </c>
      <c r="J31" s="21">
        <v>2042</v>
      </c>
      <c r="K31" s="430">
        <f>J31/'Estado de Resultados'!$J$6</f>
        <v>2.5816772775457064E-5</v>
      </c>
    </row>
    <row r="32" spans="1:11" x14ac:dyDescent="0.25">
      <c r="A32" s="249" t="s">
        <v>336</v>
      </c>
      <c r="B32" s="20">
        <f>SUM(B7:B31)</f>
        <v>10056276</v>
      </c>
      <c r="C32" s="430">
        <f>B32/'Estado de Resultados'!$B$6</f>
        <v>9.1488288278453012E-2</v>
      </c>
      <c r="D32" s="20">
        <f t="shared" ref="D32:H32" si="0">SUM(D7:D31)</f>
        <v>11035725</v>
      </c>
      <c r="E32" s="430">
        <f>D32/'Estado de Resultados'!$D$6</f>
        <v>9.2011868459436486E-2</v>
      </c>
      <c r="F32" s="20">
        <f t="shared" si="0"/>
        <v>10639485</v>
      </c>
      <c r="G32" s="430">
        <f>F32/F32</f>
        <v>1</v>
      </c>
      <c r="H32" s="20">
        <f t="shared" si="0"/>
        <v>10913864</v>
      </c>
      <c r="I32" s="430">
        <f>H32/'Estado de Resultados'!$H$6</f>
        <v>0.10274310662029042</v>
      </c>
      <c r="J32" s="20">
        <f>SUM(J7:J31)</f>
        <v>8680096</v>
      </c>
      <c r="K32" s="430">
        <f>J32/'Estado de Resultados'!$J$6</f>
        <v>0.10974146234140733</v>
      </c>
    </row>
    <row r="33" spans="2:6" x14ac:dyDescent="0.25">
      <c r="B33" s="10"/>
      <c r="F33" s="10"/>
    </row>
    <row r="34" spans="2:6" x14ac:dyDescent="0.25">
      <c r="F34" s="1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DC50E-EE79-4ACF-9721-14195476DB0B}">
  <dimension ref="A1:K162"/>
  <sheetViews>
    <sheetView showGridLines="0" zoomScale="90" zoomScaleNormal="90" workbookViewId="0">
      <selection activeCell="B5" sqref="B5:J5"/>
    </sheetView>
  </sheetViews>
  <sheetFormatPr defaultColWidth="22.7109375" defaultRowHeight="15" x14ac:dyDescent="0.25"/>
  <cols>
    <col min="1" max="1" width="60.42578125" customWidth="1"/>
    <col min="2" max="2" width="11.5703125" bestFit="1" customWidth="1"/>
    <col min="3" max="3" width="7.7109375" bestFit="1" customWidth="1"/>
    <col min="4" max="4" width="11.5703125" bestFit="1" customWidth="1"/>
    <col min="5" max="5" width="7" bestFit="1" customWidth="1"/>
    <col min="6" max="6" width="11.5703125" bestFit="1" customWidth="1"/>
    <col min="7" max="7" width="7" bestFit="1" customWidth="1"/>
    <col min="8" max="8" width="11.5703125" bestFit="1" customWidth="1"/>
    <col min="9" max="9" width="7.7109375" bestFit="1" customWidth="1"/>
    <col min="10" max="10" width="11.5703125" bestFit="1" customWidth="1"/>
    <col min="11" max="11" width="9.42578125" bestFit="1" customWidth="1"/>
  </cols>
  <sheetData>
    <row r="1" spans="1:10" x14ac:dyDescent="0.25">
      <c r="A1" s="5" t="s">
        <v>0</v>
      </c>
    </row>
    <row r="2" spans="1:10" x14ac:dyDescent="0.25">
      <c r="A2" s="1" t="s">
        <v>227</v>
      </c>
    </row>
    <row r="3" spans="1:10" x14ac:dyDescent="0.25">
      <c r="A3" s="1" t="s">
        <v>602</v>
      </c>
    </row>
    <row r="5" spans="1:10" x14ac:dyDescent="0.25">
      <c r="A5" s="1" t="s">
        <v>196</v>
      </c>
      <c r="B5" s="167">
        <v>2013</v>
      </c>
      <c r="C5" s="168" t="s">
        <v>131</v>
      </c>
      <c r="D5" s="167">
        <f>B5+1</f>
        <v>2014</v>
      </c>
      <c r="E5" s="168" t="s">
        <v>131</v>
      </c>
      <c r="F5" s="167">
        <f>D5+1</f>
        <v>2015</v>
      </c>
      <c r="G5" s="168" t="s">
        <v>131</v>
      </c>
      <c r="H5" s="167">
        <f t="shared" ref="H5" si="0">F5+1</f>
        <v>2016</v>
      </c>
      <c r="I5" s="168" t="s">
        <v>131</v>
      </c>
      <c r="J5" s="3">
        <v>42887</v>
      </c>
    </row>
    <row r="6" spans="1:10" x14ac:dyDescent="0.25">
      <c r="A6" s="4" t="s">
        <v>197</v>
      </c>
      <c r="B6" s="10">
        <v>-667985</v>
      </c>
      <c r="C6" s="141">
        <f>(D6-B6)/B6</f>
        <v>-1.2116424770017291</v>
      </c>
      <c r="D6" s="10">
        <v>141374</v>
      </c>
      <c r="E6" s="141">
        <f>(F6-D6)/D6</f>
        <v>-2.1192510645521807</v>
      </c>
      <c r="F6" s="10">
        <v>-158233</v>
      </c>
      <c r="G6" s="141">
        <f>(H6-F6)/F6</f>
        <v>24.207687397698329</v>
      </c>
      <c r="H6" s="10">
        <v>-3988688</v>
      </c>
      <c r="I6" s="141">
        <f>(J6-H6)/H6</f>
        <v>-0.27524890390022982</v>
      </c>
      <c r="J6" s="10">
        <v>-2890806</v>
      </c>
    </row>
    <row r="7" spans="1:10" x14ac:dyDescent="0.25">
      <c r="A7" s="4"/>
      <c r="B7" s="10"/>
      <c r="C7" s="141"/>
      <c r="D7" s="10"/>
      <c r="E7" s="141"/>
      <c r="F7" s="10"/>
      <c r="G7" s="141"/>
      <c r="H7" s="10"/>
      <c r="I7" s="141"/>
      <c r="J7" s="10"/>
    </row>
    <row r="8" spans="1:10" x14ac:dyDescent="0.25">
      <c r="A8" s="772" t="s">
        <v>198</v>
      </c>
      <c r="B8" s="10"/>
      <c r="C8" s="141"/>
      <c r="D8" s="10"/>
      <c r="E8" s="141"/>
      <c r="F8" s="10"/>
      <c r="G8" s="141"/>
      <c r="H8" s="10"/>
      <c r="I8" s="141"/>
      <c r="J8" s="10"/>
    </row>
    <row r="9" spans="1:10" x14ac:dyDescent="0.25">
      <c r="A9" s="772"/>
      <c r="B9" s="10"/>
      <c r="C9" s="141"/>
      <c r="D9" s="10"/>
      <c r="E9" s="141"/>
      <c r="F9" s="10"/>
      <c r="G9" s="141"/>
      <c r="H9" s="10"/>
      <c r="I9" s="141"/>
      <c r="J9" s="10"/>
    </row>
    <row r="10" spans="1:10" x14ac:dyDescent="0.25">
      <c r="A10" s="257" t="s">
        <v>199</v>
      </c>
      <c r="B10" s="260">
        <v>1326140</v>
      </c>
      <c r="C10" s="261">
        <f t="shared" ref="C10:E46" si="1">(D10-B10)/B10</f>
        <v>0.16554209962749031</v>
      </c>
      <c r="D10" s="260">
        <v>1545672</v>
      </c>
      <c r="E10" s="261">
        <f t="shared" si="1"/>
        <v>-3.2868551672023558E-2</v>
      </c>
      <c r="F10" s="260">
        <v>1494868</v>
      </c>
      <c r="G10" s="261">
        <f t="shared" ref="G10" si="2">(H10-F10)/F10</f>
        <v>-0.11745050399098783</v>
      </c>
      <c r="H10" s="260">
        <v>1319295</v>
      </c>
      <c r="I10" s="261">
        <f t="shared" ref="I10" si="3">(J10-H10)/H10</f>
        <v>-0.42290465741172367</v>
      </c>
      <c r="J10" s="260">
        <v>761359</v>
      </c>
    </row>
    <row r="11" spans="1:10" x14ac:dyDescent="0.25">
      <c r="A11" s="4" t="s">
        <v>200</v>
      </c>
      <c r="B11" s="10">
        <v>231784</v>
      </c>
      <c r="C11" s="141">
        <f t="shared" si="1"/>
        <v>0.6201075138922445</v>
      </c>
      <c r="D11" s="10">
        <v>375515</v>
      </c>
      <c r="E11" s="141">
        <f t="shared" si="1"/>
        <v>-0.8618137757479728</v>
      </c>
      <c r="F11" s="10">
        <v>51891</v>
      </c>
      <c r="G11" s="141">
        <f t="shared" ref="G11" si="4">(H11-F11)/F11</f>
        <v>0.94866161762155288</v>
      </c>
      <c r="H11" s="10">
        <v>101118</v>
      </c>
      <c r="I11" s="141">
        <f t="shared" ref="I11" si="5">(J11-H11)/H11</f>
        <v>-0.13078779248007277</v>
      </c>
      <c r="J11" s="10">
        <v>87893</v>
      </c>
    </row>
    <row r="12" spans="1:10" x14ac:dyDescent="0.25">
      <c r="A12" s="4" t="s">
        <v>201</v>
      </c>
      <c r="B12" s="10">
        <v>0</v>
      </c>
      <c r="C12" s="141"/>
      <c r="D12" s="10">
        <v>14902</v>
      </c>
      <c r="E12" s="141">
        <f t="shared" si="1"/>
        <v>29.523956515903905</v>
      </c>
      <c r="F12" s="10">
        <v>454868</v>
      </c>
      <c r="G12" s="141">
        <f t="shared" ref="G12" si="6">(H12-F12)/F12</f>
        <v>-0.92886727578110573</v>
      </c>
      <c r="H12" s="10">
        <v>32356</v>
      </c>
      <c r="I12" s="141">
        <f t="shared" ref="I12" si="7">(J12-H12)/H12</f>
        <v>6.0141550253430589</v>
      </c>
      <c r="J12" s="10">
        <v>226950</v>
      </c>
    </row>
    <row r="13" spans="1:10" x14ac:dyDescent="0.25">
      <c r="A13" s="4" t="s">
        <v>202</v>
      </c>
      <c r="B13" s="10">
        <v>-17308</v>
      </c>
      <c r="C13" s="141">
        <f t="shared" si="1"/>
        <v>-1.6849433787843773</v>
      </c>
      <c r="D13" s="10">
        <v>11855</v>
      </c>
      <c r="E13" s="141">
        <f t="shared" si="1"/>
        <v>-0.92155208772669761</v>
      </c>
      <c r="F13" s="10">
        <v>930</v>
      </c>
      <c r="G13" s="141">
        <f t="shared" ref="G13" si="8">(H13-F13)/F13</f>
        <v>0.90537634408602152</v>
      </c>
      <c r="H13" s="10">
        <v>1772</v>
      </c>
      <c r="I13" s="141">
        <f t="shared" ref="I13" si="9">(J13-H13)/H13</f>
        <v>35.377539503386004</v>
      </c>
      <c r="J13" s="10">
        <v>64461</v>
      </c>
    </row>
    <row r="14" spans="1:10" x14ac:dyDescent="0.25">
      <c r="A14" s="4" t="s">
        <v>203</v>
      </c>
      <c r="B14" s="10">
        <v>0</v>
      </c>
      <c r="C14" s="141"/>
      <c r="D14" s="10">
        <v>157170</v>
      </c>
      <c r="E14" s="141">
        <f t="shared" si="1"/>
        <v>-0.30333396958707132</v>
      </c>
      <c r="F14" s="10">
        <v>109495</v>
      </c>
      <c r="G14" s="141">
        <f t="shared" ref="G14" si="10">(H14-F14)/F14</f>
        <v>-0.2017535047262432</v>
      </c>
      <c r="H14" s="10">
        <v>87404</v>
      </c>
      <c r="I14" s="141">
        <f t="shared" ref="I14" si="11">(J14-H14)/H14</f>
        <v>5.7837970802251615</v>
      </c>
      <c r="J14" s="10">
        <v>592931</v>
      </c>
    </row>
    <row r="15" spans="1:10" x14ac:dyDescent="0.25">
      <c r="A15" s="4" t="s">
        <v>204</v>
      </c>
      <c r="B15" s="10">
        <v>1309205</v>
      </c>
      <c r="C15" s="141">
        <f t="shared" si="1"/>
        <v>-7.478355185016862E-2</v>
      </c>
      <c r="D15" s="10">
        <v>1211298</v>
      </c>
      <c r="E15" s="141">
        <f t="shared" si="1"/>
        <v>2.9874564310351376E-2</v>
      </c>
      <c r="F15" s="10">
        <v>1247485</v>
      </c>
      <c r="G15" s="141">
        <f t="shared" ref="G15" si="12">(H15-F15)/F15</f>
        <v>2.6108530363090538E-2</v>
      </c>
      <c r="H15" s="10">
        <v>1280055</v>
      </c>
      <c r="I15" s="141">
        <f t="shared" ref="I15" si="13">(J15-H15)/H15</f>
        <v>-0.29613805656788184</v>
      </c>
      <c r="J15" s="10">
        <v>900982</v>
      </c>
    </row>
    <row r="16" spans="1:10" x14ac:dyDescent="0.25">
      <c r="A16" s="4"/>
      <c r="B16" s="10"/>
      <c r="C16" s="141"/>
      <c r="D16" s="10"/>
      <c r="E16" s="141"/>
      <c r="F16" s="10"/>
      <c r="G16" s="141"/>
      <c r="H16" s="10"/>
      <c r="I16" s="141"/>
      <c r="J16" s="10"/>
    </row>
    <row r="17" spans="1:11" ht="14.45" customHeight="1" x14ac:dyDescent="0.25">
      <c r="A17" s="156" t="s">
        <v>209</v>
      </c>
      <c r="B17" s="10"/>
      <c r="C17" s="141"/>
      <c r="D17" s="10"/>
      <c r="E17" s="141"/>
      <c r="F17" s="10"/>
      <c r="G17" s="141"/>
      <c r="H17" s="10"/>
      <c r="I17" s="141"/>
      <c r="J17" s="10"/>
    </row>
    <row r="18" spans="1:11" ht="30" x14ac:dyDescent="0.25">
      <c r="A18" s="155" t="s">
        <v>208</v>
      </c>
      <c r="B18" s="10">
        <v>283888</v>
      </c>
      <c r="C18" s="141">
        <f t="shared" si="1"/>
        <v>-12.711389702981457</v>
      </c>
      <c r="D18" s="10">
        <v>-3324723</v>
      </c>
      <c r="E18" s="141">
        <f t="shared" si="1"/>
        <v>-1.7130600052996896</v>
      </c>
      <c r="F18" s="10">
        <v>2370727</v>
      </c>
      <c r="G18" s="141">
        <f t="shared" ref="G18" si="14">(H18-F18)/F18</f>
        <v>-0.48250557740304978</v>
      </c>
      <c r="H18" s="10">
        <v>1226838</v>
      </c>
      <c r="I18" s="141">
        <f t="shared" ref="I18" si="15">(J18-H18)/H18</f>
        <v>-0.45778823283921755</v>
      </c>
      <c r="J18" s="10">
        <v>665206</v>
      </c>
    </row>
    <row r="19" spans="1:11" x14ac:dyDescent="0.25">
      <c r="A19" s="4" t="s">
        <v>205</v>
      </c>
      <c r="B19" s="10">
        <v>2630509</v>
      </c>
      <c r="C19" s="141">
        <f t="shared" si="1"/>
        <v>-2.6680383910490328</v>
      </c>
      <c r="D19" s="10">
        <v>-4387790</v>
      </c>
      <c r="E19" s="141">
        <f t="shared" si="1"/>
        <v>-1.2930714551061013</v>
      </c>
      <c r="F19" s="10">
        <v>1285936</v>
      </c>
      <c r="G19" s="141">
        <f t="shared" ref="G19" si="16">(H19-F19)/F19</f>
        <v>-1.8280513182615621</v>
      </c>
      <c r="H19" s="10">
        <v>-1064821</v>
      </c>
      <c r="I19" s="141">
        <f t="shared" ref="I19" si="17">(J19-H19)/H19</f>
        <v>-2.9519177401647787</v>
      </c>
      <c r="J19" s="10">
        <v>2078443</v>
      </c>
    </row>
    <row r="20" spans="1:11" x14ac:dyDescent="0.25">
      <c r="A20" s="4" t="s">
        <v>206</v>
      </c>
      <c r="B20" s="10">
        <v>-202674</v>
      </c>
      <c r="C20" s="141">
        <f t="shared" si="1"/>
        <v>-1.4220373604902454</v>
      </c>
      <c r="D20" s="10">
        <v>85536</v>
      </c>
      <c r="E20" s="141">
        <f t="shared" si="1"/>
        <v>-7.0549008604564163</v>
      </c>
      <c r="F20" s="10">
        <v>-517912</v>
      </c>
      <c r="G20" s="141">
        <f t="shared" ref="G20" si="18">(H20-F20)/F20</f>
        <v>-1.7698045227760701</v>
      </c>
      <c r="H20" s="10">
        <v>398691</v>
      </c>
      <c r="I20" s="141">
        <f t="shared" ref="I20" si="19">(J20-H20)/H20</f>
        <v>-2.1892016624403361</v>
      </c>
      <c r="J20" s="10">
        <v>-474124</v>
      </c>
    </row>
    <row r="21" spans="1:11" x14ac:dyDescent="0.25">
      <c r="A21" s="4" t="s">
        <v>207</v>
      </c>
      <c r="B21" s="10">
        <v>-2481434</v>
      </c>
      <c r="C21" s="141">
        <f t="shared" si="1"/>
        <v>-3.2360304565827662</v>
      </c>
      <c r="D21" s="10">
        <v>5548562</v>
      </c>
      <c r="E21" s="141">
        <f t="shared" si="1"/>
        <v>-1.6075530921345027</v>
      </c>
      <c r="F21" s="10">
        <v>-3371046</v>
      </c>
      <c r="G21" s="141">
        <f t="shared" ref="G21" si="20">(H21-F21)/F21</f>
        <v>-0.99164799293750372</v>
      </c>
      <c r="H21" s="10">
        <v>-28155</v>
      </c>
      <c r="I21" s="141">
        <f t="shared" ref="I21" si="21">(J21-H21)/H21</f>
        <v>-45.267057361037118</v>
      </c>
      <c r="J21" s="10">
        <v>1246339</v>
      </c>
    </row>
    <row r="22" spans="1:11" x14ac:dyDescent="0.25">
      <c r="A22" s="4" t="s">
        <v>210</v>
      </c>
      <c r="B22" s="10">
        <v>285233</v>
      </c>
      <c r="C22" s="141">
        <f t="shared" si="1"/>
        <v>-1.0604523319531751</v>
      </c>
      <c r="D22" s="10">
        <v>-17243</v>
      </c>
      <c r="E22" s="141">
        <f t="shared" si="1"/>
        <v>-5.7662239749463549</v>
      </c>
      <c r="F22" s="10">
        <v>82184</v>
      </c>
      <c r="G22" s="141">
        <f t="shared" ref="G22" si="22">(H22-F22)/F22</f>
        <v>-0.76187579090820601</v>
      </c>
      <c r="H22" s="10">
        <v>19570</v>
      </c>
      <c r="I22" s="141">
        <f t="shared" ref="I22" si="23">(J22-H22)/H22</f>
        <v>1.0026060296371997</v>
      </c>
      <c r="J22" s="10">
        <v>39191</v>
      </c>
    </row>
    <row r="23" spans="1:11" x14ac:dyDescent="0.25">
      <c r="A23" s="4" t="s">
        <v>211</v>
      </c>
      <c r="B23" s="12">
        <v>-957511</v>
      </c>
      <c r="C23" s="166">
        <f t="shared" si="1"/>
        <v>0.11178670532244538</v>
      </c>
      <c r="D23" s="12">
        <v>-1064548</v>
      </c>
      <c r="E23" s="166">
        <f t="shared" si="1"/>
        <v>5.1398339952731111E-2</v>
      </c>
      <c r="F23" s="12">
        <v>-1119264</v>
      </c>
      <c r="G23" s="166">
        <f t="shared" ref="G23" si="24">(H23-F23)/F23</f>
        <v>2.5962596849358151E-2</v>
      </c>
      <c r="H23" s="12">
        <v>-1148323</v>
      </c>
      <c r="I23" s="166">
        <f t="shared" ref="I23" si="25">(J23-H23)/H23</f>
        <v>-0.30071068854320604</v>
      </c>
      <c r="J23" s="12">
        <v>-803010</v>
      </c>
    </row>
    <row r="24" spans="1:11" x14ac:dyDescent="0.25">
      <c r="A24" s="48" t="s">
        <v>212</v>
      </c>
      <c r="B24" s="152">
        <f>SUM(B6:B23)</f>
        <v>1739847</v>
      </c>
      <c r="C24" s="141">
        <f t="shared" si="1"/>
        <v>-0.82896197194350996</v>
      </c>
      <c r="D24" s="152">
        <f t="shared" ref="D24:J24" si="26">SUM(D6:D23)</f>
        <v>297580</v>
      </c>
      <c r="E24" s="141">
        <f t="shared" si="1"/>
        <v>5.4921332078768739</v>
      </c>
      <c r="F24" s="152">
        <f t="shared" si="26"/>
        <v>1931929</v>
      </c>
      <c r="G24" s="141">
        <f t="shared" ref="G24" si="27">(H24-F24)/F24</f>
        <v>-1.9125014428584073</v>
      </c>
      <c r="H24" s="152">
        <f t="shared" si="26"/>
        <v>-1762888</v>
      </c>
      <c r="I24" s="141">
        <f t="shared" ref="I24" si="28">(J24-H24)/H24</f>
        <v>-2.4157535816228823</v>
      </c>
      <c r="J24" s="152">
        <f t="shared" si="26"/>
        <v>2495815</v>
      </c>
    </row>
    <row r="25" spans="1:11" x14ac:dyDescent="0.25">
      <c r="A25" s="4"/>
      <c r="B25" s="10"/>
      <c r="C25" s="141"/>
      <c r="D25" s="10"/>
      <c r="E25" s="141"/>
      <c r="F25" s="10"/>
      <c r="G25" s="141"/>
      <c r="H25" s="10"/>
      <c r="I25" s="141"/>
      <c r="J25" s="10"/>
    </row>
    <row r="26" spans="1:11" x14ac:dyDescent="0.25">
      <c r="A26" s="4"/>
      <c r="B26" s="10"/>
      <c r="C26" s="141"/>
      <c r="D26" s="10"/>
      <c r="E26" s="141"/>
      <c r="F26" s="10"/>
      <c r="G26" s="141"/>
      <c r="H26" s="10"/>
      <c r="I26" s="141"/>
      <c r="J26" s="10"/>
    </row>
    <row r="27" spans="1:11" x14ac:dyDescent="0.25">
      <c r="A27" s="1" t="s">
        <v>213</v>
      </c>
      <c r="B27" s="10"/>
      <c r="C27" s="141"/>
      <c r="D27" s="10"/>
      <c r="E27" s="141"/>
      <c r="F27" s="10"/>
      <c r="G27" s="141"/>
      <c r="H27" s="10"/>
      <c r="I27" s="141"/>
      <c r="J27" s="10"/>
    </row>
    <row r="28" spans="1:11" x14ac:dyDescent="0.25">
      <c r="A28" s="4" t="s">
        <v>214</v>
      </c>
      <c r="B28" s="10">
        <v>0</v>
      </c>
      <c r="C28" s="141"/>
      <c r="D28" s="10">
        <v>17147</v>
      </c>
      <c r="E28" s="141"/>
      <c r="F28" s="10">
        <v>0</v>
      </c>
      <c r="G28" s="141"/>
      <c r="H28" s="10">
        <v>0</v>
      </c>
      <c r="I28" s="141"/>
      <c r="J28" s="10">
        <v>0</v>
      </c>
    </row>
    <row r="29" spans="1:11" x14ac:dyDescent="0.25">
      <c r="A29" s="257" t="s">
        <v>215</v>
      </c>
      <c r="B29" s="258">
        <v>-2891730</v>
      </c>
      <c r="C29" s="259">
        <f t="shared" si="1"/>
        <v>-0.625507913947706</v>
      </c>
      <c r="D29" s="258">
        <v>-1082930</v>
      </c>
      <c r="E29" s="259">
        <f t="shared" si="1"/>
        <v>-0.21316059209736549</v>
      </c>
      <c r="F29" s="258">
        <v>-852092</v>
      </c>
      <c r="G29" s="259">
        <f t="shared" ref="G29" si="29">(H29-F29)/F29</f>
        <v>-0.23101613440802166</v>
      </c>
      <c r="H29" s="258">
        <v>-655245</v>
      </c>
      <c r="I29" s="259">
        <f t="shared" ref="I29" si="30">(J29-H29)/H29</f>
        <v>-0.82808109943608876</v>
      </c>
      <c r="J29" s="258">
        <v>-112649</v>
      </c>
    </row>
    <row r="30" spans="1:11" x14ac:dyDescent="0.25">
      <c r="A30" s="48" t="s">
        <v>216</v>
      </c>
      <c r="B30" s="152">
        <f>B28+B29</f>
        <v>-2891730</v>
      </c>
      <c r="C30" s="141">
        <f t="shared" si="1"/>
        <v>-0.63143758234689962</v>
      </c>
      <c r="D30" s="152">
        <f t="shared" ref="D30:J30" si="31">D28+D29</f>
        <v>-1065783</v>
      </c>
      <c r="E30" s="141">
        <f t="shared" si="1"/>
        <v>-0.20050141539131325</v>
      </c>
      <c r="F30" s="152">
        <f t="shared" si="31"/>
        <v>-852092</v>
      </c>
      <c r="G30" s="141">
        <f t="shared" ref="G30" si="32">(H30-F30)/F30</f>
        <v>-0.23101613440802166</v>
      </c>
      <c r="H30" s="152">
        <f t="shared" si="31"/>
        <v>-655245</v>
      </c>
      <c r="I30" s="141">
        <f t="shared" ref="I30" si="33">(J30-H30)/H30</f>
        <v>-0.82808109943608876</v>
      </c>
      <c r="J30" s="152">
        <f t="shared" si="31"/>
        <v>-112649</v>
      </c>
      <c r="K30" s="676" t="s">
        <v>92</v>
      </c>
    </row>
    <row r="31" spans="1:11" x14ac:dyDescent="0.25">
      <c r="A31" s="292" t="s">
        <v>410</v>
      </c>
      <c r="B31" s="293">
        <f>ABS(B29/'Estado de Resultados'!B6)</f>
        <v>2.6307892490565189E-2</v>
      </c>
      <c r="C31" s="673"/>
      <c r="D31" s="293">
        <f>ABS(D29/'Estado de Resultados'!D6)</f>
        <v>9.0290771753353347E-3</v>
      </c>
      <c r="E31" s="674"/>
      <c r="F31" s="293">
        <f>ABS(F29/'Estado de Resultados'!F6)</f>
        <v>6.7933767837146473E-3</v>
      </c>
      <c r="G31" s="294"/>
      <c r="H31" s="293">
        <f>ABS(H29/'Estado de Resultados'!H6)</f>
        <v>6.1684758851138508E-3</v>
      </c>
      <c r="I31" s="294"/>
      <c r="J31" s="293">
        <f>ABS(J29/'Estado de Resultados'!J6)</f>
        <v>1.4242084409316663E-3</v>
      </c>
      <c r="K31" s="677">
        <f>AVERAGE(B31,D31,F31,H31,J31)</f>
        <v>9.944606155132138E-3</v>
      </c>
    </row>
    <row r="32" spans="1:11" x14ac:dyDescent="0.25">
      <c r="A32" s="4"/>
      <c r="B32" s="10"/>
      <c r="C32" s="141"/>
      <c r="D32" s="10"/>
      <c r="E32" s="141"/>
      <c r="F32" s="10"/>
      <c r="G32" s="141"/>
      <c r="H32" s="10"/>
      <c r="I32" s="141"/>
      <c r="J32" s="10"/>
      <c r="K32" s="308"/>
    </row>
    <row r="33" spans="1:10" x14ac:dyDescent="0.25">
      <c r="A33" s="1" t="s">
        <v>217</v>
      </c>
      <c r="B33" s="10"/>
      <c r="C33" s="141"/>
      <c r="D33" s="10"/>
      <c r="E33" s="141"/>
      <c r="F33" s="10"/>
      <c r="G33" s="141"/>
      <c r="H33" s="10"/>
      <c r="I33" s="141"/>
      <c r="J33" s="10"/>
    </row>
    <row r="34" spans="1:10" x14ac:dyDescent="0.25">
      <c r="A34" s="4" t="s">
        <v>218</v>
      </c>
      <c r="B34" s="10">
        <v>3754806</v>
      </c>
      <c r="C34" s="141">
        <f t="shared" si="1"/>
        <v>-0.86683732794716961</v>
      </c>
      <c r="D34" s="10">
        <v>500000</v>
      </c>
      <c r="E34" s="141">
        <f t="shared" si="1"/>
        <v>18.124911999999998</v>
      </c>
      <c r="F34" s="10">
        <v>9562456</v>
      </c>
      <c r="G34" s="141">
        <f t="shared" ref="G34" si="34">(H34-F34)/F34</f>
        <v>-0.566011074979064</v>
      </c>
      <c r="H34" s="10">
        <v>4150000</v>
      </c>
      <c r="I34" s="141">
        <f t="shared" ref="I34" si="35">(J34-H34)/H34</f>
        <v>-2.5218072289156627E-2</v>
      </c>
      <c r="J34" s="10">
        <v>4045345</v>
      </c>
    </row>
    <row r="35" spans="1:10" x14ac:dyDescent="0.25">
      <c r="A35" s="4" t="s">
        <v>219</v>
      </c>
      <c r="B35" s="10">
        <v>-1000000</v>
      </c>
      <c r="C35" s="141">
        <f t="shared" si="1"/>
        <v>-0.55358499999999999</v>
      </c>
      <c r="D35" s="10">
        <v>-446415</v>
      </c>
      <c r="E35" s="141">
        <f t="shared" si="1"/>
        <v>21.204209087956272</v>
      </c>
      <c r="F35" s="10">
        <v>-9912292</v>
      </c>
      <c r="G35" s="141">
        <f t="shared" ref="G35" si="36">(H35-F35)/F35</f>
        <v>-0.66596746746363</v>
      </c>
      <c r="H35" s="10">
        <v>-3311028</v>
      </c>
      <c r="I35" s="141">
        <f t="shared" ref="I35" si="37">(J35-H35)/H35</f>
        <v>0.71160950617149721</v>
      </c>
      <c r="J35" s="10">
        <v>-5667187</v>
      </c>
    </row>
    <row r="36" spans="1:10" x14ac:dyDescent="0.25">
      <c r="A36" s="4" t="s">
        <v>220</v>
      </c>
      <c r="B36" s="10">
        <v>-169273</v>
      </c>
      <c r="C36" s="141">
        <f t="shared" si="1"/>
        <v>-2.2864780561578044</v>
      </c>
      <c r="D36" s="10">
        <v>217766</v>
      </c>
      <c r="E36" s="141">
        <f t="shared" si="1"/>
        <v>-2.1749125207791851</v>
      </c>
      <c r="F36" s="10">
        <v>-255856</v>
      </c>
      <c r="G36" s="141">
        <f t="shared" ref="G36" si="38">(H36-F36)/F36</f>
        <v>-0.99768229003814646</v>
      </c>
      <c r="H36" s="10">
        <v>-593</v>
      </c>
      <c r="I36" s="141">
        <f t="shared" ref="I36" si="39">(J36-H36)/H36</f>
        <v>20.595278246205734</v>
      </c>
      <c r="J36" s="10">
        <v>-12806</v>
      </c>
    </row>
    <row r="37" spans="1:10" x14ac:dyDescent="0.25">
      <c r="A37" s="4" t="s">
        <v>221</v>
      </c>
      <c r="B37" s="10">
        <v>116599</v>
      </c>
      <c r="C37" s="141">
        <f t="shared" si="1"/>
        <v>1.8708736781619053</v>
      </c>
      <c r="D37" s="10">
        <v>334741</v>
      </c>
      <c r="E37" s="141">
        <f t="shared" si="1"/>
        <v>0.18455761319945868</v>
      </c>
      <c r="F37" s="10">
        <v>396520</v>
      </c>
      <c r="G37" s="141">
        <f t="shared" ref="G37" si="40">(H37-F37)/F37</f>
        <v>-1</v>
      </c>
      <c r="H37" s="10">
        <v>0</v>
      </c>
      <c r="I37" s="675" t="s">
        <v>608</v>
      </c>
      <c r="J37" s="10">
        <v>11500</v>
      </c>
    </row>
    <row r="38" spans="1:10" x14ac:dyDescent="0.25">
      <c r="A38" s="4" t="s">
        <v>222</v>
      </c>
      <c r="B38" s="10">
        <v>-5329</v>
      </c>
      <c r="C38" s="141">
        <f t="shared" si="1"/>
        <v>29.154437980859448</v>
      </c>
      <c r="D38" s="10">
        <v>-160693</v>
      </c>
      <c r="E38" s="141">
        <f t="shared" si="1"/>
        <v>-0.32716421997224521</v>
      </c>
      <c r="F38" s="10">
        <v>-108120</v>
      </c>
      <c r="G38" s="141">
        <f t="shared" ref="G38" si="41">(H38-F38)/F38</f>
        <v>0.23039215686274508</v>
      </c>
      <c r="H38" s="10">
        <v>-133030</v>
      </c>
      <c r="I38" s="141">
        <f t="shared" ref="I38" si="42">(J38-H38)/H38</f>
        <v>9.824851537247237E-3</v>
      </c>
      <c r="J38" s="10">
        <v>-134337</v>
      </c>
    </row>
    <row r="39" spans="1:10" x14ac:dyDescent="0.25">
      <c r="A39" s="4" t="s">
        <v>223</v>
      </c>
      <c r="B39" s="12">
        <v>-10336</v>
      </c>
      <c r="C39" s="166">
        <f t="shared" si="1"/>
        <v>-0.87577399380804954</v>
      </c>
      <c r="D39" s="12">
        <v>-1284</v>
      </c>
      <c r="E39" s="166">
        <f t="shared" si="1"/>
        <v>9.9299065420560755</v>
      </c>
      <c r="F39" s="12">
        <v>-14034</v>
      </c>
      <c r="G39" s="166">
        <f t="shared" ref="G39" si="43">(H39-F39)/F39</f>
        <v>-0.8968220037052872</v>
      </c>
      <c r="H39" s="12">
        <v>-1448</v>
      </c>
      <c r="I39" s="166">
        <f t="shared" ref="I39" si="44">(J39-H39)/H39</f>
        <v>3.591160220994475E-2</v>
      </c>
      <c r="J39" s="12">
        <v>-1500</v>
      </c>
    </row>
    <row r="40" spans="1:10" x14ac:dyDescent="0.25">
      <c r="A40" s="48" t="s">
        <v>228</v>
      </c>
      <c r="B40" s="152">
        <f>SUM(B34:B39)</f>
        <v>2686467</v>
      </c>
      <c r="C40" s="141">
        <f t="shared" si="1"/>
        <v>-0.83468436425982528</v>
      </c>
      <c r="D40" s="152">
        <f t="shared" ref="D40:J40" si="45">SUM(D34:D39)</f>
        <v>444115</v>
      </c>
      <c r="E40" s="141">
        <f t="shared" si="1"/>
        <v>-1.7460364995552953</v>
      </c>
      <c r="F40" s="152">
        <f>SUM(F34:F39)</f>
        <v>-331326</v>
      </c>
      <c r="G40" s="141">
        <f t="shared" ref="G40" si="46">(H40-F40)/F40</f>
        <v>-3.1244967192432829</v>
      </c>
      <c r="H40" s="152">
        <f>SUM(H34:H39)</f>
        <v>703901</v>
      </c>
      <c r="I40" s="141">
        <f t="shared" ref="I40" si="47">(J40-H40)/H40</f>
        <v>-3.4989096478055863</v>
      </c>
      <c r="J40" s="152">
        <f t="shared" si="45"/>
        <v>-1758985</v>
      </c>
    </row>
    <row r="41" spans="1:10" x14ac:dyDescent="0.25">
      <c r="A41" s="4"/>
      <c r="B41" s="10"/>
      <c r="C41" s="141"/>
      <c r="D41" s="10"/>
      <c r="E41" s="141"/>
      <c r="F41" s="10"/>
      <c r="G41" s="141"/>
      <c r="H41" s="10"/>
      <c r="I41" s="141"/>
      <c r="J41" s="10"/>
    </row>
    <row r="42" spans="1:10" x14ac:dyDescent="0.25">
      <c r="A42" s="4"/>
      <c r="B42" s="10"/>
      <c r="C42" s="141"/>
      <c r="D42" s="10"/>
      <c r="E42" s="141"/>
      <c r="F42" s="10"/>
      <c r="G42" s="141"/>
      <c r="H42" s="10"/>
      <c r="I42" s="141"/>
      <c r="J42" s="10"/>
    </row>
    <row r="43" spans="1:10" x14ac:dyDescent="0.25">
      <c r="A43" s="4" t="s">
        <v>224</v>
      </c>
      <c r="B43" s="10">
        <v>1534584</v>
      </c>
      <c r="C43" s="141">
        <f t="shared" si="1"/>
        <v>-1.2111888303279585</v>
      </c>
      <c r="D43" s="10">
        <v>-324087</v>
      </c>
      <c r="E43" s="141">
        <f t="shared" si="1"/>
        <v>-3.3095989657098248</v>
      </c>
      <c r="F43" s="10">
        <v>748511</v>
      </c>
      <c r="G43" s="141">
        <f t="shared" ref="G43" si="48">(H43-F43)/F43</f>
        <v>-3.2901894561335774</v>
      </c>
      <c r="H43" s="10">
        <v>-1714232</v>
      </c>
      <c r="I43" s="141">
        <f t="shared" ref="I43" si="49">(J43-H43)/H43</f>
        <v>-1.3641169923324263</v>
      </c>
      <c r="J43" s="10">
        <v>624181</v>
      </c>
    </row>
    <row r="44" spans="1:10" x14ac:dyDescent="0.25">
      <c r="A44" s="4" t="s">
        <v>225</v>
      </c>
      <c r="B44" s="12">
        <v>969675</v>
      </c>
      <c r="C44" s="166">
        <f t="shared" si="1"/>
        <v>1.582575605228556</v>
      </c>
      <c r="D44" s="12">
        <f>B46</f>
        <v>2504259</v>
      </c>
      <c r="E44" s="166">
        <f t="shared" si="1"/>
        <v>-0.12941432974784159</v>
      </c>
      <c r="F44" s="12">
        <f>D46</f>
        <v>2180172</v>
      </c>
      <c r="G44" s="166">
        <f t="shared" ref="G44" si="50">(H44-F44)/F44</f>
        <v>0.3433265815724631</v>
      </c>
      <c r="H44" s="12">
        <f>F46</f>
        <v>2928683</v>
      </c>
      <c r="I44" s="166">
        <f t="shared" ref="I44" si="51">(J44-H44)/H44</f>
        <v>-0.58532521273213933</v>
      </c>
      <c r="J44" s="12">
        <f>H46</f>
        <v>1214451</v>
      </c>
    </row>
    <row r="45" spans="1:10" ht="15.75" thickBot="1" x14ac:dyDescent="0.3">
      <c r="C45" s="141"/>
      <c r="E45" s="141"/>
      <c r="G45" s="141"/>
      <c r="I45" s="141"/>
    </row>
    <row r="46" spans="1:10" ht="15.75" thickBot="1" x14ac:dyDescent="0.3">
      <c r="A46" s="158" t="s">
        <v>226</v>
      </c>
      <c r="B46" s="157">
        <f>SUM(B43:B45)</f>
        <v>2504259</v>
      </c>
      <c r="C46" s="239">
        <f t="shared" si="1"/>
        <v>-0.12941432974784159</v>
      </c>
      <c r="D46" s="157">
        <f t="shared" ref="D46:J46" si="52">SUM(D43:D45)</f>
        <v>2180172</v>
      </c>
      <c r="E46" s="239">
        <f t="shared" si="1"/>
        <v>0.3433265815724631</v>
      </c>
      <c r="F46" s="157">
        <f t="shared" si="52"/>
        <v>2928683</v>
      </c>
      <c r="G46" s="239">
        <f t="shared" ref="G46" si="53">(H46-F46)/F46</f>
        <v>-0.58532521273213933</v>
      </c>
      <c r="H46" s="157">
        <f t="shared" si="52"/>
        <v>1214451</v>
      </c>
      <c r="I46" s="239">
        <f t="shared" ref="I46" si="54">(J46-H46)/H46</f>
        <v>0.51396145254110703</v>
      </c>
      <c r="J46" s="240">
        <f t="shared" si="52"/>
        <v>1838632</v>
      </c>
    </row>
    <row r="47" spans="1:10" x14ac:dyDescent="0.25">
      <c r="A47" s="4"/>
      <c r="B47" s="10"/>
      <c r="C47" s="10"/>
      <c r="D47" s="10"/>
      <c r="E47" s="10"/>
      <c r="F47" s="10"/>
      <c r="G47" s="10"/>
      <c r="H47" s="10"/>
      <c r="I47" s="10"/>
      <c r="J47" s="10"/>
    </row>
    <row r="48" spans="1:10" x14ac:dyDescent="0.25">
      <c r="A48" s="4"/>
      <c r="B48" s="10"/>
      <c r="C48" s="10"/>
      <c r="D48" s="10"/>
      <c r="E48" s="10"/>
      <c r="F48" s="10"/>
      <c r="G48" s="10"/>
      <c r="H48" s="10"/>
      <c r="I48" s="10"/>
      <c r="J48" s="10"/>
    </row>
    <row r="49" spans="1:10" x14ac:dyDescent="0.25">
      <c r="A49" s="4"/>
      <c r="B49" s="10"/>
      <c r="C49" s="10"/>
      <c r="D49" s="10"/>
      <c r="E49" s="10"/>
      <c r="F49" s="10"/>
      <c r="G49" s="10"/>
      <c r="H49" s="10"/>
      <c r="I49" s="10"/>
      <c r="J49" s="10"/>
    </row>
    <row r="50" spans="1:10" x14ac:dyDescent="0.25">
      <c r="A50" s="4"/>
      <c r="B50" s="10"/>
      <c r="C50" s="10"/>
      <c r="D50" s="10"/>
      <c r="E50" s="10"/>
      <c r="F50" s="10"/>
      <c r="G50" s="10"/>
      <c r="H50" s="10"/>
      <c r="I50" s="10"/>
      <c r="J50" s="10"/>
    </row>
    <row r="51" spans="1:10" x14ac:dyDescent="0.25">
      <c r="A51" s="4"/>
      <c r="B51" s="10"/>
      <c r="C51" s="10"/>
      <c r="D51" s="10"/>
      <c r="E51" s="10"/>
      <c r="F51" s="10"/>
      <c r="G51" s="10"/>
      <c r="H51" s="10"/>
      <c r="I51" s="10"/>
      <c r="J51" s="10"/>
    </row>
    <row r="52" spans="1:10" x14ac:dyDescent="0.25">
      <c r="A52" s="4"/>
      <c r="B52" s="10"/>
      <c r="C52" s="10"/>
      <c r="D52" s="10"/>
      <c r="E52" s="10"/>
      <c r="F52" s="10"/>
      <c r="G52" s="10"/>
      <c r="H52" s="10"/>
      <c r="I52" s="10"/>
      <c r="J52" s="10"/>
    </row>
    <row r="53" spans="1:10" x14ac:dyDescent="0.25">
      <c r="A53" s="4"/>
      <c r="B53" s="10"/>
      <c r="C53" s="10"/>
      <c r="D53" s="10"/>
      <c r="E53" s="10"/>
      <c r="F53" s="10"/>
      <c r="G53" s="10"/>
      <c r="H53" s="10"/>
      <c r="I53" s="10"/>
      <c r="J53" s="10"/>
    </row>
    <row r="54" spans="1:10" x14ac:dyDescent="0.25">
      <c r="A54" s="4"/>
      <c r="B54" s="10"/>
      <c r="C54" s="10"/>
      <c r="D54" s="10"/>
      <c r="E54" s="10"/>
      <c r="F54" s="10"/>
      <c r="G54" s="10"/>
      <c r="H54" s="10"/>
      <c r="I54" s="10"/>
      <c r="J54" s="10"/>
    </row>
    <row r="55" spans="1:10" x14ac:dyDescent="0.25">
      <c r="A55" s="4"/>
      <c r="B55" s="10"/>
      <c r="C55" s="10"/>
      <c r="D55" s="10"/>
      <c r="E55" s="10"/>
      <c r="F55" s="10"/>
      <c r="G55" s="10"/>
      <c r="H55" s="10"/>
      <c r="I55" s="10"/>
      <c r="J55" s="10"/>
    </row>
    <row r="56" spans="1:10" x14ac:dyDescent="0.25">
      <c r="A56" s="4"/>
      <c r="B56" s="10"/>
      <c r="C56" s="10"/>
      <c r="D56" s="10"/>
      <c r="E56" s="10"/>
      <c r="F56" s="10"/>
      <c r="G56" s="10"/>
      <c r="H56" s="10"/>
      <c r="I56" s="10"/>
      <c r="J56" s="10"/>
    </row>
    <row r="57" spans="1:10" x14ac:dyDescent="0.25">
      <c r="A57" s="4"/>
      <c r="B57" s="10"/>
      <c r="C57" s="10"/>
      <c r="D57" s="10"/>
      <c r="E57" s="10"/>
      <c r="F57" s="10"/>
      <c r="G57" s="10"/>
      <c r="H57" s="10"/>
      <c r="I57" s="10"/>
      <c r="J57" s="10"/>
    </row>
    <row r="58" spans="1:10" x14ac:dyDescent="0.25">
      <c r="A58" s="4"/>
      <c r="B58" s="10"/>
      <c r="C58" s="10"/>
      <c r="D58" s="10"/>
      <c r="E58" s="10"/>
      <c r="F58" s="10"/>
      <c r="G58" s="10"/>
      <c r="H58" s="10"/>
      <c r="I58" s="10"/>
      <c r="J58" s="10"/>
    </row>
    <row r="59" spans="1:10" x14ac:dyDescent="0.25">
      <c r="A59" s="4"/>
      <c r="B59" s="10"/>
      <c r="C59" s="10"/>
      <c r="D59" s="10"/>
      <c r="E59" s="10"/>
      <c r="F59" s="10"/>
      <c r="G59" s="10"/>
      <c r="H59" s="10"/>
      <c r="I59" s="10"/>
      <c r="J59" s="10"/>
    </row>
    <row r="60" spans="1:10" x14ac:dyDescent="0.25">
      <c r="A60" s="4"/>
      <c r="B60" s="10"/>
      <c r="C60" s="10"/>
      <c r="D60" s="10"/>
      <c r="E60" s="10"/>
      <c r="F60" s="10"/>
      <c r="G60" s="10"/>
      <c r="H60" s="10"/>
      <c r="I60" s="10"/>
      <c r="J60" s="10"/>
    </row>
    <row r="61" spans="1:10" x14ac:dyDescent="0.25">
      <c r="A61" s="4"/>
      <c r="B61" s="10"/>
      <c r="C61" s="10"/>
      <c r="D61" s="10"/>
      <c r="E61" s="10"/>
      <c r="F61" s="10"/>
      <c r="G61" s="10"/>
      <c r="H61" s="10"/>
      <c r="I61" s="10"/>
      <c r="J61" s="10"/>
    </row>
    <row r="62" spans="1:10" x14ac:dyDescent="0.25">
      <c r="A62" s="4"/>
      <c r="B62" s="10"/>
      <c r="C62" s="10"/>
      <c r="D62" s="10"/>
      <c r="E62" s="10"/>
      <c r="F62" s="10"/>
      <c r="G62" s="10"/>
      <c r="H62" s="10"/>
      <c r="I62" s="10"/>
      <c r="J62" s="10"/>
    </row>
    <row r="63" spans="1:10" x14ac:dyDescent="0.25">
      <c r="A63" s="4"/>
      <c r="B63" s="10"/>
      <c r="C63" s="10"/>
      <c r="D63" s="10"/>
      <c r="E63" s="10"/>
      <c r="F63" s="10"/>
      <c r="G63" s="10"/>
      <c r="H63" s="10"/>
      <c r="I63" s="10"/>
      <c r="J63" s="10"/>
    </row>
    <row r="64" spans="1:10" x14ac:dyDescent="0.25">
      <c r="A64" s="4"/>
      <c r="B64" s="10"/>
      <c r="C64" s="10"/>
      <c r="D64" s="10"/>
      <c r="E64" s="10"/>
      <c r="F64" s="10"/>
      <c r="G64" s="10"/>
      <c r="H64" s="10"/>
      <c r="I64" s="10"/>
      <c r="J64" s="10"/>
    </row>
    <row r="65" spans="1:10" x14ac:dyDescent="0.25">
      <c r="A65" s="4"/>
      <c r="B65" s="10"/>
      <c r="C65" s="10"/>
      <c r="D65" s="10"/>
      <c r="E65" s="10"/>
      <c r="F65" s="10"/>
      <c r="G65" s="10"/>
      <c r="H65" s="10"/>
      <c r="I65" s="10"/>
      <c r="J65" s="10"/>
    </row>
    <row r="66" spans="1:10" x14ac:dyDescent="0.25">
      <c r="A66" s="4"/>
      <c r="B66" s="10"/>
      <c r="C66" s="10"/>
      <c r="D66" s="10"/>
      <c r="E66" s="10"/>
      <c r="F66" s="10"/>
      <c r="G66" s="10"/>
      <c r="H66" s="10"/>
      <c r="I66" s="10"/>
      <c r="J66" s="10"/>
    </row>
    <row r="67" spans="1:10" x14ac:dyDescent="0.25">
      <c r="A67" s="4"/>
      <c r="B67" s="10"/>
      <c r="C67" s="10"/>
      <c r="D67" s="10"/>
      <c r="E67" s="10"/>
      <c r="F67" s="10"/>
      <c r="G67" s="10"/>
      <c r="H67" s="10"/>
      <c r="I67" s="10"/>
      <c r="J67" s="10"/>
    </row>
    <row r="68" spans="1:10" x14ac:dyDescent="0.25">
      <c r="A68" s="4"/>
      <c r="B68" s="10"/>
      <c r="C68" s="10"/>
      <c r="D68" s="10"/>
      <c r="E68" s="10"/>
      <c r="F68" s="10"/>
      <c r="G68" s="10"/>
      <c r="H68" s="10"/>
      <c r="I68" s="10"/>
      <c r="J68" s="10"/>
    </row>
    <row r="69" spans="1:10" x14ac:dyDescent="0.25">
      <c r="A69" s="4"/>
      <c r="B69" s="10"/>
      <c r="C69" s="10"/>
      <c r="D69" s="10"/>
      <c r="E69" s="10"/>
      <c r="F69" s="10"/>
      <c r="G69" s="10"/>
      <c r="H69" s="10"/>
      <c r="I69" s="10"/>
      <c r="J69" s="10"/>
    </row>
    <row r="70" spans="1:10" x14ac:dyDescent="0.25">
      <c r="A70" s="4"/>
      <c r="B70" s="10"/>
      <c r="C70" s="10"/>
      <c r="D70" s="10"/>
      <c r="E70" s="10"/>
      <c r="F70" s="10"/>
      <c r="G70" s="10"/>
      <c r="H70" s="10"/>
      <c r="I70" s="10"/>
      <c r="J70" s="10"/>
    </row>
    <row r="71" spans="1:10" x14ac:dyDescent="0.25">
      <c r="A71" s="4"/>
      <c r="B71" s="10"/>
      <c r="C71" s="10"/>
      <c r="D71" s="10"/>
      <c r="E71" s="10"/>
      <c r="F71" s="10"/>
      <c r="G71" s="10"/>
      <c r="H71" s="10"/>
      <c r="I71" s="10"/>
      <c r="J71" s="10"/>
    </row>
    <row r="72" spans="1:10" x14ac:dyDescent="0.25">
      <c r="A72" s="4"/>
      <c r="B72" s="10"/>
      <c r="C72" s="10"/>
      <c r="D72" s="10"/>
      <c r="E72" s="10"/>
      <c r="F72" s="10"/>
      <c r="G72" s="10"/>
      <c r="H72" s="10"/>
      <c r="I72" s="10"/>
      <c r="J72" s="10"/>
    </row>
    <row r="73" spans="1:10" x14ac:dyDescent="0.25">
      <c r="A73" s="4"/>
      <c r="B73" s="10"/>
      <c r="C73" s="10"/>
      <c r="D73" s="10"/>
      <c r="E73" s="10"/>
      <c r="F73" s="10"/>
      <c r="G73" s="10"/>
      <c r="H73" s="10"/>
      <c r="I73" s="10"/>
      <c r="J73" s="10"/>
    </row>
    <row r="74" spans="1:10" x14ac:dyDescent="0.25">
      <c r="A74" s="4"/>
      <c r="B74" s="10"/>
      <c r="C74" s="10"/>
      <c r="D74" s="10"/>
      <c r="E74" s="10"/>
      <c r="F74" s="10"/>
      <c r="G74" s="10"/>
      <c r="H74" s="10"/>
      <c r="I74" s="10"/>
      <c r="J74" s="10"/>
    </row>
    <row r="75" spans="1:10" x14ac:dyDescent="0.25">
      <c r="A75" s="4"/>
      <c r="B75" s="10"/>
      <c r="C75" s="10"/>
      <c r="D75" s="10"/>
      <c r="E75" s="10"/>
      <c r="F75" s="10"/>
      <c r="G75" s="10"/>
      <c r="H75" s="10"/>
      <c r="I75" s="10"/>
      <c r="J75" s="10"/>
    </row>
    <row r="76" spans="1:10" x14ac:dyDescent="0.25">
      <c r="A76" s="4"/>
      <c r="B76" s="10"/>
      <c r="C76" s="10"/>
      <c r="D76" s="10"/>
      <c r="E76" s="10"/>
      <c r="F76" s="10"/>
      <c r="G76" s="10"/>
      <c r="H76" s="10"/>
      <c r="I76" s="10"/>
      <c r="J76" s="10"/>
    </row>
    <row r="77" spans="1:10" x14ac:dyDescent="0.25">
      <c r="A77" s="4"/>
      <c r="B77" s="10"/>
      <c r="C77" s="10"/>
      <c r="D77" s="10"/>
      <c r="E77" s="10"/>
      <c r="F77" s="10"/>
      <c r="G77" s="10"/>
      <c r="H77" s="10"/>
      <c r="I77" s="10"/>
      <c r="J77" s="10"/>
    </row>
    <row r="78" spans="1:10" x14ac:dyDescent="0.25">
      <c r="A78" s="4"/>
    </row>
    <row r="79" spans="1:10" x14ac:dyDescent="0.25">
      <c r="A79" s="4"/>
    </row>
    <row r="80" spans="1:10"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sheetData>
  <mergeCells count="1">
    <mergeCell ref="A8:A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0FC86-E6A7-45E3-A84C-EF8A88FD008A}">
  <sheetPr>
    <tabColor theme="4"/>
  </sheetPr>
  <dimension ref="A1:G34"/>
  <sheetViews>
    <sheetView showGridLines="0" workbookViewId="0">
      <selection activeCell="M30" sqref="M30"/>
    </sheetView>
  </sheetViews>
  <sheetFormatPr defaultRowHeight="15" x14ac:dyDescent="0.25"/>
  <cols>
    <col min="1" max="1" width="36.42578125" customWidth="1"/>
    <col min="2" max="2" width="8.85546875" customWidth="1"/>
    <col min="3" max="7" width="12.7109375" customWidth="1"/>
  </cols>
  <sheetData>
    <row r="1" spans="1:7" x14ac:dyDescent="0.25">
      <c r="A1" s="5" t="s">
        <v>0</v>
      </c>
      <c r="B1" s="5"/>
    </row>
    <row r="2" spans="1:7" x14ac:dyDescent="0.25">
      <c r="A2" s="5" t="s">
        <v>114</v>
      </c>
      <c r="B2" s="5"/>
    </row>
    <row r="3" spans="1:7" x14ac:dyDescent="0.25">
      <c r="A3" s="1" t="s">
        <v>602</v>
      </c>
      <c r="B3" s="5"/>
    </row>
    <row r="5" spans="1:7" x14ac:dyDescent="0.25">
      <c r="B5" s="2" t="s">
        <v>108</v>
      </c>
      <c r="C5" s="7" t="s">
        <v>13</v>
      </c>
      <c r="D5" s="7" t="s">
        <v>14</v>
      </c>
      <c r="E5" s="7" t="s">
        <v>15</v>
      </c>
      <c r="F5" s="7" t="s">
        <v>16</v>
      </c>
      <c r="G5" s="8">
        <v>42887</v>
      </c>
    </row>
    <row r="6" spans="1:7" x14ac:dyDescent="0.25">
      <c r="A6" s="5" t="s">
        <v>109</v>
      </c>
      <c r="B6" s="67">
        <v>0.04</v>
      </c>
      <c r="C6" s="54">
        <v>511727</v>
      </c>
      <c r="D6" s="7"/>
      <c r="E6" s="7"/>
      <c r="F6" s="7"/>
      <c r="G6" s="8"/>
    </row>
    <row r="7" spans="1:7" x14ac:dyDescent="0.25">
      <c r="A7" s="5" t="s">
        <v>103</v>
      </c>
      <c r="B7" s="67">
        <v>0.04</v>
      </c>
      <c r="C7" s="10"/>
      <c r="D7" s="10">
        <v>522105</v>
      </c>
      <c r="E7" s="10">
        <v>215619</v>
      </c>
      <c r="F7" s="10">
        <v>208280</v>
      </c>
      <c r="G7" s="10">
        <v>204056</v>
      </c>
    </row>
    <row r="8" spans="1:7" x14ac:dyDescent="0.25">
      <c r="A8" s="5" t="s">
        <v>110</v>
      </c>
      <c r="B8" s="67">
        <v>0.04</v>
      </c>
      <c r="C8" s="10">
        <v>181207</v>
      </c>
      <c r="D8" s="10">
        <v>189229</v>
      </c>
      <c r="E8" s="10">
        <v>197606</v>
      </c>
      <c r="F8" s="10">
        <v>206110</v>
      </c>
      <c r="G8" s="10">
        <v>210438</v>
      </c>
    </row>
    <row r="9" spans="1:7" x14ac:dyDescent="0.25">
      <c r="A9" s="5" t="s">
        <v>104</v>
      </c>
      <c r="B9" s="67">
        <v>0.04</v>
      </c>
      <c r="C9" s="10">
        <v>1288712</v>
      </c>
      <c r="D9" s="10">
        <v>1345761</v>
      </c>
      <c r="E9" s="10">
        <v>1405335</v>
      </c>
      <c r="F9" s="10">
        <v>1465816</v>
      </c>
      <c r="G9" s="10">
        <v>1496593</v>
      </c>
    </row>
    <row r="10" spans="1:7" x14ac:dyDescent="0.25">
      <c r="A10" s="5" t="s">
        <v>105</v>
      </c>
      <c r="B10" s="67">
        <v>0</v>
      </c>
      <c r="C10" s="10"/>
      <c r="D10" s="10"/>
      <c r="E10" s="10"/>
      <c r="F10" s="10"/>
      <c r="G10" s="10">
        <v>3575000</v>
      </c>
    </row>
    <row r="11" spans="1:7" x14ac:dyDescent="0.25">
      <c r="A11" s="5" t="s">
        <v>106</v>
      </c>
      <c r="B11" s="67">
        <v>0</v>
      </c>
      <c r="C11" s="10"/>
      <c r="D11" s="10"/>
      <c r="E11" s="10"/>
      <c r="F11" s="10"/>
      <c r="G11" s="10">
        <v>700000</v>
      </c>
    </row>
    <row r="12" spans="1:7" x14ac:dyDescent="0.25">
      <c r="A12" s="5" t="s">
        <v>107</v>
      </c>
      <c r="B12" s="67">
        <v>0.04</v>
      </c>
      <c r="C12" s="68">
        <v>139183</v>
      </c>
      <c r="D12" s="68">
        <v>135078</v>
      </c>
      <c r="E12" s="68">
        <v>125560</v>
      </c>
      <c r="F12" s="68">
        <v>130964</v>
      </c>
      <c r="G12" s="68">
        <v>118502</v>
      </c>
    </row>
    <row r="13" spans="1:7" x14ac:dyDescent="0.25">
      <c r="A13" s="60" t="s">
        <v>111</v>
      </c>
      <c r="B13" s="28"/>
      <c r="C13" s="14">
        <f>SUM(C6:C12)</f>
        <v>2120829</v>
      </c>
      <c r="D13" s="14">
        <f t="shared" ref="D13:F13" si="0">SUM(D6:D12)</f>
        <v>2192173</v>
      </c>
      <c r="E13" s="14">
        <f t="shared" si="0"/>
        <v>1944120</v>
      </c>
      <c r="F13" s="14">
        <f t="shared" si="0"/>
        <v>2011170</v>
      </c>
      <c r="G13" s="69">
        <f>SUM(G6:G12)</f>
        <v>6304589</v>
      </c>
    </row>
    <row r="17" spans="1:7" x14ac:dyDescent="0.25">
      <c r="A17" t="s">
        <v>112</v>
      </c>
    </row>
    <row r="19" spans="1:7" x14ac:dyDescent="0.25">
      <c r="B19" s="2" t="s">
        <v>108</v>
      </c>
      <c r="C19" s="7" t="s">
        <v>13</v>
      </c>
      <c r="D19" s="7" t="s">
        <v>14</v>
      </c>
      <c r="E19" s="7" t="s">
        <v>15</v>
      </c>
      <c r="F19" s="7" t="s">
        <v>16</v>
      </c>
      <c r="G19" s="8">
        <v>42887</v>
      </c>
    </row>
    <row r="20" spans="1:7" x14ac:dyDescent="0.25">
      <c r="A20" s="5" t="s">
        <v>109</v>
      </c>
      <c r="B20" s="67">
        <v>0.04</v>
      </c>
      <c r="C20" s="54">
        <v>511727</v>
      </c>
      <c r="D20" s="7"/>
      <c r="E20" s="7"/>
      <c r="F20" s="7"/>
      <c r="G20" s="8"/>
    </row>
    <row r="21" spans="1:7" x14ac:dyDescent="0.25">
      <c r="A21" s="5" t="s">
        <v>103</v>
      </c>
      <c r="B21" s="67">
        <v>0.04</v>
      </c>
      <c r="C21" s="10"/>
      <c r="D21" s="10">
        <v>522105</v>
      </c>
      <c r="E21" s="10">
        <v>215619</v>
      </c>
      <c r="F21" s="10">
        <v>208280</v>
      </c>
      <c r="G21" s="10">
        <v>204056</v>
      </c>
    </row>
    <row r="22" spans="1:7" x14ac:dyDescent="0.25">
      <c r="A22" s="5" t="s">
        <v>110</v>
      </c>
      <c r="B22" s="67">
        <v>0.04</v>
      </c>
      <c r="C22" s="10">
        <v>181207</v>
      </c>
      <c r="D22" s="10">
        <v>189229</v>
      </c>
      <c r="E22" s="10">
        <v>197606</v>
      </c>
      <c r="F22" s="10">
        <v>206110</v>
      </c>
      <c r="G22" s="10">
        <v>210438</v>
      </c>
    </row>
    <row r="23" spans="1:7" x14ac:dyDescent="0.25">
      <c r="A23" s="5" t="s">
        <v>104</v>
      </c>
      <c r="B23" s="67">
        <v>0.04</v>
      </c>
      <c r="C23" s="10">
        <v>1288712</v>
      </c>
      <c r="D23" s="10">
        <v>1345761</v>
      </c>
      <c r="E23" s="10">
        <v>1405335</v>
      </c>
      <c r="F23" s="10">
        <v>1465816</v>
      </c>
      <c r="G23" s="10">
        <v>1496593</v>
      </c>
    </row>
    <row r="24" spans="1:7" x14ac:dyDescent="0.25">
      <c r="A24" s="5" t="s">
        <v>107</v>
      </c>
      <c r="B24" s="67">
        <v>0.04</v>
      </c>
      <c r="C24" s="68">
        <v>139183</v>
      </c>
      <c r="D24" s="68">
        <v>135078</v>
      </c>
      <c r="E24" s="68">
        <v>125560</v>
      </c>
      <c r="F24" s="68">
        <v>130964</v>
      </c>
      <c r="G24" s="68">
        <v>118502</v>
      </c>
    </row>
    <row r="25" spans="1:7" x14ac:dyDescent="0.25">
      <c r="A25" s="60" t="s">
        <v>113</v>
      </c>
      <c r="B25" s="28"/>
      <c r="C25" s="14">
        <f>SUM(C20:C24)</f>
        <v>2120829</v>
      </c>
      <c r="D25" s="14">
        <f t="shared" ref="D25:G25" si="1">SUM(D20:D24)</f>
        <v>2192173</v>
      </c>
      <c r="E25" s="14">
        <f t="shared" si="1"/>
        <v>1944120</v>
      </c>
      <c r="F25" s="14">
        <f t="shared" si="1"/>
        <v>2011170</v>
      </c>
      <c r="G25" s="14">
        <f t="shared" si="1"/>
        <v>2029589</v>
      </c>
    </row>
    <row r="26" spans="1:7" x14ac:dyDescent="0.25">
      <c r="C26" s="626" t="s">
        <v>488</v>
      </c>
      <c r="D26" s="627">
        <f>+(D25-C25)/C25</f>
        <v>3.3639675806017365E-2</v>
      </c>
      <c r="E26" s="627">
        <f>+(E25-D25)/D25</f>
        <v>-0.11315393447506196</v>
      </c>
      <c r="F26" s="627">
        <f>+(F25-E25)/E25</f>
        <v>3.4488611814085551E-2</v>
      </c>
      <c r="G26" s="627">
        <f>+(G25-F25)/F25</f>
        <v>9.1583506118329133E-3</v>
      </c>
    </row>
    <row r="27" spans="1:7" x14ac:dyDescent="0.25">
      <c r="D27" s="27"/>
      <c r="E27" s="27"/>
      <c r="F27" s="27"/>
      <c r="G27" s="27"/>
    </row>
    <row r="28" spans="1:7" x14ac:dyDescent="0.25">
      <c r="A28" t="s">
        <v>413</v>
      </c>
    </row>
    <row r="29" spans="1:7" x14ac:dyDescent="0.25">
      <c r="B29" s="8">
        <v>42887</v>
      </c>
    </row>
    <row r="30" spans="1:7" x14ac:dyDescent="0.25">
      <c r="A30" s="5" t="s">
        <v>103</v>
      </c>
      <c r="B30" s="10">
        <v>125000</v>
      </c>
    </row>
    <row r="31" spans="1:7" x14ac:dyDescent="0.25">
      <c r="A31" s="1" t="s">
        <v>411</v>
      </c>
      <c r="B31" s="10">
        <v>300000</v>
      </c>
    </row>
    <row r="32" spans="1:7" x14ac:dyDescent="0.25">
      <c r="A32" s="5" t="s">
        <v>109</v>
      </c>
      <c r="B32" s="10">
        <v>125000</v>
      </c>
    </row>
    <row r="33" spans="1:2" x14ac:dyDescent="0.25">
      <c r="A33" s="1" t="s">
        <v>412</v>
      </c>
      <c r="B33" s="10">
        <v>100000</v>
      </c>
    </row>
    <row r="34" spans="1:2" x14ac:dyDescent="0.25">
      <c r="A34" s="40" t="s">
        <v>113</v>
      </c>
      <c r="B34" s="14">
        <f>SUM(B30:B33)</f>
        <v>650000</v>
      </c>
    </row>
  </sheetData>
  <pageMargins left="0.7" right="0.7" top="0.75" bottom="0.75" header="0.3" footer="0.3"/>
  <ignoredErrors>
    <ignoredError sqref="G13" formulaRange="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2A2E9-4B4B-4FB0-B884-CDA6C621F83E}">
  <dimension ref="A1:H18"/>
  <sheetViews>
    <sheetView showGridLines="0" workbookViewId="0">
      <selection activeCell="I24" sqref="I24"/>
    </sheetView>
  </sheetViews>
  <sheetFormatPr defaultRowHeight="15" x14ac:dyDescent="0.25"/>
  <cols>
    <col min="1" max="1" width="43" bestFit="1" customWidth="1"/>
    <col min="2" max="6" width="12.28515625" customWidth="1"/>
    <col min="7" max="7" width="9.85546875" bestFit="1" customWidth="1"/>
  </cols>
  <sheetData>
    <row r="1" spans="1:8" x14ac:dyDescent="0.25">
      <c r="A1" s="5" t="s">
        <v>0</v>
      </c>
    </row>
    <row r="2" spans="1:8" x14ac:dyDescent="0.25">
      <c r="A2" s="5" t="s">
        <v>58</v>
      </c>
    </row>
    <row r="3" spans="1:8" x14ac:dyDescent="0.25">
      <c r="A3" s="1" t="s">
        <v>602</v>
      </c>
    </row>
    <row r="5" spans="1:8" x14ac:dyDescent="0.25">
      <c r="B5" s="7" t="s">
        <v>13</v>
      </c>
      <c r="C5" s="7" t="s">
        <v>14</v>
      </c>
      <c r="D5" s="7" t="s">
        <v>15</v>
      </c>
      <c r="E5" s="7" t="s">
        <v>16</v>
      </c>
      <c r="F5" s="8">
        <v>42887</v>
      </c>
    </row>
    <row r="6" spans="1:8" x14ac:dyDescent="0.25">
      <c r="A6" s="4" t="s">
        <v>61</v>
      </c>
      <c r="B6" s="10">
        <f>'Pasivos y Patrimonio'!B7</f>
        <v>10347205</v>
      </c>
      <c r="C6" s="10">
        <f>'Pasivos y Patrimonio'!D7</f>
        <v>10464170</v>
      </c>
      <c r="D6" s="10">
        <f>'Pasivos y Patrimonio'!F7</f>
        <v>5190105</v>
      </c>
      <c r="E6" s="10">
        <f>'Pasivos y Patrimonio'!H7</f>
        <v>6838068</v>
      </c>
      <c r="F6" s="10">
        <f>'Pasivos y Patrimonio'!J7</f>
        <v>5867585</v>
      </c>
      <c r="G6" s="11"/>
    </row>
    <row r="7" spans="1:8" x14ac:dyDescent="0.25">
      <c r="A7" s="4" t="s">
        <v>86</v>
      </c>
      <c r="B7" s="10">
        <f>'Pasivos y Patrimonio'!B8</f>
        <v>20036</v>
      </c>
      <c r="C7" s="10">
        <f>'Pasivos y Patrimonio'!D8</f>
        <v>59144</v>
      </c>
      <c r="D7" s="10">
        <f>'Pasivos y Patrimonio'!F8</f>
        <v>134133</v>
      </c>
      <c r="E7" s="10">
        <f>'Pasivos y Patrimonio'!H8</f>
        <v>141264</v>
      </c>
      <c r="F7" s="10">
        <f>'Pasivos y Patrimonio'!J8</f>
        <v>139788</v>
      </c>
    </row>
    <row r="8" spans="1:8" x14ac:dyDescent="0.25">
      <c r="A8" s="1" t="s">
        <v>21</v>
      </c>
      <c r="B8" s="10">
        <f>'Pasivos y Patrimonio'!B9</f>
        <v>6000000</v>
      </c>
      <c r="C8" s="10">
        <f>'Pasivos y Patrimonio'!D9</f>
        <v>6000000</v>
      </c>
      <c r="D8" s="10">
        <f>'Pasivos y Patrimonio'!F9</f>
        <v>6000000</v>
      </c>
      <c r="E8" s="10">
        <f>'Pasivos y Patrimonio'!H9</f>
        <v>6000000</v>
      </c>
      <c r="F8" s="10">
        <f>'Pasivos y Patrimonio'!J9</f>
        <v>6000000</v>
      </c>
    </row>
    <row r="9" spans="1:8" x14ac:dyDescent="0.25">
      <c r="A9" s="4" t="s">
        <v>59</v>
      </c>
      <c r="B9" s="10"/>
      <c r="C9" s="10"/>
      <c r="D9" s="10"/>
      <c r="E9" s="10"/>
      <c r="F9" s="10"/>
    </row>
    <row r="10" spans="1:8" x14ac:dyDescent="0.25">
      <c r="A10" s="592" t="s">
        <v>115</v>
      </c>
      <c r="B10" s="10">
        <v>0</v>
      </c>
      <c r="C10" s="10">
        <v>0</v>
      </c>
      <c r="D10" s="10">
        <v>0</v>
      </c>
      <c r="E10" s="10">
        <v>0</v>
      </c>
      <c r="F10" s="10">
        <v>0</v>
      </c>
    </row>
    <row r="11" spans="1:8" ht="15" customHeight="1" x14ac:dyDescent="0.25">
      <c r="A11" s="4" t="s">
        <v>60</v>
      </c>
      <c r="B11" s="10">
        <f>'Pasivos y Patrimonio'!B16</f>
        <v>691426</v>
      </c>
      <c r="C11" s="10">
        <f>'Pasivos y Patrimonio'!D16</f>
        <v>628046</v>
      </c>
      <c r="D11" s="10">
        <f>'Pasivos y Patrimonio'!F16</f>
        <v>5552274</v>
      </c>
      <c r="E11" s="10">
        <f>'Pasivos y Patrimonio'!H16</f>
        <v>4743283</v>
      </c>
      <c r="F11" s="10">
        <f>'Pasivos y Patrimonio'!J16</f>
        <v>4166923</v>
      </c>
    </row>
    <row r="12" spans="1:8" x14ac:dyDescent="0.25">
      <c r="A12" s="4" t="s">
        <v>85</v>
      </c>
      <c r="B12" s="10">
        <f>'Pasivos y Patrimonio'!B18</f>
        <v>91234</v>
      </c>
      <c r="C12" s="10">
        <f>'Pasivos y Patrimonio'!D18</f>
        <v>226174</v>
      </c>
      <c r="D12" s="10">
        <f>'Pasivos y Patrimonio'!F18</f>
        <v>439585</v>
      </c>
      <c r="E12" s="10">
        <f>'Pasivos y Patrimonio'!H18</f>
        <v>299424</v>
      </c>
      <c r="F12" s="10">
        <f>'Pasivos y Patrimonio'!J18</f>
        <v>178063</v>
      </c>
      <c r="H12" s="11"/>
    </row>
    <row r="13" spans="1:8" x14ac:dyDescent="0.25">
      <c r="A13" s="1" t="s">
        <v>84</v>
      </c>
      <c r="B13" s="10">
        <f>'Pasivos y Patrimonio'!B19</f>
        <v>5000000</v>
      </c>
      <c r="C13" s="10">
        <f>'Pasivos y Patrimonio'!D19</f>
        <v>5000000</v>
      </c>
      <c r="D13" s="10">
        <f>'Pasivos y Patrimonio'!F19</f>
        <v>5000000</v>
      </c>
      <c r="E13" s="10">
        <f>'Pasivos y Patrimonio'!H19</f>
        <v>5000000</v>
      </c>
      <c r="F13" s="10">
        <f>'Pasivos y Patrimonio'!J19</f>
        <v>650000</v>
      </c>
    </row>
    <row r="14" spans="1:8" x14ac:dyDescent="0.25">
      <c r="A14" s="1"/>
      <c r="B14" s="10"/>
      <c r="C14" s="10"/>
      <c r="D14" s="10"/>
      <c r="E14" s="10"/>
      <c r="F14" s="10"/>
    </row>
    <row r="15" spans="1:8" x14ac:dyDescent="0.25">
      <c r="A15" s="1" t="s">
        <v>421</v>
      </c>
      <c r="F15" s="152">
        <v>395345</v>
      </c>
    </row>
    <row r="16" spans="1:8" x14ac:dyDescent="0.25">
      <c r="A16" s="26" t="s">
        <v>58</v>
      </c>
      <c r="B16" s="14">
        <f>SUM(B6:B15)</f>
        <v>22149901</v>
      </c>
      <c r="C16" s="14">
        <f>SUM(C6:C15)</f>
        <v>22377534</v>
      </c>
      <c r="D16" s="14">
        <f>SUM(D6:D15)</f>
        <v>22316097</v>
      </c>
      <c r="E16" s="14">
        <f>SUM(E6:E15)</f>
        <v>23022039</v>
      </c>
      <c r="F16" s="14">
        <f>SUM(F6:F13)-F15</f>
        <v>16607014</v>
      </c>
    </row>
    <row r="18" spans="1:1" x14ac:dyDescent="0.25">
      <c r="A18" s="1" t="s">
        <v>422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2C99F-91C6-43F0-9C1E-713E70243B27}">
  <sheetPr>
    <tabColor theme="9" tint="0.59999389629810485"/>
  </sheetPr>
  <dimension ref="A1:K20"/>
  <sheetViews>
    <sheetView showGridLines="0" workbookViewId="0">
      <selection activeCell="I24" sqref="I24"/>
    </sheetView>
  </sheetViews>
  <sheetFormatPr defaultRowHeight="15" x14ac:dyDescent="0.25"/>
  <cols>
    <col min="1" max="1" width="25.28515625" customWidth="1"/>
    <col min="2" max="2" width="30.42578125" hidden="1" customWidth="1"/>
    <col min="3" max="3" width="12.42578125" bestFit="1" customWidth="1"/>
    <col min="4" max="4" width="6" bestFit="1" customWidth="1"/>
    <col min="5" max="5" width="10.28515625" bestFit="1" customWidth="1"/>
    <col min="6" max="6" width="14.5703125" bestFit="1" customWidth="1"/>
    <col min="9" max="9" width="29.5703125" customWidth="1"/>
    <col min="10" max="10" width="12.42578125" bestFit="1" customWidth="1"/>
    <col min="11" max="11" width="5.140625" bestFit="1" customWidth="1"/>
  </cols>
  <sheetData>
    <row r="1" spans="1:11" x14ac:dyDescent="0.25">
      <c r="A1" s="5" t="s">
        <v>0</v>
      </c>
      <c r="B1" s="5"/>
    </row>
    <row r="2" spans="1:11" x14ac:dyDescent="0.25">
      <c r="A2" s="5" t="s">
        <v>58</v>
      </c>
      <c r="B2" s="5"/>
      <c r="I2" s="249" t="s">
        <v>420</v>
      </c>
      <c r="J2" s="10">
        <v>317851</v>
      </c>
      <c r="K2" s="628">
        <f>+J2/$J$6</f>
        <v>1.9139563560312527E-2</v>
      </c>
    </row>
    <row r="3" spans="1:11" x14ac:dyDescent="0.25">
      <c r="A3" s="1" t="s">
        <v>116</v>
      </c>
      <c r="B3" s="1"/>
      <c r="I3" s="249" t="s">
        <v>84</v>
      </c>
      <c r="J3" s="10">
        <v>650000</v>
      </c>
      <c r="K3" s="628">
        <f t="shared" ref="K3:K5" si="0">+J3/$J$6</f>
        <v>3.9140088639655513E-2</v>
      </c>
    </row>
    <row r="4" spans="1:11" x14ac:dyDescent="0.25">
      <c r="I4" s="249" t="s">
        <v>117</v>
      </c>
      <c r="J4" s="10">
        <v>9639163</v>
      </c>
      <c r="K4" s="628">
        <f t="shared" si="0"/>
        <v>0.58042722189551954</v>
      </c>
    </row>
    <row r="5" spans="1:11" ht="14.45" customHeight="1" x14ac:dyDescent="0.25">
      <c r="I5" s="249" t="s">
        <v>21</v>
      </c>
      <c r="J5" s="12">
        <v>6000000</v>
      </c>
      <c r="K5" s="628">
        <f t="shared" si="0"/>
        <v>0.3612931259045124</v>
      </c>
    </row>
    <row r="6" spans="1:11" x14ac:dyDescent="0.25">
      <c r="A6" s="2" t="s">
        <v>127</v>
      </c>
      <c r="B6" s="2" t="s">
        <v>125</v>
      </c>
      <c r="C6" s="2" t="s">
        <v>119</v>
      </c>
      <c r="D6" s="2" t="s">
        <v>108</v>
      </c>
      <c r="E6" s="2" t="s">
        <v>124</v>
      </c>
      <c r="F6" s="74" t="s">
        <v>130</v>
      </c>
      <c r="J6" s="10">
        <f>SUM(J2:J5)</f>
        <v>16607014</v>
      </c>
    </row>
    <row r="7" spans="1:11" x14ac:dyDescent="0.25">
      <c r="A7" s="4" t="s">
        <v>120</v>
      </c>
      <c r="B7" s="27" t="s">
        <v>117</v>
      </c>
      <c r="C7" s="263">
        <v>3000000</v>
      </c>
      <c r="D7" s="72">
        <v>3.7499999999999999E-2</v>
      </c>
      <c r="E7" s="71">
        <f t="shared" ref="E7:E19" si="1">C7/$C$20</f>
        <v>0.1806465629522562</v>
      </c>
      <c r="F7" s="75">
        <f>D7*E7</f>
        <v>6.7742461107096075E-3</v>
      </c>
    </row>
    <row r="8" spans="1:11" x14ac:dyDescent="0.25">
      <c r="A8" s="4" t="s">
        <v>121</v>
      </c>
      <c r="B8" s="27" t="s">
        <v>117</v>
      </c>
      <c r="C8" s="263">
        <v>1900000</v>
      </c>
      <c r="D8" s="72">
        <v>0.05</v>
      </c>
      <c r="E8" s="71">
        <f t="shared" si="1"/>
        <v>0.11440948986976225</v>
      </c>
      <c r="F8" s="75">
        <f t="shared" ref="F8:F19" si="2">D8*E8</f>
        <v>5.7204744934881129E-3</v>
      </c>
    </row>
    <row r="9" spans="1:11" x14ac:dyDescent="0.25">
      <c r="A9" s="4" t="s">
        <v>120</v>
      </c>
      <c r="B9" s="27" t="s">
        <v>117</v>
      </c>
      <c r="C9" s="263">
        <v>501324</v>
      </c>
      <c r="D9" s="72">
        <v>5.5199999999999999E-2</v>
      </c>
      <c r="E9" s="71">
        <f t="shared" si="1"/>
        <v>3.018748584182563E-2</v>
      </c>
      <c r="F9" s="75">
        <f t="shared" si="2"/>
        <v>1.6663492184687747E-3</v>
      </c>
    </row>
    <row r="10" spans="1:11" x14ac:dyDescent="0.25">
      <c r="A10" s="4" t="s">
        <v>120</v>
      </c>
      <c r="B10" s="27" t="s">
        <v>117</v>
      </c>
      <c r="C10" s="263">
        <v>3856719</v>
      </c>
      <c r="D10" s="72">
        <v>4.8399999999999999E-2</v>
      </c>
      <c r="E10" s="71">
        <f t="shared" si="1"/>
        <v>0.23223434387422084</v>
      </c>
      <c r="F10" s="75">
        <f t="shared" si="2"/>
        <v>1.1240142243512288E-2</v>
      </c>
    </row>
    <row r="11" spans="1:11" x14ac:dyDescent="0.25">
      <c r="A11" s="4" t="s">
        <v>122</v>
      </c>
      <c r="B11" s="27" t="s">
        <v>117</v>
      </c>
      <c r="C11" s="306">
        <v>381120</v>
      </c>
      <c r="D11" s="72">
        <v>5.7500000000000002E-2</v>
      </c>
      <c r="E11" s="71">
        <f t="shared" si="1"/>
        <v>2.2949339357454628E-2</v>
      </c>
      <c r="F11" s="75">
        <f t="shared" si="2"/>
        <v>1.3195870130536412E-3</v>
      </c>
    </row>
    <row r="12" spans="1:11" x14ac:dyDescent="0.25">
      <c r="A12" s="4" t="s">
        <v>419</v>
      </c>
      <c r="B12" s="27" t="s">
        <v>420</v>
      </c>
      <c r="C12" s="306">
        <v>317851</v>
      </c>
      <c r="D12" s="72">
        <v>0.05</v>
      </c>
      <c r="E12" s="71">
        <f t="shared" si="1"/>
        <v>1.9139563560312527E-2</v>
      </c>
      <c r="F12" s="75">
        <f t="shared" si="2"/>
        <v>9.5697817801562637E-4</v>
      </c>
    </row>
    <row r="13" spans="1:11" x14ac:dyDescent="0.25">
      <c r="A13" s="4" t="s">
        <v>414</v>
      </c>
      <c r="B13" s="27" t="s">
        <v>84</v>
      </c>
      <c r="C13" s="68">
        <f>'Deuda a Parte Relacionada'!B34</f>
        <v>650000</v>
      </c>
      <c r="D13" s="72">
        <v>0.08</v>
      </c>
      <c r="E13" s="71">
        <f t="shared" si="1"/>
        <v>3.9140088639655513E-2</v>
      </c>
      <c r="F13" s="75">
        <f t="shared" si="2"/>
        <v>3.1312070911724411E-3</v>
      </c>
    </row>
    <row r="14" spans="1:11" x14ac:dyDescent="0.25">
      <c r="A14" s="30" t="s">
        <v>62</v>
      </c>
      <c r="B14" s="27" t="s">
        <v>126</v>
      </c>
      <c r="C14" s="10">
        <v>230000</v>
      </c>
      <c r="D14" s="44">
        <v>4.8750000000000002E-2</v>
      </c>
      <c r="E14" s="71">
        <f t="shared" si="1"/>
        <v>1.3849569826339642E-2</v>
      </c>
      <c r="F14" s="75">
        <f t="shared" si="2"/>
        <v>6.751665290340576E-4</v>
      </c>
    </row>
    <row r="15" spans="1:11" x14ac:dyDescent="0.25">
      <c r="A15" s="30" t="s">
        <v>64</v>
      </c>
      <c r="B15" s="27" t="s">
        <v>126</v>
      </c>
      <c r="C15" s="10">
        <v>2000000</v>
      </c>
      <c r="D15" s="44">
        <v>4.7500000000000001E-2</v>
      </c>
      <c r="E15" s="71">
        <f t="shared" si="1"/>
        <v>0.1204310419681708</v>
      </c>
      <c r="F15" s="75">
        <f t="shared" si="2"/>
        <v>5.7204744934881129E-3</v>
      </c>
    </row>
    <row r="16" spans="1:11" x14ac:dyDescent="0.25">
      <c r="A16" s="30" t="s">
        <v>65</v>
      </c>
      <c r="B16" s="27" t="s">
        <v>126</v>
      </c>
      <c r="C16" s="10">
        <v>2379000</v>
      </c>
      <c r="D16" s="44">
        <v>4.7500000000000001E-2</v>
      </c>
      <c r="E16" s="71">
        <f t="shared" si="1"/>
        <v>0.14325272442113918</v>
      </c>
      <c r="F16" s="75">
        <f t="shared" si="2"/>
        <v>6.8045044100041108E-3</v>
      </c>
    </row>
    <row r="17" spans="1:6" x14ac:dyDescent="0.25">
      <c r="A17" s="30" t="s">
        <v>66</v>
      </c>
      <c r="B17" s="27" t="s">
        <v>126</v>
      </c>
      <c r="C17" s="10">
        <v>540000</v>
      </c>
      <c r="D17" s="44">
        <v>4.7500000000000001E-2</v>
      </c>
      <c r="E17" s="71">
        <f t="shared" si="1"/>
        <v>3.2516381331406115E-2</v>
      </c>
      <c r="F17" s="75">
        <f t="shared" si="2"/>
        <v>1.5445281132417904E-3</v>
      </c>
    </row>
    <row r="18" spans="1:6" x14ac:dyDescent="0.25">
      <c r="A18" s="30" t="s">
        <v>67</v>
      </c>
      <c r="B18" s="27" t="s">
        <v>126</v>
      </c>
      <c r="C18" s="10">
        <v>135000</v>
      </c>
      <c r="D18" s="45">
        <v>3.5000000000000003E-2</v>
      </c>
      <c r="E18" s="71">
        <f t="shared" si="1"/>
        <v>8.1290953328515287E-3</v>
      </c>
      <c r="F18" s="75">
        <f t="shared" si="2"/>
        <v>2.8451833664980351E-4</v>
      </c>
    </row>
    <row r="19" spans="1:6" ht="15.75" thickBot="1" x14ac:dyDescent="0.3">
      <c r="A19" s="30" t="s">
        <v>69</v>
      </c>
      <c r="B19" s="27" t="s">
        <v>126</v>
      </c>
      <c r="C19" s="12">
        <v>716000</v>
      </c>
      <c r="D19" s="45">
        <v>4.7500000000000001E-2</v>
      </c>
      <c r="E19" s="71">
        <f t="shared" si="1"/>
        <v>4.3114313024605146E-2</v>
      </c>
      <c r="F19" s="75">
        <f t="shared" si="2"/>
        <v>2.0479298686687446E-3</v>
      </c>
    </row>
    <row r="20" spans="1:6" ht="15.75" thickBot="1" x14ac:dyDescent="0.3">
      <c r="A20" s="48" t="s">
        <v>128</v>
      </c>
      <c r="C20" s="73">
        <f>SUM(C7:C19)</f>
        <v>16607014</v>
      </c>
      <c r="D20" s="11"/>
      <c r="E20" s="669" t="s">
        <v>424</v>
      </c>
      <c r="F20" s="670">
        <f>SUM(F7:F19)</f>
        <v>4.7886106099507116E-2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3C99D-1D85-4E9F-9107-E2EF8D7E9D52}">
  <sheetPr>
    <tabColor theme="8" tint="0.59999389629810485"/>
  </sheetPr>
  <dimension ref="A1:L21"/>
  <sheetViews>
    <sheetView showGridLines="0" workbookViewId="0">
      <selection activeCell="I25" sqref="I25"/>
    </sheetView>
  </sheetViews>
  <sheetFormatPr defaultColWidth="8.85546875" defaultRowHeight="15" x14ac:dyDescent="0.25"/>
  <cols>
    <col min="1" max="1" width="34.85546875" style="4" customWidth="1"/>
    <col min="2" max="7" width="11.85546875" style="4" customWidth="1"/>
    <col min="8" max="8" width="16.7109375" style="4" customWidth="1"/>
    <col min="9" max="9" width="14.7109375" style="4" customWidth="1"/>
    <col min="10" max="11" width="10.85546875" style="4" bestFit="1" customWidth="1"/>
    <col min="12" max="12" width="9.85546875" style="4" bestFit="1" customWidth="1"/>
    <col min="13" max="16384" width="8.85546875" style="4"/>
  </cols>
  <sheetData>
    <row r="1" spans="1:12" x14ac:dyDescent="0.25">
      <c r="A1" s="1" t="s">
        <v>0</v>
      </c>
    </row>
    <row r="2" spans="1:12" x14ac:dyDescent="0.25">
      <c r="A2" s="1" t="s">
        <v>91</v>
      </c>
    </row>
    <row r="3" spans="1:12" x14ac:dyDescent="0.25">
      <c r="A3" s="1" t="s">
        <v>602</v>
      </c>
    </row>
    <row r="6" spans="1:12" ht="15.75" x14ac:dyDescent="0.25">
      <c r="A6" s="633"/>
      <c r="B6" s="40" t="s">
        <v>13</v>
      </c>
      <c r="C6" s="558" t="s">
        <v>14</v>
      </c>
      <c r="D6" s="558" t="s">
        <v>15</v>
      </c>
      <c r="E6" s="558" t="s">
        <v>16</v>
      </c>
      <c r="F6" s="634">
        <v>42887</v>
      </c>
      <c r="G6" s="635"/>
      <c r="H6" s="688" t="s">
        <v>92</v>
      </c>
      <c r="I6" s="689" t="s">
        <v>97</v>
      </c>
      <c r="J6" s="690" t="s">
        <v>98</v>
      </c>
      <c r="K6" s="690" t="s">
        <v>99</v>
      </c>
      <c r="L6" s="559" t="s">
        <v>100</v>
      </c>
    </row>
    <row r="7" spans="1:12" ht="15.75" x14ac:dyDescent="0.25">
      <c r="A7" s="636" t="s">
        <v>101</v>
      </c>
      <c r="B7" s="56">
        <f>'Deuda Financiera 2013 - 2017'!B16</f>
        <v>22149901</v>
      </c>
      <c r="C7" s="57">
        <f>'Deuda Financiera 2013 - 2017'!C16</f>
        <v>22377534</v>
      </c>
      <c r="D7" s="57">
        <f>'Deuda Financiera 2013 - 2017'!D16</f>
        <v>22316097</v>
      </c>
      <c r="E7" s="57">
        <f>'Deuda Financiera 2013 - 2017'!E16</f>
        <v>23022039</v>
      </c>
      <c r="F7" s="58">
        <f>'Deuda Financiera 2013 - 2017'!F16</f>
        <v>16607014</v>
      </c>
      <c r="G7" s="636" t="s">
        <v>101</v>
      </c>
      <c r="H7" s="61">
        <f>AVERAGE(B7:F7)</f>
        <v>21294517</v>
      </c>
      <c r="I7" s="62">
        <f>MEDIAN(B7:F7)</f>
        <v>22316097</v>
      </c>
      <c r="J7" s="62">
        <f>MIN(B7:F7)</f>
        <v>16607014</v>
      </c>
      <c r="K7" s="62">
        <f>MAX(B7:F7)</f>
        <v>23022039</v>
      </c>
      <c r="L7" s="63">
        <f>STDEV(B7:F7)</f>
        <v>2641270.9981010091</v>
      </c>
    </row>
    <row r="8" spans="1:12" ht="15.75" x14ac:dyDescent="0.25">
      <c r="A8" s="636" t="s">
        <v>102</v>
      </c>
      <c r="B8" s="56">
        <f>Patrimonio!B11</f>
        <v>11504350</v>
      </c>
      <c r="C8" s="57">
        <f>Patrimonio!C11</f>
        <v>13475940</v>
      </c>
      <c r="D8" s="57">
        <f>Patrimonio!D11</f>
        <v>13303673</v>
      </c>
      <c r="E8" s="57">
        <f>Patrimonio!E11</f>
        <v>10843537</v>
      </c>
      <c r="F8" s="58">
        <f>Patrimonio!F11</f>
        <v>8198731</v>
      </c>
      <c r="G8" s="636" t="s">
        <v>102</v>
      </c>
      <c r="H8" s="56">
        <f t="shared" ref="H8:H12" si="0">AVERAGE(B8:F8)</f>
        <v>11465246.199999999</v>
      </c>
      <c r="I8" s="57">
        <f>MEDIAN(B8:F8)</f>
        <v>11504350</v>
      </c>
      <c r="J8" s="57">
        <f t="shared" ref="J8:J11" si="1">MIN(B8:F8)</f>
        <v>8198731</v>
      </c>
      <c r="K8" s="57">
        <f t="shared" ref="K8:K11" si="2">MAX(B8:F8)</f>
        <v>13475940</v>
      </c>
      <c r="L8" s="58">
        <f t="shared" ref="L8:L11" si="3">STDEV(B8:F8)</f>
        <v>2149469.4487644359</v>
      </c>
    </row>
    <row r="9" spans="1:12" ht="15.75" x14ac:dyDescent="0.25">
      <c r="A9" s="636" t="s">
        <v>96</v>
      </c>
      <c r="B9" s="56">
        <f>B7+B8</f>
        <v>33654251</v>
      </c>
      <c r="C9" s="57">
        <f t="shared" ref="C9:F9" si="4">C7+C8</f>
        <v>35853474</v>
      </c>
      <c r="D9" s="57">
        <f t="shared" si="4"/>
        <v>35619770</v>
      </c>
      <c r="E9" s="57">
        <f t="shared" si="4"/>
        <v>33865576</v>
      </c>
      <c r="F9" s="58">
        <f t="shared" si="4"/>
        <v>24805745</v>
      </c>
      <c r="G9" s="636" t="s">
        <v>96</v>
      </c>
      <c r="H9" s="56">
        <f t="shared" si="0"/>
        <v>32759763.199999999</v>
      </c>
      <c r="I9" s="57">
        <f>MEDIAN(B9:F9)</f>
        <v>33865576</v>
      </c>
      <c r="J9" s="57">
        <f t="shared" si="1"/>
        <v>24805745</v>
      </c>
      <c r="K9" s="57">
        <f t="shared" si="2"/>
        <v>35853474</v>
      </c>
      <c r="L9" s="58">
        <f t="shared" si="3"/>
        <v>4556314.8845587652</v>
      </c>
    </row>
    <row r="10" spans="1:12" ht="15.75" x14ac:dyDescent="0.25">
      <c r="A10" s="636" t="s">
        <v>93</v>
      </c>
      <c r="B10" s="64">
        <f>B7/B9</f>
        <v>0.65816056937353917</v>
      </c>
      <c r="C10" s="65">
        <f t="shared" ref="C10:F10" si="5">C7/C9</f>
        <v>0.62413851444353763</v>
      </c>
      <c r="D10" s="65">
        <f t="shared" si="5"/>
        <v>0.62650873377340732</v>
      </c>
      <c r="E10" s="65">
        <f t="shared" si="5"/>
        <v>0.67980650912301033</v>
      </c>
      <c r="F10" s="637">
        <f t="shared" si="5"/>
        <v>0.6694825734925518</v>
      </c>
      <c r="G10" s="636" t="s">
        <v>93</v>
      </c>
      <c r="H10" s="64">
        <f t="shared" si="0"/>
        <v>0.65161938004120912</v>
      </c>
      <c r="I10" s="65">
        <f>MEDIAN(B10:F10)</f>
        <v>0.65816056937353917</v>
      </c>
      <c r="J10" s="65">
        <f t="shared" si="1"/>
        <v>0.62413851444353763</v>
      </c>
      <c r="K10" s="65">
        <f t="shared" si="2"/>
        <v>0.67980650912301033</v>
      </c>
      <c r="L10" s="66">
        <f t="shared" si="3"/>
        <v>2.5209807684805713E-2</v>
      </c>
    </row>
    <row r="11" spans="1:12" ht="15.75" x14ac:dyDescent="0.25">
      <c r="A11" s="636" t="s">
        <v>94</v>
      </c>
      <c r="B11" s="59">
        <f>B8/B9</f>
        <v>0.34183943062646083</v>
      </c>
      <c r="C11" s="55">
        <f t="shared" ref="C11:F11" si="6">C8/C9</f>
        <v>0.37586148555646237</v>
      </c>
      <c r="D11" s="55">
        <f t="shared" si="6"/>
        <v>0.37349126622659268</v>
      </c>
      <c r="E11" s="55">
        <f t="shared" si="6"/>
        <v>0.32019349087698967</v>
      </c>
      <c r="F11" s="629">
        <f t="shared" si="6"/>
        <v>0.3305174265074482</v>
      </c>
      <c r="G11" s="636" t="s">
        <v>94</v>
      </c>
      <c r="H11" s="64">
        <f t="shared" si="0"/>
        <v>0.34838061995879077</v>
      </c>
      <c r="I11" s="65">
        <f>MEDIAN(B11:F11)</f>
        <v>0.34183943062646083</v>
      </c>
      <c r="J11" s="65">
        <f t="shared" si="1"/>
        <v>0.32019349087698967</v>
      </c>
      <c r="K11" s="65">
        <f t="shared" si="2"/>
        <v>0.37586148555646237</v>
      </c>
      <c r="L11" s="66">
        <f t="shared" si="3"/>
        <v>2.5209807684805713E-2</v>
      </c>
    </row>
    <row r="12" spans="1:12" ht="15.75" x14ac:dyDescent="0.25">
      <c r="A12" s="636" t="s">
        <v>95</v>
      </c>
      <c r="B12" s="638">
        <f>B7/B8</f>
        <v>1.9253500632369496</v>
      </c>
      <c r="C12" s="639">
        <f t="shared" ref="C12:F12" si="7">C7/C8</f>
        <v>1.6605545883997703</v>
      </c>
      <c r="D12" s="639">
        <f t="shared" si="7"/>
        <v>1.6774387795009693</v>
      </c>
      <c r="E12" s="639">
        <f t="shared" si="7"/>
        <v>2.1231115825030153</v>
      </c>
      <c r="F12" s="640">
        <f t="shared" si="7"/>
        <v>2.0255590773742913</v>
      </c>
      <c r="G12" s="636" t="s">
        <v>95</v>
      </c>
      <c r="H12" s="638">
        <f t="shared" si="0"/>
        <v>1.882402818202999</v>
      </c>
      <c r="I12" s="639">
        <f>I7/I8</f>
        <v>1.9397964248306077</v>
      </c>
      <c r="J12" s="639">
        <f t="shared" ref="J12:L12" si="8">J7/J8</f>
        <v>2.0255590773742913</v>
      </c>
      <c r="K12" s="639">
        <f t="shared" si="8"/>
        <v>1.7083809366916147</v>
      </c>
      <c r="L12" s="640">
        <f t="shared" si="8"/>
        <v>1.2288013675278204</v>
      </c>
    </row>
    <row r="14" spans="1:12" x14ac:dyDescent="0.25">
      <c r="H14" s="182"/>
    </row>
    <row r="15" spans="1:12" x14ac:dyDescent="0.25">
      <c r="H15" s="641"/>
    </row>
    <row r="17" spans="1:7" x14ac:dyDescent="0.25">
      <c r="F17" s="773" t="s">
        <v>92</v>
      </c>
      <c r="G17" s="773"/>
    </row>
    <row r="18" spans="1:7" ht="15.75" x14ac:dyDescent="0.25">
      <c r="F18" s="642" t="s">
        <v>95</v>
      </c>
      <c r="G18" s="643">
        <f>AVERAGE(B12:F12)</f>
        <v>1.882402818202999</v>
      </c>
    </row>
    <row r="19" spans="1:7" x14ac:dyDescent="0.25">
      <c r="A19" s="48" t="s">
        <v>604</v>
      </c>
      <c r="B19" s="4" t="s">
        <v>58</v>
      </c>
    </row>
    <row r="20" spans="1:7" x14ac:dyDescent="0.25">
      <c r="A20" s="48" t="s">
        <v>605</v>
      </c>
      <c r="B20" s="4" t="s">
        <v>30</v>
      </c>
    </row>
    <row r="21" spans="1:7" x14ac:dyDescent="0.25">
      <c r="A21" s="48" t="s">
        <v>606</v>
      </c>
      <c r="B21" s="4" t="s">
        <v>607</v>
      </c>
    </row>
  </sheetData>
  <mergeCells count="1">
    <mergeCell ref="F17:G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1AD4A-599E-4E21-A998-1BF44AF22973}">
  <dimension ref="A1:G12"/>
  <sheetViews>
    <sheetView showGridLines="0" workbookViewId="0">
      <selection activeCell="G6" sqref="G6:G11"/>
    </sheetView>
  </sheetViews>
  <sheetFormatPr defaultRowHeight="15" x14ac:dyDescent="0.25"/>
  <cols>
    <col min="2" max="2" width="22.28515625" customWidth="1"/>
    <col min="3" max="3" width="20.7109375" customWidth="1"/>
    <col min="4" max="5" width="12.85546875" style="27" customWidth="1"/>
    <col min="6" max="6" width="13.7109375" style="27" bestFit="1" customWidth="1"/>
    <col min="7" max="7" width="16.28515625" style="27" customWidth="1"/>
    <col min="8" max="8" width="17.85546875" bestFit="1" customWidth="1"/>
  </cols>
  <sheetData>
    <row r="1" spans="1:7" x14ac:dyDescent="0.25">
      <c r="A1" s="5" t="s">
        <v>0</v>
      </c>
    </row>
    <row r="2" spans="1:7" x14ac:dyDescent="0.25">
      <c r="A2" s="5" t="s">
        <v>73</v>
      </c>
    </row>
    <row r="3" spans="1:7" x14ac:dyDescent="0.25">
      <c r="A3" s="5" t="s">
        <v>1</v>
      </c>
    </row>
    <row r="4" spans="1:7" x14ac:dyDescent="0.25">
      <c r="D4" s="767" t="s">
        <v>71</v>
      </c>
      <c r="E4" s="768"/>
      <c r="F4" s="770"/>
      <c r="G4" s="770"/>
    </row>
    <row r="5" spans="1:7" x14ac:dyDescent="0.25">
      <c r="B5" s="40" t="s">
        <v>70</v>
      </c>
      <c r="C5" s="39" t="s">
        <v>82</v>
      </c>
      <c r="D5" s="40" t="s">
        <v>75</v>
      </c>
      <c r="E5" s="41" t="s">
        <v>76</v>
      </c>
      <c r="F5" s="40" t="s">
        <v>83</v>
      </c>
      <c r="G5" s="42" t="s">
        <v>72</v>
      </c>
    </row>
    <row r="6" spans="1:7" x14ac:dyDescent="0.25">
      <c r="B6" s="30" t="s">
        <v>62</v>
      </c>
      <c r="C6" s="44">
        <v>4.8750000000000002E-2</v>
      </c>
      <c r="D6" s="34" t="s">
        <v>77</v>
      </c>
      <c r="E6" s="35">
        <v>43167</v>
      </c>
      <c r="F6" s="46">
        <v>360</v>
      </c>
      <c r="G6" s="31">
        <v>230000</v>
      </c>
    </row>
    <row r="7" spans="1:7" x14ac:dyDescent="0.25">
      <c r="B7" s="30" t="s">
        <v>64</v>
      </c>
      <c r="C7" s="44">
        <v>4.7500000000000001E-2</v>
      </c>
      <c r="D7" s="34" t="s">
        <v>78</v>
      </c>
      <c r="E7" s="37" t="s">
        <v>63</v>
      </c>
      <c r="F7" s="36">
        <v>180</v>
      </c>
      <c r="G7" s="31">
        <v>2000000</v>
      </c>
    </row>
    <row r="8" spans="1:7" x14ac:dyDescent="0.25">
      <c r="B8" s="30" t="s">
        <v>65</v>
      </c>
      <c r="C8" s="44">
        <v>4.7500000000000001E-2</v>
      </c>
      <c r="D8" s="34" t="s">
        <v>77</v>
      </c>
      <c r="E8" s="35">
        <v>43192</v>
      </c>
      <c r="F8" s="46">
        <v>180</v>
      </c>
      <c r="G8" s="31">
        <v>2379000</v>
      </c>
    </row>
    <row r="9" spans="1:7" x14ac:dyDescent="0.25">
      <c r="B9" s="30" t="s">
        <v>66</v>
      </c>
      <c r="C9" s="44">
        <v>4.7500000000000001E-2</v>
      </c>
      <c r="D9" s="34" t="s">
        <v>79</v>
      </c>
      <c r="E9" s="35">
        <v>43374</v>
      </c>
      <c r="F9" s="46">
        <v>180</v>
      </c>
      <c r="G9" s="31">
        <v>540000</v>
      </c>
    </row>
    <row r="10" spans="1:7" x14ac:dyDescent="0.25">
      <c r="B10" s="30" t="s">
        <v>67</v>
      </c>
      <c r="C10" s="45">
        <v>3.5000000000000003E-2</v>
      </c>
      <c r="D10" s="34" t="s">
        <v>80</v>
      </c>
      <c r="E10" s="35">
        <v>43374</v>
      </c>
      <c r="F10" s="46">
        <v>360</v>
      </c>
      <c r="G10" s="31">
        <v>135000</v>
      </c>
    </row>
    <row r="11" spans="1:7" x14ac:dyDescent="0.25">
      <c r="B11" s="30" t="s">
        <v>69</v>
      </c>
      <c r="C11" s="45">
        <v>4.7500000000000001E-2</v>
      </c>
      <c r="D11" s="43" t="s">
        <v>81</v>
      </c>
      <c r="E11" s="38" t="s">
        <v>68</v>
      </c>
      <c r="F11" s="47">
        <v>180</v>
      </c>
      <c r="G11" s="32">
        <v>716000</v>
      </c>
    </row>
    <row r="12" spans="1:7" x14ac:dyDescent="0.25">
      <c r="B12" s="769" t="s">
        <v>74</v>
      </c>
      <c r="C12" s="769"/>
      <c r="D12" s="769"/>
      <c r="E12" s="769"/>
      <c r="F12" s="769"/>
      <c r="G12" s="33">
        <f>SUM(G6:G11)</f>
        <v>6000000</v>
      </c>
    </row>
  </sheetData>
  <mergeCells count="3">
    <mergeCell ref="D4:E4"/>
    <mergeCell ref="B12:F12"/>
    <mergeCell ref="F4:G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58663-FBA0-4879-893E-DEEF93FF196C}">
  <dimension ref="A1:B9"/>
  <sheetViews>
    <sheetView showGridLines="0" workbookViewId="0">
      <selection activeCell="B9" sqref="B9"/>
    </sheetView>
  </sheetViews>
  <sheetFormatPr defaultRowHeight="15" x14ac:dyDescent="0.25"/>
  <cols>
    <col min="1" max="1" width="24.42578125" bestFit="1" customWidth="1"/>
  </cols>
  <sheetData>
    <row r="1" spans="1:2" x14ac:dyDescent="0.25">
      <c r="A1" s="1" t="s">
        <v>0</v>
      </c>
    </row>
    <row r="2" spans="1:2" x14ac:dyDescent="0.25">
      <c r="A2" s="1" t="s">
        <v>423</v>
      </c>
    </row>
    <row r="4" spans="1:2" x14ac:dyDescent="0.25">
      <c r="A4" s="1" t="s">
        <v>129</v>
      </c>
    </row>
    <row r="5" spans="1:2" x14ac:dyDescent="0.25">
      <c r="A5" t="s">
        <v>424</v>
      </c>
      <c r="B5" s="136">
        <f>'Kb TAGA'!F20</f>
        <v>4.7886106099507116E-2</v>
      </c>
    </row>
    <row r="6" spans="1:2" x14ac:dyDescent="0.25">
      <c r="A6" t="s">
        <v>425</v>
      </c>
      <c r="B6" s="136">
        <v>4.6199999999999998E-2</v>
      </c>
    </row>
    <row r="7" spans="1:2" x14ac:dyDescent="0.25">
      <c r="A7" t="s">
        <v>426</v>
      </c>
      <c r="B7" s="136">
        <v>8.4000000000000005E-2</v>
      </c>
    </row>
    <row r="9" spans="1:2" x14ac:dyDescent="0.25">
      <c r="A9" s="397" t="s">
        <v>427</v>
      </c>
      <c r="B9" s="398">
        <f>(B5-B6)/(B7)</f>
        <v>2.0072691660799016E-2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AE9D8-49E0-493C-8802-804438C29746}">
  <dimension ref="A1:H14"/>
  <sheetViews>
    <sheetView showGridLines="0" workbookViewId="0">
      <selection activeCell="B23" sqref="B23"/>
    </sheetView>
  </sheetViews>
  <sheetFormatPr defaultRowHeight="15" x14ac:dyDescent="0.25"/>
  <cols>
    <col min="1" max="1" width="34" bestFit="1" customWidth="1"/>
  </cols>
  <sheetData>
    <row r="1" spans="1:8" x14ac:dyDescent="0.25">
      <c r="A1" s="1" t="s">
        <v>0</v>
      </c>
      <c r="B1" s="1"/>
      <c r="C1" s="1"/>
    </row>
    <row r="2" spans="1:8" x14ac:dyDescent="0.25">
      <c r="A2" s="1" t="s">
        <v>428</v>
      </c>
    </row>
    <row r="3" spans="1:8" x14ac:dyDescent="0.25">
      <c r="A3" s="774" t="s">
        <v>429</v>
      </c>
      <c r="B3" s="774"/>
      <c r="C3" s="774"/>
      <c r="D3" s="774"/>
      <c r="E3" s="774"/>
      <c r="F3" s="774"/>
      <c r="G3" s="774"/>
      <c r="H3" s="774"/>
    </row>
    <row r="4" spans="1:8" x14ac:dyDescent="0.25">
      <c r="A4" s="774"/>
      <c r="B4" s="774"/>
      <c r="C4" s="774"/>
      <c r="D4" s="774"/>
      <c r="E4" s="774"/>
      <c r="F4" s="774"/>
      <c r="G4" s="774"/>
      <c r="H4" s="774"/>
    </row>
    <row r="5" spans="1:8" x14ac:dyDescent="0.25">
      <c r="A5" s="774"/>
      <c r="B5" s="774"/>
      <c r="C5" s="774"/>
      <c r="D5" s="774"/>
      <c r="E5" s="774"/>
      <c r="F5" s="774"/>
      <c r="G5" s="774"/>
      <c r="H5" s="774"/>
    </row>
    <row r="6" spans="1:8" x14ac:dyDescent="0.25">
      <c r="A6" s="774"/>
      <c r="B6" s="774"/>
      <c r="C6" s="774"/>
      <c r="D6" s="774"/>
      <c r="E6" s="774"/>
      <c r="F6" s="774"/>
      <c r="G6" s="774"/>
      <c r="H6" s="774"/>
    </row>
    <row r="7" spans="1:8" x14ac:dyDescent="0.25">
      <c r="A7" s="307"/>
      <c r="B7" s="307"/>
      <c r="C7" s="307"/>
      <c r="D7" s="307"/>
      <c r="E7" s="307"/>
      <c r="F7" s="307"/>
      <c r="G7" s="307"/>
      <c r="H7" s="307"/>
    </row>
    <row r="9" spans="1:8" x14ac:dyDescent="0.25">
      <c r="A9" t="s">
        <v>492</v>
      </c>
      <c r="B9" s="27">
        <v>0.8</v>
      </c>
    </row>
    <row r="10" spans="1:8" x14ac:dyDescent="0.25">
      <c r="A10" s="308" t="s">
        <v>493</v>
      </c>
      <c r="B10" s="309">
        <v>0.26</v>
      </c>
    </row>
    <row r="11" spans="1:8" x14ac:dyDescent="0.25">
      <c r="A11" s="308" t="s">
        <v>494</v>
      </c>
      <c r="B11" s="310">
        <f>'Estructura de Capital'!G18</f>
        <v>1.882402818202999</v>
      </c>
    </row>
    <row r="12" spans="1:8" x14ac:dyDescent="0.25">
      <c r="A12" s="308" t="s">
        <v>423</v>
      </c>
      <c r="B12" s="399">
        <f>'Beta de la Deuda TAGA'!B9</f>
        <v>2.0072691660799016E-2</v>
      </c>
    </row>
    <row r="14" spans="1:8" x14ac:dyDescent="0.25">
      <c r="A14" s="397" t="s">
        <v>430</v>
      </c>
      <c r="B14" s="310">
        <f>B9*((1+(1-B10)*B11))-((B12*(1-B10))*B11)</f>
        <v>1.8864216487762815</v>
      </c>
    </row>
  </sheetData>
  <mergeCells count="1">
    <mergeCell ref="A3:H6"/>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314AB-B7E9-46B0-8C20-8DBDD85C3532}">
  <sheetPr>
    <tabColor theme="9" tint="0.59999389629810485"/>
  </sheetPr>
  <dimension ref="A1:B11"/>
  <sheetViews>
    <sheetView showGridLines="0" workbookViewId="0">
      <selection activeCell="B11" sqref="A3:B11"/>
    </sheetView>
  </sheetViews>
  <sheetFormatPr defaultRowHeight="15" x14ac:dyDescent="0.25"/>
  <cols>
    <col min="1" max="1" width="42.7109375" bestFit="1" customWidth="1"/>
  </cols>
  <sheetData>
    <row r="1" spans="1:2" x14ac:dyDescent="0.25">
      <c r="A1" t="s">
        <v>431</v>
      </c>
    </row>
    <row r="3" spans="1:2" x14ac:dyDescent="0.25">
      <c r="A3" s="400" t="s">
        <v>432</v>
      </c>
      <c r="B3" s="401">
        <v>4.6199999999999998E-2</v>
      </c>
    </row>
    <row r="4" spans="1:2" x14ac:dyDescent="0.25">
      <c r="A4" s="400" t="s">
        <v>433</v>
      </c>
      <c r="B4" s="401">
        <v>8.4000000000000005E-2</v>
      </c>
    </row>
    <row r="5" spans="1:2" x14ac:dyDescent="0.25">
      <c r="A5" s="397" t="s">
        <v>430</v>
      </c>
      <c r="B5" s="402">
        <f>'Beta Apalancado a TAGA'!B14</f>
        <v>1.8864216487762815</v>
      </c>
    </row>
    <row r="6" spans="1:2" x14ac:dyDescent="0.25">
      <c r="A6" s="308"/>
      <c r="B6" s="308"/>
    </row>
    <row r="7" spans="1:2" x14ac:dyDescent="0.25">
      <c r="A7" s="308" t="s">
        <v>434</v>
      </c>
      <c r="B7" s="308"/>
    </row>
    <row r="8" spans="1:2" x14ac:dyDescent="0.25">
      <c r="A8" s="403" t="s">
        <v>392</v>
      </c>
      <c r="B8" s="405">
        <f>B3+(B4*B5)</f>
        <v>0.20465941849720765</v>
      </c>
    </row>
    <row r="9" spans="1:2" x14ac:dyDescent="0.25">
      <c r="A9" s="308"/>
      <c r="B9" s="308"/>
    </row>
    <row r="10" spans="1:2" ht="15.75" thickBot="1" x14ac:dyDescent="0.3">
      <c r="A10" s="397" t="s">
        <v>628</v>
      </c>
      <c r="B10" s="309">
        <v>0.02</v>
      </c>
    </row>
    <row r="11" spans="1:2" ht="15.75" thickBot="1" x14ac:dyDescent="0.3">
      <c r="A11" s="671" t="s">
        <v>629</v>
      </c>
      <c r="B11" s="672">
        <f>+B8+B10</f>
        <v>0.22465941849720764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22D1C-6381-47CC-BECD-D46A5017BFCF}">
  <sheetPr>
    <tabColor theme="9" tint="0.59999389629810485"/>
  </sheetPr>
  <dimension ref="A1:B14"/>
  <sheetViews>
    <sheetView showGridLines="0" workbookViewId="0">
      <selection activeCell="C19" sqref="C19"/>
    </sheetView>
  </sheetViews>
  <sheetFormatPr defaultRowHeight="15" x14ac:dyDescent="0.25"/>
  <cols>
    <col min="1" max="1" width="12.85546875" customWidth="1"/>
  </cols>
  <sheetData>
    <row r="1" spans="1:2" x14ac:dyDescent="0.25">
      <c r="A1" t="s">
        <v>391</v>
      </c>
    </row>
    <row r="2" spans="1:2" x14ac:dyDescent="0.25">
      <c r="A2" s="308"/>
      <c r="B2" s="308"/>
    </row>
    <row r="3" spans="1:2" x14ac:dyDescent="0.25">
      <c r="A3" s="404" t="s">
        <v>392</v>
      </c>
      <c r="B3" s="405">
        <f>'Kp TAGA'!B11</f>
        <v>0.22465941849720764</v>
      </c>
    </row>
    <row r="4" spans="1:2" x14ac:dyDescent="0.25">
      <c r="A4" s="397" t="s">
        <v>393</v>
      </c>
      <c r="B4" s="406">
        <f>'Kb TAGA'!F20</f>
        <v>4.7886106099507116E-2</v>
      </c>
    </row>
    <row r="5" spans="1:2" x14ac:dyDescent="0.25">
      <c r="A5" s="407" t="s">
        <v>394</v>
      </c>
      <c r="B5" s="408">
        <f>'Estructura de Capital'!H10</f>
        <v>0.65161938004120912</v>
      </c>
    </row>
    <row r="6" spans="1:2" x14ac:dyDescent="0.25">
      <c r="A6" s="407" t="s">
        <v>395</v>
      </c>
      <c r="B6" s="408">
        <f>'Estructura de Capital'!H11</f>
        <v>0.34838061995879077</v>
      </c>
    </row>
    <row r="7" spans="1:2" x14ac:dyDescent="0.25">
      <c r="A7" s="308" t="s">
        <v>396</v>
      </c>
      <c r="B7" s="409">
        <f>'Beta Apalancado a TAGA'!B10</f>
        <v>0.26</v>
      </c>
    </row>
    <row r="8" spans="1:2" x14ac:dyDescent="0.25">
      <c r="A8" s="308"/>
      <c r="B8" s="308"/>
    </row>
    <row r="9" spans="1:2" x14ac:dyDescent="0.25">
      <c r="A9" s="410" t="s">
        <v>397</v>
      </c>
      <c r="B9" s="308" t="s">
        <v>398</v>
      </c>
    </row>
    <row r="10" spans="1:2" ht="15.75" thickBot="1" x14ac:dyDescent="0.3">
      <c r="A10" s="308"/>
      <c r="B10" s="308"/>
    </row>
    <row r="11" spans="1:2" ht="15.75" thickBot="1" x14ac:dyDescent="0.3">
      <c r="A11" s="671" t="s">
        <v>397</v>
      </c>
      <c r="B11" s="745">
        <f>((B3*B6))+((B4*(1-B7)*(B5)))</f>
        <v>0.10135758842480844</v>
      </c>
    </row>
    <row r="12" spans="1:2" ht="15.75" thickBot="1" x14ac:dyDescent="0.3">
      <c r="A12" s="135"/>
      <c r="B12" s="27"/>
    </row>
    <row r="13" spans="1:2" ht="15.75" thickBot="1" x14ac:dyDescent="0.3">
      <c r="A13" s="671" t="s">
        <v>643</v>
      </c>
      <c r="B13" s="745">
        <f>+B11/12</f>
        <v>8.4464657020673697E-3</v>
      </c>
    </row>
    <row r="14" spans="1:2" ht="15.75" thickBot="1" x14ac:dyDescent="0.3">
      <c r="A14" s="671" t="s">
        <v>644</v>
      </c>
      <c r="B14" s="745">
        <f>+B13*3</f>
        <v>2.5339397106202109E-2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C3716-7600-4DD7-B32F-A489F7358D9E}">
  <dimension ref="A1:F160"/>
  <sheetViews>
    <sheetView showGridLines="0" workbookViewId="0">
      <selection activeCell="D22" sqref="D22"/>
    </sheetView>
  </sheetViews>
  <sheetFormatPr defaultColWidth="22.7109375" defaultRowHeight="15" x14ac:dyDescent="0.25"/>
  <cols>
    <col min="1" max="1" width="57" customWidth="1"/>
    <col min="2" max="5" width="18.28515625" customWidth="1"/>
  </cols>
  <sheetData>
    <row r="1" spans="1:6" x14ac:dyDescent="0.25">
      <c r="A1" s="5" t="s">
        <v>0</v>
      </c>
    </row>
    <row r="2" spans="1:6" x14ac:dyDescent="0.25">
      <c r="A2" s="1" t="s">
        <v>227</v>
      </c>
    </row>
    <row r="3" spans="1:6" x14ac:dyDescent="0.25">
      <c r="A3" s="5" t="s">
        <v>1</v>
      </c>
    </row>
    <row r="5" spans="1:6" x14ac:dyDescent="0.25">
      <c r="A5" s="1" t="s">
        <v>213</v>
      </c>
      <c r="B5" s="167">
        <v>2013</v>
      </c>
      <c r="C5" s="167">
        <f>B5+1</f>
        <v>2014</v>
      </c>
      <c r="D5" s="167">
        <f t="shared" ref="D5:E5" si="0">C5+1</f>
        <v>2015</v>
      </c>
      <c r="E5" s="167">
        <f t="shared" si="0"/>
        <v>2016</v>
      </c>
      <c r="F5" s="3">
        <v>42887</v>
      </c>
    </row>
    <row r="6" spans="1:6" s="161" customFormat="1" x14ac:dyDescent="0.25">
      <c r="A6" s="4" t="s">
        <v>214</v>
      </c>
      <c r="B6" s="10">
        <v>0</v>
      </c>
      <c r="C6" s="10">
        <v>17147</v>
      </c>
      <c r="D6" s="10">
        <v>0</v>
      </c>
      <c r="E6" s="10">
        <v>0</v>
      </c>
      <c r="F6" s="10">
        <v>0</v>
      </c>
    </row>
    <row r="7" spans="1:6" s="161" customFormat="1" x14ac:dyDescent="0.25">
      <c r="A7" s="4" t="s">
        <v>215</v>
      </c>
      <c r="B7" s="12">
        <v>-2891730</v>
      </c>
      <c r="C7" s="12">
        <v>-1082930</v>
      </c>
      <c r="D7" s="12">
        <v>-852092</v>
      </c>
      <c r="E7" s="12">
        <v>-655245</v>
      </c>
      <c r="F7" s="12">
        <v>-112649</v>
      </c>
    </row>
    <row r="8" spans="1:6" s="161" customFormat="1" x14ac:dyDescent="0.25">
      <c r="A8" s="48" t="s">
        <v>216</v>
      </c>
      <c r="B8" s="152">
        <f>B6+B7</f>
        <v>-2891730</v>
      </c>
      <c r="C8" s="152">
        <f t="shared" ref="C8:F8" si="1">C6+C7</f>
        <v>-1065783</v>
      </c>
      <c r="D8" s="152">
        <f t="shared" si="1"/>
        <v>-852092</v>
      </c>
      <c r="E8" s="152">
        <f t="shared" si="1"/>
        <v>-655245</v>
      </c>
      <c r="F8" s="152">
        <f t="shared" si="1"/>
        <v>-112649</v>
      </c>
    </row>
    <row r="9" spans="1:6" s="161" customFormat="1" x14ac:dyDescent="0.25">
      <c r="A9" s="156"/>
      <c r="B9" s="165">
        <f>ABS(B8)</f>
        <v>2891730</v>
      </c>
      <c r="C9" s="165">
        <f t="shared" ref="C9:F9" si="2">ABS(C8)</f>
        <v>1065783</v>
      </c>
      <c r="D9" s="165">
        <f t="shared" si="2"/>
        <v>852092</v>
      </c>
      <c r="E9" s="165">
        <f t="shared" si="2"/>
        <v>655245</v>
      </c>
      <c r="F9" s="165">
        <f t="shared" si="2"/>
        <v>112649</v>
      </c>
    </row>
    <row r="10" spans="1:6" s="161" customFormat="1" x14ac:dyDescent="0.25">
      <c r="A10" s="159"/>
      <c r="B10" s="160"/>
      <c r="C10" s="160"/>
      <c r="D10" s="160"/>
      <c r="E10" s="160"/>
    </row>
    <row r="11" spans="1:6" s="161" customFormat="1" x14ac:dyDescent="0.25">
      <c r="A11" s="159"/>
      <c r="B11" s="160"/>
      <c r="C11" s="160"/>
      <c r="D11" s="160"/>
      <c r="E11" s="160"/>
    </row>
    <row r="12" spans="1:6" s="161" customFormat="1" x14ac:dyDescent="0.25">
      <c r="A12" s="1" t="s">
        <v>213</v>
      </c>
      <c r="B12" s="3" t="s">
        <v>229</v>
      </c>
      <c r="C12" s="3" t="s">
        <v>230</v>
      </c>
      <c r="D12" s="3" t="s">
        <v>231</v>
      </c>
      <c r="E12" s="3" t="s">
        <v>232</v>
      </c>
    </row>
    <row r="13" spans="1:6" s="161" customFormat="1" x14ac:dyDescent="0.25">
      <c r="A13" s="48" t="s">
        <v>233</v>
      </c>
      <c r="B13" s="160">
        <f>((C8-B8)/B8)</f>
        <v>-0.63143758234689962</v>
      </c>
      <c r="C13" s="160">
        <f t="shared" ref="C13:E13" si="3">((D8-C8)/C8)</f>
        <v>-0.20050141539131325</v>
      </c>
      <c r="D13" s="160">
        <f t="shared" si="3"/>
        <v>-0.23101613440802166</v>
      </c>
      <c r="E13" s="160">
        <f t="shared" si="3"/>
        <v>-0.82808109943608876</v>
      </c>
    </row>
    <row r="14" spans="1:6" s="161" customFormat="1" x14ac:dyDescent="0.25">
      <c r="A14" s="159"/>
      <c r="B14" s="160"/>
      <c r="C14" s="160"/>
      <c r="D14" s="160"/>
      <c r="E14" s="160"/>
    </row>
    <row r="15" spans="1:6" s="161" customFormat="1" ht="14.45" customHeight="1" x14ac:dyDescent="0.25">
      <c r="A15" s="156"/>
      <c r="B15" s="160"/>
      <c r="C15" s="160"/>
      <c r="D15" s="160"/>
      <c r="E15" s="160"/>
    </row>
    <row r="16" spans="1:6" s="161" customFormat="1" x14ac:dyDescent="0.25">
      <c r="A16" s="162"/>
      <c r="B16" s="160"/>
      <c r="C16" s="160"/>
      <c r="D16" s="160"/>
      <c r="E16" s="160"/>
    </row>
    <row r="17" spans="1:5" s="161" customFormat="1" x14ac:dyDescent="0.25">
      <c r="A17" s="159"/>
      <c r="B17" s="160"/>
      <c r="C17" s="160"/>
      <c r="D17" s="160"/>
      <c r="E17" s="160"/>
    </row>
    <row r="18" spans="1:5" s="161" customFormat="1" x14ac:dyDescent="0.25">
      <c r="A18" s="159"/>
      <c r="B18" s="160"/>
      <c r="C18" s="160"/>
      <c r="D18" s="160"/>
      <c r="E18" s="160"/>
    </row>
    <row r="19" spans="1:5" s="161" customFormat="1" x14ac:dyDescent="0.25">
      <c r="A19" s="159"/>
      <c r="B19" s="160"/>
      <c r="C19" s="160"/>
      <c r="D19" s="160"/>
      <c r="E19" s="160"/>
    </row>
    <row r="20" spans="1:5" s="161" customFormat="1" x14ac:dyDescent="0.25">
      <c r="A20" s="159"/>
      <c r="B20" s="160"/>
      <c r="C20" s="160"/>
      <c r="D20" s="160"/>
      <c r="E20" s="160"/>
    </row>
    <row r="21" spans="1:5" s="161" customFormat="1" x14ac:dyDescent="0.25">
      <c r="A21" s="159"/>
      <c r="B21" s="160"/>
      <c r="C21" s="160"/>
      <c r="D21" s="160"/>
      <c r="E21" s="160"/>
    </row>
    <row r="22" spans="1:5" s="161" customFormat="1" x14ac:dyDescent="0.25">
      <c r="A22" s="163"/>
      <c r="B22" s="160"/>
      <c r="C22" s="160"/>
      <c r="D22" s="160"/>
      <c r="E22" s="160"/>
    </row>
    <row r="23" spans="1:5" s="161" customFormat="1" x14ac:dyDescent="0.25">
      <c r="A23" s="159"/>
      <c r="B23" s="160"/>
      <c r="C23" s="160"/>
      <c r="D23" s="160"/>
      <c r="E23" s="160"/>
    </row>
    <row r="24" spans="1:5" s="161" customFormat="1" x14ac:dyDescent="0.25">
      <c r="A24" s="159"/>
      <c r="B24" s="160"/>
      <c r="C24" s="160"/>
      <c r="D24" s="160"/>
      <c r="E24" s="160"/>
    </row>
    <row r="25" spans="1:5" s="161" customFormat="1" x14ac:dyDescent="0.25">
      <c r="A25" s="164"/>
      <c r="B25" s="160"/>
      <c r="C25" s="160"/>
      <c r="D25" s="160"/>
      <c r="E25" s="160"/>
    </row>
    <row r="26" spans="1:5" s="161" customFormat="1" x14ac:dyDescent="0.25">
      <c r="A26" s="159"/>
      <c r="B26" s="160"/>
      <c r="C26" s="160"/>
      <c r="D26" s="160"/>
      <c r="E26" s="160"/>
    </row>
    <row r="27" spans="1:5" s="161" customFormat="1" x14ac:dyDescent="0.25">
      <c r="A27" s="159"/>
      <c r="B27" s="160"/>
      <c r="C27" s="160"/>
      <c r="D27" s="160"/>
      <c r="E27" s="160"/>
    </row>
    <row r="28" spans="1:5" s="161" customFormat="1" x14ac:dyDescent="0.25">
      <c r="A28" s="163"/>
      <c r="B28" s="160"/>
      <c r="C28" s="160"/>
      <c r="D28" s="160"/>
      <c r="E28" s="160"/>
    </row>
    <row r="29" spans="1:5" s="161" customFormat="1" x14ac:dyDescent="0.25">
      <c r="A29" s="159"/>
      <c r="B29" s="160"/>
      <c r="C29" s="160"/>
      <c r="D29" s="160"/>
      <c r="E29" s="160"/>
    </row>
    <row r="30" spans="1:5" s="161" customFormat="1" x14ac:dyDescent="0.25">
      <c r="A30" s="159"/>
      <c r="B30" s="160"/>
      <c r="C30" s="160"/>
      <c r="D30" s="160"/>
      <c r="E30" s="160"/>
    </row>
    <row r="31" spans="1:5" s="161" customFormat="1" x14ac:dyDescent="0.25">
      <c r="A31" s="164"/>
      <c r="B31" s="160"/>
      <c r="C31" s="160"/>
      <c r="D31" s="160"/>
      <c r="E31" s="160"/>
    </row>
    <row r="32" spans="1:5" s="161" customFormat="1" x14ac:dyDescent="0.25">
      <c r="A32" s="159"/>
      <c r="B32" s="160"/>
      <c r="C32" s="160"/>
      <c r="D32" s="160"/>
      <c r="E32" s="160"/>
    </row>
    <row r="33" spans="1:5" s="161" customFormat="1" x14ac:dyDescent="0.25">
      <c r="A33" s="159"/>
      <c r="B33" s="160"/>
      <c r="C33" s="160"/>
      <c r="D33" s="160"/>
      <c r="E33" s="160"/>
    </row>
    <row r="34" spans="1:5" s="161" customFormat="1" x14ac:dyDescent="0.25">
      <c r="A34" s="159"/>
      <c r="B34" s="160"/>
      <c r="C34" s="160"/>
      <c r="D34" s="160"/>
      <c r="E34" s="160"/>
    </row>
    <row r="35" spans="1:5" s="161" customFormat="1" x14ac:dyDescent="0.25">
      <c r="A35" s="159"/>
      <c r="B35" s="160"/>
      <c r="C35" s="160"/>
      <c r="D35" s="160"/>
      <c r="E35" s="160"/>
    </row>
    <row r="36" spans="1:5" s="161" customFormat="1" x14ac:dyDescent="0.25">
      <c r="A36" s="159"/>
      <c r="B36" s="160"/>
      <c r="C36" s="160"/>
      <c r="D36" s="160"/>
      <c r="E36" s="160"/>
    </row>
    <row r="37" spans="1:5" s="161" customFormat="1" x14ac:dyDescent="0.25">
      <c r="A37" s="159"/>
      <c r="B37" s="160"/>
      <c r="C37" s="160"/>
      <c r="D37" s="160"/>
      <c r="E37" s="160"/>
    </row>
    <row r="38" spans="1:5" s="161" customFormat="1" x14ac:dyDescent="0.25">
      <c r="A38" s="163"/>
      <c r="B38" s="160"/>
      <c r="C38" s="160"/>
      <c r="D38" s="160"/>
      <c r="E38" s="160"/>
    </row>
    <row r="39" spans="1:5" s="161" customFormat="1" x14ac:dyDescent="0.25">
      <c r="A39" s="159"/>
      <c r="B39" s="160"/>
      <c r="C39" s="160"/>
      <c r="D39" s="160"/>
      <c r="E39" s="160"/>
    </row>
    <row r="40" spans="1:5" s="161" customFormat="1" x14ac:dyDescent="0.25">
      <c r="A40" s="159"/>
      <c r="B40" s="160"/>
      <c r="C40" s="160"/>
      <c r="D40" s="160"/>
      <c r="E40" s="160"/>
    </row>
    <row r="41" spans="1:5" s="161" customFormat="1" x14ac:dyDescent="0.25">
      <c r="A41" s="159"/>
      <c r="B41" s="160"/>
      <c r="C41" s="160"/>
      <c r="D41" s="160"/>
      <c r="E41" s="160"/>
    </row>
    <row r="42" spans="1:5" s="161" customFormat="1" x14ac:dyDescent="0.25">
      <c r="A42" s="159"/>
      <c r="B42" s="160"/>
      <c r="C42" s="160"/>
      <c r="D42" s="160"/>
      <c r="E42" s="160"/>
    </row>
    <row r="43" spans="1:5" s="161" customFormat="1" x14ac:dyDescent="0.25">
      <c r="B43" s="160"/>
      <c r="C43" s="160"/>
      <c r="D43" s="160"/>
      <c r="E43" s="160"/>
    </row>
    <row r="44" spans="1:5" s="161" customFormat="1" x14ac:dyDescent="0.25">
      <c r="A44" s="163"/>
      <c r="B44" s="160"/>
      <c r="C44" s="160"/>
      <c r="D44" s="160"/>
      <c r="E44" s="160"/>
    </row>
    <row r="45" spans="1:5" x14ac:dyDescent="0.25">
      <c r="A45" s="4"/>
      <c r="B45" s="10"/>
      <c r="C45" s="10"/>
      <c r="D45" s="10"/>
      <c r="E45" s="10"/>
    </row>
    <row r="46" spans="1:5" x14ac:dyDescent="0.25">
      <c r="A46" s="4"/>
      <c r="B46" s="10"/>
      <c r="C46" s="10"/>
      <c r="D46" s="10"/>
      <c r="E46" s="10"/>
    </row>
    <row r="47" spans="1:5" x14ac:dyDescent="0.25">
      <c r="A47" s="4"/>
      <c r="B47" s="10"/>
      <c r="C47" s="10"/>
      <c r="D47" s="10"/>
      <c r="E47" s="10"/>
    </row>
    <row r="48" spans="1:5" x14ac:dyDescent="0.25">
      <c r="A48" s="4"/>
      <c r="B48" s="10"/>
      <c r="C48" s="10"/>
      <c r="D48" s="10"/>
      <c r="E48" s="10"/>
    </row>
    <row r="49" spans="1:5" x14ac:dyDescent="0.25">
      <c r="A49" s="4"/>
      <c r="B49" s="10"/>
      <c r="C49" s="10"/>
      <c r="D49" s="10"/>
      <c r="E49" s="10"/>
    </row>
    <row r="50" spans="1:5" x14ac:dyDescent="0.25">
      <c r="A50" s="4"/>
      <c r="B50" s="10"/>
      <c r="C50" s="10"/>
      <c r="D50" s="10"/>
      <c r="E50" s="10"/>
    </row>
    <row r="51" spans="1:5" x14ac:dyDescent="0.25">
      <c r="A51" s="4"/>
      <c r="B51" s="10"/>
      <c r="C51" s="10"/>
      <c r="D51" s="10"/>
      <c r="E51" s="10"/>
    </row>
    <row r="52" spans="1:5" x14ac:dyDescent="0.25">
      <c r="A52" s="4"/>
      <c r="B52" s="10"/>
      <c r="C52" s="10"/>
      <c r="D52" s="10"/>
      <c r="E52" s="10"/>
    </row>
    <row r="53" spans="1:5" x14ac:dyDescent="0.25">
      <c r="A53" s="4"/>
      <c r="B53" s="10"/>
      <c r="C53" s="10"/>
      <c r="D53" s="10"/>
      <c r="E53" s="10"/>
    </row>
    <row r="54" spans="1:5" x14ac:dyDescent="0.25">
      <c r="A54" s="4"/>
      <c r="B54" s="10"/>
      <c r="C54" s="10"/>
      <c r="D54" s="10"/>
      <c r="E54" s="10"/>
    </row>
    <row r="55" spans="1:5" x14ac:dyDescent="0.25">
      <c r="A55" s="4"/>
      <c r="B55" s="10"/>
      <c r="C55" s="10"/>
      <c r="D55" s="10"/>
      <c r="E55" s="10"/>
    </row>
    <row r="56" spans="1:5" x14ac:dyDescent="0.25">
      <c r="A56" s="4"/>
      <c r="B56" s="10"/>
      <c r="C56" s="10"/>
      <c r="D56" s="10"/>
      <c r="E56" s="10"/>
    </row>
    <row r="57" spans="1:5" x14ac:dyDescent="0.25">
      <c r="A57" s="4"/>
      <c r="B57" s="10"/>
      <c r="C57" s="10"/>
      <c r="D57" s="10"/>
      <c r="E57" s="10"/>
    </row>
    <row r="58" spans="1:5" x14ac:dyDescent="0.25">
      <c r="A58" s="4"/>
      <c r="B58" s="10"/>
      <c r="C58" s="10"/>
      <c r="D58" s="10"/>
      <c r="E58" s="10"/>
    </row>
    <row r="59" spans="1:5" x14ac:dyDescent="0.25">
      <c r="A59" s="4"/>
      <c r="B59" s="10"/>
      <c r="C59" s="10"/>
      <c r="D59" s="10"/>
      <c r="E59" s="10"/>
    </row>
    <row r="60" spans="1:5" x14ac:dyDescent="0.25">
      <c r="A60" s="4"/>
      <c r="B60" s="10"/>
      <c r="C60" s="10"/>
      <c r="D60" s="10"/>
      <c r="E60" s="10"/>
    </row>
    <row r="61" spans="1:5" x14ac:dyDescent="0.25">
      <c r="A61" s="4"/>
      <c r="B61" s="10"/>
      <c r="C61" s="10"/>
      <c r="D61" s="10"/>
      <c r="E61" s="10"/>
    </row>
    <row r="62" spans="1:5" x14ac:dyDescent="0.25">
      <c r="A62" s="4"/>
      <c r="B62" s="10"/>
      <c r="C62" s="10"/>
      <c r="D62" s="10"/>
      <c r="E62" s="10"/>
    </row>
    <row r="63" spans="1:5" x14ac:dyDescent="0.25">
      <c r="A63" s="4"/>
      <c r="B63" s="10"/>
      <c r="C63" s="10"/>
      <c r="D63" s="10"/>
      <c r="E63" s="10"/>
    </row>
    <row r="64" spans="1:5" x14ac:dyDescent="0.25">
      <c r="A64" s="4"/>
      <c r="B64" s="10"/>
      <c r="C64" s="10"/>
      <c r="D64" s="10"/>
      <c r="E64" s="10"/>
    </row>
    <row r="65" spans="1:5" x14ac:dyDescent="0.25">
      <c r="A65" s="4"/>
      <c r="B65" s="10"/>
      <c r="C65" s="10"/>
      <c r="D65" s="10"/>
      <c r="E65" s="10"/>
    </row>
    <row r="66" spans="1:5" x14ac:dyDescent="0.25">
      <c r="A66" s="4"/>
      <c r="B66" s="10"/>
      <c r="C66" s="10"/>
      <c r="D66" s="10"/>
      <c r="E66" s="10"/>
    </row>
    <row r="67" spans="1:5" x14ac:dyDescent="0.25">
      <c r="A67" s="4"/>
      <c r="B67" s="10"/>
      <c r="C67" s="10"/>
      <c r="D67" s="10"/>
      <c r="E67" s="10"/>
    </row>
    <row r="68" spans="1:5" x14ac:dyDescent="0.25">
      <c r="A68" s="4"/>
      <c r="B68" s="10"/>
      <c r="C68" s="10"/>
      <c r="D68" s="10"/>
      <c r="E68" s="10"/>
    </row>
    <row r="69" spans="1:5" x14ac:dyDescent="0.25">
      <c r="A69" s="4"/>
      <c r="B69" s="10"/>
      <c r="C69" s="10"/>
      <c r="D69" s="10"/>
      <c r="E69" s="10"/>
    </row>
    <row r="70" spans="1:5" x14ac:dyDescent="0.25">
      <c r="A70" s="4"/>
      <c r="B70" s="10"/>
      <c r="C70" s="10"/>
      <c r="D70" s="10"/>
      <c r="E70" s="10"/>
    </row>
    <row r="71" spans="1:5" x14ac:dyDescent="0.25">
      <c r="A71" s="4"/>
      <c r="B71" s="10"/>
      <c r="C71" s="10"/>
      <c r="D71" s="10"/>
      <c r="E71" s="10"/>
    </row>
    <row r="72" spans="1:5" x14ac:dyDescent="0.25">
      <c r="A72" s="4"/>
      <c r="B72" s="10"/>
      <c r="C72" s="10"/>
      <c r="D72" s="10"/>
      <c r="E72" s="10"/>
    </row>
    <row r="73" spans="1:5" x14ac:dyDescent="0.25">
      <c r="A73" s="4"/>
      <c r="B73" s="10"/>
      <c r="C73" s="10"/>
      <c r="D73" s="10"/>
      <c r="E73" s="10"/>
    </row>
    <row r="74" spans="1:5" x14ac:dyDescent="0.25">
      <c r="A74" s="4"/>
      <c r="B74" s="10"/>
      <c r="C74" s="10"/>
      <c r="D74" s="10"/>
      <c r="E74" s="10"/>
    </row>
    <row r="75" spans="1:5" x14ac:dyDescent="0.25">
      <c r="A75" s="4"/>
      <c r="B75" s="10"/>
      <c r="C75" s="10"/>
      <c r="D75" s="10"/>
      <c r="E75" s="10"/>
    </row>
    <row r="76" spans="1:5" x14ac:dyDescent="0.25">
      <c r="A76" s="4"/>
    </row>
    <row r="77" spans="1:5" x14ac:dyDescent="0.25">
      <c r="A77" s="4"/>
    </row>
    <row r="78" spans="1:5" x14ac:dyDescent="0.25">
      <c r="A78" s="4"/>
    </row>
    <row r="79" spans="1:5" x14ac:dyDescent="0.25">
      <c r="A79" s="4"/>
    </row>
    <row r="80" spans="1:5"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0A238-9BD0-491D-B47C-7132018A2313}">
  <dimension ref="A1:T34"/>
  <sheetViews>
    <sheetView topLeftCell="A4" workbookViewId="0">
      <selection activeCell="D13" sqref="D13"/>
    </sheetView>
  </sheetViews>
  <sheetFormatPr defaultColWidth="9.7109375" defaultRowHeight="14.25" x14ac:dyDescent="0.25"/>
  <cols>
    <col min="1" max="1" width="16.28515625" style="88" customWidth="1"/>
    <col min="2" max="2" width="68" style="88" customWidth="1"/>
    <col min="3" max="8" width="12.7109375" style="88" customWidth="1"/>
    <col min="9" max="9" width="11.28515625" style="88" customWidth="1"/>
    <col min="10" max="10" width="11.5703125" style="88" bestFit="1" customWidth="1"/>
    <col min="11" max="12" width="9.7109375" style="88"/>
    <col min="13" max="13" width="11.85546875" style="88" customWidth="1"/>
    <col min="14" max="236" width="9.7109375" style="88"/>
    <col min="237" max="237" width="16.7109375" style="88" customWidth="1"/>
    <col min="238" max="238" width="76.28515625" style="88" customWidth="1"/>
    <col min="239" max="252" width="0" style="88" hidden="1" customWidth="1"/>
    <col min="253" max="253" width="19.28515625" style="88" customWidth="1"/>
    <col min="254" max="254" width="0" style="88" hidden="1" customWidth="1"/>
    <col min="255" max="256" width="19.28515625" style="88" customWidth="1"/>
    <col min="257" max="258" width="16" style="88" customWidth="1"/>
    <col min="259" max="492" width="9.7109375" style="88"/>
    <col min="493" max="493" width="16.7109375" style="88" customWidth="1"/>
    <col min="494" max="494" width="76.28515625" style="88" customWidth="1"/>
    <col min="495" max="508" width="0" style="88" hidden="1" customWidth="1"/>
    <col min="509" max="509" width="19.28515625" style="88" customWidth="1"/>
    <col min="510" max="510" width="0" style="88" hidden="1" customWidth="1"/>
    <col min="511" max="512" width="19.28515625" style="88" customWidth="1"/>
    <col min="513" max="514" width="16" style="88" customWidth="1"/>
    <col min="515" max="748" width="9.7109375" style="88"/>
    <col min="749" max="749" width="16.7109375" style="88" customWidth="1"/>
    <col min="750" max="750" width="76.28515625" style="88" customWidth="1"/>
    <col min="751" max="764" width="0" style="88" hidden="1" customWidth="1"/>
    <col min="765" max="765" width="19.28515625" style="88" customWidth="1"/>
    <col min="766" max="766" width="0" style="88" hidden="1" customWidth="1"/>
    <col min="767" max="768" width="19.28515625" style="88" customWidth="1"/>
    <col min="769" max="770" width="16" style="88" customWidth="1"/>
    <col min="771" max="1004" width="9.7109375" style="88"/>
    <col min="1005" max="1005" width="16.7109375" style="88" customWidth="1"/>
    <col min="1006" max="1006" width="76.28515625" style="88" customWidth="1"/>
    <col min="1007" max="1020" width="0" style="88" hidden="1" customWidth="1"/>
    <col min="1021" max="1021" width="19.28515625" style="88" customWidth="1"/>
    <col min="1022" max="1022" width="0" style="88" hidden="1" customWidth="1"/>
    <col min="1023" max="1024" width="19.28515625" style="88" customWidth="1"/>
    <col min="1025" max="1026" width="16" style="88" customWidth="1"/>
    <col min="1027" max="1260" width="9.7109375" style="88"/>
    <col min="1261" max="1261" width="16.7109375" style="88" customWidth="1"/>
    <col min="1262" max="1262" width="76.28515625" style="88" customWidth="1"/>
    <col min="1263" max="1276" width="0" style="88" hidden="1" customWidth="1"/>
    <col min="1277" max="1277" width="19.28515625" style="88" customWidth="1"/>
    <col min="1278" max="1278" width="0" style="88" hidden="1" customWidth="1"/>
    <col min="1279" max="1280" width="19.28515625" style="88" customWidth="1"/>
    <col min="1281" max="1282" width="16" style="88" customWidth="1"/>
    <col min="1283" max="1516" width="9.7109375" style="88"/>
    <col min="1517" max="1517" width="16.7109375" style="88" customWidth="1"/>
    <col min="1518" max="1518" width="76.28515625" style="88" customWidth="1"/>
    <col min="1519" max="1532" width="0" style="88" hidden="1" customWidth="1"/>
    <col min="1533" max="1533" width="19.28515625" style="88" customWidth="1"/>
    <col min="1534" max="1534" width="0" style="88" hidden="1" customWidth="1"/>
    <col min="1535" max="1536" width="19.28515625" style="88" customWidth="1"/>
    <col min="1537" max="1538" width="16" style="88" customWidth="1"/>
    <col min="1539" max="1772" width="9.7109375" style="88"/>
    <col min="1773" max="1773" width="16.7109375" style="88" customWidth="1"/>
    <col min="1774" max="1774" width="76.28515625" style="88" customWidth="1"/>
    <col min="1775" max="1788" width="0" style="88" hidden="1" customWidth="1"/>
    <col min="1789" max="1789" width="19.28515625" style="88" customWidth="1"/>
    <col min="1790" max="1790" width="0" style="88" hidden="1" customWidth="1"/>
    <col min="1791" max="1792" width="19.28515625" style="88" customWidth="1"/>
    <col min="1793" max="1794" width="16" style="88" customWidth="1"/>
    <col min="1795" max="2028" width="9.7109375" style="88"/>
    <col min="2029" max="2029" width="16.7109375" style="88" customWidth="1"/>
    <col min="2030" max="2030" width="76.28515625" style="88" customWidth="1"/>
    <col min="2031" max="2044" width="0" style="88" hidden="1" customWidth="1"/>
    <col min="2045" max="2045" width="19.28515625" style="88" customWidth="1"/>
    <col min="2046" max="2046" width="0" style="88" hidden="1" customWidth="1"/>
    <col min="2047" max="2048" width="19.28515625" style="88" customWidth="1"/>
    <col min="2049" max="2050" width="16" style="88" customWidth="1"/>
    <col min="2051" max="2284" width="9.7109375" style="88"/>
    <col min="2285" max="2285" width="16.7109375" style="88" customWidth="1"/>
    <col min="2286" max="2286" width="76.28515625" style="88" customWidth="1"/>
    <col min="2287" max="2300" width="0" style="88" hidden="1" customWidth="1"/>
    <col min="2301" max="2301" width="19.28515625" style="88" customWidth="1"/>
    <col min="2302" max="2302" width="0" style="88" hidden="1" customWidth="1"/>
    <col min="2303" max="2304" width="19.28515625" style="88" customWidth="1"/>
    <col min="2305" max="2306" width="16" style="88" customWidth="1"/>
    <col min="2307" max="2540" width="9.7109375" style="88"/>
    <col min="2541" max="2541" width="16.7109375" style="88" customWidth="1"/>
    <col min="2542" max="2542" width="76.28515625" style="88" customWidth="1"/>
    <col min="2543" max="2556" width="0" style="88" hidden="1" customWidth="1"/>
    <col min="2557" max="2557" width="19.28515625" style="88" customWidth="1"/>
    <col min="2558" max="2558" width="0" style="88" hidden="1" customWidth="1"/>
    <col min="2559" max="2560" width="19.28515625" style="88" customWidth="1"/>
    <col min="2561" max="2562" width="16" style="88" customWidth="1"/>
    <col min="2563" max="2796" width="9.7109375" style="88"/>
    <col min="2797" max="2797" width="16.7109375" style="88" customWidth="1"/>
    <col min="2798" max="2798" width="76.28515625" style="88" customWidth="1"/>
    <col min="2799" max="2812" width="0" style="88" hidden="1" customWidth="1"/>
    <col min="2813" max="2813" width="19.28515625" style="88" customWidth="1"/>
    <col min="2814" max="2814" width="0" style="88" hidden="1" customWidth="1"/>
    <col min="2815" max="2816" width="19.28515625" style="88" customWidth="1"/>
    <col min="2817" max="2818" width="16" style="88" customWidth="1"/>
    <col min="2819" max="3052" width="9.7109375" style="88"/>
    <col min="3053" max="3053" width="16.7109375" style="88" customWidth="1"/>
    <col min="3054" max="3054" width="76.28515625" style="88" customWidth="1"/>
    <col min="3055" max="3068" width="0" style="88" hidden="1" customWidth="1"/>
    <col min="3069" max="3069" width="19.28515625" style="88" customWidth="1"/>
    <col min="3070" max="3070" width="0" style="88" hidden="1" customWidth="1"/>
    <col min="3071" max="3072" width="19.28515625" style="88" customWidth="1"/>
    <col min="3073" max="3074" width="16" style="88" customWidth="1"/>
    <col min="3075" max="3308" width="9.7109375" style="88"/>
    <col min="3309" max="3309" width="16.7109375" style="88" customWidth="1"/>
    <col min="3310" max="3310" width="76.28515625" style="88" customWidth="1"/>
    <col min="3311" max="3324" width="0" style="88" hidden="1" customWidth="1"/>
    <col min="3325" max="3325" width="19.28515625" style="88" customWidth="1"/>
    <col min="3326" max="3326" width="0" style="88" hidden="1" customWidth="1"/>
    <col min="3327" max="3328" width="19.28515625" style="88" customWidth="1"/>
    <col min="3329" max="3330" width="16" style="88" customWidth="1"/>
    <col min="3331" max="3564" width="9.7109375" style="88"/>
    <col min="3565" max="3565" width="16.7109375" style="88" customWidth="1"/>
    <col min="3566" max="3566" width="76.28515625" style="88" customWidth="1"/>
    <col min="3567" max="3580" width="0" style="88" hidden="1" customWidth="1"/>
    <col min="3581" max="3581" width="19.28515625" style="88" customWidth="1"/>
    <col min="3582" max="3582" width="0" style="88" hidden="1" customWidth="1"/>
    <col min="3583" max="3584" width="19.28515625" style="88" customWidth="1"/>
    <col min="3585" max="3586" width="16" style="88" customWidth="1"/>
    <col min="3587" max="3820" width="9.7109375" style="88"/>
    <col min="3821" max="3821" width="16.7109375" style="88" customWidth="1"/>
    <col min="3822" max="3822" width="76.28515625" style="88" customWidth="1"/>
    <col min="3823" max="3836" width="0" style="88" hidden="1" customWidth="1"/>
    <col min="3837" max="3837" width="19.28515625" style="88" customWidth="1"/>
    <col min="3838" max="3838" width="0" style="88" hidden="1" customWidth="1"/>
    <col min="3839" max="3840" width="19.28515625" style="88" customWidth="1"/>
    <col min="3841" max="3842" width="16" style="88" customWidth="1"/>
    <col min="3843" max="4076" width="9.7109375" style="88"/>
    <col min="4077" max="4077" width="16.7109375" style="88" customWidth="1"/>
    <col min="4078" max="4078" width="76.28515625" style="88" customWidth="1"/>
    <col min="4079" max="4092" width="0" style="88" hidden="1" customWidth="1"/>
    <col min="4093" max="4093" width="19.28515625" style="88" customWidth="1"/>
    <col min="4094" max="4094" width="0" style="88" hidden="1" customWidth="1"/>
    <col min="4095" max="4096" width="19.28515625" style="88" customWidth="1"/>
    <col min="4097" max="4098" width="16" style="88" customWidth="1"/>
    <col min="4099" max="4332" width="9.7109375" style="88"/>
    <col min="4333" max="4333" width="16.7109375" style="88" customWidth="1"/>
    <col min="4334" max="4334" width="76.28515625" style="88" customWidth="1"/>
    <col min="4335" max="4348" width="0" style="88" hidden="1" customWidth="1"/>
    <col min="4349" max="4349" width="19.28515625" style="88" customWidth="1"/>
    <col min="4350" max="4350" width="0" style="88" hidden="1" customWidth="1"/>
    <col min="4351" max="4352" width="19.28515625" style="88" customWidth="1"/>
    <col min="4353" max="4354" width="16" style="88" customWidth="1"/>
    <col min="4355" max="4588" width="9.7109375" style="88"/>
    <col min="4589" max="4589" width="16.7109375" style="88" customWidth="1"/>
    <col min="4590" max="4590" width="76.28515625" style="88" customWidth="1"/>
    <col min="4591" max="4604" width="0" style="88" hidden="1" customWidth="1"/>
    <col min="4605" max="4605" width="19.28515625" style="88" customWidth="1"/>
    <col min="4606" max="4606" width="0" style="88" hidden="1" customWidth="1"/>
    <col min="4607" max="4608" width="19.28515625" style="88" customWidth="1"/>
    <col min="4609" max="4610" width="16" style="88" customWidth="1"/>
    <col min="4611" max="4844" width="9.7109375" style="88"/>
    <col min="4845" max="4845" width="16.7109375" style="88" customWidth="1"/>
    <col min="4846" max="4846" width="76.28515625" style="88" customWidth="1"/>
    <col min="4847" max="4860" width="0" style="88" hidden="1" customWidth="1"/>
    <col min="4861" max="4861" width="19.28515625" style="88" customWidth="1"/>
    <col min="4862" max="4862" width="0" style="88" hidden="1" customWidth="1"/>
    <col min="4863" max="4864" width="19.28515625" style="88" customWidth="1"/>
    <col min="4865" max="4866" width="16" style="88" customWidth="1"/>
    <col min="4867" max="5100" width="9.7109375" style="88"/>
    <col min="5101" max="5101" width="16.7109375" style="88" customWidth="1"/>
    <col min="5102" max="5102" width="76.28515625" style="88" customWidth="1"/>
    <col min="5103" max="5116" width="0" style="88" hidden="1" customWidth="1"/>
    <col min="5117" max="5117" width="19.28515625" style="88" customWidth="1"/>
    <col min="5118" max="5118" width="0" style="88" hidden="1" customWidth="1"/>
    <col min="5119" max="5120" width="19.28515625" style="88" customWidth="1"/>
    <col min="5121" max="5122" width="16" style="88" customWidth="1"/>
    <col min="5123" max="5356" width="9.7109375" style="88"/>
    <col min="5357" max="5357" width="16.7109375" style="88" customWidth="1"/>
    <col min="5358" max="5358" width="76.28515625" style="88" customWidth="1"/>
    <col min="5359" max="5372" width="0" style="88" hidden="1" customWidth="1"/>
    <col min="5373" max="5373" width="19.28515625" style="88" customWidth="1"/>
    <col min="5374" max="5374" width="0" style="88" hidden="1" customWidth="1"/>
    <col min="5375" max="5376" width="19.28515625" style="88" customWidth="1"/>
    <col min="5377" max="5378" width="16" style="88" customWidth="1"/>
    <col min="5379" max="5612" width="9.7109375" style="88"/>
    <col min="5613" max="5613" width="16.7109375" style="88" customWidth="1"/>
    <col min="5614" max="5614" width="76.28515625" style="88" customWidth="1"/>
    <col min="5615" max="5628" width="0" style="88" hidden="1" customWidth="1"/>
    <col min="5629" max="5629" width="19.28515625" style="88" customWidth="1"/>
    <col min="5630" max="5630" width="0" style="88" hidden="1" customWidth="1"/>
    <col min="5631" max="5632" width="19.28515625" style="88" customWidth="1"/>
    <col min="5633" max="5634" width="16" style="88" customWidth="1"/>
    <col min="5635" max="5868" width="9.7109375" style="88"/>
    <col min="5869" max="5869" width="16.7109375" style="88" customWidth="1"/>
    <col min="5870" max="5870" width="76.28515625" style="88" customWidth="1"/>
    <col min="5871" max="5884" width="0" style="88" hidden="1" customWidth="1"/>
    <col min="5885" max="5885" width="19.28515625" style="88" customWidth="1"/>
    <col min="5886" max="5886" width="0" style="88" hidden="1" customWidth="1"/>
    <col min="5887" max="5888" width="19.28515625" style="88" customWidth="1"/>
    <col min="5889" max="5890" width="16" style="88" customWidth="1"/>
    <col min="5891" max="6124" width="9.7109375" style="88"/>
    <col min="6125" max="6125" width="16.7109375" style="88" customWidth="1"/>
    <col min="6126" max="6126" width="76.28515625" style="88" customWidth="1"/>
    <col min="6127" max="6140" width="0" style="88" hidden="1" customWidth="1"/>
    <col min="6141" max="6141" width="19.28515625" style="88" customWidth="1"/>
    <col min="6142" max="6142" width="0" style="88" hidden="1" customWidth="1"/>
    <col min="6143" max="6144" width="19.28515625" style="88" customWidth="1"/>
    <col min="6145" max="6146" width="16" style="88" customWidth="1"/>
    <col min="6147" max="6380" width="9.7109375" style="88"/>
    <col min="6381" max="6381" width="16.7109375" style="88" customWidth="1"/>
    <col min="6382" max="6382" width="76.28515625" style="88" customWidth="1"/>
    <col min="6383" max="6396" width="0" style="88" hidden="1" customWidth="1"/>
    <col min="6397" max="6397" width="19.28515625" style="88" customWidth="1"/>
    <col min="6398" max="6398" width="0" style="88" hidden="1" customWidth="1"/>
    <col min="6399" max="6400" width="19.28515625" style="88" customWidth="1"/>
    <col min="6401" max="6402" width="16" style="88" customWidth="1"/>
    <col min="6403" max="6636" width="9.7109375" style="88"/>
    <col min="6637" max="6637" width="16.7109375" style="88" customWidth="1"/>
    <col min="6638" max="6638" width="76.28515625" style="88" customWidth="1"/>
    <col min="6639" max="6652" width="0" style="88" hidden="1" customWidth="1"/>
    <col min="6653" max="6653" width="19.28515625" style="88" customWidth="1"/>
    <col min="6654" max="6654" width="0" style="88" hidden="1" customWidth="1"/>
    <col min="6655" max="6656" width="19.28515625" style="88" customWidth="1"/>
    <col min="6657" max="6658" width="16" style="88" customWidth="1"/>
    <col min="6659" max="6892" width="9.7109375" style="88"/>
    <col min="6893" max="6893" width="16.7109375" style="88" customWidth="1"/>
    <col min="6894" max="6894" width="76.28515625" style="88" customWidth="1"/>
    <col min="6895" max="6908" width="0" style="88" hidden="1" customWidth="1"/>
    <col min="6909" max="6909" width="19.28515625" style="88" customWidth="1"/>
    <col min="6910" max="6910" width="0" style="88" hidden="1" customWidth="1"/>
    <col min="6911" max="6912" width="19.28515625" style="88" customWidth="1"/>
    <col min="6913" max="6914" width="16" style="88" customWidth="1"/>
    <col min="6915" max="7148" width="9.7109375" style="88"/>
    <col min="7149" max="7149" width="16.7109375" style="88" customWidth="1"/>
    <col min="7150" max="7150" width="76.28515625" style="88" customWidth="1"/>
    <col min="7151" max="7164" width="0" style="88" hidden="1" customWidth="1"/>
    <col min="7165" max="7165" width="19.28515625" style="88" customWidth="1"/>
    <col min="7166" max="7166" width="0" style="88" hidden="1" customWidth="1"/>
    <col min="7167" max="7168" width="19.28515625" style="88" customWidth="1"/>
    <col min="7169" max="7170" width="16" style="88" customWidth="1"/>
    <col min="7171" max="7404" width="9.7109375" style="88"/>
    <col min="7405" max="7405" width="16.7109375" style="88" customWidth="1"/>
    <col min="7406" max="7406" width="76.28515625" style="88" customWidth="1"/>
    <col min="7407" max="7420" width="0" style="88" hidden="1" customWidth="1"/>
    <col min="7421" max="7421" width="19.28515625" style="88" customWidth="1"/>
    <col min="7422" max="7422" width="0" style="88" hidden="1" customWidth="1"/>
    <col min="7423" max="7424" width="19.28515625" style="88" customWidth="1"/>
    <col min="7425" max="7426" width="16" style="88" customWidth="1"/>
    <col min="7427" max="7660" width="9.7109375" style="88"/>
    <col min="7661" max="7661" width="16.7109375" style="88" customWidth="1"/>
    <col min="7662" max="7662" width="76.28515625" style="88" customWidth="1"/>
    <col min="7663" max="7676" width="0" style="88" hidden="1" customWidth="1"/>
    <col min="7677" max="7677" width="19.28515625" style="88" customWidth="1"/>
    <col min="7678" max="7678" width="0" style="88" hidden="1" customWidth="1"/>
    <col min="7679" max="7680" width="19.28515625" style="88" customWidth="1"/>
    <col min="7681" max="7682" width="16" style="88" customWidth="1"/>
    <col min="7683" max="7916" width="9.7109375" style="88"/>
    <col min="7917" max="7917" width="16.7109375" style="88" customWidth="1"/>
    <col min="7918" max="7918" width="76.28515625" style="88" customWidth="1"/>
    <col min="7919" max="7932" width="0" style="88" hidden="1" customWidth="1"/>
    <col min="7933" max="7933" width="19.28515625" style="88" customWidth="1"/>
    <col min="7934" max="7934" width="0" style="88" hidden="1" customWidth="1"/>
    <col min="7935" max="7936" width="19.28515625" style="88" customWidth="1"/>
    <col min="7937" max="7938" width="16" style="88" customWidth="1"/>
    <col min="7939" max="8172" width="9.7109375" style="88"/>
    <col min="8173" max="8173" width="16.7109375" style="88" customWidth="1"/>
    <col min="8174" max="8174" width="76.28515625" style="88" customWidth="1"/>
    <col min="8175" max="8188" width="0" style="88" hidden="1" customWidth="1"/>
    <col min="8189" max="8189" width="19.28515625" style="88" customWidth="1"/>
    <col min="8190" max="8190" width="0" style="88" hidden="1" customWidth="1"/>
    <col min="8191" max="8192" width="19.28515625" style="88" customWidth="1"/>
    <col min="8193" max="8194" width="16" style="88" customWidth="1"/>
    <col min="8195" max="8428" width="9.7109375" style="88"/>
    <col min="8429" max="8429" width="16.7109375" style="88" customWidth="1"/>
    <col min="8430" max="8430" width="76.28515625" style="88" customWidth="1"/>
    <col min="8431" max="8444" width="0" style="88" hidden="1" customWidth="1"/>
    <col min="8445" max="8445" width="19.28515625" style="88" customWidth="1"/>
    <col min="8446" max="8446" width="0" style="88" hidden="1" customWidth="1"/>
    <col min="8447" max="8448" width="19.28515625" style="88" customWidth="1"/>
    <col min="8449" max="8450" width="16" style="88" customWidth="1"/>
    <col min="8451" max="8684" width="9.7109375" style="88"/>
    <col min="8685" max="8685" width="16.7109375" style="88" customWidth="1"/>
    <col min="8686" max="8686" width="76.28515625" style="88" customWidth="1"/>
    <col min="8687" max="8700" width="0" style="88" hidden="1" customWidth="1"/>
    <col min="8701" max="8701" width="19.28515625" style="88" customWidth="1"/>
    <col min="8702" max="8702" width="0" style="88" hidden="1" customWidth="1"/>
    <col min="8703" max="8704" width="19.28515625" style="88" customWidth="1"/>
    <col min="8705" max="8706" width="16" style="88" customWidth="1"/>
    <col min="8707" max="8940" width="9.7109375" style="88"/>
    <col min="8941" max="8941" width="16.7109375" style="88" customWidth="1"/>
    <col min="8942" max="8942" width="76.28515625" style="88" customWidth="1"/>
    <col min="8943" max="8956" width="0" style="88" hidden="1" customWidth="1"/>
    <col min="8957" max="8957" width="19.28515625" style="88" customWidth="1"/>
    <col min="8958" max="8958" width="0" style="88" hidden="1" customWidth="1"/>
    <col min="8959" max="8960" width="19.28515625" style="88" customWidth="1"/>
    <col min="8961" max="8962" width="16" style="88" customWidth="1"/>
    <col min="8963" max="9196" width="9.7109375" style="88"/>
    <col min="9197" max="9197" width="16.7109375" style="88" customWidth="1"/>
    <col min="9198" max="9198" width="76.28515625" style="88" customWidth="1"/>
    <col min="9199" max="9212" width="0" style="88" hidden="1" customWidth="1"/>
    <col min="9213" max="9213" width="19.28515625" style="88" customWidth="1"/>
    <col min="9214" max="9214" width="0" style="88" hidden="1" customWidth="1"/>
    <col min="9215" max="9216" width="19.28515625" style="88" customWidth="1"/>
    <col min="9217" max="9218" width="16" style="88" customWidth="1"/>
    <col min="9219" max="9452" width="9.7109375" style="88"/>
    <col min="9453" max="9453" width="16.7109375" style="88" customWidth="1"/>
    <col min="9454" max="9454" width="76.28515625" style="88" customWidth="1"/>
    <col min="9455" max="9468" width="0" style="88" hidden="1" customWidth="1"/>
    <col min="9469" max="9469" width="19.28515625" style="88" customWidth="1"/>
    <col min="9470" max="9470" width="0" style="88" hidden="1" customWidth="1"/>
    <col min="9471" max="9472" width="19.28515625" style="88" customWidth="1"/>
    <col min="9473" max="9474" width="16" style="88" customWidth="1"/>
    <col min="9475" max="9708" width="9.7109375" style="88"/>
    <col min="9709" max="9709" width="16.7109375" style="88" customWidth="1"/>
    <col min="9710" max="9710" width="76.28515625" style="88" customWidth="1"/>
    <col min="9711" max="9724" width="0" style="88" hidden="1" customWidth="1"/>
    <col min="9725" max="9725" width="19.28515625" style="88" customWidth="1"/>
    <col min="9726" max="9726" width="0" style="88" hidden="1" customWidth="1"/>
    <col min="9727" max="9728" width="19.28515625" style="88" customWidth="1"/>
    <col min="9729" max="9730" width="16" style="88" customWidth="1"/>
    <col min="9731" max="9964" width="9.7109375" style="88"/>
    <col min="9965" max="9965" width="16.7109375" style="88" customWidth="1"/>
    <col min="9966" max="9966" width="76.28515625" style="88" customWidth="1"/>
    <col min="9967" max="9980" width="0" style="88" hidden="1" customWidth="1"/>
    <col min="9981" max="9981" width="19.28515625" style="88" customWidth="1"/>
    <col min="9982" max="9982" width="0" style="88" hidden="1" customWidth="1"/>
    <col min="9983" max="9984" width="19.28515625" style="88" customWidth="1"/>
    <col min="9985" max="9986" width="16" style="88" customWidth="1"/>
    <col min="9987" max="10220" width="9.7109375" style="88"/>
    <col min="10221" max="10221" width="16.7109375" style="88" customWidth="1"/>
    <col min="10222" max="10222" width="76.28515625" style="88" customWidth="1"/>
    <col min="10223" max="10236" width="0" style="88" hidden="1" customWidth="1"/>
    <col min="10237" max="10237" width="19.28515625" style="88" customWidth="1"/>
    <col min="10238" max="10238" width="0" style="88" hidden="1" customWidth="1"/>
    <col min="10239" max="10240" width="19.28515625" style="88" customWidth="1"/>
    <col min="10241" max="10242" width="16" style="88" customWidth="1"/>
    <col min="10243" max="10476" width="9.7109375" style="88"/>
    <col min="10477" max="10477" width="16.7109375" style="88" customWidth="1"/>
    <col min="10478" max="10478" width="76.28515625" style="88" customWidth="1"/>
    <col min="10479" max="10492" width="0" style="88" hidden="1" customWidth="1"/>
    <col min="10493" max="10493" width="19.28515625" style="88" customWidth="1"/>
    <col min="10494" max="10494" width="0" style="88" hidden="1" customWidth="1"/>
    <col min="10495" max="10496" width="19.28515625" style="88" customWidth="1"/>
    <col min="10497" max="10498" width="16" style="88" customWidth="1"/>
    <col min="10499" max="10732" width="9.7109375" style="88"/>
    <col min="10733" max="10733" width="16.7109375" style="88" customWidth="1"/>
    <col min="10734" max="10734" width="76.28515625" style="88" customWidth="1"/>
    <col min="10735" max="10748" width="0" style="88" hidden="1" customWidth="1"/>
    <col min="10749" max="10749" width="19.28515625" style="88" customWidth="1"/>
    <col min="10750" max="10750" width="0" style="88" hidden="1" customWidth="1"/>
    <col min="10751" max="10752" width="19.28515625" style="88" customWidth="1"/>
    <col min="10753" max="10754" width="16" style="88" customWidth="1"/>
    <col min="10755" max="10988" width="9.7109375" style="88"/>
    <col min="10989" max="10989" width="16.7109375" style="88" customWidth="1"/>
    <col min="10990" max="10990" width="76.28515625" style="88" customWidth="1"/>
    <col min="10991" max="11004" width="0" style="88" hidden="1" customWidth="1"/>
    <col min="11005" max="11005" width="19.28515625" style="88" customWidth="1"/>
    <col min="11006" max="11006" width="0" style="88" hidden="1" customWidth="1"/>
    <col min="11007" max="11008" width="19.28515625" style="88" customWidth="1"/>
    <col min="11009" max="11010" width="16" style="88" customWidth="1"/>
    <col min="11011" max="11244" width="9.7109375" style="88"/>
    <col min="11245" max="11245" width="16.7109375" style="88" customWidth="1"/>
    <col min="11246" max="11246" width="76.28515625" style="88" customWidth="1"/>
    <col min="11247" max="11260" width="0" style="88" hidden="1" customWidth="1"/>
    <col min="11261" max="11261" width="19.28515625" style="88" customWidth="1"/>
    <col min="11262" max="11262" width="0" style="88" hidden="1" customWidth="1"/>
    <col min="11263" max="11264" width="19.28515625" style="88" customWidth="1"/>
    <col min="11265" max="11266" width="16" style="88" customWidth="1"/>
    <col min="11267" max="11500" width="9.7109375" style="88"/>
    <col min="11501" max="11501" width="16.7109375" style="88" customWidth="1"/>
    <col min="11502" max="11502" width="76.28515625" style="88" customWidth="1"/>
    <col min="11503" max="11516" width="0" style="88" hidden="1" customWidth="1"/>
    <col min="11517" max="11517" width="19.28515625" style="88" customWidth="1"/>
    <col min="11518" max="11518" width="0" style="88" hidden="1" customWidth="1"/>
    <col min="11519" max="11520" width="19.28515625" style="88" customWidth="1"/>
    <col min="11521" max="11522" width="16" style="88" customWidth="1"/>
    <col min="11523" max="11756" width="9.7109375" style="88"/>
    <col min="11757" max="11757" width="16.7109375" style="88" customWidth="1"/>
    <col min="11758" max="11758" width="76.28515625" style="88" customWidth="1"/>
    <col min="11759" max="11772" width="0" style="88" hidden="1" customWidth="1"/>
    <col min="11773" max="11773" width="19.28515625" style="88" customWidth="1"/>
    <col min="11774" max="11774" width="0" style="88" hidden="1" customWidth="1"/>
    <col min="11775" max="11776" width="19.28515625" style="88" customWidth="1"/>
    <col min="11777" max="11778" width="16" style="88" customWidth="1"/>
    <col min="11779" max="12012" width="9.7109375" style="88"/>
    <col min="12013" max="12013" width="16.7109375" style="88" customWidth="1"/>
    <col min="12014" max="12014" width="76.28515625" style="88" customWidth="1"/>
    <col min="12015" max="12028" width="0" style="88" hidden="1" customWidth="1"/>
    <col min="12029" max="12029" width="19.28515625" style="88" customWidth="1"/>
    <col min="12030" max="12030" width="0" style="88" hidden="1" customWidth="1"/>
    <col min="12031" max="12032" width="19.28515625" style="88" customWidth="1"/>
    <col min="12033" max="12034" width="16" style="88" customWidth="1"/>
    <col min="12035" max="12268" width="9.7109375" style="88"/>
    <col min="12269" max="12269" width="16.7109375" style="88" customWidth="1"/>
    <col min="12270" max="12270" width="76.28515625" style="88" customWidth="1"/>
    <col min="12271" max="12284" width="0" style="88" hidden="1" customWidth="1"/>
    <col min="12285" max="12285" width="19.28515625" style="88" customWidth="1"/>
    <col min="12286" max="12286" width="0" style="88" hidden="1" customWidth="1"/>
    <col min="12287" max="12288" width="19.28515625" style="88" customWidth="1"/>
    <col min="12289" max="12290" width="16" style="88" customWidth="1"/>
    <col min="12291" max="12524" width="9.7109375" style="88"/>
    <col min="12525" max="12525" width="16.7109375" style="88" customWidth="1"/>
    <col min="12526" max="12526" width="76.28515625" style="88" customWidth="1"/>
    <col min="12527" max="12540" width="0" style="88" hidden="1" customWidth="1"/>
    <col min="12541" max="12541" width="19.28515625" style="88" customWidth="1"/>
    <col min="12542" max="12542" width="0" style="88" hidden="1" customWidth="1"/>
    <col min="12543" max="12544" width="19.28515625" style="88" customWidth="1"/>
    <col min="12545" max="12546" width="16" style="88" customWidth="1"/>
    <col min="12547" max="12780" width="9.7109375" style="88"/>
    <col min="12781" max="12781" width="16.7109375" style="88" customWidth="1"/>
    <col min="12782" max="12782" width="76.28515625" style="88" customWidth="1"/>
    <col min="12783" max="12796" width="0" style="88" hidden="1" customWidth="1"/>
    <col min="12797" max="12797" width="19.28515625" style="88" customWidth="1"/>
    <col min="12798" max="12798" width="0" style="88" hidden="1" customWidth="1"/>
    <col min="12799" max="12800" width="19.28515625" style="88" customWidth="1"/>
    <col min="12801" max="12802" width="16" style="88" customWidth="1"/>
    <col min="12803" max="13036" width="9.7109375" style="88"/>
    <col min="13037" max="13037" width="16.7109375" style="88" customWidth="1"/>
    <col min="13038" max="13038" width="76.28515625" style="88" customWidth="1"/>
    <col min="13039" max="13052" width="0" style="88" hidden="1" customWidth="1"/>
    <col min="13053" max="13053" width="19.28515625" style="88" customWidth="1"/>
    <col min="13054" max="13054" width="0" style="88" hidden="1" customWidth="1"/>
    <col min="13055" max="13056" width="19.28515625" style="88" customWidth="1"/>
    <col min="13057" max="13058" width="16" style="88" customWidth="1"/>
    <col min="13059" max="13292" width="9.7109375" style="88"/>
    <col min="13293" max="13293" width="16.7109375" style="88" customWidth="1"/>
    <col min="13294" max="13294" width="76.28515625" style="88" customWidth="1"/>
    <col min="13295" max="13308" width="0" style="88" hidden="1" customWidth="1"/>
    <col min="13309" max="13309" width="19.28515625" style="88" customWidth="1"/>
    <col min="13310" max="13310" width="0" style="88" hidden="1" customWidth="1"/>
    <col min="13311" max="13312" width="19.28515625" style="88" customWidth="1"/>
    <col min="13313" max="13314" width="16" style="88" customWidth="1"/>
    <col min="13315" max="13548" width="9.7109375" style="88"/>
    <col min="13549" max="13549" width="16.7109375" style="88" customWidth="1"/>
    <col min="13550" max="13550" width="76.28515625" style="88" customWidth="1"/>
    <col min="13551" max="13564" width="0" style="88" hidden="1" customWidth="1"/>
    <col min="13565" max="13565" width="19.28515625" style="88" customWidth="1"/>
    <col min="13566" max="13566" width="0" style="88" hidden="1" customWidth="1"/>
    <col min="13567" max="13568" width="19.28515625" style="88" customWidth="1"/>
    <col min="13569" max="13570" width="16" style="88" customWidth="1"/>
    <col min="13571" max="13804" width="9.7109375" style="88"/>
    <col min="13805" max="13805" width="16.7109375" style="88" customWidth="1"/>
    <col min="13806" max="13806" width="76.28515625" style="88" customWidth="1"/>
    <col min="13807" max="13820" width="0" style="88" hidden="1" customWidth="1"/>
    <col min="13821" max="13821" width="19.28515625" style="88" customWidth="1"/>
    <col min="13822" max="13822" width="0" style="88" hidden="1" customWidth="1"/>
    <col min="13823" max="13824" width="19.28515625" style="88" customWidth="1"/>
    <col min="13825" max="13826" width="16" style="88" customWidth="1"/>
    <col min="13827" max="14060" width="9.7109375" style="88"/>
    <col min="14061" max="14061" width="16.7109375" style="88" customWidth="1"/>
    <col min="14062" max="14062" width="76.28515625" style="88" customWidth="1"/>
    <col min="14063" max="14076" width="0" style="88" hidden="1" customWidth="1"/>
    <col min="14077" max="14077" width="19.28515625" style="88" customWidth="1"/>
    <col min="14078" max="14078" width="0" style="88" hidden="1" customWidth="1"/>
    <col min="14079" max="14080" width="19.28515625" style="88" customWidth="1"/>
    <col min="14081" max="14082" width="16" style="88" customWidth="1"/>
    <col min="14083" max="14316" width="9.7109375" style="88"/>
    <col min="14317" max="14317" width="16.7109375" style="88" customWidth="1"/>
    <col min="14318" max="14318" width="76.28515625" style="88" customWidth="1"/>
    <col min="14319" max="14332" width="0" style="88" hidden="1" customWidth="1"/>
    <col min="14333" max="14333" width="19.28515625" style="88" customWidth="1"/>
    <col min="14334" max="14334" width="0" style="88" hidden="1" customWidth="1"/>
    <col min="14335" max="14336" width="19.28515625" style="88" customWidth="1"/>
    <col min="14337" max="14338" width="16" style="88" customWidth="1"/>
    <col min="14339" max="14572" width="9.7109375" style="88"/>
    <col min="14573" max="14573" width="16.7109375" style="88" customWidth="1"/>
    <col min="14574" max="14574" width="76.28515625" style="88" customWidth="1"/>
    <col min="14575" max="14588" width="0" style="88" hidden="1" customWidth="1"/>
    <col min="14589" max="14589" width="19.28515625" style="88" customWidth="1"/>
    <col min="14590" max="14590" width="0" style="88" hidden="1" customWidth="1"/>
    <col min="14591" max="14592" width="19.28515625" style="88" customWidth="1"/>
    <col min="14593" max="14594" width="16" style="88" customWidth="1"/>
    <col min="14595" max="14828" width="9.7109375" style="88"/>
    <col min="14829" max="14829" width="16.7109375" style="88" customWidth="1"/>
    <col min="14830" max="14830" width="76.28515625" style="88" customWidth="1"/>
    <col min="14831" max="14844" width="0" style="88" hidden="1" customWidth="1"/>
    <col min="14845" max="14845" width="19.28515625" style="88" customWidth="1"/>
    <col min="14846" max="14846" width="0" style="88" hidden="1" customWidth="1"/>
    <col min="14847" max="14848" width="19.28515625" style="88" customWidth="1"/>
    <col min="14849" max="14850" width="16" style="88" customWidth="1"/>
    <col min="14851" max="15084" width="9.7109375" style="88"/>
    <col min="15085" max="15085" width="16.7109375" style="88" customWidth="1"/>
    <col min="15086" max="15086" width="76.28515625" style="88" customWidth="1"/>
    <col min="15087" max="15100" width="0" style="88" hidden="1" customWidth="1"/>
    <col min="15101" max="15101" width="19.28515625" style="88" customWidth="1"/>
    <col min="15102" max="15102" width="0" style="88" hidden="1" customWidth="1"/>
    <col min="15103" max="15104" width="19.28515625" style="88" customWidth="1"/>
    <col min="15105" max="15106" width="16" style="88" customWidth="1"/>
    <col min="15107" max="15340" width="9.7109375" style="88"/>
    <col min="15341" max="15341" width="16.7109375" style="88" customWidth="1"/>
    <col min="15342" max="15342" width="76.28515625" style="88" customWidth="1"/>
    <col min="15343" max="15356" width="0" style="88" hidden="1" customWidth="1"/>
    <col min="15357" max="15357" width="19.28515625" style="88" customWidth="1"/>
    <col min="15358" max="15358" width="0" style="88" hidden="1" customWidth="1"/>
    <col min="15359" max="15360" width="19.28515625" style="88" customWidth="1"/>
    <col min="15361" max="15362" width="16" style="88" customWidth="1"/>
    <col min="15363" max="15596" width="9.7109375" style="88"/>
    <col min="15597" max="15597" width="16.7109375" style="88" customWidth="1"/>
    <col min="15598" max="15598" width="76.28515625" style="88" customWidth="1"/>
    <col min="15599" max="15612" width="0" style="88" hidden="1" customWidth="1"/>
    <col min="15613" max="15613" width="19.28515625" style="88" customWidth="1"/>
    <col min="15614" max="15614" width="0" style="88" hidden="1" customWidth="1"/>
    <col min="15615" max="15616" width="19.28515625" style="88" customWidth="1"/>
    <col min="15617" max="15618" width="16" style="88" customWidth="1"/>
    <col min="15619" max="15852" width="9.7109375" style="88"/>
    <col min="15853" max="15853" width="16.7109375" style="88" customWidth="1"/>
    <col min="15854" max="15854" width="76.28515625" style="88" customWidth="1"/>
    <col min="15855" max="15868" width="0" style="88" hidden="1" customWidth="1"/>
    <col min="15869" max="15869" width="19.28515625" style="88" customWidth="1"/>
    <col min="15870" max="15870" width="0" style="88" hidden="1" customWidth="1"/>
    <col min="15871" max="15872" width="19.28515625" style="88" customWidth="1"/>
    <col min="15873" max="15874" width="16" style="88" customWidth="1"/>
    <col min="15875" max="16108" width="9.7109375" style="88"/>
    <col min="16109" max="16109" width="16.7109375" style="88" customWidth="1"/>
    <col min="16110" max="16110" width="76.28515625" style="88" customWidth="1"/>
    <col min="16111" max="16124" width="0" style="88" hidden="1" customWidth="1"/>
    <col min="16125" max="16125" width="19.28515625" style="88" customWidth="1"/>
    <col min="16126" max="16126" width="0" style="88" hidden="1" customWidth="1"/>
    <col min="16127" max="16128" width="19.28515625" style="88" customWidth="1"/>
    <col min="16129" max="16130" width="16" style="88" customWidth="1"/>
    <col min="16131" max="16384" width="9.7109375" style="88"/>
  </cols>
  <sheetData>
    <row r="1" spans="1:20" ht="15" customHeight="1" x14ac:dyDescent="0.25">
      <c r="A1" s="77" t="s">
        <v>133</v>
      </c>
      <c r="B1" s="87"/>
      <c r="C1" s="87"/>
      <c r="D1" s="87"/>
      <c r="E1" s="87"/>
      <c r="F1" s="87"/>
      <c r="G1" s="87"/>
      <c r="H1" s="87"/>
      <c r="I1" s="87"/>
    </row>
    <row r="2" spans="1:20" ht="9.9499999999999993" customHeight="1" x14ac:dyDescent="0.25">
      <c r="A2" s="89"/>
      <c r="B2" s="89"/>
      <c r="C2" s="89"/>
      <c r="D2" s="89"/>
      <c r="E2" s="89"/>
      <c r="F2" s="89"/>
      <c r="G2" s="89"/>
      <c r="H2" s="89"/>
    </row>
    <row r="3" spans="1:20" ht="35.25" customHeight="1" x14ac:dyDescent="0.25">
      <c r="A3" s="90" t="s">
        <v>134</v>
      </c>
      <c r="B3" s="87"/>
      <c r="C3" s="87"/>
      <c r="D3" s="87"/>
      <c r="E3" s="87"/>
      <c r="F3" s="87"/>
      <c r="G3" s="87"/>
      <c r="H3" s="87"/>
      <c r="I3" s="87"/>
    </row>
    <row r="4" spans="1:20" ht="9.9499999999999993" customHeight="1" x14ac:dyDescent="0.25">
      <c r="A4" s="78"/>
      <c r="B4" s="78"/>
      <c r="C4" s="78"/>
      <c r="D4" s="78"/>
      <c r="E4" s="78"/>
      <c r="F4" s="78"/>
      <c r="G4" s="78"/>
      <c r="H4" s="78"/>
    </row>
    <row r="5" spans="1:20" ht="13.5" customHeight="1" x14ac:dyDescent="0.25">
      <c r="A5" s="775"/>
      <c r="B5" s="775"/>
      <c r="C5" s="775"/>
      <c r="D5" s="775"/>
      <c r="E5" s="775"/>
      <c r="F5" s="775"/>
      <c r="G5" s="775"/>
      <c r="H5" s="79"/>
    </row>
    <row r="6" spans="1:20" ht="9.9499999999999993" customHeight="1" x14ac:dyDescent="0.25">
      <c r="A6" s="80"/>
      <c r="B6" s="80"/>
      <c r="C6" s="80"/>
      <c r="D6" s="80"/>
      <c r="E6" s="80"/>
      <c r="F6" s="80"/>
      <c r="G6" s="80"/>
      <c r="H6" s="80"/>
      <c r="I6" s="91"/>
    </row>
    <row r="7" spans="1:20" s="91" customFormat="1" ht="20.25" customHeight="1" x14ac:dyDescent="0.25">
      <c r="A7" s="776" t="s">
        <v>135</v>
      </c>
      <c r="B7" s="92"/>
      <c r="C7" s="779" t="s">
        <v>136</v>
      </c>
      <c r="D7" s="780"/>
      <c r="E7" s="780"/>
      <c r="F7" s="780"/>
      <c r="G7" s="780"/>
      <c r="H7" s="780"/>
      <c r="I7" s="780"/>
      <c r="J7" s="781"/>
      <c r="K7" s="81"/>
      <c r="L7" s="81"/>
      <c r="M7" s="81"/>
      <c r="N7" s="81"/>
      <c r="O7" s="81"/>
      <c r="P7" s="81"/>
      <c r="Q7" s="81"/>
      <c r="R7" s="81"/>
      <c r="S7" s="81"/>
      <c r="T7" s="81"/>
    </row>
    <row r="8" spans="1:20" s="91" customFormat="1" ht="17.25" customHeight="1" x14ac:dyDescent="0.25">
      <c r="A8" s="777"/>
      <c r="B8" s="93" t="s">
        <v>127</v>
      </c>
      <c r="C8" s="782" t="s">
        <v>137</v>
      </c>
      <c r="D8" s="783"/>
      <c r="E8" s="783"/>
      <c r="F8" s="783"/>
      <c r="G8" s="783"/>
      <c r="H8" s="783"/>
      <c r="I8" s="783"/>
      <c r="J8" s="784"/>
      <c r="K8" s="81"/>
      <c r="L8" s="81"/>
      <c r="M8" s="81"/>
      <c r="N8" s="81"/>
      <c r="O8" s="81"/>
      <c r="P8" s="81"/>
      <c r="Q8" s="81"/>
      <c r="R8" s="81"/>
      <c r="S8" s="81"/>
      <c r="T8" s="81"/>
    </row>
    <row r="9" spans="1:20" ht="31.5" customHeight="1" x14ac:dyDescent="0.25">
      <c r="A9" s="778"/>
      <c r="B9" s="94"/>
      <c r="C9" s="82">
        <v>2013</v>
      </c>
      <c r="D9" s="83" t="s">
        <v>124</v>
      </c>
      <c r="E9" s="82">
        <v>2014</v>
      </c>
      <c r="F9" s="83" t="s">
        <v>124</v>
      </c>
      <c r="G9" s="84">
        <v>2015</v>
      </c>
      <c r="H9" s="85" t="s">
        <v>124</v>
      </c>
      <c r="I9" s="86">
        <v>2016</v>
      </c>
      <c r="J9" s="85" t="s">
        <v>124</v>
      </c>
    </row>
    <row r="10" spans="1:20" ht="24.95" customHeight="1" x14ac:dyDescent="0.25">
      <c r="A10" s="95"/>
      <c r="B10" s="91" t="s">
        <v>138</v>
      </c>
      <c r="C10" s="96"/>
      <c r="D10" s="97"/>
      <c r="E10" s="96"/>
      <c r="F10" s="97"/>
      <c r="G10" s="96"/>
      <c r="H10" s="98"/>
      <c r="I10" s="99"/>
      <c r="J10" s="98"/>
    </row>
    <row r="11" spans="1:20" ht="24.95" customHeight="1" x14ac:dyDescent="0.25">
      <c r="A11" s="100" t="s">
        <v>139</v>
      </c>
      <c r="B11" s="91" t="s">
        <v>140</v>
      </c>
      <c r="C11" s="101">
        <v>1067.0656510968079</v>
      </c>
      <c r="D11" s="102">
        <f>C11/$C$34</f>
        <v>2.4337651532829862E-2</v>
      </c>
      <c r="E11" s="101">
        <v>1074.5268469108396</v>
      </c>
      <c r="F11" s="102">
        <f>E11/$E$34</f>
        <v>2.240918757620915E-2</v>
      </c>
      <c r="G11" s="101">
        <v>1126.6627371317356</v>
      </c>
      <c r="H11" s="102">
        <f>G11/$G$34</f>
        <v>2.1562554724873034E-2</v>
      </c>
      <c r="I11" s="103">
        <v>1122.5090000000002</v>
      </c>
      <c r="J11" s="102">
        <f>I11/$I$34</f>
        <v>2.0223448742228953E-2</v>
      </c>
      <c r="K11" s="104"/>
      <c r="L11" s="104"/>
      <c r="M11" s="105"/>
      <c r="N11" s="105"/>
      <c r="O11" s="105"/>
      <c r="P11" s="105"/>
      <c r="Q11" s="105"/>
    </row>
    <row r="12" spans="1:20" ht="24.95" customHeight="1" x14ac:dyDescent="0.25">
      <c r="A12" s="100" t="s">
        <v>101</v>
      </c>
      <c r="B12" s="91" t="s">
        <v>141</v>
      </c>
      <c r="C12" s="101">
        <v>275.62193855965364</v>
      </c>
      <c r="D12" s="102">
        <f t="shared" ref="D12:D33" si="0">C12/$C$34</f>
        <v>6.2863898660526938E-3</v>
      </c>
      <c r="E12" s="101">
        <v>348.16034832115031</v>
      </c>
      <c r="F12" s="102">
        <f>E12/$E$34</f>
        <v>7.2608614429289856E-3</v>
      </c>
      <c r="G12" s="101">
        <v>350.33856970538068</v>
      </c>
      <c r="H12" s="102">
        <f t="shared" ref="H12:H33" si="1">G12/$G$34</f>
        <v>6.7049298184277649E-3</v>
      </c>
      <c r="I12" s="103">
        <v>318.762</v>
      </c>
      <c r="J12" s="102">
        <f t="shared" ref="J12:J33" si="2">I12/$I$34</f>
        <v>5.7429089370066378E-3</v>
      </c>
      <c r="K12" s="104"/>
      <c r="L12" s="104"/>
      <c r="M12" s="105"/>
      <c r="N12" s="105"/>
      <c r="O12" s="105"/>
      <c r="P12" s="105"/>
      <c r="Q12" s="105"/>
    </row>
    <row r="13" spans="1:20" ht="24.95" customHeight="1" x14ac:dyDescent="0.25">
      <c r="A13" s="100" t="s">
        <v>142</v>
      </c>
      <c r="B13" s="91" t="s">
        <v>143</v>
      </c>
      <c r="C13" s="101">
        <v>800.55541408639692</v>
      </c>
      <c r="D13" s="102">
        <f t="shared" si="0"/>
        <v>1.825908151080333E-2</v>
      </c>
      <c r="E13" s="101">
        <v>924.62546596093534</v>
      </c>
      <c r="F13" s="102">
        <f t="shared" ref="F13:F33" si="3">E13/$E$34</f>
        <v>1.9283004016164586E-2</v>
      </c>
      <c r="G13" s="101">
        <v>1084.1513373310136</v>
      </c>
      <c r="H13" s="102">
        <f t="shared" si="1"/>
        <v>2.0748953320989163E-2</v>
      </c>
      <c r="I13" s="103">
        <v>1197.463984</v>
      </c>
      <c r="J13" s="102">
        <f t="shared" si="2"/>
        <v>2.1573859542408359E-2</v>
      </c>
      <c r="K13" s="104"/>
      <c r="L13" s="104"/>
      <c r="M13" s="105"/>
      <c r="N13" s="105"/>
      <c r="O13" s="105"/>
      <c r="P13" s="105"/>
      <c r="Q13" s="105"/>
    </row>
    <row r="14" spans="1:20" ht="24.95" customHeight="1" x14ac:dyDescent="0.25">
      <c r="A14" s="100" t="s">
        <v>144</v>
      </c>
      <c r="B14" s="91" t="s">
        <v>145</v>
      </c>
      <c r="C14" s="101">
        <v>3023.8955150682359</v>
      </c>
      <c r="D14" s="102">
        <f t="shared" si="0"/>
        <v>6.8969060377655295E-2</v>
      </c>
      <c r="E14" s="101">
        <v>3297.6677074031281</v>
      </c>
      <c r="F14" s="102">
        <f t="shared" si="3"/>
        <v>6.8772645775816599E-2</v>
      </c>
      <c r="G14" s="101">
        <v>3696.6136837067284</v>
      </c>
      <c r="H14" s="102">
        <f t="shared" si="1"/>
        <v>7.0747378274498549E-2</v>
      </c>
      <c r="I14" s="103">
        <v>3679.330675601957</v>
      </c>
      <c r="J14" s="102">
        <f t="shared" si="2"/>
        <v>6.6287891966787596E-2</v>
      </c>
      <c r="K14" s="104"/>
      <c r="L14" s="104"/>
      <c r="M14" s="105"/>
      <c r="N14" s="105"/>
      <c r="O14" s="105"/>
      <c r="P14" s="105"/>
      <c r="Q14" s="105"/>
    </row>
    <row r="15" spans="1:20" ht="24.95" customHeight="1" x14ac:dyDescent="0.25">
      <c r="A15" s="100" t="s">
        <v>146</v>
      </c>
      <c r="B15" s="91" t="s">
        <v>147</v>
      </c>
      <c r="C15" s="101">
        <v>989.69752599786193</v>
      </c>
      <c r="D15" s="102">
        <f t="shared" si="0"/>
        <v>2.2573038018683763E-2</v>
      </c>
      <c r="E15" s="101">
        <v>863.3154370484599</v>
      </c>
      <c r="F15" s="102">
        <f t="shared" si="3"/>
        <v>1.8004387346741833E-2</v>
      </c>
      <c r="G15" s="101">
        <v>832.59665421080445</v>
      </c>
      <c r="H15" s="102">
        <f t="shared" si="1"/>
        <v>1.5934591895593604E-2</v>
      </c>
      <c r="I15" s="103">
        <v>904.81399999999996</v>
      </c>
      <c r="J15" s="102">
        <f t="shared" si="2"/>
        <v>1.6301392283047302E-2</v>
      </c>
      <c r="K15" s="104"/>
      <c r="L15" s="104"/>
      <c r="M15" s="105"/>
      <c r="N15" s="105"/>
      <c r="O15" s="105"/>
      <c r="P15" s="105"/>
      <c r="Q15" s="105"/>
    </row>
    <row r="16" spans="1:20" ht="24.95" customHeight="1" x14ac:dyDescent="0.25">
      <c r="A16" s="100" t="s">
        <v>148</v>
      </c>
      <c r="B16" s="91" t="s">
        <v>149</v>
      </c>
      <c r="C16" s="101">
        <v>6157.1213885418883</v>
      </c>
      <c r="D16" s="102">
        <f t="shared" si="0"/>
        <v>0.14043172943074253</v>
      </c>
      <c r="E16" s="101">
        <v>7566.2892210604077</v>
      </c>
      <c r="F16" s="102">
        <f t="shared" si="3"/>
        <v>0.15779447009448347</v>
      </c>
      <c r="G16" s="101">
        <v>8668.9163482605218</v>
      </c>
      <c r="H16" s="102">
        <f t="shared" si="1"/>
        <v>0.16590943944821157</v>
      </c>
      <c r="I16" s="103">
        <v>9615.1233499999998</v>
      </c>
      <c r="J16" s="102">
        <f t="shared" si="2"/>
        <v>0.17322885983001801</v>
      </c>
      <c r="K16" s="104"/>
      <c r="L16" s="104"/>
      <c r="M16" s="105"/>
      <c r="N16" s="105"/>
      <c r="O16" s="105"/>
      <c r="P16" s="105"/>
      <c r="Q16" s="105"/>
    </row>
    <row r="17" spans="1:17" ht="24.95" customHeight="1" x14ac:dyDescent="0.25">
      <c r="A17" s="125" t="s">
        <v>150</v>
      </c>
      <c r="B17" s="126" t="s">
        <v>151</v>
      </c>
      <c r="C17" s="127">
        <v>9714.4225072005484</v>
      </c>
      <c r="D17" s="128">
        <f t="shared" si="0"/>
        <v>0.22156671389422969</v>
      </c>
      <c r="E17" s="127">
        <v>10235.575098995816</v>
      </c>
      <c r="F17" s="128">
        <f t="shared" si="3"/>
        <v>0.21346225364512011</v>
      </c>
      <c r="G17" s="127">
        <v>10616.943625986756</v>
      </c>
      <c r="H17" s="128">
        <f t="shared" si="1"/>
        <v>0.20319162106047695</v>
      </c>
      <c r="I17" s="129">
        <v>11019.455189999999</v>
      </c>
      <c r="J17" s="128">
        <f t="shared" si="2"/>
        <v>0.1985297108551056</v>
      </c>
      <c r="K17" s="104"/>
      <c r="L17" s="104"/>
      <c r="M17" s="105"/>
      <c r="N17" s="105"/>
      <c r="O17" s="105"/>
      <c r="P17" s="105"/>
      <c r="Q17" s="105"/>
    </row>
    <row r="18" spans="1:17" ht="24.95" customHeight="1" x14ac:dyDescent="0.25">
      <c r="A18" s="100" t="s">
        <v>152</v>
      </c>
      <c r="B18" s="91" t="s">
        <v>153</v>
      </c>
      <c r="C18" s="101">
        <v>1610.2098762194482</v>
      </c>
      <c r="D18" s="102">
        <f t="shared" si="0"/>
        <v>3.6725694264330415E-2</v>
      </c>
      <c r="E18" s="101">
        <v>1831.1290472792646</v>
      </c>
      <c r="F18" s="102">
        <f t="shared" si="3"/>
        <v>3.8188077305555734E-2</v>
      </c>
      <c r="G18" s="101">
        <v>2138.6529203659711</v>
      </c>
      <c r="H18" s="102">
        <f t="shared" si="1"/>
        <v>4.0930456926533451E-2</v>
      </c>
      <c r="I18" s="103">
        <v>2308.3609999999999</v>
      </c>
      <c r="J18" s="102">
        <f t="shared" si="2"/>
        <v>4.1588103402342744E-2</v>
      </c>
      <c r="K18" s="104"/>
      <c r="L18" s="104"/>
      <c r="M18" s="105"/>
      <c r="N18" s="105"/>
      <c r="O18" s="105"/>
      <c r="P18" s="105"/>
      <c r="Q18" s="105"/>
    </row>
    <row r="19" spans="1:17" ht="24.95" customHeight="1" x14ac:dyDescent="0.25">
      <c r="A19" s="100" t="s">
        <v>154</v>
      </c>
      <c r="B19" s="91" t="s">
        <v>155</v>
      </c>
      <c r="C19" s="101">
        <v>5649.0912286315743</v>
      </c>
      <c r="D19" s="102">
        <f t="shared" si="0"/>
        <v>0.12884456889628415</v>
      </c>
      <c r="E19" s="101">
        <v>5887.385557439793</v>
      </c>
      <c r="F19" s="102">
        <f t="shared" si="3"/>
        <v>0.12278104327446385</v>
      </c>
      <c r="G19" s="101">
        <v>6389.2376894934423</v>
      </c>
      <c r="H19" s="102">
        <f t="shared" si="1"/>
        <v>0.1222799714497126</v>
      </c>
      <c r="I19" s="103">
        <v>6577.1859999999979</v>
      </c>
      <c r="J19" s="102">
        <f t="shared" si="2"/>
        <v>0.11849649663308338</v>
      </c>
      <c r="K19" s="104"/>
      <c r="L19" s="104"/>
      <c r="M19" s="105"/>
      <c r="N19" s="105"/>
      <c r="O19" s="105"/>
      <c r="P19" s="105"/>
      <c r="Q19" s="105"/>
    </row>
    <row r="20" spans="1:17" ht="24.95" customHeight="1" x14ac:dyDescent="0.25">
      <c r="A20" s="100" t="s">
        <v>156</v>
      </c>
      <c r="B20" s="91" t="s">
        <v>157</v>
      </c>
      <c r="C20" s="101">
        <v>2914.9529272244554</v>
      </c>
      <c r="D20" s="102">
        <f t="shared" si="0"/>
        <v>6.6484295979793426E-2</v>
      </c>
      <c r="E20" s="101">
        <v>3150.4479761126317</v>
      </c>
      <c r="F20" s="102">
        <f t="shared" si="3"/>
        <v>6.5702387845181967E-2</v>
      </c>
      <c r="G20" s="101">
        <v>3409.8769934129314</v>
      </c>
      <c r="H20" s="102">
        <f t="shared" si="1"/>
        <v>6.5259688505127894E-2</v>
      </c>
      <c r="I20" s="103">
        <v>3674.6521000000002</v>
      </c>
      <c r="J20" s="102">
        <f t="shared" si="2"/>
        <v>6.6203601387493524E-2</v>
      </c>
      <c r="K20" s="104"/>
      <c r="L20" s="104"/>
      <c r="M20" s="105"/>
      <c r="N20" s="105"/>
      <c r="O20" s="105"/>
      <c r="P20" s="105"/>
      <c r="Q20" s="105"/>
    </row>
    <row r="21" spans="1:17" ht="24.95" customHeight="1" x14ac:dyDescent="0.25">
      <c r="A21" s="100" t="s">
        <v>158</v>
      </c>
      <c r="B21" s="91" t="s">
        <v>159</v>
      </c>
      <c r="C21" s="101">
        <v>3440.2408258783439</v>
      </c>
      <c r="D21" s="102">
        <f t="shared" si="0"/>
        <v>7.8465071313260665E-2</v>
      </c>
      <c r="E21" s="101">
        <v>3792.0204181933527</v>
      </c>
      <c r="F21" s="102">
        <f t="shared" si="3"/>
        <v>7.9082339439361549E-2</v>
      </c>
      <c r="G21" s="101">
        <v>4081.339913261434</v>
      </c>
      <c r="H21" s="102">
        <f t="shared" si="1"/>
        <v>7.8110433877088728E-2</v>
      </c>
      <c r="I21" s="103">
        <v>4330.9949999999999</v>
      </c>
      <c r="J21" s="102">
        <f t="shared" si="2"/>
        <v>7.8028466039336747E-2</v>
      </c>
      <c r="K21" s="104"/>
      <c r="L21" s="104"/>
      <c r="M21" s="105"/>
      <c r="N21" s="105"/>
      <c r="O21" s="105"/>
      <c r="P21" s="105"/>
      <c r="Q21" s="105"/>
    </row>
    <row r="22" spans="1:17" ht="24.95" customHeight="1" x14ac:dyDescent="0.25">
      <c r="A22" s="100" t="s">
        <v>160</v>
      </c>
      <c r="B22" s="91" t="s">
        <v>161</v>
      </c>
      <c r="C22" s="101">
        <v>388.52437790708211</v>
      </c>
      <c r="D22" s="102">
        <f t="shared" si="0"/>
        <v>8.8614706244107243E-3</v>
      </c>
      <c r="E22" s="101">
        <v>428.19824387647884</v>
      </c>
      <c r="F22" s="102">
        <f t="shared" si="3"/>
        <v>8.9300465543673581E-3</v>
      </c>
      <c r="G22" s="101">
        <v>470.6451568742491</v>
      </c>
      <c r="H22" s="102">
        <f t="shared" si="1"/>
        <v>9.0074088870047125E-3</v>
      </c>
      <c r="I22" s="103">
        <v>539.72800000000007</v>
      </c>
      <c r="J22" s="102">
        <f t="shared" si="2"/>
        <v>9.723896683898078E-3</v>
      </c>
      <c r="K22" s="104"/>
      <c r="L22" s="104"/>
      <c r="M22" s="105"/>
      <c r="N22" s="105"/>
      <c r="O22" s="105"/>
      <c r="P22" s="105"/>
      <c r="Q22" s="105"/>
    </row>
    <row r="23" spans="1:17" ht="24.95" customHeight="1" x14ac:dyDescent="0.25">
      <c r="A23" s="100" t="s">
        <v>162</v>
      </c>
      <c r="B23" s="91" t="s">
        <v>163</v>
      </c>
      <c r="C23" s="101">
        <v>436.60561467253711</v>
      </c>
      <c r="D23" s="102">
        <f t="shared" si="0"/>
        <v>9.9581082909519815E-3</v>
      </c>
      <c r="E23" s="101">
        <v>478.74631189259418</v>
      </c>
      <c r="F23" s="102">
        <f t="shared" si="3"/>
        <v>9.984223228542255E-3</v>
      </c>
      <c r="G23" s="101">
        <v>543.14709869485318</v>
      </c>
      <c r="H23" s="102">
        <f t="shared" si="1"/>
        <v>1.0394982147966785E-2</v>
      </c>
      <c r="I23" s="103">
        <v>573.66100000000006</v>
      </c>
      <c r="J23" s="102">
        <f t="shared" si="2"/>
        <v>1.0335243484832462E-2</v>
      </c>
      <c r="K23" s="104"/>
      <c r="L23" s="104"/>
      <c r="M23" s="105"/>
      <c r="N23" s="105"/>
      <c r="O23" s="105"/>
      <c r="P23" s="105"/>
      <c r="Q23" s="105"/>
    </row>
    <row r="24" spans="1:17" ht="36.75" customHeight="1" x14ac:dyDescent="0.25">
      <c r="A24" s="106" t="s">
        <v>164</v>
      </c>
      <c r="B24" s="107" t="s">
        <v>165</v>
      </c>
      <c r="C24" s="108">
        <v>633.7633102389857</v>
      </c>
      <c r="D24" s="102">
        <f t="shared" si="0"/>
        <v>1.4454884367269199E-2</v>
      </c>
      <c r="E24" s="108">
        <v>678.1434080250765</v>
      </c>
      <c r="F24" s="102">
        <f t="shared" si="3"/>
        <v>1.4142636712793682E-2</v>
      </c>
      <c r="G24" s="109">
        <v>719.57234203223072</v>
      </c>
      <c r="H24" s="102">
        <f t="shared" si="1"/>
        <v>1.3771484129381334E-2</v>
      </c>
      <c r="I24" s="110">
        <v>740.23799999999994</v>
      </c>
      <c r="J24" s="102">
        <f t="shared" si="2"/>
        <v>1.3336343183039129E-2</v>
      </c>
      <c r="K24" s="104"/>
      <c r="L24" s="104"/>
      <c r="M24" s="105"/>
      <c r="N24" s="105"/>
      <c r="O24" s="105"/>
      <c r="P24" s="105"/>
      <c r="Q24" s="105"/>
    </row>
    <row r="25" spans="1:17" ht="24.95" customHeight="1" x14ac:dyDescent="0.25">
      <c r="A25" s="111"/>
      <c r="B25" s="112" t="s">
        <v>166</v>
      </c>
      <c r="C25" s="101"/>
      <c r="D25" s="102" t="s">
        <v>129</v>
      </c>
      <c r="E25" s="101"/>
      <c r="F25" s="102">
        <f t="shared" si="3"/>
        <v>0</v>
      </c>
      <c r="G25" s="103"/>
      <c r="H25" s="102" t="s">
        <v>129</v>
      </c>
      <c r="I25" s="103"/>
      <c r="J25" s="102">
        <f t="shared" si="2"/>
        <v>0</v>
      </c>
      <c r="K25" s="104"/>
      <c r="L25" s="104"/>
      <c r="M25" s="105"/>
      <c r="N25" s="105"/>
      <c r="O25" s="105"/>
      <c r="P25" s="105"/>
      <c r="Q25" s="105"/>
    </row>
    <row r="26" spans="1:17" ht="24.95" customHeight="1" x14ac:dyDescent="0.25">
      <c r="A26" s="111" t="s">
        <v>148</v>
      </c>
      <c r="B26" s="112" t="s">
        <v>149</v>
      </c>
      <c r="C26" s="101">
        <v>491.41808395723211</v>
      </c>
      <c r="D26" s="102">
        <f t="shared" si="0"/>
        <v>1.1208272023364938E-2</v>
      </c>
      <c r="E26" s="101">
        <v>644.46313666165702</v>
      </c>
      <c r="F26" s="102">
        <f t="shared" si="3"/>
        <v>1.3440236841845535E-2</v>
      </c>
      <c r="G26" s="101">
        <v>819.05703981786314</v>
      </c>
      <c r="H26" s="102">
        <f t="shared" si="1"/>
        <v>1.5675464947768277E-2</v>
      </c>
      <c r="I26" s="103">
        <v>902.04</v>
      </c>
      <c r="J26" s="102">
        <f t="shared" si="2"/>
        <v>1.6251415091941532E-2</v>
      </c>
      <c r="K26" s="104"/>
      <c r="L26" s="104"/>
      <c r="M26" s="105"/>
      <c r="N26" s="105"/>
      <c r="O26" s="105"/>
      <c r="P26" s="105"/>
      <c r="Q26" s="105"/>
    </row>
    <row r="27" spans="1:17" ht="24.95" customHeight="1" x14ac:dyDescent="0.25">
      <c r="A27" s="111" t="s">
        <v>158</v>
      </c>
      <c r="B27" s="112" t="s">
        <v>167</v>
      </c>
      <c r="C27" s="101">
        <v>2783.6986276806351</v>
      </c>
      <c r="D27" s="102">
        <f t="shared" si="0"/>
        <v>6.349064568170755E-2</v>
      </c>
      <c r="E27" s="101">
        <v>3035.8654682752576</v>
      </c>
      <c r="F27" s="102">
        <f t="shared" si="3"/>
        <v>6.3312777089097036E-2</v>
      </c>
      <c r="G27" s="101">
        <v>3150.7338726419712</v>
      </c>
      <c r="H27" s="102">
        <f t="shared" si="1"/>
        <v>6.0300096305048893E-2</v>
      </c>
      <c r="I27" s="103">
        <v>3314.9079999999999</v>
      </c>
      <c r="J27" s="102">
        <f t="shared" si="2"/>
        <v>5.972234701299025E-2</v>
      </c>
      <c r="K27" s="104"/>
      <c r="L27" s="104"/>
      <c r="M27" s="105"/>
      <c r="N27" s="105"/>
      <c r="O27" s="105"/>
      <c r="P27" s="105"/>
      <c r="Q27" s="105"/>
    </row>
    <row r="28" spans="1:17" ht="24.95" customHeight="1" x14ac:dyDescent="0.25">
      <c r="A28" s="113" t="s">
        <v>102</v>
      </c>
      <c r="B28" s="114" t="s">
        <v>168</v>
      </c>
      <c r="C28" s="108">
        <v>214.67340113697273</v>
      </c>
      <c r="D28" s="102">
        <f t="shared" si="0"/>
        <v>4.8962745871060243E-3</v>
      </c>
      <c r="E28" s="108">
        <v>235.85371589559622</v>
      </c>
      <c r="F28" s="102">
        <f t="shared" si="3"/>
        <v>4.9187139206852337E-3</v>
      </c>
      <c r="G28" s="108">
        <v>234.38288658343654</v>
      </c>
      <c r="H28" s="102">
        <f t="shared" si="1"/>
        <v>4.4857202177426151E-3</v>
      </c>
      <c r="I28" s="110">
        <v>236.524</v>
      </c>
      <c r="J28" s="102">
        <f t="shared" si="2"/>
        <v>4.261285201550241E-3</v>
      </c>
      <c r="K28" s="104"/>
      <c r="L28" s="104"/>
      <c r="M28" s="105"/>
      <c r="N28" s="105"/>
      <c r="O28" s="105"/>
      <c r="P28" s="105"/>
      <c r="Q28" s="105"/>
    </row>
    <row r="29" spans="1:17" ht="24.95" customHeight="1" x14ac:dyDescent="0.25">
      <c r="A29" s="115"/>
      <c r="B29" s="112" t="s">
        <v>169</v>
      </c>
      <c r="C29" s="101"/>
      <c r="D29" s="102">
        <f t="shared" si="0"/>
        <v>0</v>
      </c>
      <c r="E29" s="101"/>
      <c r="F29" s="102">
        <f t="shared" si="3"/>
        <v>0</v>
      </c>
      <c r="G29" s="103"/>
      <c r="H29" s="102">
        <f t="shared" si="1"/>
        <v>0</v>
      </c>
      <c r="I29" s="103"/>
      <c r="J29" s="102"/>
      <c r="K29" s="104"/>
      <c r="L29" s="104"/>
      <c r="M29" s="105"/>
      <c r="N29" s="105"/>
      <c r="O29" s="105"/>
      <c r="P29" s="105"/>
      <c r="Q29" s="105"/>
    </row>
    <row r="30" spans="1:17" ht="34.5" customHeight="1" x14ac:dyDescent="0.25">
      <c r="A30" s="111" t="s">
        <v>170</v>
      </c>
      <c r="B30" s="116" t="s">
        <v>171</v>
      </c>
      <c r="C30" s="101">
        <v>1581.3692236347426</v>
      </c>
      <c r="D30" s="102">
        <f t="shared" si="0"/>
        <v>3.6067896169279287E-2</v>
      </c>
      <c r="E30" s="101">
        <v>1642.1645110727993</v>
      </c>
      <c r="F30" s="102">
        <f t="shared" si="3"/>
        <v>3.4247234180718095E-2</v>
      </c>
      <c r="G30" s="101">
        <v>1870.4349904214084</v>
      </c>
      <c r="H30" s="102">
        <f t="shared" si="1"/>
        <v>3.5797187136014444E-2</v>
      </c>
      <c r="I30" s="103">
        <v>2155.3203396831277</v>
      </c>
      <c r="J30" s="102">
        <f t="shared" si="2"/>
        <v>3.8830878338316409E-2</v>
      </c>
      <c r="K30" s="104"/>
      <c r="L30" s="104"/>
      <c r="M30" s="105"/>
      <c r="N30" s="105"/>
      <c r="O30" s="105"/>
      <c r="P30" s="105"/>
      <c r="Q30" s="105"/>
    </row>
    <row r="31" spans="1:17" ht="24.95" customHeight="1" x14ac:dyDescent="0.25">
      <c r="A31" s="111" t="s">
        <v>160</v>
      </c>
      <c r="B31" s="112" t="s">
        <v>172</v>
      </c>
      <c r="C31" s="101">
        <v>888.70742360235988</v>
      </c>
      <c r="D31" s="102">
        <f t="shared" si="0"/>
        <v>2.0269654044286156E-2</v>
      </c>
      <c r="E31" s="101">
        <v>1006.863691747664</v>
      </c>
      <c r="F31" s="102">
        <f t="shared" si="3"/>
        <v>2.0998076871614944E-2</v>
      </c>
      <c r="G31" s="101">
        <v>1157.8145706631958</v>
      </c>
      <c r="H31" s="102">
        <f t="shared" si="1"/>
        <v>2.215875187701485E-2</v>
      </c>
      <c r="I31" s="103">
        <v>1306.3890446381299</v>
      </c>
      <c r="J31" s="102">
        <f t="shared" si="2"/>
        <v>2.3536285127022293E-2</v>
      </c>
      <c r="K31" s="104"/>
      <c r="L31" s="104"/>
      <c r="M31" s="105"/>
      <c r="N31" s="105"/>
      <c r="O31" s="105"/>
      <c r="P31" s="105"/>
      <c r="Q31" s="105"/>
    </row>
    <row r="32" spans="1:17" ht="23.25" customHeight="1" x14ac:dyDescent="0.25">
      <c r="A32" s="111" t="s">
        <v>162</v>
      </c>
      <c r="B32" s="112" t="s">
        <v>173</v>
      </c>
      <c r="C32" s="101">
        <v>715.41105645808057</v>
      </c>
      <c r="D32" s="102">
        <f t="shared" si="0"/>
        <v>1.6317107552767447E-2</v>
      </c>
      <c r="E32" s="101">
        <v>764.53792116399745</v>
      </c>
      <c r="F32" s="102">
        <f t="shared" si="3"/>
        <v>1.5944388670924133E-2</v>
      </c>
      <c r="G32" s="101">
        <v>816.767289245141</v>
      </c>
      <c r="H32" s="102">
        <f t="shared" si="1"/>
        <v>1.563164271916034E-2</v>
      </c>
      <c r="I32" s="103">
        <v>913.23776705480896</v>
      </c>
      <c r="J32" s="102">
        <f t="shared" si="2"/>
        <v>1.645315732123355E-2</v>
      </c>
      <c r="K32" s="104"/>
      <c r="L32" s="104"/>
      <c r="M32" s="105"/>
      <c r="N32" s="105"/>
      <c r="O32" s="105"/>
      <c r="P32" s="105"/>
      <c r="Q32" s="105"/>
    </row>
    <row r="33" spans="1:17" ht="32.25" customHeight="1" x14ac:dyDescent="0.25">
      <c r="A33" s="111" t="s">
        <v>164</v>
      </c>
      <c r="B33" s="116" t="s">
        <v>174</v>
      </c>
      <c r="C33" s="101">
        <v>67.186532383512784</v>
      </c>
      <c r="D33" s="102">
        <f t="shared" si="0"/>
        <v>1.5323915741907576E-3</v>
      </c>
      <c r="E33" s="101">
        <v>64.301718787459933</v>
      </c>
      <c r="F33" s="102">
        <f t="shared" si="3"/>
        <v>1.3410081673840266E-3</v>
      </c>
      <c r="G33" s="101">
        <v>73.007159382443106</v>
      </c>
      <c r="H33" s="102">
        <f t="shared" si="1"/>
        <v>1.397242331364502E-3</v>
      </c>
      <c r="I33" s="103">
        <v>74.621848623932379</v>
      </c>
      <c r="J33" s="102">
        <f t="shared" si="2"/>
        <v>1.3444089363171825E-3</v>
      </c>
      <c r="K33" s="104"/>
      <c r="L33" s="104"/>
      <c r="M33" s="105"/>
      <c r="N33" s="105"/>
      <c r="O33" s="105"/>
      <c r="P33" s="105"/>
      <c r="Q33" s="105"/>
    </row>
    <row r="34" spans="1:17" ht="27.75" customHeight="1" x14ac:dyDescent="0.25">
      <c r="A34" s="117"/>
      <c r="B34" s="118" t="s">
        <v>175</v>
      </c>
      <c r="C34" s="119">
        <v>43844.232450177362</v>
      </c>
      <c r="D34" s="120"/>
      <c r="E34" s="121">
        <v>47950.281252124354</v>
      </c>
      <c r="F34" s="120"/>
      <c r="G34" s="121">
        <v>52250.892879223509</v>
      </c>
      <c r="H34" s="122" t="s">
        <v>129</v>
      </c>
      <c r="I34" s="123">
        <v>55505.320299601954</v>
      </c>
      <c r="J34" s="124" t="s">
        <v>129</v>
      </c>
      <c r="K34" s="104"/>
      <c r="L34" s="104"/>
      <c r="M34" s="105"/>
      <c r="N34" s="105"/>
      <c r="O34" s="105"/>
      <c r="P34" s="105"/>
      <c r="Q34" s="105"/>
    </row>
  </sheetData>
  <mergeCells count="4">
    <mergeCell ref="A5:G5"/>
    <mergeCell ref="A7:A9"/>
    <mergeCell ref="C7:J7"/>
    <mergeCell ref="C8:J8"/>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A1CA2-F546-486B-9F7F-962AB55DD90A}">
  <dimension ref="A1:P25"/>
  <sheetViews>
    <sheetView showGridLines="0" workbookViewId="0">
      <selection activeCell="M19" sqref="M19"/>
    </sheetView>
  </sheetViews>
  <sheetFormatPr defaultColWidth="18.7109375" defaultRowHeight="15" x14ac:dyDescent="0.25"/>
  <cols>
    <col min="1" max="1" width="36.140625" bestFit="1" customWidth="1"/>
    <col min="2" max="2" width="11.85546875" bestFit="1" customWidth="1"/>
    <col min="3" max="3" width="10.7109375" customWidth="1"/>
    <col min="4" max="4" width="11.7109375" customWidth="1"/>
    <col min="5" max="5" width="10.7109375" customWidth="1"/>
    <col min="6" max="6" width="11.85546875" bestFit="1" customWidth="1"/>
    <col min="7" max="7" width="10.7109375" customWidth="1"/>
    <col min="8" max="8" width="11.85546875" bestFit="1" customWidth="1"/>
    <col min="9" max="10" width="10.7109375" customWidth="1"/>
  </cols>
  <sheetData>
    <row r="1" spans="1:16" x14ac:dyDescent="0.25">
      <c r="A1" s="5" t="s">
        <v>0</v>
      </c>
    </row>
    <row r="2" spans="1:16" x14ac:dyDescent="0.25">
      <c r="A2" s="1" t="s">
        <v>180</v>
      </c>
    </row>
    <row r="3" spans="1:16" x14ac:dyDescent="0.25">
      <c r="A3" s="1" t="s">
        <v>602</v>
      </c>
    </row>
    <row r="6" spans="1:16" x14ac:dyDescent="0.25">
      <c r="A6" s="138" t="s">
        <v>129</v>
      </c>
      <c r="B6" s="169">
        <v>2013</v>
      </c>
      <c r="C6" s="170" t="s">
        <v>131</v>
      </c>
      <c r="D6" s="169">
        <v>2014</v>
      </c>
      <c r="E6" s="170" t="s">
        <v>131</v>
      </c>
      <c r="F6" s="169">
        <v>2015</v>
      </c>
      <c r="G6" s="170" t="s">
        <v>131</v>
      </c>
      <c r="H6" s="169">
        <v>2016</v>
      </c>
      <c r="I6" s="172" t="s">
        <v>131</v>
      </c>
      <c r="J6" s="173" t="s">
        <v>641</v>
      </c>
    </row>
    <row r="7" spans="1:16" x14ac:dyDescent="0.25">
      <c r="A7" s="149" t="s">
        <v>132</v>
      </c>
      <c r="B7" s="21">
        <f>'Estado de Resultados'!B6</f>
        <v>109918725</v>
      </c>
      <c r="C7" s="153">
        <f>(D7-B7)/B7</f>
        <v>9.1152212691695614E-2</v>
      </c>
      <c r="D7" s="21">
        <f>'Estado de Resultados'!D6</f>
        <v>119938060</v>
      </c>
      <c r="E7" s="153">
        <f>(F7-D7)/D7</f>
        <v>4.5788267710850081E-2</v>
      </c>
      <c r="F7" s="21">
        <f>'Estado de Resultados'!F6</f>
        <v>125429816</v>
      </c>
      <c r="G7" s="153">
        <f>(H7-F7)/F7</f>
        <v>-0.15311379393237728</v>
      </c>
      <c r="H7" s="21">
        <f>'Estado de Resultados'!H6</f>
        <v>106224781</v>
      </c>
      <c r="I7" s="153">
        <f>(J7-H7)/H7</f>
        <v>-0.25539158325023986</v>
      </c>
      <c r="J7" s="148">
        <f>'Estado de Resultados'!J6</f>
        <v>79095866</v>
      </c>
    </row>
    <row r="9" spans="1:16" x14ac:dyDescent="0.25">
      <c r="K9" s="23"/>
      <c r="L9" s="23"/>
      <c r="M9" s="23"/>
      <c r="N9" s="23"/>
      <c r="O9" s="161"/>
      <c r="P9" s="161"/>
    </row>
    <row r="10" spans="1:16" x14ac:dyDescent="0.25">
      <c r="A10" s="138" t="s">
        <v>151</v>
      </c>
      <c r="B10" s="169">
        <v>2013</v>
      </c>
      <c r="C10" s="170" t="s">
        <v>131</v>
      </c>
      <c r="D10" s="169">
        <v>2014</v>
      </c>
      <c r="E10" s="170" t="s">
        <v>131</v>
      </c>
      <c r="F10" s="169">
        <v>2015</v>
      </c>
      <c r="G10" s="170" t="s">
        <v>131</v>
      </c>
      <c r="H10" s="171">
        <v>2016</v>
      </c>
      <c r="K10" s="140"/>
      <c r="L10" s="140"/>
      <c r="M10" s="140"/>
      <c r="N10" s="140"/>
      <c r="O10" s="161"/>
      <c r="P10" s="161"/>
    </row>
    <row r="11" spans="1:16" x14ac:dyDescent="0.25">
      <c r="A11" s="139" t="s">
        <v>194</v>
      </c>
      <c r="B11" s="140">
        <v>9714.4225072005484</v>
      </c>
      <c r="C11" s="154">
        <f>(D11-B11)/B11</f>
        <v>5.3647305478938929E-2</v>
      </c>
      <c r="D11" s="140">
        <v>10235.575098995816</v>
      </c>
      <c r="E11" s="154">
        <f>(F11-D11)/D11</f>
        <v>3.7259120596785537E-2</v>
      </c>
      <c r="F11" s="140">
        <v>10616.943625986756</v>
      </c>
      <c r="G11" s="154">
        <f>(H11-F11)/F11</f>
        <v>3.7912188120508415E-2</v>
      </c>
      <c r="H11" s="142">
        <v>11019.455189999999</v>
      </c>
      <c r="K11" s="161"/>
      <c r="L11" s="161"/>
      <c r="M11" s="161"/>
      <c r="N11" s="161"/>
      <c r="O11" s="161"/>
      <c r="P11" s="161"/>
    </row>
    <row r="12" spans="1:16" x14ac:dyDescent="0.25">
      <c r="A12" s="143" t="s">
        <v>176</v>
      </c>
      <c r="B12" s="144">
        <v>0.22156671389422969</v>
      </c>
      <c r="C12" s="153">
        <f>(D12-B12)/B12</f>
        <v>-3.6577968353939831E-2</v>
      </c>
      <c r="D12" s="144">
        <v>0.21346225364512011</v>
      </c>
      <c r="E12" s="153">
        <f>(F12-D12)/D12</f>
        <v>-4.8114513967973192E-2</v>
      </c>
      <c r="F12" s="144">
        <v>0.20319162106047695</v>
      </c>
      <c r="G12" s="153">
        <f>(H12-F12)/F12</f>
        <v>-2.2943417553540766E-2</v>
      </c>
      <c r="H12" s="145">
        <v>0.1985297108551056</v>
      </c>
      <c r="K12" s="161"/>
      <c r="L12" s="161"/>
      <c r="M12" s="161"/>
      <c r="N12" s="161"/>
      <c r="O12" s="161"/>
      <c r="P12" s="161"/>
    </row>
    <row r="13" spans="1:16" x14ac:dyDescent="0.25">
      <c r="A13" s="133" t="s">
        <v>184</v>
      </c>
      <c r="B13" s="137">
        <f>AVERAGE(B12,D12,F12,H12)</f>
        <v>0.2091875748637331</v>
      </c>
      <c r="K13" s="161"/>
      <c r="L13" s="161"/>
      <c r="M13" s="161"/>
      <c r="N13" s="161"/>
      <c r="O13" s="161"/>
      <c r="P13" s="161"/>
    </row>
    <row r="14" spans="1:16" x14ac:dyDescent="0.25">
      <c r="K14" s="161"/>
      <c r="L14" s="161"/>
      <c r="M14" s="161"/>
      <c r="N14" s="161"/>
      <c r="O14" s="161"/>
      <c r="P14" s="161"/>
    </row>
    <row r="16" spans="1:16" x14ac:dyDescent="0.25">
      <c r="A16" s="146"/>
      <c r="B16" s="169">
        <v>2013</v>
      </c>
      <c r="C16" s="170" t="s">
        <v>131</v>
      </c>
      <c r="D16" s="169">
        <v>2014</v>
      </c>
      <c r="E16" s="170" t="s">
        <v>131</v>
      </c>
      <c r="F16" s="169">
        <v>2015</v>
      </c>
      <c r="G16" s="170" t="s">
        <v>131</v>
      </c>
      <c r="H16" s="171">
        <v>2016</v>
      </c>
    </row>
    <row r="17" spans="1:9" x14ac:dyDescent="0.25">
      <c r="A17" s="147" t="s">
        <v>195</v>
      </c>
      <c r="B17" s="21">
        <v>43844.232450177362</v>
      </c>
      <c r="C17" s="153">
        <f>(D17-B17)/B17</f>
        <v>9.3650830964207746E-2</v>
      </c>
      <c r="D17" s="21">
        <v>47950.281252124354</v>
      </c>
      <c r="E17" s="153">
        <f>(F17-D17)/D17</f>
        <v>8.9688976055977226E-2</v>
      </c>
      <c r="F17" s="21">
        <v>52250.892879223509</v>
      </c>
      <c r="G17" s="153">
        <f>(H17-F17)/F17</f>
        <v>6.2284627899105251E-2</v>
      </c>
      <c r="H17" s="148">
        <v>55505.320299601954</v>
      </c>
    </row>
    <row r="20" spans="1:9" s="130" customFormat="1" ht="25.9" customHeight="1" x14ac:dyDescent="0.25">
      <c r="A20"/>
      <c r="B20" s="785" t="s">
        <v>179</v>
      </c>
      <c r="C20" s="785"/>
      <c r="D20"/>
      <c r="E20" s="785" t="s">
        <v>179</v>
      </c>
      <c r="F20" s="785"/>
      <c r="H20" s="785" t="s">
        <v>179</v>
      </c>
      <c r="I20" s="785"/>
    </row>
    <row r="21" spans="1:9" ht="45" x14ac:dyDescent="0.25">
      <c r="A21" s="130"/>
      <c r="B21" s="131" t="s">
        <v>177</v>
      </c>
      <c r="C21" s="132" t="s">
        <v>132</v>
      </c>
      <c r="D21" s="130"/>
      <c r="E21" s="132" t="s">
        <v>185</v>
      </c>
      <c r="F21" s="132" t="s">
        <v>132</v>
      </c>
      <c r="H21" s="131" t="s">
        <v>177</v>
      </c>
      <c r="I21" s="132" t="s">
        <v>185</v>
      </c>
    </row>
    <row r="22" spans="1:9" x14ac:dyDescent="0.25">
      <c r="A22" s="135" t="s">
        <v>181</v>
      </c>
      <c r="B22" s="76">
        <v>5.3647305478938929E-2</v>
      </c>
      <c r="C22" s="76">
        <f>C7</f>
        <v>9.1152212691695614E-2</v>
      </c>
      <c r="E22" s="76">
        <v>9.3650830964207746E-2</v>
      </c>
      <c r="F22" s="76">
        <f>C7</f>
        <v>9.1152212691695614E-2</v>
      </c>
      <c r="H22" s="76">
        <v>5.3647305478938929E-2</v>
      </c>
      <c r="I22" s="76">
        <v>9.3650830964207746E-2</v>
      </c>
    </row>
    <row r="23" spans="1:9" x14ac:dyDescent="0.25">
      <c r="A23" s="135" t="s">
        <v>182</v>
      </c>
      <c r="B23" s="76">
        <v>3.7259120596785537E-2</v>
      </c>
      <c r="C23" s="76">
        <f>E7</f>
        <v>4.5788267710850081E-2</v>
      </c>
      <c r="E23" s="76">
        <v>8.9688976055977226E-2</v>
      </c>
      <c r="F23" s="76">
        <f>E7</f>
        <v>4.5788267710850081E-2</v>
      </c>
      <c r="H23" s="76">
        <v>3.7259120596785537E-2</v>
      </c>
      <c r="I23" s="76">
        <v>8.9688976055977226E-2</v>
      </c>
    </row>
    <row r="24" spans="1:9" x14ac:dyDescent="0.25">
      <c r="A24" s="135" t="s">
        <v>183</v>
      </c>
      <c r="B24" s="76">
        <v>3.7912188120508415E-2</v>
      </c>
      <c r="C24" s="76">
        <f>G7</f>
        <v>-0.15311379393237728</v>
      </c>
      <c r="E24" s="76">
        <v>6.2284627899105251E-2</v>
      </c>
      <c r="F24" s="76">
        <f>G7</f>
        <v>-0.15311379393237728</v>
      </c>
      <c r="H24" s="76">
        <v>3.7912188120508415E-2</v>
      </c>
      <c r="I24" s="76">
        <v>6.2284627899105251E-2</v>
      </c>
    </row>
    <row r="25" spans="1:9" x14ac:dyDescent="0.25">
      <c r="B25" s="133" t="s">
        <v>178</v>
      </c>
      <c r="C25" s="134">
        <f>PEARSON(B22:B24,C22:C24)</f>
        <v>0.61617334511514077</v>
      </c>
      <c r="E25" s="133" t="s">
        <v>178</v>
      </c>
      <c r="F25" s="134">
        <f>PEARSON(E22:E24,F22:F24)</f>
        <v>0.99824588074592957</v>
      </c>
      <c r="H25" s="133" t="s">
        <v>178</v>
      </c>
      <c r="I25" s="134">
        <f>PEARSON(H22:H24,I22:I24)</f>
        <v>0.56846248844757252</v>
      </c>
    </row>
  </sheetData>
  <mergeCells count="3">
    <mergeCell ref="B20:C20"/>
    <mergeCell ref="H20:I20"/>
    <mergeCell ref="E20:F20"/>
  </mergeCell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73A32-FE09-47B3-8FED-6EB601D7AC98}">
  <dimension ref="A1:K26"/>
  <sheetViews>
    <sheetView showGridLines="0" zoomScale="99" zoomScaleNormal="99" workbookViewId="0">
      <pane xSplit="1" topLeftCell="B1" activePane="topRight" state="frozen"/>
      <selection pane="topRight" activeCell="J6" sqref="J6"/>
    </sheetView>
  </sheetViews>
  <sheetFormatPr defaultRowHeight="15" x14ac:dyDescent="0.25"/>
  <cols>
    <col min="1" max="1" width="37.28515625" customWidth="1"/>
    <col min="2" max="2" width="16.7109375" customWidth="1"/>
    <col min="3" max="3" width="7.28515625" style="452" bestFit="1" customWidth="1"/>
    <col min="4" max="4" width="16.7109375" customWidth="1"/>
    <col min="5" max="5" width="7.28515625" bestFit="1" customWidth="1"/>
    <col min="6" max="6" width="16.7109375" customWidth="1"/>
    <col min="7" max="7" width="7.28515625" bestFit="1" customWidth="1"/>
    <col min="8" max="8" width="16.7109375" customWidth="1"/>
    <col min="9" max="9" width="7.28515625" bestFit="1" customWidth="1"/>
    <col min="10" max="10" width="16.7109375" customWidth="1"/>
    <col min="11" max="11" width="7.28515625" bestFit="1" customWidth="1"/>
  </cols>
  <sheetData>
    <row r="1" spans="1:11" x14ac:dyDescent="0.25">
      <c r="A1" s="5" t="s">
        <v>0</v>
      </c>
    </row>
    <row r="2" spans="1:11" x14ac:dyDescent="0.25">
      <c r="A2" s="1" t="s">
        <v>290</v>
      </c>
    </row>
    <row r="3" spans="1:11" x14ac:dyDescent="0.25">
      <c r="A3" s="1" t="s">
        <v>602</v>
      </c>
    </row>
    <row r="5" spans="1:11" ht="14.45" customHeight="1" x14ac:dyDescent="0.25">
      <c r="E5" s="174"/>
      <c r="G5" s="174"/>
      <c r="I5" s="174"/>
      <c r="K5" s="174"/>
    </row>
    <row r="6" spans="1:11" s="27" customFormat="1" ht="19.899999999999999" customHeight="1" x14ac:dyDescent="0.25">
      <c r="B6" s="167">
        <v>2013</v>
      </c>
      <c r="C6" s="453" t="s">
        <v>496</v>
      </c>
      <c r="D6" s="167">
        <v>2014</v>
      </c>
      <c r="E6" s="453" t="s">
        <v>496</v>
      </c>
      <c r="F6" s="167">
        <v>2015</v>
      </c>
      <c r="G6" s="453" t="s">
        <v>496</v>
      </c>
      <c r="H6" s="167">
        <v>2016</v>
      </c>
      <c r="I6" s="453" t="s">
        <v>496</v>
      </c>
      <c r="J6" s="173" t="s">
        <v>641</v>
      </c>
      <c r="K6" s="453" t="s">
        <v>496</v>
      </c>
    </row>
    <row r="7" spans="1:11" x14ac:dyDescent="0.25">
      <c r="A7" t="str">
        <f>'Estado de Resultados'!A12</f>
        <v>Costos Financieros</v>
      </c>
      <c r="B7" s="10">
        <f>-'Estado de Resultados'!B12</f>
        <v>1309205</v>
      </c>
      <c r="C7" s="454">
        <f>B7/'Estado de Resultados'!$B$6</f>
        <v>1.1910663992872916E-2</v>
      </c>
      <c r="D7" s="10">
        <f>-'Estado de Resultados'!D12</f>
        <v>1211298</v>
      </c>
      <c r="E7" s="454">
        <f>D7/'Estado de Resultados'!$D$6</f>
        <v>1.0099362954511687E-2</v>
      </c>
      <c r="F7" s="10">
        <f>-'Estado de Resultados'!F12</f>
        <v>1247485</v>
      </c>
      <c r="G7" s="454">
        <f>F7/'Estado de Resultados'!$F$6</f>
        <v>9.9456814956979615E-3</v>
      </c>
      <c r="H7" s="10">
        <f>-'Estado de Resultados'!H12</f>
        <v>1280055</v>
      </c>
      <c r="I7" s="454">
        <f>H7/'Estado de Resultados'!$H$6</f>
        <v>1.2050436705536724E-2</v>
      </c>
      <c r="J7" s="10">
        <f>-'Estado de Resultados'!J12</f>
        <v>900982</v>
      </c>
      <c r="K7" s="454">
        <f>J7/'Estado de Resultados'!$J$6</f>
        <v>1.1391012521438225E-2</v>
      </c>
    </row>
    <row r="8" spans="1:11" x14ac:dyDescent="0.25">
      <c r="A8" t="str">
        <f>'Otros Gastos'!A9</f>
        <v>Viajes</v>
      </c>
      <c r="B8" s="10">
        <f>'Otros Gastos'!B9</f>
        <v>832961.66567069711</v>
      </c>
      <c r="C8" s="454">
        <f>B8/'Estado de Resultados'!$B$6</f>
        <v>7.5779778711106511E-3</v>
      </c>
      <c r="D8" s="10">
        <f>'Otros Gastos'!D9</f>
        <v>897430</v>
      </c>
      <c r="E8" s="454">
        <f>D8/'Estado de Resultados'!$D$6</f>
        <v>7.4824455222970926E-3</v>
      </c>
      <c r="F8" s="10">
        <f>'Otros Gastos'!F9</f>
        <v>923889</v>
      </c>
      <c r="G8" s="454">
        <f>F8/'Estado de Resultados'!$F$6</f>
        <v>7.3657845436048471E-3</v>
      </c>
      <c r="H8" s="10">
        <f>'Otros Gastos'!H9</f>
        <v>929912</v>
      </c>
      <c r="I8" s="454">
        <f>H8/'Estado de Resultados'!$H$6</f>
        <v>8.7541907947073106E-3</v>
      </c>
      <c r="J8" s="10">
        <f>'Otros Gastos'!J9</f>
        <v>676693</v>
      </c>
      <c r="K8" s="454">
        <f>J8/'Estado de Resultados'!$J$6</f>
        <v>8.5553523113331871E-3</v>
      </c>
    </row>
    <row r="9" spans="1:11" x14ac:dyDescent="0.25">
      <c r="A9" t="str">
        <f>'Otros Gastos'!A10</f>
        <v>Mercancía dañada</v>
      </c>
      <c r="B9" s="10">
        <f>'Otros Gastos'!B10</f>
        <v>1013294.8697581631</v>
      </c>
      <c r="C9" s="454">
        <f>B9/'Estado de Resultados'!$B$6</f>
        <v>9.2185828188797048E-3</v>
      </c>
      <c r="D9" s="10">
        <f>'Otros Gastos'!D10</f>
        <v>1125275</v>
      </c>
      <c r="E9" s="454">
        <f>D9/'Estado de Resultados'!$D$6</f>
        <v>9.3821344117121785E-3</v>
      </c>
      <c r="F9" s="10">
        <f>'Otros Gastos'!F10</f>
        <v>823878</v>
      </c>
      <c r="G9" s="454">
        <f>F9/'Estado de Resultados'!$F$6</f>
        <v>6.5684382411913926E-3</v>
      </c>
      <c r="H9" s="10">
        <f>'Otros Gastos'!H10</f>
        <v>1476139</v>
      </c>
      <c r="I9" s="454">
        <f>H9/'Estado de Resultados'!$H$6</f>
        <v>1.3896371318477936E-2</v>
      </c>
      <c r="J9" s="10">
        <f>'Otros Gastos'!J10</f>
        <v>767266</v>
      </c>
      <c r="K9" s="454">
        <f>J9/'Estado de Resultados'!$J$6</f>
        <v>9.7004564056483045E-3</v>
      </c>
    </row>
    <row r="10" spans="1:11" x14ac:dyDescent="0.25">
      <c r="A10" t="str">
        <f>'Otros Gastos'!A13</f>
        <v>Seguridad</v>
      </c>
      <c r="B10" s="10">
        <f>'Otros Gastos'!B13</f>
        <v>638027.03489884746</v>
      </c>
      <c r="C10" s="454">
        <f>B10/'Estado de Resultados'!$B$6</f>
        <v>5.8045345312988982E-3</v>
      </c>
      <c r="D10" s="10">
        <f>'Otros Gastos'!D13</f>
        <v>649351</v>
      </c>
      <c r="E10" s="454">
        <f>D10/'Estado de Resultados'!$D$6</f>
        <v>5.4140528869651549E-3</v>
      </c>
      <c r="F10" s="10">
        <f>'Otros Gastos'!F13</f>
        <v>676395</v>
      </c>
      <c r="G10" s="454">
        <f>F10/'Estado de Resultados'!$F$6</f>
        <v>5.3926173343027146E-3</v>
      </c>
      <c r="H10" s="10">
        <f>'Otros Gastos'!H13</f>
        <v>734476</v>
      </c>
      <c r="I10" s="454">
        <f>H10/'Estado de Resultados'!$H$6</f>
        <v>6.914356453227237E-3</v>
      </c>
      <c r="J10" s="10">
        <f>'Otros Gastos'!J13</f>
        <v>556136</v>
      </c>
      <c r="K10" s="454">
        <f>J10/'Estado de Resultados'!$J$6</f>
        <v>7.0311639296041081E-3</v>
      </c>
    </row>
    <row r="11" spans="1:11" x14ac:dyDescent="0.25">
      <c r="A11" t="str">
        <f>'Otros Gastos'!A14</f>
        <v>Mantenimiento</v>
      </c>
      <c r="B11" s="10">
        <f>'Otros Gastos'!B14</f>
        <v>504541.4687993158</v>
      </c>
      <c r="C11" s="454">
        <f>B11/'Estado de Resultados'!$B$6</f>
        <v>4.5901321071484024E-3</v>
      </c>
      <c r="D11" s="10">
        <f>'Otros Gastos'!D14</f>
        <v>719489</v>
      </c>
      <c r="E11" s="454">
        <f>D11/'Estado de Resultados'!$D$6</f>
        <v>5.9988380669155393E-3</v>
      </c>
      <c r="F11" s="10">
        <f>'Otros Gastos'!F14</f>
        <v>674546</v>
      </c>
      <c r="G11" s="454">
        <f>F11/'Estado de Resultados'!$F$6</f>
        <v>5.3778760227153645E-3</v>
      </c>
      <c r="H11" s="10">
        <f>'Otros Gastos'!H14</f>
        <v>418462</v>
      </c>
      <c r="I11" s="454">
        <f>H11/'Estado de Resultados'!$H$6</f>
        <v>3.9394009200169593E-3</v>
      </c>
      <c r="J11" s="10">
        <f>'Otros Gastos'!J14</f>
        <v>292939</v>
      </c>
      <c r="K11" s="454">
        <f>J11/'Estado de Resultados'!$J$6</f>
        <v>3.7035943193289016E-3</v>
      </c>
    </row>
    <row r="12" spans="1:11" x14ac:dyDescent="0.25">
      <c r="A12" t="str">
        <f>'Otros Gastos'!A15</f>
        <v>Faltante de inventario</v>
      </c>
      <c r="B12" s="10">
        <f>'Otros Gastos'!B15</f>
        <v>472614.36173010041</v>
      </c>
      <c r="C12" s="454">
        <f>B12/'Estado de Resultados'!$B$6</f>
        <v>4.2996710681469461E-3</v>
      </c>
      <c r="D12" s="10">
        <f>'Otros Gastos'!D15</f>
        <v>604248</v>
      </c>
      <c r="E12" s="454">
        <f>D12/'Estado de Resultados'!$D$6</f>
        <v>5.0380004478978568E-3</v>
      </c>
      <c r="F12" s="10">
        <f>'Otros Gastos'!F15</f>
        <v>578398</v>
      </c>
      <c r="G12" s="454">
        <f>F12/'Estado de Resultados'!$F$6</f>
        <v>4.6113278201731552E-3</v>
      </c>
      <c r="H12" s="10">
        <f>'Otros Gastos'!H15</f>
        <v>513777</v>
      </c>
      <c r="I12" s="454">
        <f>H12/'Estado de Resultados'!$H$6</f>
        <v>4.836696250755273E-3</v>
      </c>
      <c r="J12" s="10">
        <f>'Otros Gastos'!J15</f>
        <v>275984</v>
      </c>
      <c r="K12" s="454">
        <f>J12/'Estado de Resultados'!$J$6</f>
        <v>3.489234190823576E-3</v>
      </c>
    </row>
    <row r="13" spans="1:11" x14ac:dyDescent="0.25">
      <c r="A13" t="str">
        <f>'Otros Gastos'!A16</f>
        <v>Útiles de oficina</v>
      </c>
      <c r="B13" s="10">
        <f>'Otros Gastos'!B16</f>
        <v>367781.91597015597</v>
      </c>
      <c r="C13" s="454">
        <f>B13/'Estado de Resultados'!$B$6</f>
        <v>3.3459441598340588E-3</v>
      </c>
      <c r="D13" s="10">
        <f>'Otros Gastos'!D16</f>
        <v>340409</v>
      </c>
      <c r="E13" s="454">
        <f>D13/'Estado de Resultados'!$D$6</f>
        <v>2.8382066543347459E-3</v>
      </c>
      <c r="F13" s="10">
        <f>'Otros Gastos'!F16</f>
        <v>511418</v>
      </c>
      <c r="G13" s="454">
        <f>F13/'Estado de Resultados'!$F$6</f>
        <v>4.0773240072360471E-3</v>
      </c>
      <c r="H13" s="10">
        <f>'Otros Gastos'!H16</f>
        <v>398096</v>
      </c>
      <c r="I13" s="454">
        <f>H13/'Estado de Resultados'!$H$6</f>
        <v>3.7476754129528401E-3</v>
      </c>
      <c r="J13" s="10">
        <f>'Otros Gastos'!J16</f>
        <v>268209</v>
      </c>
      <c r="K13" s="454">
        <f>J13/'Estado de Resultados'!$J$6</f>
        <v>3.3909357538357316E-3</v>
      </c>
    </row>
    <row r="14" spans="1:11" x14ac:dyDescent="0.25">
      <c r="A14" t="str">
        <f>'Otros Gastos'!A17</f>
        <v>Provisión para cuentas malas</v>
      </c>
      <c r="B14" s="10">
        <f>'Otros Gastos'!B17</f>
        <v>265590.12179989181</v>
      </c>
      <c r="C14" s="454">
        <f>B14/'Estado de Resultados'!$B$6</f>
        <v>2.4162409252826743E-3</v>
      </c>
      <c r="D14" s="10">
        <f>'Otros Gastos'!D17</f>
        <v>372765</v>
      </c>
      <c r="E14" s="454">
        <f>D14/'Estado de Resultados'!$D$6</f>
        <v>3.1079792352819448E-3</v>
      </c>
      <c r="F14" s="10">
        <f>'Otros Gastos'!F17</f>
        <v>454868</v>
      </c>
      <c r="G14" s="454">
        <f>F14/'Estado de Resultados'!$F$6</f>
        <v>3.6264742666926976E-3</v>
      </c>
      <c r="H14" s="10">
        <f>'Otros Gastos'!H17</f>
        <v>32356</v>
      </c>
      <c r="I14" s="454">
        <f>H14/'Estado de Resultados'!$H$6</f>
        <v>3.045993570935204E-4</v>
      </c>
      <c r="J14" s="10">
        <f>'Otros Gastos'!J17</f>
        <v>226950</v>
      </c>
      <c r="K14" s="454">
        <f>J14/'Estado de Resultados'!$J$6</f>
        <v>2.869302929182165E-3</v>
      </c>
    </row>
    <row r="15" spans="1:11" x14ac:dyDescent="0.25">
      <c r="A15" t="str">
        <f>'Otros Gastos'!A19</f>
        <v>Honorarios profesionales</v>
      </c>
      <c r="B15" s="10">
        <f>'Otros Gastos'!B19</f>
        <v>326482.57591262186</v>
      </c>
      <c r="C15" s="454">
        <f>B15/'Estado de Resultados'!$B$6</f>
        <v>2.9702180034623022E-3</v>
      </c>
      <c r="D15" s="10">
        <f>'Otros Gastos'!D19</f>
        <v>503627</v>
      </c>
      <c r="E15" s="454">
        <f>D15/'Estado de Resultados'!$D$6</f>
        <v>4.1990590809956405E-3</v>
      </c>
      <c r="F15" s="10">
        <f>'Otros Gastos'!F19</f>
        <v>322452</v>
      </c>
      <c r="G15" s="454">
        <f>F15/'Estado de Resultados'!$F$6</f>
        <v>2.5707763136637303E-3</v>
      </c>
      <c r="H15" s="10">
        <f>'Otros Gastos'!H19</f>
        <v>348388</v>
      </c>
      <c r="I15" s="454">
        <f>H15/'Estado de Resultados'!$H$6</f>
        <v>3.27972434228883E-3</v>
      </c>
      <c r="J15" s="10">
        <f>'Otros Gastos'!J19</f>
        <v>190940</v>
      </c>
      <c r="K15" s="454">
        <f>J15/'Estado de Resultados'!$J$6</f>
        <v>2.4140326120204564E-3</v>
      </c>
    </row>
    <row r="16" spans="1:11" x14ac:dyDescent="0.25">
      <c r="A16" t="str">
        <f>'Otros Gastos'!A21</f>
        <v>Impuestos generales</v>
      </c>
      <c r="B16" s="10">
        <f>'Otros Gastos'!B21</f>
        <v>263668.53856289381</v>
      </c>
      <c r="C16" s="454">
        <f>B16/'Estado de Resultados'!$B$6</f>
        <v>2.3987590700573886E-3</v>
      </c>
      <c r="D16" s="10">
        <f>'Otros Gastos'!D21</f>
        <v>301821</v>
      </c>
      <c r="E16" s="454">
        <f>D16/'Estado de Resultados'!$D$6</f>
        <v>2.5164739199550167E-3</v>
      </c>
      <c r="F16" s="10">
        <f>'Otros Gastos'!F21</f>
        <v>281050</v>
      </c>
      <c r="G16" s="454">
        <f>F16/'Estado de Resultados'!$F$6</f>
        <v>2.2406953064493056E-3</v>
      </c>
      <c r="H16" s="10">
        <f>'Otros Gastos'!H21</f>
        <v>282861</v>
      </c>
      <c r="I16" s="454">
        <f>H16/'Estado de Resultados'!$H$6</f>
        <v>2.6628532187795238E-3</v>
      </c>
      <c r="J16" s="10">
        <f>'Otros Gastos'!J21</f>
        <v>218690</v>
      </c>
      <c r="K16" s="454">
        <f>J16/'Estado de Resultados'!$J$6</f>
        <v>2.7648726925880046E-3</v>
      </c>
    </row>
    <row r="17" spans="1:11" x14ac:dyDescent="0.25">
      <c r="A17" t="str">
        <f>'Otros Gastos'!A22</f>
        <v>Misceláneos</v>
      </c>
      <c r="B17" s="10">
        <f>'Otros Gastos'!B22</f>
        <v>199982.21992044934</v>
      </c>
      <c r="C17" s="454">
        <f>B17/'Estado de Resultados'!$B$6</f>
        <v>1.8193644433234586E-3</v>
      </c>
      <c r="D17" s="10">
        <f>'Otros Gastos'!D22</f>
        <v>198221</v>
      </c>
      <c r="E17" s="454">
        <f>D17/'Estado de Resultados'!$D$6</f>
        <v>1.6526947325978091E-3</v>
      </c>
      <c r="F17" s="10">
        <f>'Otros Gastos'!F22</f>
        <v>196802</v>
      </c>
      <c r="G17" s="454">
        <f>F17/'Estado de Resultados'!$F$6</f>
        <v>1.5690208777791718E-3</v>
      </c>
      <c r="H17" s="10">
        <f>'Otros Gastos'!H22</f>
        <v>209823</v>
      </c>
      <c r="I17" s="454">
        <f>H17/'Estado de Resultados'!$H$6</f>
        <v>1.9752735475161865E-3</v>
      </c>
      <c r="J17" s="10">
        <f>'Otros Gastos'!J22</f>
        <v>207114</v>
      </c>
      <c r="K17" s="454">
        <f>J17/'Estado de Resultados'!$J$6</f>
        <v>2.6185186467267453E-3</v>
      </c>
    </row>
    <row r="18" spans="1:11" x14ac:dyDescent="0.25">
      <c r="A18" t="str">
        <f>'Otros Gastos'!A23</f>
        <v>Partes y repuestos</v>
      </c>
      <c r="B18" s="10">
        <f>'Otros Gastos'!B23</f>
        <v>293988.45141898631</v>
      </c>
      <c r="C18" s="454">
        <f>B18/'Estado de Resultados'!$B$6</f>
        <v>2.6745984491631093E-3</v>
      </c>
      <c r="D18" s="10">
        <f>'Otros Gastos'!D23</f>
        <v>224603</v>
      </c>
      <c r="E18" s="454">
        <f>D18/'Estado de Resultados'!$D$6</f>
        <v>1.8726582704439274E-3</v>
      </c>
      <c r="F18" s="10">
        <f>'Otros Gastos'!F23</f>
        <v>196159</v>
      </c>
      <c r="G18" s="454">
        <f>F18/'Estado de Resultados'!$F$6</f>
        <v>1.5638945049556638E-3</v>
      </c>
      <c r="H18" s="10">
        <f>'Otros Gastos'!H23</f>
        <v>430333</v>
      </c>
      <c r="I18" s="454">
        <f>H18/'Estado de Resultados'!$H$6</f>
        <v>4.0511545041453179E-3</v>
      </c>
      <c r="J18" s="10">
        <f>'Otros Gastos'!J23</f>
        <v>336077</v>
      </c>
      <c r="K18" s="454">
        <f>J18/'Estado de Resultados'!$J$6</f>
        <v>4.2489831263747713E-3</v>
      </c>
    </row>
    <row r="19" spans="1:11" x14ac:dyDescent="0.25">
      <c r="A19" t="str">
        <f>'Otros Gastos'!A24</f>
        <v>Aseo y limpieza</v>
      </c>
      <c r="B19" s="10">
        <f>'Otros Gastos'!B24</f>
        <v>143384.91516122076</v>
      </c>
      <c r="C19" s="454">
        <f>B19/'Estado de Resultados'!$B$6</f>
        <v>1.3044630490502938E-3</v>
      </c>
      <c r="D19" s="10">
        <f>'Otros Gastos'!D24</f>
        <v>161828</v>
      </c>
      <c r="E19" s="454">
        <f>D19/'Estado de Resultados'!$D$6</f>
        <v>1.3492631113092874E-3</v>
      </c>
      <c r="F19" s="10">
        <f>'Otros Gastos'!F24</f>
        <v>174615</v>
      </c>
      <c r="G19" s="454">
        <f>F19/'Estado de Resultados'!$F$6</f>
        <v>1.3921331113170093E-3</v>
      </c>
      <c r="H19" s="10">
        <f>'Otros Gastos'!H24</f>
        <v>140139</v>
      </c>
      <c r="I19" s="454">
        <f>H19/'Estado de Resultados'!$H$6</f>
        <v>1.3192684294637425E-3</v>
      </c>
      <c r="J19" s="10">
        <f>'Otros Gastos'!J24</f>
        <v>113853</v>
      </c>
      <c r="K19" s="454">
        <f>J19/'Estado de Resultados'!$J$6</f>
        <v>1.4394304754182729E-3</v>
      </c>
    </row>
    <row r="20" spans="1:11" x14ac:dyDescent="0.25">
      <c r="A20" t="str">
        <f>'Otros Gastos'!A26</f>
        <v>Provisión para productos obsoletos</v>
      </c>
      <c r="B20" s="10">
        <f>'Otros Gastos'!B26</f>
        <v>256562.30457816401</v>
      </c>
      <c r="C20" s="454">
        <f>B20/'Estado de Resultados'!$B$6</f>
        <v>2.334109175467274E-3</v>
      </c>
      <c r="D20" s="10">
        <f>'Otros Gastos'!D26</f>
        <v>157170</v>
      </c>
      <c r="E20" s="454">
        <f>D20/'Estado de Resultados'!$D$6</f>
        <v>1.3104263984259875E-3</v>
      </c>
      <c r="F20" s="10">
        <f>'Otros Gastos'!F26</f>
        <v>122256</v>
      </c>
      <c r="G20" s="454">
        <f>F20/'Estado de Resultados'!$F$6</f>
        <v>9.746964788659181E-4</v>
      </c>
      <c r="H20" s="10">
        <f>'Otros Gastos'!H26</f>
        <v>87404</v>
      </c>
      <c r="I20" s="454">
        <f>H20/'Estado de Resultados'!$H$6</f>
        <v>8.2282118331691357E-4</v>
      </c>
      <c r="J20" s="10">
        <f>'Otros Gastos'!J26</f>
        <v>592932</v>
      </c>
      <c r="K20" s="454">
        <f>J20/'Estado de Resultados'!$J$6</f>
        <v>7.4963715549937844E-3</v>
      </c>
    </row>
    <row r="21" spans="1:11" x14ac:dyDescent="0.25">
      <c r="A21" t="s">
        <v>254</v>
      </c>
      <c r="B21" s="10">
        <f>'Otros Gastos'!B27</f>
        <v>58440.613508044145</v>
      </c>
      <c r="C21" s="454">
        <f>B21/'Estado de Resultados'!$B$6</f>
        <v>5.3167113708828175E-4</v>
      </c>
      <c r="D21" s="10">
        <f>'Otros Gastos'!D27</f>
        <v>77087</v>
      </c>
      <c r="E21" s="454">
        <f>D21/'Estado de Resultados'!$D$6</f>
        <v>6.4272341907147738E-4</v>
      </c>
      <c r="F21" s="10">
        <f>'Otros Gastos'!F27</f>
        <v>69058</v>
      </c>
      <c r="G21" s="454">
        <f>F21/'Estado de Resultados'!$F$6</f>
        <v>5.5057084672754367E-4</v>
      </c>
      <c r="H21" s="10">
        <f>'Otros Gastos'!H27</f>
        <v>59280</v>
      </c>
      <c r="I21" s="454">
        <f>H21/'Estado de Resultados'!$H$6</f>
        <v>5.5806187070416274E-4</v>
      </c>
      <c r="J21" s="10">
        <f>'Otros Gastos'!J27</f>
        <v>37653</v>
      </c>
      <c r="K21" s="454">
        <f>J21/'Estado de Resultados'!$J$6</f>
        <v>4.7604257850846464E-4</v>
      </c>
    </row>
    <row r="22" spans="1:11" x14ac:dyDescent="0.25">
      <c r="A22" t="str">
        <f>'Otros Gastos'!A28</f>
        <v>Amortización intangibles</v>
      </c>
      <c r="B22" s="10">
        <f>'Otros Gastos'!B28</f>
        <v>61011.717199327279</v>
      </c>
      <c r="C22" s="454">
        <f>B22/'Estado de Resultados'!$B$6</f>
        <v>5.5506208973336694E-4</v>
      </c>
      <c r="D22" s="10">
        <f>'Otros Gastos'!D28</f>
        <v>0</v>
      </c>
      <c r="E22" s="454">
        <f>D22/'Estado de Resultados'!$D$6</f>
        <v>0</v>
      </c>
      <c r="F22" s="10">
        <f>'Otros Gastos'!F28</f>
        <v>51891</v>
      </c>
      <c r="G22" s="454">
        <f>F22/'Estado de Resultados'!$F$6</f>
        <v>4.1370546218452557E-4</v>
      </c>
      <c r="H22" s="10">
        <f>'Otros Gastos'!H28</f>
        <v>101118</v>
      </c>
      <c r="I22" s="454">
        <f>H22/'Estado de Resultados'!$H$6</f>
        <v>9.519247679126775E-4</v>
      </c>
      <c r="J22" s="10">
        <f>'Otros Gastos'!J28</f>
        <v>87893</v>
      </c>
      <c r="K22" s="454">
        <f>J22/'Estado de Resultados'!$J$6</f>
        <v>1.1112211604080548E-3</v>
      </c>
    </row>
    <row r="23" spans="1:11" x14ac:dyDescent="0.25">
      <c r="A23" t="str">
        <f>'Otros Gastos'!A29</f>
        <v>Gastos no deducibles</v>
      </c>
      <c r="B23" s="10">
        <f>'Otros Gastos'!B29</f>
        <v>88218.057034609054</v>
      </c>
      <c r="C23" s="454">
        <f>B23/'Estado de Resultados'!$B$6</f>
        <v>8.025753304053432E-4</v>
      </c>
      <c r="D23" s="10">
        <f>'Otros Gastos'!D29</f>
        <v>143669</v>
      </c>
      <c r="E23" s="454">
        <f>D23/'Estado de Resultados'!$D$6</f>
        <v>1.1978599620504117E-3</v>
      </c>
      <c r="F23" s="10">
        <f>'Otros Gastos'!F29</f>
        <v>30035</v>
      </c>
      <c r="G23" s="454">
        <f>F23/'Estado de Resultados'!$F$6</f>
        <v>2.39456621701494E-4</v>
      </c>
      <c r="H23" s="10">
        <f>'Otros Gastos'!H29</f>
        <v>163517</v>
      </c>
      <c r="I23" s="454">
        <f>H23/'Estado de Resultados'!$H$6</f>
        <v>1.5393489020231541E-3</v>
      </c>
      <c r="J23" s="10">
        <f>'Otros Gastos'!J29</f>
        <v>37027</v>
      </c>
      <c r="K23" s="454">
        <f>J23/'Estado de Resultados'!$J$6</f>
        <v>4.6812813200629224E-4</v>
      </c>
    </row>
    <row r="24" spans="1:11" x14ac:dyDescent="0.25">
      <c r="A24" t="str">
        <f>'Otros Gastos'!A30</f>
        <v>Dietas</v>
      </c>
      <c r="B24" s="10">
        <f>'Otros Gastos'!B30</f>
        <v>14911.434448148817</v>
      </c>
      <c r="C24" s="454">
        <f>B24/'Estado de Resultados'!$B$6</f>
        <v>1.3565872828445578E-4</v>
      </c>
      <c r="D24" s="10">
        <f>'Otros Gastos'!D30</f>
        <v>18500</v>
      </c>
      <c r="E24" s="454">
        <f>D24/'Estado de Resultados'!$D$6</f>
        <v>1.542462834566442E-4</v>
      </c>
      <c r="F24" s="10">
        <f>'Otros Gastos'!F30</f>
        <v>18500</v>
      </c>
      <c r="G24" s="454">
        <f>F24/'Estado de Resultados'!$F$6</f>
        <v>1.4749284173389842E-4</v>
      </c>
      <c r="H24" s="10">
        <f>'Otros Gastos'!H30</f>
        <v>13000</v>
      </c>
      <c r="I24" s="454">
        <f>H24/'Estado de Resultados'!$H$6</f>
        <v>1.2238198918950938E-4</v>
      </c>
      <c r="J24" s="10">
        <f>'Otros Gastos'!J30</f>
        <v>11500</v>
      </c>
      <c r="K24" s="454">
        <f>J24/'Estado de Resultados'!$J$6</f>
        <v>1.4539318654150648E-4</v>
      </c>
    </row>
    <row r="25" spans="1:11" x14ac:dyDescent="0.25">
      <c r="A25" t="str">
        <f>'Otros Gastos'!A31</f>
        <v>Donaciones</v>
      </c>
      <c r="B25" s="12">
        <f>'Otros Gastos'!B31</f>
        <v>6628.5201571679327</v>
      </c>
      <c r="C25" s="454">
        <f>B25/'Estado de Resultados'!$B$6</f>
        <v>6.0303830463535059E-5</v>
      </c>
      <c r="D25" s="12">
        <f>'Otros Gastos'!D31</f>
        <v>10100</v>
      </c>
      <c r="E25" s="454">
        <f>D25/'Estado de Resultados'!$D$6</f>
        <v>8.421013313038414E-5</v>
      </c>
      <c r="F25" s="12">
        <f>'Otros Gastos'!F31</f>
        <v>8500</v>
      </c>
      <c r="G25" s="454">
        <f>F25/'Estado de Resultados'!$F$6</f>
        <v>6.7766981337196577E-5</v>
      </c>
      <c r="H25" s="12">
        <f>'Otros Gastos'!H31</f>
        <v>7500</v>
      </c>
      <c r="I25" s="454">
        <f>H25/'Estado de Resultados'!$H$6</f>
        <v>7.0604993763178481E-5</v>
      </c>
      <c r="J25" s="12">
        <f>'Otros Gastos'!J31</f>
        <v>2042</v>
      </c>
      <c r="K25" s="454">
        <f>J25/'Estado de Resultados'!$J$6</f>
        <v>2.5816772775457064E-5</v>
      </c>
    </row>
    <row r="26" spans="1:11" x14ac:dyDescent="0.25">
      <c r="A26" s="48" t="s">
        <v>291</v>
      </c>
      <c r="B26" s="10">
        <f>SUM(B7:B25)</f>
        <v>7117295.7865288034</v>
      </c>
      <c r="C26" s="454">
        <f>B26/'Estado de Resultados'!$B$6</f>
        <v>6.475053078107304E-2</v>
      </c>
      <c r="D26" s="10">
        <f t="shared" ref="D26" si="0">SUM(D7:D25)</f>
        <v>7716891</v>
      </c>
      <c r="E26" s="454">
        <f>D26/'Estado de Resultados'!$D$6</f>
        <v>6.4340635491352785E-2</v>
      </c>
      <c r="F26" s="10">
        <f t="shared" ref="F26" si="1">SUM(F7:F25)</f>
        <v>7362195</v>
      </c>
      <c r="G26" s="454">
        <f>F26/'Estado de Resultados'!$F$6</f>
        <v>5.8695733078329634E-2</v>
      </c>
      <c r="H26" s="10">
        <f t="shared" ref="H26" si="2">SUM(H7:H25)</f>
        <v>7626636</v>
      </c>
      <c r="I26" s="454">
        <f>H26/'Estado de Resultados'!$H$6</f>
        <v>7.1797144961870993E-2</v>
      </c>
      <c r="J26" s="10">
        <f t="shared" ref="J26" si="3">SUM(J7:J25)</f>
        <v>5800880</v>
      </c>
      <c r="K26" s="454">
        <f>J26/'Estado de Resultados'!$J$6</f>
        <v>7.333986329955601E-2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21658-8486-49CE-8FAB-137F959C8344}">
  <dimension ref="A1:K57"/>
  <sheetViews>
    <sheetView showGridLines="0" zoomScaleNormal="100" workbookViewId="0">
      <pane xSplit="1" topLeftCell="B1" activePane="topRight" state="frozen"/>
      <selection pane="topRight" activeCell="D61" sqref="D61"/>
    </sheetView>
  </sheetViews>
  <sheetFormatPr defaultRowHeight="15" x14ac:dyDescent="0.25"/>
  <cols>
    <col min="1" max="1" width="43.7109375" customWidth="1"/>
    <col min="2" max="2" width="16.7109375" customWidth="1"/>
    <col min="3" max="3" width="9.7109375" style="189" customWidth="1"/>
    <col min="4" max="4" width="16.7109375" customWidth="1"/>
    <col min="5" max="5" width="9.5703125" customWidth="1"/>
    <col min="6" max="6" width="16.7109375" customWidth="1"/>
    <col min="7" max="7" width="10.28515625" customWidth="1"/>
    <col min="8" max="8" width="16.7109375" customWidth="1"/>
    <col min="9" max="9" width="11.140625" customWidth="1"/>
    <col min="10" max="10" width="16.7109375" customWidth="1"/>
    <col min="11" max="11" width="9.28515625" bestFit="1" customWidth="1"/>
  </cols>
  <sheetData>
    <row r="1" spans="1:11" x14ac:dyDescent="0.25">
      <c r="A1" s="5" t="s">
        <v>0</v>
      </c>
    </row>
    <row r="2" spans="1:11" x14ac:dyDescent="0.25">
      <c r="A2" s="1" t="s">
        <v>324</v>
      </c>
    </row>
    <row r="3" spans="1:11" x14ac:dyDescent="0.25">
      <c r="A3" s="5" t="s">
        <v>1</v>
      </c>
    </row>
    <row r="5" spans="1:11" ht="14.45" customHeight="1" x14ac:dyDescent="0.25">
      <c r="C5" s="190" t="s">
        <v>131</v>
      </c>
      <c r="E5" s="190" t="s">
        <v>131</v>
      </c>
      <c r="G5" s="190" t="s">
        <v>131</v>
      </c>
      <c r="I5" s="190" t="s">
        <v>131</v>
      </c>
      <c r="K5" s="191" t="s">
        <v>92</v>
      </c>
    </row>
    <row r="6" spans="1:11" s="27" customFormat="1" x14ac:dyDescent="0.25">
      <c r="B6" s="167">
        <v>2013</v>
      </c>
      <c r="C6" s="154"/>
      <c r="D6" s="167">
        <v>2014</v>
      </c>
      <c r="E6" s="154"/>
      <c r="F6" s="167">
        <v>2015</v>
      </c>
      <c r="G6" s="154"/>
      <c r="H6" s="167">
        <v>2016</v>
      </c>
      <c r="I6" s="154"/>
      <c r="J6" s="3">
        <v>42887</v>
      </c>
      <c r="K6" s="154"/>
    </row>
    <row r="7" spans="1:11" x14ac:dyDescent="0.25">
      <c r="A7" s="1" t="s">
        <v>260</v>
      </c>
      <c r="C7" s="154"/>
      <c r="E7" s="154"/>
      <c r="G7" s="154"/>
      <c r="I7" s="154"/>
      <c r="K7" s="154"/>
    </row>
    <row r="8" spans="1:11" x14ac:dyDescent="0.25">
      <c r="A8" s="135" t="s">
        <v>264</v>
      </c>
      <c r="B8" s="10">
        <f>-'Estado de Resultados'!B9</f>
        <v>90537704</v>
      </c>
      <c r="C8" s="154">
        <f t="shared" ref="C8:E50" si="0">(D8-B8)/B8</f>
        <v>3.9028712281018304E-3</v>
      </c>
      <c r="D8" s="10">
        <f>-'Estado de Resultados'!D9</f>
        <v>90891061</v>
      </c>
      <c r="E8" s="154">
        <f t="shared" si="0"/>
        <v>0.11208887747498074</v>
      </c>
      <c r="F8" s="10">
        <f>-'Estado de Resultados'!F9</f>
        <v>101078938</v>
      </c>
      <c r="G8" s="154">
        <f t="shared" ref="G8:G9" si="1">(H8-F8)/F8</f>
        <v>-0.17625414703110553</v>
      </c>
      <c r="H8" s="10">
        <f>-'Estado de Resultados'!H9</f>
        <v>83263356</v>
      </c>
      <c r="I8" s="154">
        <f t="shared" ref="I8:I9" si="2">(J8-H8)/H8</f>
        <v>-0.20600469190792645</v>
      </c>
      <c r="J8" s="10">
        <f>-'Estado de Resultados'!J9</f>
        <v>66110714</v>
      </c>
      <c r="K8" s="154">
        <f>AVERAGE(C8,E8,G8)</f>
        <v>-2.0087466109340989E-2</v>
      </c>
    </row>
    <row r="9" spans="1:11" x14ac:dyDescent="0.25">
      <c r="A9" s="186" t="str">
        <f>'Estado de Resultados'!A8</f>
        <v>Cambios en el Inventario de Mercancía</v>
      </c>
      <c r="B9" s="10">
        <f>-'Estado de Resultados'!B8</f>
        <v>-2630509</v>
      </c>
      <c r="C9" s="177">
        <f>(ABS(B9/('Estado de Resultados'!B$6+'Estado de Resultados'!B$7)))</f>
        <v>2.3845116216012281E-2</v>
      </c>
      <c r="D9" s="10">
        <f>-'Estado de Resultados'!D8</f>
        <v>4230620</v>
      </c>
      <c r="E9" s="154">
        <f t="shared" si="0"/>
        <v>-1.3298407798384162</v>
      </c>
      <c r="F9" s="10">
        <f>-'Estado de Resultados'!F8</f>
        <v>-1395431</v>
      </c>
      <c r="G9" s="154">
        <f t="shared" si="1"/>
        <v>-1.7004416556605091</v>
      </c>
      <c r="H9" s="10">
        <f>-'Estado de Resultados'!H8</f>
        <v>977418</v>
      </c>
      <c r="I9" s="154">
        <f t="shared" si="2"/>
        <v>-3.7330937224401435</v>
      </c>
      <c r="J9" s="10">
        <f>-'Estado de Resultados'!J8</f>
        <v>-2671375</v>
      </c>
      <c r="K9" s="154">
        <f>AVERAGE(C9,E9,G9)</f>
        <v>-1.0021457730943044</v>
      </c>
    </row>
    <row r="10" spans="1:11" x14ac:dyDescent="0.25">
      <c r="A10" s="135" t="s">
        <v>237</v>
      </c>
      <c r="B10" s="10">
        <f>'Otros Gastos'!B10</f>
        <v>1013294.8697581631</v>
      </c>
      <c r="C10" s="154">
        <f t="shared" si="0"/>
        <v>0.11051090219035896</v>
      </c>
      <c r="D10" s="10">
        <f>'Otros Gastos'!D10</f>
        <v>1125275</v>
      </c>
      <c r="E10" s="154">
        <f t="shared" si="0"/>
        <v>-0.26784297171802446</v>
      </c>
      <c r="F10" s="10">
        <f>'Otros Gastos'!F10</f>
        <v>823878</v>
      </c>
      <c r="G10" s="154">
        <f t="shared" ref="G10" si="3">(H10-F10)/F10</f>
        <v>0.79169610063625928</v>
      </c>
      <c r="H10" s="10">
        <f>'Otros Gastos'!H10</f>
        <v>1476139</v>
      </c>
      <c r="I10" s="154">
        <f t="shared" ref="I10" si="4">(J10-H10)/H10</f>
        <v>-0.48022103609483929</v>
      </c>
      <c r="J10" s="10">
        <f>'Otros Gastos'!J10</f>
        <v>767266</v>
      </c>
      <c r="K10" s="154">
        <f t="shared" ref="K10:K57" si="5">AVERAGE(C10,E10,G10)</f>
        <v>0.21145467703619794</v>
      </c>
    </row>
    <row r="11" spans="1:11" x14ac:dyDescent="0.25">
      <c r="A11" s="135" t="s">
        <v>266</v>
      </c>
      <c r="B11" s="12">
        <f>'Otros Gastos'!B15</f>
        <v>472614.36173010041</v>
      </c>
      <c r="C11" s="153">
        <f t="shared" si="0"/>
        <v>0.27852229836610981</v>
      </c>
      <c r="D11" s="12">
        <f>'Otros Gastos'!D15</f>
        <v>604248</v>
      </c>
      <c r="E11" s="153">
        <f t="shared" si="0"/>
        <v>-4.2780447763170089E-2</v>
      </c>
      <c r="F11" s="12">
        <f>'Otros Gastos'!F15</f>
        <v>578398</v>
      </c>
      <c r="G11" s="153">
        <f t="shared" ref="G11" si="6">(H11-F11)/F11</f>
        <v>-0.11172410692983033</v>
      </c>
      <c r="H11" s="12">
        <f>'Otros Gastos'!H15</f>
        <v>513777</v>
      </c>
      <c r="I11" s="153">
        <f t="shared" ref="I11" si="7">(J11-H11)/H11</f>
        <v>-0.46283309684941132</v>
      </c>
      <c r="J11" s="12">
        <f>'Otros Gastos'!J15</f>
        <v>275984</v>
      </c>
      <c r="K11" s="153">
        <f t="shared" si="5"/>
        <v>4.1339247891036469E-2</v>
      </c>
    </row>
    <row r="12" spans="1:11" x14ac:dyDescent="0.25">
      <c r="A12" s="48" t="s">
        <v>269</v>
      </c>
      <c r="B12" s="152">
        <f>SUM(B8:B11)</f>
        <v>89393104.231488258</v>
      </c>
      <c r="C12" s="154">
        <f t="shared" si="0"/>
        <v>8.3430370078642652E-2</v>
      </c>
      <c r="D12" s="152">
        <f t="shared" ref="D12" si="8">SUM(D8:D11)</f>
        <v>96851204</v>
      </c>
      <c r="E12" s="154">
        <f t="shared" si="0"/>
        <v>4.3722523057121723E-2</v>
      </c>
      <c r="F12" s="152">
        <f t="shared" ref="F12" si="9">SUM(F8:F11)</f>
        <v>101085783</v>
      </c>
      <c r="G12" s="154">
        <f t="shared" ref="G12" si="10">(H12-F12)/F12</f>
        <v>-0.14695531418102584</v>
      </c>
      <c r="H12" s="152">
        <f t="shared" ref="H12" si="11">SUM(H8:H11)</f>
        <v>86230690</v>
      </c>
      <c r="I12" s="154">
        <f t="shared" ref="I12" si="12">(J12-H12)/H12</f>
        <v>-0.25220836108350753</v>
      </c>
      <c r="J12" s="152">
        <f t="shared" ref="J12" si="13">SUM(J8:J11)</f>
        <v>64482589</v>
      </c>
      <c r="K12" s="154">
        <f t="shared" si="5"/>
        <v>-6.6008070150871496E-3</v>
      </c>
    </row>
    <row r="13" spans="1:11" x14ac:dyDescent="0.25">
      <c r="A13" s="48"/>
      <c r="B13" s="152"/>
      <c r="C13" s="154"/>
      <c r="D13" s="152"/>
      <c r="E13" s="154"/>
      <c r="F13" s="152"/>
      <c r="G13" s="154"/>
      <c r="H13" s="152"/>
      <c r="I13" s="154"/>
      <c r="J13" s="152"/>
      <c r="K13" s="154"/>
    </row>
    <row r="14" spans="1:11" x14ac:dyDescent="0.25">
      <c r="A14" s="1" t="s">
        <v>261</v>
      </c>
      <c r="C14" s="154"/>
      <c r="E14" s="154"/>
      <c r="G14" s="154"/>
      <c r="I14" s="154"/>
      <c r="K14" s="154"/>
    </row>
    <row r="15" spans="1:11" x14ac:dyDescent="0.25">
      <c r="A15" s="135" t="s">
        <v>263</v>
      </c>
      <c r="B15" s="10">
        <f>'Otros Gastos'!B7</f>
        <v>1045944.0499023503</v>
      </c>
      <c r="C15" s="154">
        <f t="shared" si="0"/>
        <v>0.14744474153473855</v>
      </c>
      <c r="D15" s="10">
        <f>'Otros Gastos'!D7</f>
        <v>1200163</v>
      </c>
      <c r="E15" s="154">
        <f t="shared" si="0"/>
        <v>-4.2836681350783189E-2</v>
      </c>
      <c r="F15" s="10">
        <f>'Otros Gastos'!F7</f>
        <v>1148752</v>
      </c>
      <c r="G15" s="154">
        <f t="shared" ref="G15" si="14">(H15-F15)/F15</f>
        <v>6.6888240455729345E-2</v>
      </c>
      <c r="H15" s="10">
        <f>'Otros Gastos'!H7</f>
        <v>1225590</v>
      </c>
      <c r="I15" s="154">
        <f t="shared" ref="I15" si="15">(J15-H15)/H15</f>
        <v>-0.38371559820168244</v>
      </c>
      <c r="J15" s="10">
        <f>'Otros Gastos'!J7</f>
        <v>755312</v>
      </c>
      <c r="K15" s="154">
        <f t="shared" si="5"/>
        <v>5.7165433546561562E-2</v>
      </c>
    </row>
    <row r="16" spans="1:11" x14ac:dyDescent="0.25">
      <c r="A16" s="135" t="s">
        <v>239</v>
      </c>
      <c r="B16" s="10">
        <f>'Otros Gastos'!B12</f>
        <v>611175.01946623379</v>
      </c>
      <c r="C16" s="154">
        <f t="shared" si="0"/>
        <v>0.47119232848435583</v>
      </c>
      <c r="D16" s="10">
        <f>'Otros Gastos'!D12</f>
        <v>899156</v>
      </c>
      <c r="E16" s="154">
        <f t="shared" si="0"/>
        <v>-0.23677092740303129</v>
      </c>
      <c r="F16" s="10">
        <f>'Otros Gastos'!F12</f>
        <v>686262</v>
      </c>
      <c r="G16" s="154">
        <f t="shared" ref="G16" si="16">(H16-F16)/F16</f>
        <v>-0.23172345255893523</v>
      </c>
      <c r="H16" s="10">
        <f>'Otros Gastos'!H12</f>
        <v>527239</v>
      </c>
      <c r="I16" s="154">
        <f t="shared" ref="I16" si="17">(J16-H16)/H16</f>
        <v>-0.19635118039447005</v>
      </c>
      <c r="J16" s="10">
        <f>'Otros Gastos'!J12</f>
        <v>423715</v>
      </c>
      <c r="K16" s="154">
        <f t="shared" si="5"/>
        <v>8.9931617412976805E-4</v>
      </c>
    </row>
    <row r="17" spans="1:11" x14ac:dyDescent="0.25">
      <c r="A17" s="135" t="s">
        <v>265</v>
      </c>
      <c r="B17" s="12">
        <f>'Otros Gastos'!B23</f>
        <v>293988.45141898631</v>
      </c>
      <c r="C17" s="153">
        <f t="shared" si="0"/>
        <v>-0.23601420764688336</v>
      </c>
      <c r="D17" s="12">
        <f>'Otros Gastos'!D23</f>
        <v>224603</v>
      </c>
      <c r="E17" s="153">
        <f t="shared" si="0"/>
        <v>-0.12664122919106155</v>
      </c>
      <c r="F17" s="12">
        <f>'Otros Gastos'!F23</f>
        <v>196159</v>
      </c>
      <c r="G17" s="153">
        <f t="shared" ref="G17" si="18">(H17-F17)/F17</f>
        <v>1.1937968688665828</v>
      </c>
      <c r="H17" s="12">
        <f>'Otros Gastos'!H23</f>
        <v>430333</v>
      </c>
      <c r="I17" s="153">
        <f t="shared" ref="I17" si="19">(J17-H17)/H17</f>
        <v>-0.21903037879967374</v>
      </c>
      <c r="J17" s="12">
        <f>'Otros Gastos'!J23</f>
        <v>336077</v>
      </c>
      <c r="K17" s="153">
        <f t="shared" si="5"/>
        <v>0.27704714400954594</v>
      </c>
    </row>
    <row r="18" spans="1:11" x14ac:dyDescent="0.25">
      <c r="A18" s="48" t="s">
        <v>270</v>
      </c>
      <c r="B18" s="152">
        <f>SUM(B15:B17)</f>
        <v>1951107.5207875704</v>
      </c>
      <c r="C18" s="154">
        <f t="shared" si="0"/>
        <v>0.19107838765438304</v>
      </c>
      <c r="D18" s="152">
        <f t="shared" ref="D18" si="20">SUM(D15:D17)</f>
        <v>2323922</v>
      </c>
      <c r="E18" s="154">
        <f t="shared" si="0"/>
        <v>-0.12597195602950528</v>
      </c>
      <c r="F18" s="152">
        <f t="shared" ref="F18" si="21">SUM(F15:F17)</f>
        <v>2031173</v>
      </c>
      <c r="G18" s="154">
        <f t="shared" ref="G18" si="22">(H18-F18)/F18</f>
        <v>7.4828190410171858E-2</v>
      </c>
      <c r="H18" s="152">
        <f t="shared" ref="H18" si="23">SUM(H15:H17)</f>
        <v>2183162</v>
      </c>
      <c r="I18" s="154">
        <f t="shared" ref="I18" si="24">(J18-H18)/H18</f>
        <v>-0.30600477655803832</v>
      </c>
      <c r="J18" s="152">
        <f t="shared" ref="J18" si="25">SUM(J15:J17)</f>
        <v>1515104</v>
      </c>
      <c r="K18" s="154">
        <f t="shared" si="5"/>
        <v>4.6644874011683206E-2</v>
      </c>
    </row>
    <row r="19" spans="1:11" x14ac:dyDescent="0.25">
      <c r="A19" s="48"/>
      <c r="B19" s="152"/>
      <c r="C19" s="154"/>
      <c r="D19" s="152"/>
      <c r="E19" s="154"/>
      <c r="F19" s="152"/>
      <c r="G19" s="154"/>
      <c r="H19" s="152"/>
      <c r="I19" s="154"/>
      <c r="J19" s="152"/>
      <c r="K19" s="154"/>
    </row>
    <row r="20" spans="1:11" x14ac:dyDescent="0.25">
      <c r="A20" s="1" t="s">
        <v>262</v>
      </c>
      <c r="C20" s="154"/>
      <c r="E20" s="154"/>
      <c r="G20" s="154"/>
      <c r="I20" s="154"/>
      <c r="K20" s="154"/>
    </row>
    <row r="21" spans="1:11" x14ac:dyDescent="0.25">
      <c r="A21" s="175" t="s">
        <v>44</v>
      </c>
      <c r="B21" s="10">
        <f>-'Estado de Resultados'!B11</f>
        <v>10402945</v>
      </c>
      <c r="C21" s="154">
        <f t="shared" si="0"/>
        <v>8.9626639379521852E-2</v>
      </c>
      <c r="D21" s="10">
        <f>-'Estado de Resultados'!D11</f>
        <v>11335326</v>
      </c>
      <c r="E21" s="154">
        <f t="shared" si="0"/>
        <v>0.11894867425956696</v>
      </c>
      <c r="F21" s="10">
        <f>-'Estado de Resultados'!F11</f>
        <v>12683648</v>
      </c>
      <c r="G21" s="154">
        <f t="shared" ref="G21" si="26">(H21-F21)/F21</f>
        <v>-4.2049416697782843E-3</v>
      </c>
      <c r="H21" s="10">
        <f>-'Estado de Resultados'!H11</f>
        <v>12630314</v>
      </c>
      <c r="I21" s="154">
        <f t="shared" ref="I21" si="27">(J21-H21)/H21</f>
        <v>-0.31353274352482446</v>
      </c>
      <c r="J21" s="10">
        <f>-'Estado de Resultados'!J11</f>
        <v>8670297</v>
      </c>
      <c r="K21" s="154">
        <f t="shared" si="5"/>
        <v>6.8123457323103515E-2</v>
      </c>
    </row>
    <row r="22" spans="1:11" x14ac:dyDescent="0.25">
      <c r="A22" s="135" t="s">
        <v>235</v>
      </c>
      <c r="B22" s="10">
        <f>'Otros Gastos'!B8</f>
        <v>1004453.7278927838</v>
      </c>
      <c r="C22" s="154">
        <f t="shared" si="0"/>
        <v>-9.9310426277228678E-2</v>
      </c>
      <c r="D22" s="10">
        <f>'Otros Gastos'!D8</f>
        <v>904701</v>
      </c>
      <c r="E22" s="154">
        <f t="shared" si="0"/>
        <v>0.2092348742844321</v>
      </c>
      <c r="F22" s="10">
        <f>'Otros Gastos'!F8</f>
        <v>1093996</v>
      </c>
      <c r="G22" s="154">
        <f t="shared" ref="G22" si="28">(H22-F22)/F22</f>
        <v>0.10080475614170435</v>
      </c>
      <c r="H22" s="10">
        <f>'Otros Gastos'!H8</f>
        <v>1204276</v>
      </c>
      <c r="I22" s="154">
        <f t="shared" ref="I22" si="29">(J22-H22)/H22</f>
        <v>-0.24761433425560253</v>
      </c>
      <c r="J22" s="10">
        <f>'Otros Gastos'!J8</f>
        <v>906080</v>
      </c>
      <c r="K22" s="154">
        <f t="shared" si="5"/>
        <v>7.0243068049635926E-2</v>
      </c>
    </row>
    <row r="23" spans="1:11" x14ac:dyDescent="0.25">
      <c r="A23" s="135" t="s">
        <v>236</v>
      </c>
      <c r="B23" s="10">
        <f>'Otros Gastos'!B9</f>
        <v>832961.66567069711</v>
      </c>
      <c r="C23" s="154">
        <f t="shared" si="0"/>
        <v>7.7396520135645464E-2</v>
      </c>
      <c r="D23" s="10">
        <f>'Otros Gastos'!D9</f>
        <v>897430</v>
      </c>
      <c r="E23" s="154">
        <f t="shared" si="0"/>
        <v>2.9483079460236452E-2</v>
      </c>
      <c r="F23" s="10">
        <f>'Otros Gastos'!F9</f>
        <v>923889</v>
      </c>
      <c r="G23" s="154">
        <f t="shared" ref="G23" si="30">(H23-F23)/F23</f>
        <v>6.5191814168152236E-3</v>
      </c>
      <c r="H23" s="10">
        <f>'Otros Gastos'!H9</f>
        <v>929912</v>
      </c>
      <c r="I23" s="154">
        <f t="shared" ref="I23" si="31">(J23-H23)/H23</f>
        <v>-0.27230426104835725</v>
      </c>
      <c r="J23" s="10">
        <f>'Otros Gastos'!J9</f>
        <v>676693</v>
      </c>
      <c r="K23" s="154">
        <f t="shared" si="5"/>
        <v>3.7799593670899044E-2</v>
      </c>
    </row>
    <row r="24" spans="1:11" x14ac:dyDescent="0.25">
      <c r="A24" s="135" t="s">
        <v>238</v>
      </c>
      <c r="B24" s="10">
        <f>'Otros Gastos'!B11</f>
        <v>632025.10543385101</v>
      </c>
      <c r="C24" s="154">
        <f t="shared" si="0"/>
        <v>0.13953859397026647</v>
      </c>
      <c r="D24" s="10">
        <f>'Otros Gastos'!D11</f>
        <v>720217</v>
      </c>
      <c r="E24" s="154">
        <f t="shared" si="0"/>
        <v>3.10100983453598E-2</v>
      </c>
      <c r="F24" s="10">
        <f>'Otros Gastos'!F11</f>
        <v>742551</v>
      </c>
      <c r="G24" s="154">
        <f t="shared" ref="G24" si="32">(H24-F24)/F24</f>
        <v>-0.12005236003991646</v>
      </c>
      <c r="H24" s="10">
        <f>'Otros Gastos'!H11</f>
        <v>653406</v>
      </c>
      <c r="I24" s="154">
        <f t="shared" ref="I24" si="33">(J24-H24)/H24</f>
        <v>-0.24980945996822804</v>
      </c>
      <c r="J24" s="10">
        <f>'Otros Gastos'!J11</f>
        <v>490179</v>
      </c>
      <c r="K24" s="154">
        <f t="shared" si="5"/>
        <v>1.683211075856994E-2</v>
      </c>
    </row>
    <row r="25" spans="1:11" x14ac:dyDescent="0.25">
      <c r="A25" s="135" t="s">
        <v>240</v>
      </c>
      <c r="B25" s="10">
        <f>'Otros Gastos'!B13</f>
        <v>638027.03489884746</v>
      </c>
      <c r="C25" s="154">
        <f t="shared" si="0"/>
        <v>1.7748409521467751E-2</v>
      </c>
      <c r="D25" s="10">
        <f>'Otros Gastos'!D13</f>
        <v>649351</v>
      </c>
      <c r="E25" s="154">
        <f t="shared" si="0"/>
        <v>4.1647737510221744E-2</v>
      </c>
      <c r="F25" s="10">
        <f>'Otros Gastos'!F13</f>
        <v>676395</v>
      </c>
      <c r="G25" s="154">
        <f t="shared" ref="G25" si="34">(H25-F25)/F25</f>
        <v>8.5868464432764885E-2</v>
      </c>
      <c r="H25" s="10">
        <f>'Otros Gastos'!H13</f>
        <v>734476</v>
      </c>
      <c r="I25" s="154">
        <f t="shared" ref="I25" si="35">(J25-H25)/H25</f>
        <v>-0.24281256297006301</v>
      </c>
      <c r="J25" s="10">
        <f>'Otros Gastos'!J13</f>
        <v>556136</v>
      </c>
      <c r="K25" s="154">
        <f t="shared" si="5"/>
        <v>4.8421537154818124E-2</v>
      </c>
    </row>
    <row r="26" spans="1:11" x14ac:dyDescent="0.25">
      <c r="A26" s="135" t="s">
        <v>241</v>
      </c>
      <c r="B26" s="10">
        <f>'Otros Gastos'!B14</f>
        <v>504541.4687993158</v>
      </c>
      <c r="C26" s="154">
        <f t="shared" si="0"/>
        <v>0.42602549937511835</v>
      </c>
      <c r="D26" s="10">
        <f>'Otros Gastos'!D14</f>
        <v>719489</v>
      </c>
      <c r="E26" s="154">
        <f t="shared" si="0"/>
        <v>-6.246516624993572E-2</v>
      </c>
      <c r="F26" s="10">
        <f>'Otros Gastos'!F14</f>
        <v>674546</v>
      </c>
      <c r="G26" s="154">
        <f t="shared" ref="G26" si="36">(H26-F26)/F26</f>
        <v>-0.37963904611397886</v>
      </c>
      <c r="H26" s="10">
        <f>'Otros Gastos'!H14</f>
        <v>418462</v>
      </c>
      <c r="I26" s="154">
        <f t="shared" ref="I26" si="37">(J26-H26)/H26</f>
        <v>-0.29996272062935225</v>
      </c>
      <c r="J26" s="10">
        <f>'Otros Gastos'!J14</f>
        <v>292939</v>
      </c>
      <c r="K26" s="154">
        <f t="shared" si="5"/>
        <v>-5.3595709962654019E-3</v>
      </c>
    </row>
    <row r="27" spans="1:11" x14ac:dyDescent="0.25">
      <c r="A27" s="135" t="s">
        <v>243</v>
      </c>
      <c r="B27" s="10">
        <f>'Otros Gastos'!B16</f>
        <v>367781.91597015597</v>
      </c>
      <c r="C27" s="154">
        <f t="shared" si="0"/>
        <v>-7.442703075258647E-2</v>
      </c>
      <c r="D27" s="10">
        <f>'Otros Gastos'!D16</f>
        <v>340409</v>
      </c>
      <c r="E27" s="154">
        <f t="shared" si="0"/>
        <v>0.502363333519384</v>
      </c>
      <c r="F27" s="10">
        <f>'Otros Gastos'!F16</f>
        <v>511418</v>
      </c>
      <c r="G27" s="154">
        <f t="shared" ref="G27" si="38">(H27-F27)/F27</f>
        <v>-0.22158390983500775</v>
      </c>
      <c r="H27" s="10">
        <f>'Otros Gastos'!H16</f>
        <v>398096</v>
      </c>
      <c r="I27" s="154">
        <f t="shared" ref="I27" si="39">(J27-H27)/H27</f>
        <v>-0.32627054780756398</v>
      </c>
      <c r="J27" s="10">
        <f>'Otros Gastos'!J16</f>
        <v>268209</v>
      </c>
      <c r="K27" s="154">
        <f t="shared" si="5"/>
        <v>6.8784130977263255E-2</v>
      </c>
    </row>
    <row r="28" spans="1:11" x14ac:dyDescent="0.25">
      <c r="A28" s="135" t="s">
        <v>244</v>
      </c>
      <c r="B28" s="10">
        <f>'Otros Gastos'!B17</f>
        <v>265590.12179989181</v>
      </c>
      <c r="C28" s="154">
        <f t="shared" si="0"/>
        <v>0.40353488101812318</v>
      </c>
      <c r="D28" s="10">
        <f>'Otros Gastos'!D17</f>
        <v>372765</v>
      </c>
      <c r="E28" s="154">
        <f t="shared" si="0"/>
        <v>0.22025404745617211</v>
      </c>
      <c r="F28" s="10">
        <f>'Otros Gastos'!F17</f>
        <v>454868</v>
      </c>
      <c r="G28" s="154">
        <f t="shared" ref="G28" si="40">(H28-F28)/F28</f>
        <v>-0.92886727578110573</v>
      </c>
      <c r="H28" s="10">
        <f>'Otros Gastos'!H17</f>
        <v>32356</v>
      </c>
      <c r="I28" s="154">
        <f t="shared" ref="I28" si="41">(J28-H28)/H28</f>
        <v>6.0141550253430589</v>
      </c>
      <c r="J28" s="10">
        <f>'Otros Gastos'!J17</f>
        <v>226950</v>
      </c>
      <c r="K28" s="154">
        <f t="shared" si="5"/>
        <v>-0.10169278243560349</v>
      </c>
    </row>
    <row r="29" spans="1:11" x14ac:dyDescent="0.25">
      <c r="A29" s="135" t="s">
        <v>245</v>
      </c>
      <c r="B29" s="10">
        <f>'Otros Gastos'!B18</f>
        <v>565881.45324113488</v>
      </c>
      <c r="C29" s="154">
        <f t="shared" si="0"/>
        <v>-0.42058005590743114</v>
      </c>
      <c r="D29" s="10">
        <f>'Otros Gastos'!D18</f>
        <v>327883</v>
      </c>
      <c r="E29" s="154">
        <f t="shared" si="0"/>
        <v>0.24877776523942993</v>
      </c>
      <c r="F29" s="10">
        <f>'Otros Gastos'!F18</f>
        <v>409453</v>
      </c>
      <c r="G29" s="154">
        <f t="shared" ref="G29" si="42">(H29-F29)/F29</f>
        <v>0.41585481117490897</v>
      </c>
      <c r="H29" s="10">
        <f>'Otros Gastos'!H18</f>
        <v>579726</v>
      </c>
      <c r="I29" s="154">
        <f t="shared" ref="I29" si="43">(J29-H29)/H29</f>
        <v>0.55375642976164607</v>
      </c>
      <c r="J29" s="10">
        <f>'Otros Gastos'!J18</f>
        <v>900753</v>
      </c>
      <c r="K29" s="154">
        <f t="shared" si="5"/>
        <v>8.1350840168969249E-2</v>
      </c>
    </row>
    <row r="30" spans="1:11" x14ac:dyDescent="0.25">
      <c r="A30" s="135" t="s">
        <v>246</v>
      </c>
      <c r="B30" s="10">
        <f>'Otros Gastos'!B19</f>
        <v>326482.57591262186</v>
      </c>
      <c r="C30" s="154">
        <f t="shared" si="0"/>
        <v>0.54258461907868605</v>
      </c>
      <c r="D30" s="10">
        <f>'Otros Gastos'!D19</f>
        <v>503627</v>
      </c>
      <c r="E30" s="154">
        <f t="shared" si="0"/>
        <v>-0.35974044282772766</v>
      </c>
      <c r="F30" s="10">
        <f>'Otros Gastos'!F19</f>
        <v>322452</v>
      </c>
      <c r="G30" s="154">
        <f t="shared" ref="G30" si="44">(H30-F30)/F30</f>
        <v>8.0433676950367808E-2</v>
      </c>
      <c r="H30" s="10">
        <f>'Otros Gastos'!H19</f>
        <v>348388</v>
      </c>
      <c r="I30" s="154">
        <f t="shared" ref="I30" si="45">(J30-H30)/H30</f>
        <v>-0.45193290239617895</v>
      </c>
      <c r="J30" s="10">
        <f>'Otros Gastos'!J19</f>
        <v>190940</v>
      </c>
      <c r="K30" s="154">
        <f t="shared" si="5"/>
        <v>8.7759284400442061E-2</v>
      </c>
    </row>
    <row r="31" spans="1:11" x14ac:dyDescent="0.25">
      <c r="A31" s="135" t="s">
        <v>247</v>
      </c>
      <c r="B31" s="10">
        <f>'Otros Gastos'!B20</f>
        <v>251748.7569503843</v>
      </c>
      <c r="C31" s="154">
        <f t="shared" si="0"/>
        <v>0.30529343612514065</v>
      </c>
      <c r="D31" s="10">
        <f>'Otros Gastos'!D20</f>
        <v>328606</v>
      </c>
      <c r="E31" s="154">
        <f t="shared" si="0"/>
        <v>-0.13292818755591804</v>
      </c>
      <c r="F31" s="10">
        <f>'Otros Gastos'!F20</f>
        <v>284925</v>
      </c>
      <c r="G31" s="154">
        <f t="shared" ref="G31" si="46">(H31-F31)/F31</f>
        <v>-0.145210143020093</v>
      </c>
      <c r="H31" s="10">
        <f>'Otros Gastos'!H20</f>
        <v>243551</v>
      </c>
      <c r="I31" s="154">
        <f t="shared" ref="I31" si="47">(J31-H31)/H31</f>
        <v>-0.24216693834145619</v>
      </c>
      <c r="J31" s="10">
        <f>'Otros Gastos'!J20</f>
        <v>184571</v>
      </c>
      <c r="K31" s="154">
        <f t="shared" si="5"/>
        <v>9.0517018497098724E-3</v>
      </c>
    </row>
    <row r="32" spans="1:11" x14ac:dyDescent="0.25">
      <c r="A32" s="135" t="s">
        <v>248</v>
      </c>
      <c r="B32" s="10">
        <f>'Otros Gastos'!B21</f>
        <v>263668.53856289381</v>
      </c>
      <c r="C32" s="154">
        <f t="shared" si="0"/>
        <v>0.14469857361463528</v>
      </c>
      <c r="D32" s="10">
        <f>'Otros Gastos'!D21</f>
        <v>301821</v>
      </c>
      <c r="E32" s="154">
        <f t="shared" si="0"/>
        <v>-6.8818935726804961E-2</v>
      </c>
      <c r="F32" s="10">
        <f>'Otros Gastos'!F21</f>
        <v>281050</v>
      </c>
      <c r="G32" s="154">
        <f t="shared" ref="G32" si="48">(H32-F32)/F32</f>
        <v>6.4436932930083618E-3</v>
      </c>
      <c r="H32" s="10">
        <f>'Otros Gastos'!H21</f>
        <v>282861</v>
      </c>
      <c r="I32" s="154">
        <f t="shared" ref="I32" si="49">(J32-H32)/H32</f>
        <v>-0.22686407811610651</v>
      </c>
      <c r="J32" s="10">
        <f>'Otros Gastos'!J21</f>
        <v>218690</v>
      </c>
      <c r="K32" s="154">
        <f t="shared" si="5"/>
        <v>2.7441110393612897E-2</v>
      </c>
    </row>
    <row r="33" spans="1:11" x14ac:dyDescent="0.25">
      <c r="A33" s="135" t="s">
        <v>249</v>
      </c>
      <c r="B33" s="10">
        <f>'Otros Gastos'!B22</f>
        <v>199982.21992044934</v>
      </c>
      <c r="C33" s="154">
        <f t="shared" si="0"/>
        <v>-8.8068825376072454E-3</v>
      </c>
      <c r="D33" s="10">
        <f>'Otros Gastos'!D22</f>
        <v>198221</v>
      </c>
      <c r="E33" s="154">
        <f t="shared" si="0"/>
        <v>-7.1586764268165327E-3</v>
      </c>
      <c r="F33" s="10">
        <f>'Otros Gastos'!F22</f>
        <v>196802</v>
      </c>
      <c r="G33" s="154">
        <f t="shared" ref="G33" si="50">(H33-F33)/F33</f>
        <v>6.616294549852135E-2</v>
      </c>
      <c r="H33" s="10">
        <f>'Otros Gastos'!H22</f>
        <v>209823</v>
      </c>
      <c r="I33" s="154">
        <f t="shared" ref="I33" si="51">(J33-H33)/H33</f>
        <v>-1.2910882029138846E-2</v>
      </c>
      <c r="J33" s="10">
        <f>'Otros Gastos'!J22</f>
        <v>207114</v>
      </c>
      <c r="K33" s="154">
        <f t="shared" si="5"/>
        <v>1.6732462178032523E-2</v>
      </c>
    </row>
    <row r="34" spans="1:11" x14ac:dyDescent="0.25">
      <c r="A34" s="135" t="s">
        <v>251</v>
      </c>
      <c r="B34" s="10">
        <f>'Otros Gastos'!B24</f>
        <v>143384.91516122076</v>
      </c>
      <c r="C34" s="154">
        <f t="shared" si="0"/>
        <v>0.12862639572678891</v>
      </c>
      <c r="D34" s="10">
        <f>'Otros Gastos'!D24</f>
        <v>161828</v>
      </c>
      <c r="E34" s="154">
        <f t="shared" si="0"/>
        <v>7.9015992288108364E-2</v>
      </c>
      <c r="F34" s="10">
        <f>'Otros Gastos'!F24</f>
        <v>174615</v>
      </c>
      <c r="G34" s="154">
        <f t="shared" ref="G34" si="52">(H34-F34)/F34</f>
        <v>-0.19744008246714201</v>
      </c>
      <c r="H34" s="10">
        <f>'Otros Gastos'!H24</f>
        <v>140139</v>
      </c>
      <c r="I34" s="154">
        <f t="shared" ref="I34" si="53">(J34-H34)/H34</f>
        <v>-0.18757091173763193</v>
      </c>
      <c r="J34" s="10">
        <f>'Otros Gastos'!J24</f>
        <v>113853</v>
      </c>
      <c r="K34" s="154">
        <f t="shared" si="5"/>
        <v>3.4007685159184176E-3</v>
      </c>
    </row>
    <row r="35" spans="1:11" x14ac:dyDescent="0.25">
      <c r="A35" s="135" t="s">
        <v>252</v>
      </c>
      <c r="B35" s="10">
        <f>'Otros Gastos'!B25</f>
        <v>136957.10058445725</v>
      </c>
      <c r="C35" s="154">
        <f t="shared" si="0"/>
        <v>9.0896341718813584E-2</v>
      </c>
      <c r="D35" s="10">
        <f>'Otros Gastos'!D25</f>
        <v>149406</v>
      </c>
      <c r="E35" s="154">
        <f t="shared" si="0"/>
        <v>6.3116608436073515E-2</v>
      </c>
      <c r="F35" s="10">
        <f>'Otros Gastos'!F25</f>
        <v>158836</v>
      </c>
      <c r="G35" s="154">
        <f t="shared" ref="G35" si="54">(H35-F35)/F35</f>
        <v>-0.15954191744944471</v>
      </c>
      <c r="H35" s="10">
        <f>'Otros Gastos'!H25</f>
        <v>133495</v>
      </c>
      <c r="I35" s="154">
        <f t="shared" ref="I35" si="55">(J35-H35)/H35</f>
        <v>-0.1041761863740215</v>
      </c>
      <c r="J35" s="10">
        <f>'Otros Gastos'!J25</f>
        <v>119588</v>
      </c>
      <c r="K35" s="154">
        <f t="shared" si="5"/>
        <v>-1.8429890981858748E-3</v>
      </c>
    </row>
    <row r="36" spans="1:11" x14ac:dyDescent="0.25">
      <c r="A36" s="135" t="s">
        <v>253</v>
      </c>
      <c r="B36" s="10">
        <f>'Otros Gastos'!B26</f>
        <v>256562.30457816401</v>
      </c>
      <c r="C36" s="154">
        <f t="shared" si="0"/>
        <v>-0.38740026420320545</v>
      </c>
      <c r="D36" s="10">
        <f>'Otros Gastos'!D26</f>
        <v>157170</v>
      </c>
      <c r="E36" s="154">
        <f t="shared" si="0"/>
        <v>-0.22214163008207674</v>
      </c>
      <c r="F36" s="10">
        <f>'Otros Gastos'!F26</f>
        <v>122256</v>
      </c>
      <c r="G36" s="154">
        <f t="shared" ref="G36" si="56">(H36-F36)/F36</f>
        <v>-0.2850739432011517</v>
      </c>
      <c r="H36" s="10">
        <f>'Otros Gastos'!H26</f>
        <v>87404</v>
      </c>
      <c r="I36" s="154">
        <f t="shared" ref="I36" si="57">(J36-H36)/H36</f>
        <v>5.7838085213491377</v>
      </c>
      <c r="J36" s="10">
        <f>'Otros Gastos'!J26</f>
        <v>592932</v>
      </c>
      <c r="K36" s="154">
        <f t="shared" si="5"/>
        <v>-0.29820527916214462</v>
      </c>
    </row>
    <row r="37" spans="1:11" x14ac:dyDescent="0.25">
      <c r="A37" s="135" t="s">
        <v>254</v>
      </c>
      <c r="B37" s="10">
        <f>'Otros Gastos'!B27</f>
        <v>58440.613508044145</v>
      </c>
      <c r="C37" s="154">
        <f t="shared" si="0"/>
        <v>0.31906555001153852</v>
      </c>
      <c r="D37" s="10">
        <f>'Otros Gastos'!D27</f>
        <v>77087</v>
      </c>
      <c r="E37" s="154">
        <f t="shared" si="0"/>
        <v>-0.10415504559783102</v>
      </c>
      <c r="F37" s="10">
        <f>'Otros Gastos'!F27</f>
        <v>69058</v>
      </c>
      <c r="G37" s="154">
        <f t="shared" ref="G37" si="58">(H37-F37)/F37</f>
        <v>-0.14159112629963219</v>
      </c>
      <c r="H37" s="10">
        <f>'Otros Gastos'!H27</f>
        <v>59280</v>
      </c>
      <c r="I37" s="154">
        <f t="shared" ref="I37" si="59">(J37-H37)/H37</f>
        <v>-0.36482793522267204</v>
      </c>
      <c r="J37" s="10">
        <f>'Otros Gastos'!J27</f>
        <v>37653</v>
      </c>
      <c r="K37" s="154">
        <f t="shared" si="5"/>
        <v>2.4439792704691776E-2</v>
      </c>
    </row>
    <row r="38" spans="1:11" x14ac:dyDescent="0.25">
      <c r="A38" s="135" t="s">
        <v>256</v>
      </c>
      <c r="B38" s="10">
        <f>'Otros Gastos'!B29</f>
        <v>88218.057034609054</v>
      </c>
      <c r="C38" s="154">
        <f t="shared" si="0"/>
        <v>0.62856681306908457</v>
      </c>
      <c r="D38" s="10">
        <f>'Otros Gastos'!D29</f>
        <v>143669</v>
      </c>
      <c r="E38" s="154">
        <f t="shared" si="0"/>
        <v>-0.79094307053017698</v>
      </c>
      <c r="F38" s="10">
        <f>'Otros Gastos'!F29</f>
        <v>30035</v>
      </c>
      <c r="G38" s="154">
        <f t="shared" ref="G38" si="60">(H38-F38)/F38</f>
        <v>4.4442150824038622</v>
      </c>
      <c r="H38" s="10">
        <f>'Otros Gastos'!H29</f>
        <v>163517</v>
      </c>
      <c r="I38" s="154">
        <f t="shared" ref="I38" si="61">(J38-H38)/H38</f>
        <v>-0.77355871254976549</v>
      </c>
      <c r="J38" s="10">
        <f>'Otros Gastos'!J29</f>
        <v>37027</v>
      </c>
      <c r="K38" s="154">
        <f>AVERAGE(C38,E38,G38)</f>
        <v>1.4272796083142565</v>
      </c>
    </row>
    <row r="39" spans="1:11" x14ac:dyDescent="0.25">
      <c r="A39" s="135" t="s">
        <v>257</v>
      </c>
      <c r="B39" s="10">
        <f>'Otros Gastos'!B30</f>
        <v>14911.434448148817</v>
      </c>
      <c r="C39" s="154">
        <f t="shared" si="0"/>
        <v>0.24065864114747768</v>
      </c>
      <c r="D39" s="10">
        <f>'Otros Gastos'!D30</f>
        <v>18500</v>
      </c>
      <c r="E39" s="154">
        <f t="shared" si="0"/>
        <v>0</v>
      </c>
      <c r="F39" s="10">
        <f>'Otros Gastos'!F30</f>
        <v>18500</v>
      </c>
      <c r="G39" s="154">
        <f t="shared" ref="G39" si="62">(H39-F39)/F39</f>
        <v>-0.29729729729729731</v>
      </c>
      <c r="H39" s="10">
        <f>'Otros Gastos'!H30</f>
        <v>13000</v>
      </c>
      <c r="I39" s="154">
        <f t="shared" ref="I39" si="63">(J39-H39)/H39</f>
        <v>-0.11538461538461539</v>
      </c>
      <c r="J39" s="10">
        <f>'Otros Gastos'!J30</f>
        <v>11500</v>
      </c>
      <c r="K39" s="154">
        <f t="shared" si="5"/>
        <v>-1.8879552049939879E-2</v>
      </c>
    </row>
    <row r="40" spans="1:11" x14ac:dyDescent="0.25">
      <c r="A40" s="135" t="s">
        <v>258</v>
      </c>
      <c r="B40" s="12">
        <f>'Otros Gastos'!B31</f>
        <v>6628.5201571679327</v>
      </c>
      <c r="C40" s="153">
        <f t="shared" si="0"/>
        <v>0.52371868237861319</v>
      </c>
      <c r="D40" s="12">
        <f>'Otros Gastos'!D31</f>
        <v>10100</v>
      </c>
      <c r="E40" s="153">
        <f t="shared" si="0"/>
        <v>-0.15841584158415842</v>
      </c>
      <c r="F40" s="12">
        <f>'Otros Gastos'!F31</f>
        <v>8500</v>
      </c>
      <c r="G40" s="153">
        <f t="shared" ref="G40" si="64">(H40-F40)/F40</f>
        <v>-0.11764705882352941</v>
      </c>
      <c r="H40" s="12">
        <f>'Otros Gastos'!H31</f>
        <v>7500</v>
      </c>
      <c r="I40" s="153">
        <f t="shared" ref="I40" si="65">(J40-H40)/H40</f>
        <v>-0.72773333333333334</v>
      </c>
      <c r="J40" s="12">
        <f>'Otros Gastos'!J31</f>
        <v>2042</v>
      </c>
      <c r="K40" s="153">
        <f t="shared" si="5"/>
        <v>8.2551927323641777E-2</v>
      </c>
    </row>
    <row r="41" spans="1:11" x14ac:dyDescent="0.25">
      <c r="A41" s="48" t="s">
        <v>322</v>
      </c>
      <c r="B41" s="152">
        <f>SUM(B21:B40)</f>
        <v>16961192.530524839</v>
      </c>
      <c r="C41" s="154">
        <f t="shared" si="0"/>
        <v>7.9971586139007705E-2</v>
      </c>
      <c r="D41" s="152">
        <f t="shared" ref="D41" si="66">SUM(D21:D40)</f>
        <v>18317606</v>
      </c>
      <c r="E41" s="154">
        <f t="shared" si="0"/>
        <v>8.2990484673597625E-2</v>
      </c>
      <c r="F41" s="152">
        <f t="shared" ref="F41" si="67">SUM(F21:F40)</f>
        <v>19837793</v>
      </c>
      <c r="G41" s="154">
        <f t="shared" ref="G41" si="68">(H41-F41)/F41</f>
        <v>-2.8622690034118211E-2</v>
      </c>
      <c r="H41" s="152">
        <f t="shared" ref="H41" si="69">SUM(H21:H40)</f>
        <v>19269982</v>
      </c>
      <c r="I41" s="154">
        <f t="shared" ref="I41" si="70">(J41-H41)/H41</f>
        <v>-0.23694033549175084</v>
      </c>
      <c r="J41" s="152">
        <f t="shared" ref="J41" si="71">SUM(J21:J40)</f>
        <v>14704146</v>
      </c>
      <c r="K41" s="154">
        <f t="shared" si="5"/>
        <v>4.4779793592829041E-2</v>
      </c>
    </row>
    <row r="42" spans="1:11" x14ac:dyDescent="0.25">
      <c r="C42" s="154"/>
      <c r="E42" s="154"/>
      <c r="G42" s="154"/>
      <c r="I42" s="154"/>
      <c r="K42" s="154"/>
    </row>
    <row r="43" spans="1:11" x14ac:dyDescent="0.25">
      <c r="A43" s="1" t="s">
        <v>267</v>
      </c>
      <c r="C43" s="154"/>
      <c r="E43" s="154"/>
      <c r="G43" s="154"/>
      <c r="I43" s="154"/>
      <c r="K43" s="154"/>
    </row>
    <row r="44" spans="1:11" x14ac:dyDescent="0.25">
      <c r="A44" s="175" t="s">
        <v>43</v>
      </c>
      <c r="B44" s="10">
        <f>-'Estado de Resultados'!B10</f>
        <v>1326140</v>
      </c>
      <c r="C44" s="154">
        <f t="shared" si="0"/>
        <v>0.16554209962749031</v>
      </c>
      <c r="D44" s="10">
        <f>-'Estado de Resultados'!D10</f>
        <v>1545672</v>
      </c>
      <c r="E44" s="154">
        <f t="shared" si="0"/>
        <v>-3.2868551672023558E-2</v>
      </c>
      <c r="F44" s="10">
        <f>-'Estado de Resultados'!F10</f>
        <v>1494868</v>
      </c>
      <c r="G44" s="154">
        <f t="shared" ref="G44" si="72">(H44-F44)/F44</f>
        <v>-0.11745050399098783</v>
      </c>
      <c r="H44" s="10">
        <f>-'Estado de Resultados'!H10</f>
        <v>1319295</v>
      </c>
      <c r="I44" s="154">
        <f t="shared" ref="I44" si="73">(J44-H44)/H44</f>
        <v>-0.42290465741172367</v>
      </c>
      <c r="J44" s="10">
        <f>-'Estado de Resultados'!J10</f>
        <v>761359</v>
      </c>
      <c r="K44" s="154">
        <f t="shared" si="5"/>
        <v>5.0743479881596443E-3</v>
      </c>
    </row>
    <row r="45" spans="1:11" x14ac:dyDescent="0.25">
      <c r="A45" s="135" t="s">
        <v>255</v>
      </c>
      <c r="B45" s="12">
        <f>'Otros Gastos'!B28</f>
        <v>61011.717199327279</v>
      </c>
      <c r="C45" s="153">
        <f t="shared" si="0"/>
        <v>-1</v>
      </c>
      <c r="D45" s="12">
        <f>'Otros Gastos'!D28</f>
        <v>0</v>
      </c>
      <c r="E45" s="153">
        <v>0</v>
      </c>
      <c r="F45" s="12">
        <f>'Otros Gastos'!F28</f>
        <v>51891</v>
      </c>
      <c r="G45" s="153">
        <f t="shared" ref="G45" si="74">(H45-F45)/F45</f>
        <v>0.94866161762155288</v>
      </c>
      <c r="H45" s="12">
        <f>'Otros Gastos'!H28</f>
        <v>101118</v>
      </c>
      <c r="I45" s="153">
        <f t="shared" ref="I45" si="75">(J45-H45)/H45</f>
        <v>-0.13078779248007277</v>
      </c>
      <c r="J45" s="12">
        <f>'Otros Gastos'!J28</f>
        <v>87893</v>
      </c>
      <c r="K45" s="153">
        <f t="shared" si="5"/>
        <v>-1.711279412614904E-2</v>
      </c>
    </row>
    <row r="46" spans="1:11" x14ac:dyDescent="0.25">
      <c r="A46" s="48" t="s">
        <v>271</v>
      </c>
      <c r="B46" s="152">
        <f>SUM(B44:B45)</f>
        <v>1387151.7171993272</v>
      </c>
      <c r="C46" s="154">
        <f t="shared" si="0"/>
        <v>0.11427753780294977</v>
      </c>
      <c r="D46" s="152">
        <f t="shared" ref="D46" si="76">SUM(D44:D45)</f>
        <v>1545672</v>
      </c>
      <c r="E46" s="154">
        <f t="shared" si="0"/>
        <v>7.0325398920340152E-4</v>
      </c>
      <c r="F46" s="152">
        <f t="shared" ref="F46" si="77">SUM(F44:F45)</f>
        <v>1546759</v>
      </c>
      <c r="G46" s="154">
        <f t="shared" ref="G46" si="78">(H46-F46)/F46</f>
        <v>-8.168434772320704E-2</v>
      </c>
      <c r="H46" s="152">
        <f t="shared" ref="H46" si="79">SUM(H44:H45)</f>
        <v>1420413</v>
      </c>
      <c r="I46" s="154">
        <f t="shared" ref="I46" si="80">(J46-H46)/H46</f>
        <v>-0.40210910488709972</v>
      </c>
      <c r="J46" s="152">
        <f t="shared" ref="J46" si="81">SUM(J44:J45)</f>
        <v>849252</v>
      </c>
      <c r="K46" s="154">
        <f t="shared" si="5"/>
        <v>1.1098814689648712E-2</v>
      </c>
    </row>
    <row r="47" spans="1:11" x14ac:dyDescent="0.25">
      <c r="A47" s="48"/>
      <c r="B47" s="152"/>
      <c r="C47" s="154"/>
      <c r="D47" s="152"/>
      <c r="E47" s="154"/>
      <c r="F47" s="152"/>
      <c r="G47" s="154"/>
      <c r="H47" s="152"/>
      <c r="I47" s="154"/>
      <c r="J47" s="152"/>
      <c r="K47" s="154"/>
    </row>
    <row r="48" spans="1:11" x14ac:dyDescent="0.25">
      <c r="A48" s="1" t="s">
        <v>268</v>
      </c>
      <c r="C48" s="154"/>
      <c r="E48" s="154"/>
      <c r="G48" s="154"/>
      <c r="I48" s="154"/>
      <c r="K48" s="154"/>
    </row>
    <row r="49" spans="1:11" x14ac:dyDescent="0.25">
      <c r="A49" s="175" t="s">
        <v>45</v>
      </c>
      <c r="B49" s="12">
        <f>-'Estado de Resultados'!B12</f>
        <v>1309205</v>
      </c>
      <c r="C49" s="153">
        <f t="shared" si="0"/>
        <v>-7.478355185016862E-2</v>
      </c>
      <c r="D49" s="12">
        <f>-'Estado de Resultados'!D12</f>
        <v>1211298</v>
      </c>
      <c r="E49" s="153">
        <f t="shared" si="0"/>
        <v>2.9874564310351376E-2</v>
      </c>
      <c r="F49" s="12">
        <f>-'Estado de Resultados'!F12</f>
        <v>1247485</v>
      </c>
      <c r="G49" s="153">
        <f t="shared" ref="G49" si="82">(H49-F49)/F49</f>
        <v>2.6108530363090538E-2</v>
      </c>
      <c r="H49" s="12">
        <f>-'Estado de Resultados'!H12</f>
        <v>1280055</v>
      </c>
      <c r="I49" s="153">
        <f t="shared" ref="I49" si="83">(J49-H49)/H49</f>
        <v>-0.29613805656788184</v>
      </c>
      <c r="J49" s="12">
        <f>-'Estado de Resultados'!J12</f>
        <v>900982</v>
      </c>
      <c r="K49" s="153">
        <f t="shared" si="5"/>
        <v>-6.2668190589089019E-3</v>
      </c>
    </row>
    <row r="50" spans="1:11" x14ac:dyDescent="0.25">
      <c r="A50" s="48" t="s">
        <v>272</v>
      </c>
      <c r="B50" s="152">
        <f>SUM(B49)</f>
        <v>1309205</v>
      </c>
      <c r="C50" s="154">
        <f t="shared" si="0"/>
        <v>-7.478355185016862E-2</v>
      </c>
      <c r="D50" s="152">
        <f t="shared" ref="D50" si="84">SUM(D49)</f>
        <v>1211298</v>
      </c>
      <c r="E50" s="154">
        <f t="shared" si="0"/>
        <v>2.9874564310351376E-2</v>
      </c>
      <c r="F50" s="152">
        <f t="shared" ref="F50" si="85">SUM(F49)</f>
        <v>1247485</v>
      </c>
      <c r="G50" s="154">
        <f t="shared" ref="G50:G57" si="86">(H50-F50)/F50</f>
        <v>2.6108530363090538E-2</v>
      </c>
      <c r="H50" s="152">
        <f t="shared" ref="H50" si="87">SUM(H49)</f>
        <v>1280055</v>
      </c>
      <c r="I50" s="154">
        <f t="shared" ref="I50:I57" si="88">(J50-H50)/H50</f>
        <v>-0.29613805656788184</v>
      </c>
      <c r="J50" s="152">
        <f t="shared" ref="J50" si="89">SUM(J49)</f>
        <v>900982</v>
      </c>
      <c r="K50" s="154">
        <f t="shared" si="5"/>
        <v>-6.2668190589089019E-3</v>
      </c>
    </row>
    <row r="51" spans="1:11" s="236" customFormat="1" x14ac:dyDescent="0.25">
      <c r="C51" s="237"/>
      <c r="E51" s="237"/>
      <c r="G51" s="237"/>
      <c r="I51" s="237"/>
      <c r="K51" s="237"/>
    </row>
    <row r="52" spans="1:11" s="236" customFormat="1" x14ac:dyDescent="0.25">
      <c r="C52" s="237"/>
      <c r="E52" s="237"/>
      <c r="G52" s="237"/>
      <c r="I52" s="237"/>
      <c r="K52" s="237"/>
    </row>
    <row r="53" spans="1:11" x14ac:dyDescent="0.25">
      <c r="A53" s="48" t="s">
        <v>331</v>
      </c>
      <c r="B53" s="10">
        <f>B12+B18+B41+B46+B50</f>
        <v>111001760.99999999</v>
      </c>
      <c r="C53" s="154">
        <f t="shared" ref="C53" si="90">(D53-B53)/B53</f>
        <v>8.3313462026967447E-2</v>
      </c>
      <c r="D53" s="10">
        <f t="shared" ref="D53:J53" si="91">D12+D18+D41+D46+D50</f>
        <v>120249702</v>
      </c>
      <c r="E53" s="154">
        <f t="shared" ref="E53" si="92">(F53-D53)/D53</f>
        <v>4.5732263020493803E-2</v>
      </c>
      <c r="F53" s="10">
        <f t="shared" si="91"/>
        <v>125748993</v>
      </c>
      <c r="G53" s="154">
        <f t="shared" si="86"/>
        <v>-0.12218539992602565</v>
      </c>
      <c r="H53" s="10">
        <f t="shared" si="91"/>
        <v>110384302</v>
      </c>
      <c r="I53" s="154">
        <f t="shared" si="88"/>
        <v>-0.25304530167704464</v>
      </c>
      <c r="J53" s="10">
        <f t="shared" si="91"/>
        <v>82452073</v>
      </c>
      <c r="K53" s="154">
        <f t="shared" si="5"/>
        <v>2.2867750404785372E-3</v>
      </c>
    </row>
    <row r="54" spans="1:11" x14ac:dyDescent="0.25">
      <c r="C54" s="154"/>
      <c r="E54" s="154"/>
      <c r="G54" s="154"/>
      <c r="I54" s="154"/>
      <c r="K54" s="154"/>
    </row>
    <row r="55" spans="1:11" x14ac:dyDescent="0.25">
      <c r="A55" s="48" t="s">
        <v>332</v>
      </c>
      <c r="B55" s="10">
        <f>('Estado de Resultados'!B6+'Estado de Resultados'!B7)-'Análisis de Costos de Operación'!B53</f>
        <v>-685292.9999999851</v>
      </c>
      <c r="C55" s="154">
        <f t="shared" ref="C55:C57" si="93">(D55-B55)/B55</f>
        <v>-1.223596330328784</v>
      </c>
      <c r="D55" s="10">
        <f>('Estado de Resultados'!D6+'Estado de Resultados'!D7)-'Análisis de Costos de Operación'!D53</f>
        <v>153229</v>
      </c>
      <c r="E55" s="154">
        <f t="shared" ref="E55:E57" si="94">(F55-D55)/D55</f>
        <v>-2.0081250938138342</v>
      </c>
      <c r="F55" s="10">
        <f>('Estado de Resultados'!F6+'Estado de Resultados'!F7)-'Análisis de Costos de Operación'!F53</f>
        <v>-154474</v>
      </c>
      <c r="G55" s="154">
        <f t="shared" si="86"/>
        <v>24.784785789194299</v>
      </c>
      <c r="H55" s="10">
        <f>('Estado de Resultados'!H6+'Estado de Resultados'!H7)-'Análisis de Costos de Operación'!H53</f>
        <v>-3983079</v>
      </c>
      <c r="I55" s="154">
        <f t="shared" si="88"/>
        <v>-0.25998053264823517</v>
      </c>
      <c r="J55" s="10">
        <f>('Estado de Resultados'!J6+'Estado de Resultados'!J7)-'Análisis de Costos de Operación'!J53</f>
        <v>-2947556</v>
      </c>
      <c r="K55" s="154">
        <f t="shared" si="5"/>
        <v>7.1843547883505607</v>
      </c>
    </row>
    <row r="56" spans="1:11" x14ac:dyDescent="0.25">
      <c r="C56" s="154"/>
      <c r="E56" s="154"/>
      <c r="G56" s="154"/>
      <c r="I56" s="154"/>
      <c r="K56" s="154"/>
    </row>
    <row r="57" spans="1:11" x14ac:dyDescent="0.25">
      <c r="A57" s="48" t="s">
        <v>48</v>
      </c>
      <c r="B57" s="10">
        <f>'Estado de Resultados'!B19</f>
        <v>17308</v>
      </c>
      <c r="C57" s="154">
        <f t="shared" si="93"/>
        <v>-1.6849433787843773</v>
      </c>
      <c r="D57" s="10">
        <f>'Estado de Resultados'!D19</f>
        <v>-11855</v>
      </c>
      <c r="E57" s="154">
        <f t="shared" si="94"/>
        <v>-0.68291859974694225</v>
      </c>
      <c r="F57" s="10">
        <f>'Estado de Resultados'!F19</f>
        <v>-3759</v>
      </c>
      <c r="G57" s="154">
        <f t="shared" si="86"/>
        <v>0.49215216812982177</v>
      </c>
      <c r="H57" s="10">
        <f>'Estado de Resultados'!H19</f>
        <v>-5609</v>
      </c>
      <c r="I57" s="154">
        <f t="shared" si="88"/>
        <v>-11.11766803351756</v>
      </c>
      <c r="J57" s="10">
        <f>'Estado de Resultados'!J19</f>
        <v>56750</v>
      </c>
      <c r="K57" s="154">
        <f t="shared" si="5"/>
        <v>-0.62523660346716592</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298DC-3735-4333-8F95-F622D22E8176}">
  <sheetPr>
    <tabColor theme="0"/>
  </sheetPr>
  <dimension ref="A1:P57"/>
  <sheetViews>
    <sheetView showGridLines="0" zoomScale="80" zoomScaleNormal="80" workbookViewId="0">
      <pane xSplit="1" topLeftCell="B1" activePane="topRight" state="frozen"/>
      <selection pane="topRight" sqref="A1:A3"/>
    </sheetView>
  </sheetViews>
  <sheetFormatPr defaultRowHeight="15" x14ac:dyDescent="0.25"/>
  <cols>
    <col min="1" max="1" width="43.7109375" style="135" customWidth="1"/>
    <col min="2" max="2" width="16.7109375" customWidth="1"/>
    <col min="3" max="3" width="10.7109375" style="174" customWidth="1"/>
    <col min="4" max="4" width="16.7109375" customWidth="1"/>
    <col min="5" max="5" width="10.85546875" customWidth="1"/>
    <col min="6" max="6" width="16.7109375" customWidth="1"/>
    <col min="7" max="7" width="10.85546875" customWidth="1"/>
    <col min="8" max="8" width="16.7109375" customWidth="1"/>
    <col min="9" max="9" width="11.7109375" customWidth="1"/>
    <col min="10" max="10" width="16.7109375" customWidth="1"/>
    <col min="11" max="11" width="10.7109375" customWidth="1"/>
    <col min="12" max="12" width="10.7109375" style="340" customWidth="1"/>
    <col min="13" max="13" width="9.28515625" bestFit="1" customWidth="1"/>
    <col min="15" max="15" width="0" hidden="1" customWidth="1"/>
    <col min="16" max="16" width="20.85546875" bestFit="1" customWidth="1"/>
  </cols>
  <sheetData>
    <row r="1" spans="1:16" x14ac:dyDescent="0.25">
      <c r="A1" s="667" t="s">
        <v>0</v>
      </c>
    </row>
    <row r="2" spans="1:16" x14ac:dyDescent="0.25">
      <c r="A2" s="249" t="s">
        <v>259</v>
      </c>
    </row>
    <row r="3" spans="1:16" x14ac:dyDescent="0.25">
      <c r="A3" s="249" t="s">
        <v>602</v>
      </c>
    </row>
    <row r="4" spans="1:16" hidden="1" x14ac:dyDescent="0.25"/>
    <row r="5" spans="1:16" ht="14.45" customHeight="1" x14ac:dyDescent="0.25">
      <c r="E5" s="174"/>
      <c r="G5" s="174"/>
      <c r="I5" s="174"/>
      <c r="K5" s="174"/>
      <c r="L5" s="443"/>
      <c r="M5" s="192" t="s">
        <v>92</v>
      </c>
      <c r="N5" s="264" t="s">
        <v>418</v>
      </c>
      <c r="O5" s="301" t="s">
        <v>131</v>
      </c>
    </row>
    <row r="6" spans="1:16" s="27" customFormat="1" ht="44.45" customHeight="1" x14ac:dyDescent="0.25">
      <c r="A6" s="135"/>
      <c r="B6" s="167">
        <v>2013</v>
      </c>
      <c r="C6" s="445" t="s">
        <v>337</v>
      </c>
      <c r="D6" s="167">
        <v>2014</v>
      </c>
      <c r="E6" s="445" t="s">
        <v>337</v>
      </c>
      <c r="F6" s="167">
        <v>2015</v>
      </c>
      <c r="G6" s="445" t="s">
        <v>337</v>
      </c>
      <c r="H6" s="167">
        <v>2016</v>
      </c>
      <c r="I6" s="445" t="s">
        <v>337</v>
      </c>
      <c r="J6" s="3">
        <v>42887</v>
      </c>
      <c r="K6" s="445" t="s">
        <v>337</v>
      </c>
      <c r="L6" s="443"/>
      <c r="M6" s="193"/>
      <c r="N6" s="296"/>
      <c r="O6" s="302"/>
    </row>
    <row r="7" spans="1:16" x14ac:dyDescent="0.25">
      <c r="A7" s="2" t="s">
        <v>260</v>
      </c>
      <c r="C7" s="177"/>
      <c r="E7" s="177"/>
      <c r="G7" s="177"/>
      <c r="I7" s="177"/>
      <c r="K7" s="177"/>
      <c r="L7" s="449"/>
      <c r="M7" s="193"/>
      <c r="N7" s="295"/>
      <c r="O7" s="303"/>
    </row>
    <row r="8" spans="1:16" x14ac:dyDescent="0.25">
      <c r="A8" s="135" t="s">
        <v>264</v>
      </c>
      <c r="B8" s="10">
        <f>-'Estado de Resultados'!B9</f>
        <v>90537704</v>
      </c>
      <c r="C8" s="177">
        <f>ABS(B8/('Estado de Resultados'!B6))</f>
        <v>0.82367862254588564</v>
      </c>
      <c r="D8" s="10">
        <f>-'Estado de Resultados'!D9</f>
        <v>90891061</v>
      </c>
      <c r="E8" s="177">
        <f>ABS(D8/('Estado de Resultados'!D6))</f>
        <v>0.75781666803681835</v>
      </c>
      <c r="F8" s="10">
        <f>-'Estado de Resultados'!F9</f>
        <v>101078938</v>
      </c>
      <c r="G8" s="177">
        <f>ABS(F8/('Estado de Resultados'!F6))</f>
        <v>0.80586053000348812</v>
      </c>
      <c r="H8" s="10">
        <f>-'Estado de Resultados'!H9</f>
        <v>83263356</v>
      </c>
      <c r="I8" s="177">
        <f>ABS(H8/('Estado de Resultados'!H6))</f>
        <v>0.7838411641441746</v>
      </c>
      <c r="J8" s="10">
        <f>-'Estado de Resultados'!J9</f>
        <v>66110714</v>
      </c>
      <c r="K8" s="177">
        <f>ABS(J8/('Estado de Resultados'!J6))</f>
        <v>0.8358302063473203</v>
      </c>
      <c r="L8" s="450"/>
      <c r="M8" s="193">
        <f>AVERAGE(C8,E8,G8,I8,K8)</f>
        <v>0.80140543821553734</v>
      </c>
      <c r="N8" s="137">
        <f t="shared" ref="N8:N18" si="0">MIN(C8,E8,G8,I8,K8)</f>
        <v>0.75781666803681835</v>
      </c>
      <c r="O8" s="304">
        <f>ABS(M8-N8)</f>
        <v>4.3588770178718983E-2</v>
      </c>
      <c r="P8" s="300"/>
    </row>
    <row r="9" spans="1:16" x14ac:dyDescent="0.25">
      <c r="A9" s="186" t="str">
        <f>'Estado de Resultados'!A8</f>
        <v>Cambios en el Inventario de Mercancía</v>
      </c>
      <c r="B9" s="10">
        <f>-'Estado de Resultados'!B8</f>
        <v>-2630509</v>
      </c>
      <c r="C9" s="177">
        <f>ABS(B9/('Estado de Resultados'!B6))</f>
        <v>2.3931400223210376E-2</v>
      </c>
      <c r="D9" s="10">
        <f>-'Estado de Resultados'!D8</f>
        <v>4230620</v>
      </c>
      <c r="E9" s="177">
        <f>ABS(D9/('Estado de Resultados'!D6))</f>
        <v>3.5273373606343139E-2</v>
      </c>
      <c r="F9" s="10">
        <f>-'Estado de Resultados'!F8</f>
        <v>-1395431</v>
      </c>
      <c r="G9" s="177">
        <f>ABS(F9/('Estado de Resultados'!F6))</f>
        <v>1.1125193709923006E-2</v>
      </c>
      <c r="H9" s="10">
        <f>-'Estado de Resultados'!H8</f>
        <v>977418</v>
      </c>
      <c r="I9" s="177">
        <f>ABS(H9/('Estado de Resultados'!H6))</f>
        <v>9.2014122392024521E-3</v>
      </c>
      <c r="J9" s="10">
        <f>-'Estado de Resultados'!J8</f>
        <v>-2671375</v>
      </c>
      <c r="K9" s="177">
        <f>ABS(J9/('Estado de Resultados'!J6))</f>
        <v>3.3773889017157992E-2</v>
      </c>
      <c r="L9" s="450"/>
      <c r="M9" s="193">
        <f t="shared" ref="M9:M57" si="1">AVERAGE(C9,E9,G9,I9,K9)</f>
        <v>2.2661053759167393E-2</v>
      </c>
      <c r="N9" s="137">
        <f t="shared" si="0"/>
        <v>9.2014122392024521E-3</v>
      </c>
      <c r="O9" s="304">
        <f t="shared" ref="O9:O18" si="2">ABS(M9-N9)</f>
        <v>1.3459641519964941E-2</v>
      </c>
    </row>
    <row r="10" spans="1:16" x14ac:dyDescent="0.25">
      <c r="A10" s="135" t="s">
        <v>237</v>
      </c>
      <c r="B10" s="10">
        <f>'Otros Gastos'!B10</f>
        <v>1013294.8697581631</v>
      </c>
      <c r="C10" s="177">
        <f>ABS(B10/('Estado de Resultados'!B6))</f>
        <v>9.2185828188797048E-3</v>
      </c>
      <c r="D10" s="10">
        <f>'Otros Gastos'!D10</f>
        <v>1125275</v>
      </c>
      <c r="E10" s="177">
        <f>ABS(D10/('Estado de Resultados'!D6))</f>
        <v>9.3821344117121785E-3</v>
      </c>
      <c r="F10" s="10">
        <f>'Otros Gastos'!F10</f>
        <v>823878</v>
      </c>
      <c r="G10" s="177">
        <f>ABS(F10/('Estado de Resultados'!F6))</f>
        <v>6.5684382411913926E-3</v>
      </c>
      <c r="H10" s="10">
        <f>'Otros Gastos'!H10</f>
        <v>1476139</v>
      </c>
      <c r="I10" s="177">
        <f>ABS(H10/('Estado de Resultados'!H6))</f>
        <v>1.3896371318477936E-2</v>
      </c>
      <c r="J10" s="10">
        <f>'Otros Gastos'!J10</f>
        <v>767266</v>
      </c>
      <c r="K10" s="177">
        <f>ABS(J10/('Estado de Resultados'!J6))</f>
        <v>9.7004564056483045E-3</v>
      </c>
      <c r="L10" s="450"/>
      <c r="M10" s="193">
        <f t="shared" si="1"/>
        <v>9.7531966391819023E-3</v>
      </c>
      <c r="N10" s="137">
        <f t="shared" si="0"/>
        <v>6.5684382411913926E-3</v>
      </c>
      <c r="O10" s="304">
        <f t="shared" si="2"/>
        <v>3.1847583979905097E-3</v>
      </c>
    </row>
    <row r="11" spans="1:16" x14ac:dyDescent="0.25">
      <c r="A11" s="135" t="s">
        <v>266</v>
      </c>
      <c r="B11" s="12">
        <f>'Otros Gastos'!B15</f>
        <v>472614.36173010041</v>
      </c>
      <c r="C11" s="177">
        <f>ABS(B11/('Estado de Resultados'!B6))</f>
        <v>4.2996710681469461E-3</v>
      </c>
      <c r="D11" s="12">
        <f>'Otros Gastos'!D15</f>
        <v>604248</v>
      </c>
      <c r="E11" s="177">
        <f>ABS(D11/('Estado de Resultados'!D6))</f>
        <v>5.0380004478978568E-3</v>
      </c>
      <c r="F11" s="12">
        <f>'Otros Gastos'!F15</f>
        <v>578398</v>
      </c>
      <c r="G11" s="177">
        <f>ABS(F11/('Estado de Resultados'!F6))</f>
        <v>4.6113278201731552E-3</v>
      </c>
      <c r="H11" s="12">
        <f>'Otros Gastos'!H15</f>
        <v>513777</v>
      </c>
      <c r="I11" s="177">
        <f>ABS(H11/('Estado de Resultados'!H6))</f>
        <v>4.836696250755273E-3</v>
      </c>
      <c r="J11" s="12">
        <f>'Otros Gastos'!J15</f>
        <v>275984</v>
      </c>
      <c r="K11" s="177">
        <f>ABS(J11/('Estado de Resultados'!J6))</f>
        <v>3.489234190823576E-3</v>
      </c>
      <c r="L11" s="450"/>
      <c r="M11" s="194">
        <f t="shared" si="1"/>
        <v>4.4549859555593615E-3</v>
      </c>
      <c r="N11" s="297">
        <f t="shared" si="0"/>
        <v>3.489234190823576E-3</v>
      </c>
      <c r="O11" s="305">
        <f t="shared" si="2"/>
        <v>9.6575176473578548E-4</v>
      </c>
    </row>
    <row r="12" spans="1:16" x14ac:dyDescent="0.25">
      <c r="A12" s="48" t="s">
        <v>269</v>
      </c>
      <c r="B12" s="152">
        <f>SUM(B8:B11)</f>
        <v>89393104.231488258</v>
      </c>
      <c r="C12" s="177">
        <f>ABS(B12/('Estado de Resultados'!B6))</f>
        <v>0.8132654762097018</v>
      </c>
      <c r="D12" s="152">
        <f t="shared" ref="D12" si="3">SUM(D8:D11)</f>
        <v>96851204</v>
      </c>
      <c r="E12" s="177">
        <f>ABS(D12/('Estado de Resultados'!D6))</f>
        <v>0.80751017650277146</v>
      </c>
      <c r="F12" s="152">
        <f t="shared" ref="F12" si="4">SUM(F8:F11)</f>
        <v>101085783</v>
      </c>
      <c r="G12" s="177">
        <f>ABS(F12/('Estado de Resultados'!F6))</f>
        <v>0.80591510235492969</v>
      </c>
      <c r="H12" s="152">
        <f t="shared" ref="H12" si="5">SUM(H8:H11)</f>
        <v>86230690</v>
      </c>
      <c r="I12" s="177">
        <f>ABS(H12/('Estado de Resultados'!H6))</f>
        <v>0.81177564395261026</v>
      </c>
      <c r="J12" s="152">
        <f t="shared" ref="J12" si="6">SUM(J8:J11)</f>
        <v>64482589</v>
      </c>
      <c r="K12" s="177">
        <f>ABS(J12/('Estado de Resultados'!J6))</f>
        <v>0.81524600792663426</v>
      </c>
      <c r="L12" s="451"/>
      <c r="M12" s="250">
        <f t="shared" si="1"/>
        <v>0.81074248138932958</v>
      </c>
      <c r="N12" s="137">
        <f t="shared" si="0"/>
        <v>0.80591510235492969</v>
      </c>
      <c r="O12" s="304">
        <f t="shared" si="2"/>
        <v>4.8273790343998924E-3</v>
      </c>
    </row>
    <row r="13" spans="1:16" s="308" customFormat="1" x14ac:dyDescent="0.25">
      <c r="A13" s="403"/>
      <c r="B13" s="446"/>
      <c r="C13" s="444"/>
      <c r="D13" s="446"/>
      <c r="E13" s="444"/>
      <c r="F13" s="446"/>
      <c r="G13" s="444"/>
      <c r="H13" s="446"/>
      <c r="I13" s="444"/>
      <c r="J13" s="446"/>
      <c r="K13" s="444"/>
      <c r="L13" s="450"/>
      <c r="M13" s="447"/>
      <c r="N13" s="406"/>
      <c r="O13" s="448"/>
    </row>
    <row r="14" spans="1:16" s="308" customFormat="1" x14ac:dyDescent="0.25">
      <c r="A14" s="441" t="s">
        <v>261</v>
      </c>
      <c r="C14" s="444"/>
      <c r="E14" s="444"/>
      <c r="G14" s="444"/>
      <c r="I14" s="444"/>
      <c r="K14" s="444"/>
      <c r="L14" s="450"/>
      <c r="M14" s="447"/>
      <c r="N14" s="406"/>
      <c r="O14" s="448"/>
    </row>
    <row r="15" spans="1:16" x14ac:dyDescent="0.25">
      <c r="A15" s="135" t="s">
        <v>263</v>
      </c>
      <c r="B15" s="10">
        <f>'Otros Gastos'!B7</f>
        <v>1045944.0499023503</v>
      </c>
      <c r="C15" s="177">
        <f>ABS(B15/('Estado de Resultados'!B6))</f>
        <v>9.5156130122720246E-3</v>
      </c>
      <c r="D15" s="10">
        <f>'Otros Gastos'!D7</f>
        <v>1200163</v>
      </c>
      <c r="E15" s="177">
        <f>ABS(D15/('Estado de Resultados'!D6))</f>
        <v>1.0006523367144674E-2</v>
      </c>
      <c r="F15" s="10">
        <f>'Otros Gastos'!F7</f>
        <v>1148752</v>
      </c>
      <c r="G15" s="177">
        <f>ABS(F15/('Estado de Resultados'!F6))</f>
        <v>9.1585241582432045E-3</v>
      </c>
      <c r="H15" s="10">
        <f>'Otros Gastos'!H7</f>
        <v>1225590</v>
      </c>
      <c r="I15" s="177">
        <f>ABS(H15/('Estado de Resultados'!H6))</f>
        <v>1.1537703240828522E-2</v>
      </c>
      <c r="J15" s="10">
        <f>'Otros Gastos'!J7</f>
        <v>755312</v>
      </c>
      <c r="K15" s="177">
        <f>ABS(J15/('Estado de Resultados'!J6))</f>
        <v>9.549323348959856E-3</v>
      </c>
      <c r="L15" s="450"/>
      <c r="M15" s="193">
        <f t="shared" si="1"/>
        <v>9.9535374254896558E-3</v>
      </c>
      <c r="N15" s="137">
        <f t="shared" si="0"/>
        <v>9.1585241582432045E-3</v>
      </c>
      <c r="O15" s="304">
        <f t="shared" si="2"/>
        <v>7.9501326724645133E-4</v>
      </c>
    </row>
    <row r="16" spans="1:16" x14ac:dyDescent="0.25">
      <c r="A16" s="135" t="s">
        <v>239</v>
      </c>
      <c r="B16" s="10">
        <f>'Otros Gastos'!B12</f>
        <v>611175.01946623379</v>
      </c>
      <c r="C16" s="177">
        <f>ABS(B16/('Estado de Resultados'!B6))</f>
        <v>5.560244803296561E-3</v>
      </c>
      <c r="D16" s="10">
        <f>'Otros Gastos'!D12</f>
        <v>899156</v>
      </c>
      <c r="E16" s="177">
        <f>ABS(D16/('Estado de Resultados'!D6))</f>
        <v>7.4968362836617501E-3</v>
      </c>
      <c r="F16" s="10">
        <f>'Otros Gastos'!F12</f>
        <v>686262</v>
      </c>
      <c r="G16" s="177">
        <f>ABS(F16/('Estado de Resultados'!F6))</f>
        <v>5.4712828407561401E-3</v>
      </c>
      <c r="H16" s="10">
        <f>'Otros Gastos'!H12</f>
        <v>527239</v>
      </c>
      <c r="I16" s="177">
        <f>ABS(H16/('Estado de Resultados'!H6))</f>
        <v>4.9634275075605945E-3</v>
      </c>
      <c r="J16" s="10">
        <f>'Otros Gastos'!J12</f>
        <v>423715</v>
      </c>
      <c r="K16" s="177">
        <f>ABS(J16/('Estado de Resultados'!J6))</f>
        <v>5.3569803509073404E-3</v>
      </c>
      <c r="L16" s="450"/>
      <c r="M16" s="193">
        <f t="shared" si="1"/>
        <v>5.7697543572364767E-3</v>
      </c>
      <c r="N16" s="137">
        <f t="shared" si="0"/>
        <v>4.9634275075605945E-3</v>
      </c>
      <c r="O16" s="304">
        <f t="shared" si="2"/>
        <v>8.0632684967588217E-4</v>
      </c>
    </row>
    <row r="17" spans="1:15" x14ac:dyDescent="0.25">
      <c r="A17" s="135" t="s">
        <v>265</v>
      </c>
      <c r="B17" s="12">
        <f>'Otros Gastos'!B23</f>
        <v>293988.45141898631</v>
      </c>
      <c r="C17" s="177">
        <f>ABS(B17/('Estado de Resultados'!B6))</f>
        <v>2.6745984491631093E-3</v>
      </c>
      <c r="D17" s="12">
        <f>'Otros Gastos'!D23</f>
        <v>224603</v>
      </c>
      <c r="E17" s="177">
        <f>ABS(D17/('Estado de Resultados'!D6))</f>
        <v>1.8726582704439274E-3</v>
      </c>
      <c r="F17" s="12">
        <f>'Otros Gastos'!F23</f>
        <v>196159</v>
      </c>
      <c r="G17" s="177">
        <f>ABS(F17/('Estado de Resultados'!F6))</f>
        <v>1.5638945049556638E-3</v>
      </c>
      <c r="H17" s="12">
        <f>'Otros Gastos'!H23</f>
        <v>430333</v>
      </c>
      <c r="I17" s="177">
        <f>ABS(H17/('Estado de Resultados'!H6))</f>
        <v>4.0511545041453179E-3</v>
      </c>
      <c r="J17" s="12">
        <f>'Otros Gastos'!J23</f>
        <v>336077</v>
      </c>
      <c r="K17" s="177">
        <f>ABS(J17/('Estado de Resultados'!J6))</f>
        <v>4.2489831263747713E-3</v>
      </c>
      <c r="L17" s="450"/>
      <c r="M17" s="194">
        <f t="shared" si="1"/>
        <v>2.8822577710165579E-3</v>
      </c>
      <c r="N17" s="297">
        <f t="shared" si="0"/>
        <v>1.5638945049556638E-3</v>
      </c>
      <c r="O17" s="305">
        <f t="shared" si="2"/>
        <v>1.3183632660608941E-3</v>
      </c>
    </row>
    <row r="18" spans="1:15" x14ac:dyDescent="0.25">
      <c r="A18" s="48" t="s">
        <v>270</v>
      </c>
      <c r="B18" s="152">
        <f>SUM(B15:B17)</f>
        <v>1951107.5207875704</v>
      </c>
      <c r="C18" s="177">
        <f>ABS(B18/('Estado de Resultados'!B6))</f>
        <v>1.7750456264731696E-2</v>
      </c>
      <c r="D18" s="152">
        <f t="shared" ref="D18" si="7">SUM(D15:D17)</f>
        <v>2323922</v>
      </c>
      <c r="E18" s="177">
        <f>ABS(D18/('Estado de Resultados'!D6))</f>
        <v>1.9376017921250353E-2</v>
      </c>
      <c r="F18" s="152">
        <f t="shared" ref="F18" si="8">SUM(F15:F17)</f>
        <v>2031173</v>
      </c>
      <c r="G18" s="177">
        <f>ABS(F18/('Estado de Resultados'!F6))</f>
        <v>1.6193701503955008E-2</v>
      </c>
      <c r="H18" s="152">
        <f t="shared" ref="H18" si="9">SUM(H15:H17)</f>
        <v>2183162</v>
      </c>
      <c r="I18" s="177">
        <f>ABS(H18/('Estado de Resultados'!H6))</f>
        <v>2.0552285252534434E-2</v>
      </c>
      <c r="J18" s="152">
        <f t="shared" ref="J18" si="10">SUM(J15:J17)</f>
        <v>1515104</v>
      </c>
      <c r="K18" s="177">
        <f>ABS(J18/('Estado de Resultados'!J6))</f>
        <v>1.9155286826241968E-2</v>
      </c>
      <c r="L18" s="451"/>
      <c r="M18" s="250">
        <f t="shared" si="1"/>
        <v>1.8605549553742693E-2</v>
      </c>
      <c r="N18" s="137">
        <f t="shared" si="0"/>
        <v>1.6193701503955008E-2</v>
      </c>
      <c r="O18" s="304">
        <f t="shared" si="2"/>
        <v>2.4118480497876855E-3</v>
      </c>
    </row>
    <row r="19" spans="1:15" s="308" customFormat="1" x14ac:dyDescent="0.25">
      <c r="A19" s="403"/>
      <c r="B19" s="446"/>
      <c r="C19" s="444"/>
      <c r="D19" s="446"/>
      <c r="E19" s="444"/>
      <c r="F19" s="446"/>
      <c r="G19" s="444"/>
      <c r="H19" s="446"/>
      <c r="I19" s="444"/>
      <c r="J19" s="446"/>
      <c r="K19" s="444"/>
      <c r="L19" s="450"/>
      <c r="M19" s="447"/>
      <c r="N19" s="406"/>
      <c r="O19" s="448"/>
    </row>
    <row r="20" spans="1:15" s="308" customFormat="1" ht="51.75" x14ac:dyDescent="0.25">
      <c r="A20" s="441" t="s">
        <v>262</v>
      </c>
      <c r="B20" s="167">
        <v>2013</v>
      </c>
      <c r="C20" s="445" t="s">
        <v>337</v>
      </c>
      <c r="D20" s="167">
        <v>2014</v>
      </c>
      <c r="E20" s="445" t="s">
        <v>337</v>
      </c>
      <c r="F20" s="167">
        <v>2015</v>
      </c>
      <c r="G20" s="445" t="s">
        <v>337</v>
      </c>
      <c r="H20" s="167">
        <v>2016</v>
      </c>
      <c r="I20" s="445" t="s">
        <v>337</v>
      </c>
      <c r="J20" s="3">
        <v>42887</v>
      </c>
      <c r="K20" s="445" t="s">
        <v>337</v>
      </c>
      <c r="L20" s="450"/>
      <c r="M20" s="447"/>
      <c r="N20" s="406"/>
      <c r="O20" s="448"/>
    </row>
    <row r="21" spans="1:15" s="308" customFormat="1" x14ac:dyDescent="0.25">
      <c r="A21" s="175" t="s">
        <v>44</v>
      </c>
      <c r="B21" s="10">
        <f>-'Estado de Resultados'!B11</f>
        <v>10402945</v>
      </c>
      <c r="C21" s="177">
        <f>ABS(B21/('Estado de Resultados'!B6))</f>
        <v>9.4642154919464358E-2</v>
      </c>
      <c r="D21" s="10">
        <f>-'Estado de Resultados'!D11</f>
        <v>11335326</v>
      </c>
      <c r="E21" s="177">
        <f>ABS(D21/('Estado de Resultados'!D6))</f>
        <v>9.4509832825376699E-2</v>
      </c>
      <c r="F21" s="10">
        <f>-'Estado de Resultados'!F11</f>
        <v>12683648</v>
      </c>
      <c r="G21" s="177">
        <f>ABS(F21/('Estado de Resultados'!F6))</f>
        <v>0.10112147497689067</v>
      </c>
      <c r="H21" s="10">
        <f>-'Estado de Resultados'!H11</f>
        <v>12630314</v>
      </c>
      <c r="I21" s="177">
        <f>ABS(H21/('Estado de Resultados'!H6))</f>
        <v>0.11890176549293145</v>
      </c>
      <c r="J21" s="10">
        <f>-'Estado de Resultados'!J11</f>
        <v>8670297</v>
      </c>
      <c r="K21" s="177">
        <f>ABS(J21/('Estado de Resultados'!J6))</f>
        <v>0.10961757470358817</v>
      </c>
      <c r="L21" s="450"/>
      <c r="M21" s="193">
        <f t="shared" si="1"/>
        <v>0.10375856058365027</v>
      </c>
      <c r="N21" s="137">
        <f>MIN(C21,E21,G21,I21,K21)</f>
        <v>9.4509832825376699E-2</v>
      </c>
      <c r="O21" s="448"/>
    </row>
    <row r="22" spans="1:15" x14ac:dyDescent="0.25">
      <c r="A22" s="135" t="s">
        <v>235</v>
      </c>
      <c r="B22" s="10">
        <f>'Otros Gastos'!B8</f>
        <v>1004453.7278927838</v>
      </c>
      <c r="C22" s="177">
        <f>ABS(B22/('Estado de Resultados'!B6))</f>
        <v>9.1381493725730886E-3</v>
      </c>
      <c r="D22" s="10">
        <f>'Otros Gastos'!D8</f>
        <v>904701</v>
      </c>
      <c r="E22" s="177">
        <f>ABS(D22/('Estado de Resultados'!D6))</f>
        <v>7.5430684805140253E-3</v>
      </c>
      <c r="F22" s="10">
        <f>'Otros Gastos'!F8</f>
        <v>1093996</v>
      </c>
      <c r="G22" s="177">
        <f>ABS(F22/('Estado de Resultados'!F6))</f>
        <v>8.7219772370550237E-3</v>
      </c>
      <c r="H22" s="10">
        <f>'Otros Gastos'!H8</f>
        <v>1204276</v>
      </c>
      <c r="I22" s="177">
        <f>ABS(H22/('Estado de Resultados'!H6))</f>
        <v>1.1337053262552738E-2</v>
      </c>
      <c r="J22" s="10">
        <f>'Otros Gastos'!J8</f>
        <v>906080</v>
      </c>
      <c r="K22" s="177">
        <f>ABS(J22/('Estado de Resultados'!J6))</f>
        <v>1.1455465953176364E-2</v>
      </c>
      <c r="L22" s="450"/>
      <c r="M22" s="193">
        <f t="shared" si="1"/>
        <v>9.6391428611742481E-3</v>
      </c>
      <c r="N22" s="137">
        <f t="shared" ref="N22:N41" si="11">MIN(C22,E22,G22,I22,K22)</f>
        <v>7.5430684805140253E-3</v>
      </c>
      <c r="O22" s="304">
        <f t="shared" ref="O22:O42" si="12">ABS(M21-N21)</f>
        <v>9.2487277582735672E-3</v>
      </c>
    </row>
    <row r="23" spans="1:15" x14ac:dyDescent="0.25">
      <c r="A23" s="135" t="s">
        <v>236</v>
      </c>
      <c r="B23" s="10">
        <f>'Otros Gastos'!B9</f>
        <v>832961.66567069711</v>
      </c>
      <c r="C23" s="177">
        <f>ABS(B23/('Estado de Resultados'!B6))</f>
        <v>7.5779778711106511E-3</v>
      </c>
      <c r="D23" s="10">
        <f>'Otros Gastos'!D9</f>
        <v>897430</v>
      </c>
      <c r="E23" s="177">
        <f>ABS(D23/('Estado de Resultados'!D6))</f>
        <v>7.4824455222970926E-3</v>
      </c>
      <c r="F23" s="10">
        <f>'Otros Gastos'!F9</f>
        <v>923889</v>
      </c>
      <c r="G23" s="177">
        <f>ABS(F23/('Estado de Resultados'!F6))</f>
        <v>7.3657845436048471E-3</v>
      </c>
      <c r="H23" s="10">
        <f>'Otros Gastos'!H9</f>
        <v>929912</v>
      </c>
      <c r="I23" s="177">
        <f>ABS(H23/('Estado de Resultados'!H6))</f>
        <v>8.7541907947073106E-3</v>
      </c>
      <c r="J23" s="10">
        <f>'Otros Gastos'!J9</f>
        <v>676693</v>
      </c>
      <c r="K23" s="177">
        <f>ABS(J23/('Estado de Resultados'!J6))</f>
        <v>8.5553523113331871E-3</v>
      </c>
      <c r="L23" s="450"/>
      <c r="M23" s="193">
        <f t="shared" si="1"/>
        <v>7.9471502086106184E-3</v>
      </c>
      <c r="N23" s="137">
        <f t="shared" si="11"/>
        <v>7.3657845436048471E-3</v>
      </c>
      <c r="O23" s="304">
        <f t="shared" si="12"/>
        <v>2.0960743806602228E-3</v>
      </c>
    </row>
    <row r="24" spans="1:15" x14ac:dyDescent="0.25">
      <c r="A24" s="135" t="s">
        <v>238</v>
      </c>
      <c r="B24" s="10">
        <f>'Otros Gastos'!B11</f>
        <v>632025.10543385101</v>
      </c>
      <c r="C24" s="177">
        <f>ABS(B24/('Estado de Resultados'!B6))</f>
        <v>5.7499311917405434E-3</v>
      </c>
      <c r="D24" s="10">
        <f>'Otros Gastos'!D11</f>
        <v>720217</v>
      </c>
      <c r="E24" s="177">
        <f>ABS(D24/('Estado de Resultados'!D6))</f>
        <v>6.0049078666104825E-3</v>
      </c>
      <c r="F24" s="10">
        <f>'Otros Gastos'!F11</f>
        <v>742551</v>
      </c>
      <c r="G24" s="177">
        <f>ABS(F24/('Estado de Resultados'!F6))</f>
        <v>5.9200517363431357E-3</v>
      </c>
      <c r="H24" s="10">
        <f>'Otros Gastos'!H11</f>
        <v>653406</v>
      </c>
      <c r="I24" s="177">
        <f>ABS(H24/('Estado de Resultados'!H6))</f>
        <v>6.15116354064312E-3</v>
      </c>
      <c r="J24" s="10">
        <f>'Otros Gastos'!J11</f>
        <v>490179</v>
      </c>
      <c r="K24" s="177">
        <f>ABS(J24/('Estado de Resultados'!J6))</f>
        <v>6.1972771118025309E-3</v>
      </c>
      <c r="L24" s="450"/>
      <c r="M24" s="193">
        <f t="shared" si="1"/>
        <v>6.0046662894279613E-3</v>
      </c>
      <c r="N24" s="137">
        <f t="shared" si="11"/>
        <v>5.7499311917405434E-3</v>
      </c>
      <c r="O24" s="304">
        <f t="shared" si="12"/>
        <v>5.8136566500577129E-4</v>
      </c>
    </row>
    <row r="25" spans="1:15" x14ac:dyDescent="0.25">
      <c r="A25" s="135" t="s">
        <v>240</v>
      </c>
      <c r="B25" s="10">
        <f>'Otros Gastos'!B13</f>
        <v>638027.03489884746</v>
      </c>
      <c r="C25" s="177">
        <f>ABS(B25/('Estado de Resultados'!B6))</f>
        <v>5.8045345312988982E-3</v>
      </c>
      <c r="D25" s="10">
        <f>'Otros Gastos'!D13</f>
        <v>649351</v>
      </c>
      <c r="E25" s="177">
        <f>ABS(D25/('Estado de Resultados'!D6))</f>
        <v>5.4140528869651549E-3</v>
      </c>
      <c r="F25" s="10">
        <f>'Otros Gastos'!F13</f>
        <v>676395</v>
      </c>
      <c r="G25" s="177">
        <f>ABS(F25/('Estado de Resultados'!F6))</f>
        <v>5.3926173343027146E-3</v>
      </c>
      <c r="H25" s="10">
        <f>'Otros Gastos'!H13</f>
        <v>734476</v>
      </c>
      <c r="I25" s="177">
        <f>ABS(H25/('Estado de Resultados'!H6))</f>
        <v>6.914356453227237E-3</v>
      </c>
      <c r="J25" s="10">
        <f>'Otros Gastos'!J13</f>
        <v>556136</v>
      </c>
      <c r="K25" s="177">
        <f>ABS(J25/('Estado de Resultados'!J6))</f>
        <v>7.0311639296041081E-3</v>
      </c>
      <c r="L25" s="450"/>
      <c r="M25" s="193">
        <f t="shared" si="1"/>
        <v>6.1113450270796231E-3</v>
      </c>
      <c r="N25" s="137">
        <f t="shared" si="11"/>
        <v>5.3926173343027146E-3</v>
      </c>
      <c r="O25" s="304">
        <f t="shared" si="12"/>
        <v>2.5473509768741791E-4</v>
      </c>
    </row>
    <row r="26" spans="1:15" x14ac:dyDescent="0.25">
      <c r="A26" s="135" t="s">
        <v>241</v>
      </c>
      <c r="B26" s="10">
        <f>'Otros Gastos'!B14</f>
        <v>504541.4687993158</v>
      </c>
      <c r="C26" s="177">
        <f>ABS(B26/('Estado de Resultados'!B6))</f>
        <v>4.5901321071484024E-3</v>
      </c>
      <c r="D26" s="10">
        <f>'Otros Gastos'!D14</f>
        <v>719489</v>
      </c>
      <c r="E26" s="177">
        <f>ABS(D26/('Estado de Resultados'!D6))</f>
        <v>5.9988380669155393E-3</v>
      </c>
      <c r="F26" s="10">
        <f>'Otros Gastos'!F14</f>
        <v>674546</v>
      </c>
      <c r="G26" s="177">
        <f>ABS(F26/('Estado de Resultados'!F6))</f>
        <v>5.3778760227153645E-3</v>
      </c>
      <c r="H26" s="10">
        <f>'Otros Gastos'!H14</f>
        <v>418462</v>
      </c>
      <c r="I26" s="177">
        <f>ABS(H26/('Estado de Resultados'!H6))</f>
        <v>3.9394009200169593E-3</v>
      </c>
      <c r="J26" s="10">
        <f>'Otros Gastos'!J14</f>
        <v>292939</v>
      </c>
      <c r="K26" s="177">
        <f>ABS(J26/('Estado de Resultados'!J6))</f>
        <v>3.7035943193289016E-3</v>
      </c>
      <c r="L26" s="450"/>
      <c r="M26" s="193">
        <f t="shared" si="1"/>
        <v>4.7219682872250337E-3</v>
      </c>
      <c r="N26" s="137">
        <f t="shared" si="11"/>
        <v>3.7035943193289016E-3</v>
      </c>
      <c r="O26" s="304">
        <f t="shared" si="12"/>
        <v>7.1872769277690849E-4</v>
      </c>
    </row>
    <row r="27" spans="1:15" x14ac:dyDescent="0.25">
      <c r="A27" s="135" t="s">
        <v>243</v>
      </c>
      <c r="B27" s="10">
        <f>'Otros Gastos'!B16</f>
        <v>367781.91597015597</v>
      </c>
      <c r="C27" s="177">
        <f>ABS(B27/('Estado de Resultados'!B6))</f>
        <v>3.3459441598340588E-3</v>
      </c>
      <c r="D27" s="10">
        <f>'Otros Gastos'!D16</f>
        <v>340409</v>
      </c>
      <c r="E27" s="177">
        <f>ABS(D27/('Estado de Resultados'!D6))</f>
        <v>2.8382066543347459E-3</v>
      </c>
      <c r="F27" s="10">
        <f>'Otros Gastos'!F16</f>
        <v>511418</v>
      </c>
      <c r="G27" s="177">
        <f>ABS(F27/('Estado de Resultados'!F6))</f>
        <v>4.0773240072360471E-3</v>
      </c>
      <c r="H27" s="10">
        <f>'Otros Gastos'!H16</f>
        <v>398096</v>
      </c>
      <c r="I27" s="177">
        <f>ABS(H27/('Estado de Resultados'!H6))</f>
        <v>3.7476754129528401E-3</v>
      </c>
      <c r="J27" s="10">
        <f>'Otros Gastos'!J16</f>
        <v>268209</v>
      </c>
      <c r="K27" s="177">
        <f>ABS(J27/('Estado de Resultados'!J6))</f>
        <v>3.3909357538357316E-3</v>
      </c>
      <c r="L27" s="450"/>
      <c r="M27" s="193">
        <f t="shared" si="1"/>
        <v>3.4800171976386842E-3</v>
      </c>
      <c r="N27" s="137">
        <f t="shared" si="11"/>
        <v>2.8382066543347459E-3</v>
      </c>
      <c r="O27" s="304">
        <f t="shared" si="12"/>
        <v>1.0183739678961321E-3</v>
      </c>
    </row>
    <row r="28" spans="1:15" x14ac:dyDescent="0.25">
      <c r="A28" s="135" t="s">
        <v>244</v>
      </c>
      <c r="B28" s="10">
        <f>'Otros Gastos'!B17</f>
        <v>265590.12179989181</v>
      </c>
      <c r="C28" s="177">
        <f>ABS(B28/('Estado de Resultados'!B6))</f>
        <v>2.4162409252826743E-3</v>
      </c>
      <c r="D28" s="10">
        <f>'Otros Gastos'!D17</f>
        <v>372765</v>
      </c>
      <c r="E28" s="177">
        <f>ABS(D28/('Estado de Resultados'!D6))</f>
        <v>3.1079792352819448E-3</v>
      </c>
      <c r="F28" s="10">
        <f>'Otros Gastos'!F17</f>
        <v>454868</v>
      </c>
      <c r="G28" s="177">
        <f>ABS(F28/('Estado de Resultados'!F6))</f>
        <v>3.6264742666926976E-3</v>
      </c>
      <c r="H28" s="10">
        <f>'Otros Gastos'!H17</f>
        <v>32356</v>
      </c>
      <c r="I28" s="177">
        <f>ABS(H28/('Estado de Resultados'!H6))</f>
        <v>3.045993570935204E-4</v>
      </c>
      <c r="J28" s="10">
        <f>'Otros Gastos'!J17</f>
        <v>226950</v>
      </c>
      <c r="K28" s="177">
        <f>ABS(J28/('Estado de Resultados'!J6))</f>
        <v>2.869302929182165E-3</v>
      </c>
      <c r="L28" s="450"/>
      <c r="M28" s="193">
        <f t="shared" si="1"/>
        <v>2.4649193427066008E-3</v>
      </c>
      <c r="N28" s="137">
        <f t="shared" si="11"/>
        <v>3.045993570935204E-4</v>
      </c>
      <c r="O28" s="304">
        <f t="shared" si="12"/>
        <v>6.4181054330393833E-4</v>
      </c>
    </row>
    <row r="29" spans="1:15" x14ac:dyDescent="0.25">
      <c r="A29" s="135" t="s">
        <v>245</v>
      </c>
      <c r="B29" s="10">
        <f>'Otros Gastos'!B18</f>
        <v>565881.45324113488</v>
      </c>
      <c r="C29" s="177">
        <f>ABS(B29/('Estado de Resultados'!B6))</f>
        <v>5.1481806511232261E-3</v>
      </c>
      <c r="D29" s="10">
        <f>'Otros Gastos'!D18</f>
        <v>327883</v>
      </c>
      <c r="E29" s="177">
        <f>ABS(D29/('Estado de Resultados'!D6))</f>
        <v>2.7337694139791821E-3</v>
      </c>
      <c r="F29" s="10">
        <f>'Otros Gastos'!F18</f>
        <v>409453</v>
      </c>
      <c r="G29" s="177">
        <f>ABS(F29/('Estado de Resultados'!F6))</f>
        <v>3.2643992717010764E-3</v>
      </c>
      <c r="H29" s="10">
        <f>'Otros Gastos'!H18</f>
        <v>579726</v>
      </c>
      <c r="I29" s="177">
        <f>ABS(H29/('Estado de Resultados'!H6))</f>
        <v>5.4575400819136541E-3</v>
      </c>
      <c r="J29" s="10">
        <f>'Otros Gastos'!J18</f>
        <v>900753</v>
      </c>
      <c r="K29" s="177">
        <f>ABS(J29/('Estado de Resultados'!J6))</f>
        <v>1.1388117300593182E-2</v>
      </c>
      <c r="L29" s="450"/>
      <c r="M29" s="193">
        <f t="shared" si="1"/>
        <v>5.5984013438620641E-3</v>
      </c>
      <c r="N29" s="137">
        <f t="shared" si="11"/>
        <v>2.7337694139791821E-3</v>
      </c>
      <c r="O29" s="304">
        <f t="shared" si="12"/>
        <v>2.1603199856130803E-3</v>
      </c>
    </row>
    <row r="30" spans="1:15" x14ac:dyDescent="0.25">
      <c r="A30" s="135" t="s">
        <v>246</v>
      </c>
      <c r="B30" s="10">
        <f>'Otros Gastos'!B19</f>
        <v>326482.57591262186</v>
      </c>
      <c r="C30" s="177">
        <f>ABS(B30/('Estado de Resultados'!B6))</f>
        <v>2.9702180034623022E-3</v>
      </c>
      <c r="D30" s="10">
        <f>'Otros Gastos'!D19</f>
        <v>503627</v>
      </c>
      <c r="E30" s="177">
        <f>ABS(D30/('Estado de Resultados'!D6))</f>
        <v>4.1990590809956405E-3</v>
      </c>
      <c r="F30" s="10">
        <f>'Otros Gastos'!F19</f>
        <v>322452</v>
      </c>
      <c r="G30" s="177">
        <f>ABS(F30/('Estado de Resultados'!F6))</f>
        <v>2.5707763136637303E-3</v>
      </c>
      <c r="H30" s="10">
        <f>'Otros Gastos'!H19</f>
        <v>348388</v>
      </c>
      <c r="I30" s="177">
        <f>ABS(H30/('Estado de Resultados'!H6))</f>
        <v>3.27972434228883E-3</v>
      </c>
      <c r="J30" s="10">
        <f>'Otros Gastos'!J19</f>
        <v>190940</v>
      </c>
      <c r="K30" s="177">
        <f>ABS(J30/('Estado de Resultados'!J6))</f>
        <v>2.4140326120204564E-3</v>
      </c>
      <c r="L30" s="450"/>
      <c r="M30" s="193">
        <f t="shared" si="1"/>
        <v>3.0867620704861922E-3</v>
      </c>
      <c r="N30" s="137">
        <f t="shared" si="11"/>
        <v>2.4140326120204564E-3</v>
      </c>
      <c r="O30" s="304">
        <f t="shared" si="12"/>
        <v>2.8646319298828819E-3</v>
      </c>
    </row>
    <row r="31" spans="1:15" x14ac:dyDescent="0.25">
      <c r="A31" s="135" t="s">
        <v>247</v>
      </c>
      <c r="B31" s="10">
        <f>'Otros Gastos'!B20</f>
        <v>251748.7569503843</v>
      </c>
      <c r="C31" s="177">
        <f>ABS(B31/('Estado de Resultados'!B6))</f>
        <v>2.2903172953505808E-3</v>
      </c>
      <c r="D31" s="10">
        <f>'Otros Gastos'!D20</f>
        <v>328606</v>
      </c>
      <c r="E31" s="177">
        <f>ABS(D31/('Estado de Resultados'!D6))</f>
        <v>2.7397975254894067E-3</v>
      </c>
      <c r="F31" s="10">
        <f>'Otros Gastos'!F20</f>
        <v>284925</v>
      </c>
      <c r="G31" s="177">
        <f>ABS(F31/('Estado de Resultados'!F6))</f>
        <v>2.2715890773530273E-3</v>
      </c>
      <c r="H31" s="10">
        <f>'Otros Gastos'!H20</f>
        <v>243551</v>
      </c>
      <c r="I31" s="177">
        <f>ABS(H31/('Estado de Resultados'!H6))</f>
        <v>2.2927889114687842E-3</v>
      </c>
      <c r="J31" s="10">
        <f>'Otros Gastos'!J20</f>
        <v>184571</v>
      </c>
      <c r="K31" s="177">
        <f>ABS(J31/('Estado de Resultados'!J6))</f>
        <v>2.3335100724480341E-3</v>
      </c>
      <c r="L31" s="450"/>
      <c r="M31" s="193">
        <f t="shared" si="1"/>
        <v>2.3856005764219665E-3</v>
      </c>
      <c r="N31" s="137">
        <f t="shared" si="11"/>
        <v>2.2715890773530273E-3</v>
      </c>
      <c r="O31" s="304">
        <f t="shared" si="12"/>
        <v>6.7272945846573581E-4</v>
      </c>
    </row>
    <row r="32" spans="1:15" x14ac:dyDescent="0.25">
      <c r="A32" s="135" t="s">
        <v>248</v>
      </c>
      <c r="B32" s="10">
        <f>'Otros Gastos'!B21</f>
        <v>263668.53856289381</v>
      </c>
      <c r="C32" s="177">
        <f>ABS(B32/('Estado de Resultados'!B6))</f>
        <v>2.3987590700573886E-3</v>
      </c>
      <c r="D32" s="10">
        <f>'Otros Gastos'!D21</f>
        <v>301821</v>
      </c>
      <c r="E32" s="177">
        <f>ABS(D32/('Estado de Resultados'!D6))</f>
        <v>2.5164739199550167E-3</v>
      </c>
      <c r="F32" s="10">
        <f>'Otros Gastos'!F21</f>
        <v>281050</v>
      </c>
      <c r="G32" s="177">
        <f>ABS(F32/('Estado de Resultados'!F6))</f>
        <v>2.2406953064493056E-3</v>
      </c>
      <c r="H32" s="10">
        <f>'Otros Gastos'!H21</f>
        <v>282861</v>
      </c>
      <c r="I32" s="177">
        <f>ABS(H32/('Estado de Resultados'!H6))</f>
        <v>2.6628532187795238E-3</v>
      </c>
      <c r="J32" s="10">
        <f>'Otros Gastos'!J21</f>
        <v>218690</v>
      </c>
      <c r="K32" s="177">
        <f>ABS(J32/('Estado de Resultados'!J6))</f>
        <v>2.7648726925880046E-3</v>
      </c>
      <c r="L32" s="450"/>
      <c r="M32" s="193">
        <f t="shared" si="1"/>
        <v>2.5167308415658478E-3</v>
      </c>
      <c r="N32" s="137">
        <f t="shared" si="11"/>
        <v>2.2406953064493056E-3</v>
      </c>
      <c r="O32" s="304">
        <f t="shared" si="12"/>
        <v>1.1401149906893919E-4</v>
      </c>
    </row>
    <row r="33" spans="1:15" x14ac:dyDescent="0.25">
      <c r="A33" s="135" t="s">
        <v>249</v>
      </c>
      <c r="B33" s="10">
        <f>'Otros Gastos'!B22</f>
        <v>199982.21992044934</v>
      </c>
      <c r="C33" s="177">
        <f>ABS(B33/('Estado de Resultados'!B6))</f>
        <v>1.8193644433234586E-3</v>
      </c>
      <c r="D33" s="10">
        <f>'Otros Gastos'!D22</f>
        <v>198221</v>
      </c>
      <c r="E33" s="177">
        <f>ABS(D33/('Estado de Resultados'!D6))</f>
        <v>1.6526947325978091E-3</v>
      </c>
      <c r="F33" s="10">
        <f>'Otros Gastos'!F22</f>
        <v>196802</v>
      </c>
      <c r="G33" s="177">
        <f>ABS(F33/('Estado de Resultados'!F6))</f>
        <v>1.5690208777791718E-3</v>
      </c>
      <c r="H33" s="10">
        <f>'Otros Gastos'!H22</f>
        <v>209823</v>
      </c>
      <c r="I33" s="177">
        <f>ABS(H33/('Estado de Resultados'!H6))</f>
        <v>1.9752735475161865E-3</v>
      </c>
      <c r="J33" s="10">
        <f>'Otros Gastos'!J22</f>
        <v>207114</v>
      </c>
      <c r="K33" s="177">
        <f>ABS(J33/('Estado de Resultados'!J6))</f>
        <v>2.6185186467267453E-3</v>
      </c>
      <c r="L33" s="450"/>
      <c r="M33" s="193">
        <f t="shared" si="1"/>
        <v>1.9269744495886744E-3</v>
      </c>
      <c r="N33" s="137">
        <f t="shared" si="11"/>
        <v>1.5690208777791718E-3</v>
      </c>
      <c r="O33" s="304">
        <f t="shared" si="12"/>
        <v>2.7603553511654222E-4</v>
      </c>
    </row>
    <row r="34" spans="1:15" x14ac:dyDescent="0.25">
      <c r="A34" s="135" t="s">
        <v>251</v>
      </c>
      <c r="B34" s="10">
        <f>'Otros Gastos'!B24</f>
        <v>143384.91516122076</v>
      </c>
      <c r="C34" s="177">
        <f>ABS(B34/('Estado de Resultados'!B6))</f>
        <v>1.3044630490502938E-3</v>
      </c>
      <c r="D34" s="10">
        <f>'Otros Gastos'!D24</f>
        <v>161828</v>
      </c>
      <c r="E34" s="177">
        <f>ABS(D34/('Estado de Resultados'!D6))</f>
        <v>1.3492631113092874E-3</v>
      </c>
      <c r="F34" s="10">
        <f>'Otros Gastos'!F24</f>
        <v>174615</v>
      </c>
      <c r="G34" s="177">
        <f>ABS(F34/('Estado de Resultados'!F6))</f>
        <v>1.3921331113170093E-3</v>
      </c>
      <c r="H34" s="10">
        <f>'Otros Gastos'!H24</f>
        <v>140139</v>
      </c>
      <c r="I34" s="177">
        <f>ABS(H34/('Estado de Resultados'!H6))</f>
        <v>1.3192684294637425E-3</v>
      </c>
      <c r="J34" s="10">
        <f>'Otros Gastos'!J24</f>
        <v>113853</v>
      </c>
      <c r="K34" s="177">
        <f>ABS(J34/('Estado de Resultados'!J6))</f>
        <v>1.4394304754182729E-3</v>
      </c>
      <c r="L34" s="450"/>
      <c r="M34" s="193">
        <f t="shared" si="1"/>
        <v>1.360911635311721E-3</v>
      </c>
      <c r="N34" s="137">
        <f t="shared" si="11"/>
        <v>1.3044630490502938E-3</v>
      </c>
      <c r="O34" s="304">
        <f t="shared" si="12"/>
        <v>3.5795357180950257E-4</v>
      </c>
    </row>
    <row r="35" spans="1:15" x14ac:dyDescent="0.25">
      <c r="A35" s="135" t="s">
        <v>252</v>
      </c>
      <c r="B35" s="10">
        <f>'Otros Gastos'!B25</f>
        <v>136957.10058445725</v>
      </c>
      <c r="C35" s="177">
        <f>ABS(B35/('Estado de Resultados'!B6))</f>
        <v>1.2459851638968451E-3</v>
      </c>
      <c r="D35" s="10">
        <f>'Otros Gastos'!D25</f>
        <v>149406</v>
      </c>
      <c r="E35" s="177">
        <f>ABS(D35/('Estado de Resultados'!D6))</f>
        <v>1.2456929851958586E-3</v>
      </c>
      <c r="F35" s="10">
        <f>'Otros Gastos'!F25</f>
        <v>158836</v>
      </c>
      <c r="G35" s="177">
        <f>ABS(F35/('Estado de Resultados'!F6))</f>
        <v>1.2663336761970536E-3</v>
      </c>
      <c r="H35" s="10">
        <f>'Otros Gastos'!H25</f>
        <v>133495</v>
      </c>
      <c r="I35" s="177">
        <f>ABS(H35/('Estado de Resultados'!H6))</f>
        <v>1.2567218189887348E-3</v>
      </c>
      <c r="J35" s="10">
        <f>'Otros Gastos'!J25</f>
        <v>119588</v>
      </c>
      <c r="K35" s="177">
        <f>ABS(J35/('Estado de Resultados'!J6))</f>
        <v>1.5119374254022328E-3</v>
      </c>
      <c r="L35" s="450"/>
      <c r="M35" s="193">
        <f t="shared" si="1"/>
        <v>1.3053342139361451E-3</v>
      </c>
      <c r="N35" s="137">
        <f t="shared" si="11"/>
        <v>1.2456929851958586E-3</v>
      </c>
      <c r="O35" s="304">
        <f t="shared" si="12"/>
        <v>5.6448586261427167E-5</v>
      </c>
    </row>
    <row r="36" spans="1:15" x14ac:dyDescent="0.25">
      <c r="A36" s="135" t="s">
        <v>253</v>
      </c>
      <c r="B36" s="10">
        <f>'Otros Gastos'!B26</f>
        <v>256562.30457816401</v>
      </c>
      <c r="C36" s="177">
        <f>ABS(B36/('Estado de Resultados'!B6))</f>
        <v>2.334109175467274E-3</v>
      </c>
      <c r="D36" s="10">
        <f>'Otros Gastos'!D26</f>
        <v>157170</v>
      </c>
      <c r="E36" s="177">
        <f>ABS(D36/('Estado de Resultados'!D6))</f>
        <v>1.3104263984259875E-3</v>
      </c>
      <c r="F36" s="10">
        <f>'Otros Gastos'!F26</f>
        <v>122256</v>
      </c>
      <c r="G36" s="177">
        <f>ABS(F36/('Estado de Resultados'!F6))</f>
        <v>9.746964788659181E-4</v>
      </c>
      <c r="H36" s="10">
        <f>'Otros Gastos'!H26</f>
        <v>87404</v>
      </c>
      <c r="I36" s="177">
        <f>ABS(H36/('Estado de Resultados'!H6))</f>
        <v>8.2282118331691357E-4</v>
      </c>
      <c r="J36" s="10">
        <f>'Otros Gastos'!J26</f>
        <v>592932</v>
      </c>
      <c r="K36" s="177">
        <f>ABS(J36/('Estado de Resultados'!J6))</f>
        <v>7.4963715549937844E-3</v>
      </c>
      <c r="L36" s="450"/>
      <c r="M36" s="193">
        <f t="shared" si="1"/>
        <v>2.5876849582139754E-3</v>
      </c>
      <c r="N36" s="137">
        <f t="shared" si="11"/>
        <v>8.2282118331691357E-4</v>
      </c>
      <c r="O36" s="304">
        <f t="shared" si="12"/>
        <v>5.9641228740286512E-5</v>
      </c>
    </row>
    <row r="37" spans="1:15" x14ac:dyDescent="0.25">
      <c r="A37" s="135" t="s">
        <v>254</v>
      </c>
      <c r="B37" s="10">
        <f>'Otros Gastos'!B27</f>
        <v>58440.613508044145</v>
      </c>
      <c r="C37" s="177">
        <f>ABS(B37/('Estado de Resultados'!B6))</f>
        <v>5.3167113708828175E-4</v>
      </c>
      <c r="D37" s="10">
        <f>'Otros Gastos'!D27</f>
        <v>77087</v>
      </c>
      <c r="E37" s="177">
        <f>ABS(D37/('Estado de Resultados'!D6))</f>
        <v>6.4272341907147738E-4</v>
      </c>
      <c r="F37" s="10">
        <f>'Otros Gastos'!F27</f>
        <v>69058</v>
      </c>
      <c r="G37" s="177">
        <f>ABS(F37/('Estado de Resultados'!F6))</f>
        <v>5.5057084672754367E-4</v>
      </c>
      <c r="H37" s="10">
        <f>'Otros Gastos'!H27</f>
        <v>59280</v>
      </c>
      <c r="I37" s="177">
        <f>ABS(H37/('Estado de Resultados'!H6))</f>
        <v>5.5806187070416274E-4</v>
      </c>
      <c r="J37" s="10">
        <f>'Otros Gastos'!J27</f>
        <v>37653</v>
      </c>
      <c r="K37" s="177">
        <f>ABS(J37/('Estado de Resultados'!J6))</f>
        <v>4.7604257850846464E-4</v>
      </c>
      <c r="L37" s="450"/>
      <c r="M37" s="193">
        <f t="shared" si="1"/>
        <v>5.5181397041998597E-4</v>
      </c>
      <c r="N37" s="137">
        <f t="shared" si="11"/>
        <v>4.7604257850846464E-4</v>
      </c>
      <c r="O37" s="304">
        <f t="shared" si="12"/>
        <v>1.7648637748970619E-3</v>
      </c>
    </row>
    <row r="38" spans="1:15" x14ac:dyDescent="0.25">
      <c r="A38" s="135" t="s">
        <v>256</v>
      </c>
      <c r="B38" s="10">
        <f>'Otros Gastos'!B29</f>
        <v>88218.057034609054</v>
      </c>
      <c r="C38" s="177">
        <f>ABS(B38/('Estado de Resultados'!B6))</f>
        <v>8.025753304053432E-4</v>
      </c>
      <c r="D38" s="10">
        <f>'Otros Gastos'!D29</f>
        <v>143669</v>
      </c>
      <c r="E38" s="177">
        <f>ABS(D38/('Estado de Resultados'!D6))</f>
        <v>1.1978599620504117E-3</v>
      </c>
      <c r="F38" s="10">
        <f>'Otros Gastos'!F29</f>
        <v>30035</v>
      </c>
      <c r="G38" s="177">
        <f>ABS(F38/('Estado de Resultados'!F6))</f>
        <v>2.39456621701494E-4</v>
      </c>
      <c r="H38" s="10">
        <f>'Otros Gastos'!H29</f>
        <v>163517</v>
      </c>
      <c r="I38" s="177">
        <f>ABS(H38/('Estado de Resultados'!H6))</f>
        <v>1.5393489020231541E-3</v>
      </c>
      <c r="J38" s="10">
        <f>'Otros Gastos'!J29</f>
        <v>37027</v>
      </c>
      <c r="K38" s="177">
        <f>ABS(J38/('Estado de Resultados'!J6))</f>
        <v>4.6812813200629224E-4</v>
      </c>
      <c r="L38" s="450"/>
      <c r="M38" s="193">
        <f t="shared" si="1"/>
        <v>8.4947378963733913E-4</v>
      </c>
      <c r="N38" s="137">
        <f t="shared" si="11"/>
        <v>2.39456621701494E-4</v>
      </c>
      <c r="O38" s="304">
        <f t="shared" si="12"/>
        <v>7.5771391911521333E-5</v>
      </c>
    </row>
    <row r="39" spans="1:15" x14ac:dyDescent="0.25">
      <c r="A39" s="135" t="s">
        <v>257</v>
      </c>
      <c r="B39" s="10">
        <f>'Otros Gastos'!B30</f>
        <v>14911.434448148817</v>
      </c>
      <c r="C39" s="177">
        <f>ABS(B39/('Estado de Resultados'!B6))</f>
        <v>1.3565872828445578E-4</v>
      </c>
      <c r="D39" s="10">
        <f>'Otros Gastos'!D30</f>
        <v>18500</v>
      </c>
      <c r="E39" s="177">
        <f>ABS(D39/('Estado de Resultados'!D6))</f>
        <v>1.542462834566442E-4</v>
      </c>
      <c r="F39" s="10">
        <f>'Otros Gastos'!F30</f>
        <v>18500</v>
      </c>
      <c r="G39" s="177">
        <f>ABS(F39/('Estado de Resultados'!F6))</f>
        <v>1.4749284173389842E-4</v>
      </c>
      <c r="H39" s="10">
        <f>'Otros Gastos'!H30</f>
        <v>13000</v>
      </c>
      <c r="I39" s="177">
        <f>ABS(H39/('Estado de Resultados'!H6))</f>
        <v>1.2238198918950938E-4</v>
      </c>
      <c r="J39" s="10">
        <f>'Otros Gastos'!J30</f>
        <v>11500</v>
      </c>
      <c r="K39" s="177">
        <f>ABS(J39/('Estado de Resultados'!J6))</f>
        <v>1.4539318654150648E-4</v>
      </c>
      <c r="L39" s="450"/>
      <c r="M39" s="193">
        <f t="shared" si="1"/>
        <v>1.4103460584120284E-4</v>
      </c>
      <c r="N39" s="137">
        <f t="shared" si="11"/>
        <v>1.2238198918950938E-4</v>
      </c>
      <c r="O39" s="304">
        <f t="shared" si="12"/>
        <v>6.1001716793584516E-4</v>
      </c>
    </row>
    <row r="40" spans="1:15" x14ac:dyDescent="0.25">
      <c r="A40" s="135" t="s">
        <v>258</v>
      </c>
      <c r="B40" s="12">
        <f>'Otros Gastos'!B31</f>
        <v>6628.5201571679327</v>
      </c>
      <c r="C40" s="177">
        <f>ABS(B40/('Estado de Resultados'!B6))</f>
        <v>6.0303830463535059E-5</v>
      </c>
      <c r="D40" s="12">
        <f>'Otros Gastos'!D31</f>
        <v>10100</v>
      </c>
      <c r="E40" s="177">
        <f>ABS(D40/('Estado de Resultados'!D6))</f>
        <v>8.421013313038414E-5</v>
      </c>
      <c r="F40" s="12">
        <f>'Otros Gastos'!F31</f>
        <v>8500</v>
      </c>
      <c r="G40" s="177">
        <f>ABS(F40/('Estado de Resultados'!F6))</f>
        <v>6.7766981337196577E-5</v>
      </c>
      <c r="H40" s="12">
        <f>'Otros Gastos'!H31</f>
        <v>7500</v>
      </c>
      <c r="I40" s="177">
        <f>ABS(H40/('Estado de Resultados'!H6))</f>
        <v>7.0604993763178481E-5</v>
      </c>
      <c r="J40" s="12">
        <f>'Otros Gastos'!J31</f>
        <v>2042</v>
      </c>
      <c r="K40" s="177">
        <f>ABS(J40/('Estado de Resultados'!J6))</f>
        <v>2.5816772775457064E-5</v>
      </c>
      <c r="L40" s="450"/>
      <c r="M40" s="194">
        <f t="shared" si="1"/>
        <v>6.1740542293950266E-5</v>
      </c>
      <c r="N40" s="297">
        <f t="shared" si="11"/>
        <v>2.5816772775457064E-5</v>
      </c>
      <c r="O40" s="304">
        <f t="shared" si="12"/>
        <v>1.8652616651693464E-5</v>
      </c>
    </row>
    <row r="41" spans="1:15" x14ac:dyDescent="0.25">
      <c r="A41" s="48" t="s">
        <v>322</v>
      </c>
      <c r="B41" s="152">
        <f>SUM(B21:B40)</f>
        <v>16961192.530524839</v>
      </c>
      <c r="C41" s="177">
        <f>ABS(B41/('Estado de Resultados'!B6))</f>
        <v>0.15430667095642567</v>
      </c>
      <c r="D41" s="152">
        <f t="shared" ref="D41" si="13">SUM(D21:D40)</f>
        <v>18317606</v>
      </c>
      <c r="E41" s="177">
        <f>ABS(D41/('Estado de Resultados'!D6))</f>
        <v>0.15272554850395278</v>
      </c>
      <c r="F41" s="152">
        <f t="shared" ref="F41" si="14">SUM(F21:F40)</f>
        <v>19837793</v>
      </c>
      <c r="G41" s="177">
        <f>ABS(F41/('Estado de Resultados'!F6))</f>
        <v>0.15815851152966692</v>
      </c>
      <c r="H41" s="152">
        <f t="shared" ref="H41" si="15">SUM(H21:H40)</f>
        <v>19269982</v>
      </c>
      <c r="I41" s="177">
        <f>ABS(H41/('Estado de Resultados'!H6))</f>
        <v>0.18140759452354155</v>
      </c>
      <c r="J41" s="152">
        <f t="shared" ref="J41" si="16">SUM(J21:J40)</f>
        <v>14704146</v>
      </c>
      <c r="K41" s="177">
        <f>ABS(J41/('Estado de Resultados'!J6))</f>
        <v>0.18590283846187358</v>
      </c>
      <c r="L41" s="451"/>
      <c r="M41" s="250">
        <f t="shared" si="1"/>
        <v>0.16650023279509213</v>
      </c>
      <c r="N41" s="137">
        <f t="shared" si="11"/>
        <v>0.15272554850395278</v>
      </c>
      <c r="O41" s="305">
        <f t="shared" si="12"/>
        <v>3.5923769518493199E-5</v>
      </c>
    </row>
    <row r="42" spans="1:15" x14ac:dyDescent="0.25">
      <c r="A42" s="410"/>
      <c r="B42" s="308"/>
      <c r="C42" s="444"/>
      <c r="D42" s="308"/>
      <c r="E42" s="444"/>
      <c r="F42" s="308"/>
      <c r="G42" s="444"/>
      <c r="H42" s="308"/>
      <c r="I42" s="444"/>
      <c r="J42" s="308"/>
      <c r="K42" s="444"/>
      <c r="L42" s="450"/>
      <c r="M42" s="447"/>
      <c r="N42" s="308"/>
      <c r="O42" s="304">
        <f t="shared" si="12"/>
        <v>1.3774684291139344E-2</v>
      </c>
    </row>
    <row r="43" spans="1:15" s="308" customFormat="1" x14ac:dyDescent="0.25">
      <c r="A43" s="441" t="s">
        <v>267</v>
      </c>
      <c r="C43" s="444"/>
      <c r="E43" s="444"/>
      <c r="G43" s="444"/>
      <c r="I43" s="444"/>
      <c r="K43" s="444"/>
      <c r="L43" s="450"/>
      <c r="M43" s="447"/>
    </row>
    <row r="44" spans="1:15" s="308" customFormat="1" x14ac:dyDescent="0.25">
      <c r="A44" s="175" t="s">
        <v>43</v>
      </c>
      <c r="B44" s="10">
        <f>-'Estado de Resultados'!B10</f>
        <v>1326140</v>
      </c>
      <c r="C44" s="177">
        <f>ABS(B44/('Estado de Resultados'!B6))</f>
        <v>1.206473237385168E-2</v>
      </c>
      <c r="D44" s="10">
        <f>-'Estado de Resultados'!D10</f>
        <v>1545672</v>
      </c>
      <c r="E44" s="177">
        <f>ABS(D44/('Estado de Resultados'!D6))</f>
        <v>1.2887251969891792E-2</v>
      </c>
      <c r="F44" s="10">
        <f>-'Estado de Resultados'!F10</f>
        <v>1494868</v>
      </c>
      <c r="G44" s="177">
        <f>ABS(F44/('Estado de Resultados'!F6))</f>
        <v>1.191796374794969E-2</v>
      </c>
      <c r="H44" s="10">
        <f>-'Estado de Resultados'!H10</f>
        <v>1319295</v>
      </c>
      <c r="I44" s="177">
        <f>ABS(H44/('Estado de Resultados'!H6))</f>
        <v>1.2419842032905673E-2</v>
      </c>
      <c r="J44" s="10">
        <f>-'Estado de Resultados'!J10</f>
        <v>761359</v>
      </c>
      <c r="K44" s="177">
        <f>ABS(J44/('Estado de Resultados'!J6))</f>
        <v>9.6257748793091152E-3</v>
      </c>
      <c r="L44" s="450"/>
      <c r="M44" s="193">
        <f t="shared" si="1"/>
        <v>1.1783113000781591E-2</v>
      </c>
      <c r="N44"/>
    </row>
    <row r="45" spans="1:15" x14ac:dyDescent="0.25">
      <c r="A45" s="135" t="s">
        <v>255</v>
      </c>
      <c r="B45" s="12">
        <f>'Otros Gastos'!B28</f>
        <v>61011.717199327279</v>
      </c>
      <c r="C45" s="177">
        <f>ABS(B45/('Estado de Resultados'!B6))</f>
        <v>5.5506208973336694E-4</v>
      </c>
      <c r="D45" s="12">
        <f>'Otros Gastos'!D28</f>
        <v>0</v>
      </c>
      <c r="E45" s="177">
        <f>ABS(D45/('Estado de Resultados'!D6))</f>
        <v>0</v>
      </c>
      <c r="F45" s="12">
        <f>'Otros Gastos'!F28</f>
        <v>51891</v>
      </c>
      <c r="G45" s="177">
        <f>ABS(F45/('Estado de Resultados'!F6))</f>
        <v>4.1370546218452557E-4</v>
      </c>
      <c r="H45" s="12">
        <f>'Otros Gastos'!H28</f>
        <v>101118</v>
      </c>
      <c r="I45" s="177">
        <f>ABS(H45/('Estado de Resultados'!H6))</f>
        <v>9.519247679126775E-4</v>
      </c>
      <c r="J45" s="12">
        <f>'Otros Gastos'!J28</f>
        <v>87893</v>
      </c>
      <c r="K45" s="177">
        <f>ABS(J45/('Estado de Resultados'!J6))</f>
        <v>1.1112211604080548E-3</v>
      </c>
      <c r="L45" s="450"/>
      <c r="M45" s="194">
        <f t="shared" si="1"/>
        <v>6.0638269604772492E-4</v>
      </c>
    </row>
    <row r="46" spans="1:15" x14ac:dyDescent="0.25">
      <c r="A46" s="48" t="s">
        <v>271</v>
      </c>
      <c r="B46" s="152">
        <f>SUM(B44:B45)</f>
        <v>1387151.7171993272</v>
      </c>
      <c r="C46" s="177">
        <f>ABS(B46/('Estado de Resultados'!B6))</f>
        <v>1.2619794463585046E-2</v>
      </c>
      <c r="D46" s="152">
        <f t="shared" ref="D46" si="17">SUM(D44:D45)</f>
        <v>1545672</v>
      </c>
      <c r="E46" s="177">
        <f>ABS(D46/('Estado de Resultados'!D6))</f>
        <v>1.2887251969891792E-2</v>
      </c>
      <c r="F46" s="152">
        <f t="shared" ref="F46" si="18">SUM(F44:F45)</f>
        <v>1546759</v>
      </c>
      <c r="G46" s="177">
        <f>ABS(F46/('Estado de Resultados'!F6))</f>
        <v>1.2331669210134216E-2</v>
      </c>
      <c r="H46" s="152">
        <f t="shared" ref="H46" si="19">SUM(H44:H45)</f>
        <v>1420413</v>
      </c>
      <c r="I46" s="177">
        <f>ABS(H46/('Estado de Resultados'!H6))</f>
        <v>1.3371766800818351E-2</v>
      </c>
      <c r="J46" s="152">
        <f t="shared" ref="J46" si="20">SUM(J44:J45)</f>
        <v>849252</v>
      </c>
      <c r="K46" s="177">
        <f>ABS(J46/('Estado de Resultados'!J6))</f>
        <v>1.0736996039717171E-2</v>
      </c>
      <c r="L46" s="451"/>
      <c r="M46" s="250">
        <f t="shared" si="1"/>
        <v>1.2389495696829313E-2</v>
      </c>
    </row>
    <row r="47" spans="1:15" x14ac:dyDescent="0.25">
      <c r="A47" s="403"/>
      <c r="B47" s="446"/>
      <c r="C47" s="444"/>
      <c r="D47" s="446"/>
      <c r="E47" s="444"/>
      <c r="F47" s="446"/>
      <c r="G47" s="444"/>
      <c r="H47" s="446"/>
      <c r="I47" s="444"/>
      <c r="J47" s="446"/>
      <c r="K47" s="444"/>
      <c r="L47" s="450"/>
      <c r="M47" s="447"/>
      <c r="N47" s="308"/>
    </row>
    <row r="48" spans="1:15" s="308" customFormat="1" x14ac:dyDescent="0.25">
      <c r="A48" s="441" t="s">
        <v>268</v>
      </c>
      <c r="C48" s="444"/>
      <c r="E48" s="444"/>
      <c r="G48" s="444"/>
      <c r="I48" s="444"/>
      <c r="K48" s="444"/>
      <c r="L48" s="450"/>
      <c r="M48" s="447"/>
    </row>
    <row r="49" spans="1:14" s="308" customFormat="1" x14ac:dyDescent="0.25">
      <c r="A49" s="175" t="s">
        <v>45</v>
      </c>
      <c r="B49" s="12">
        <f>-'Estado de Resultados'!B12</f>
        <v>1309205</v>
      </c>
      <c r="C49" s="177">
        <f>ABS(B49/('Estado de Resultados'!B6))</f>
        <v>1.1910663992872916E-2</v>
      </c>
      <c r="D49" s="12">
        <f>-'Estado de Resultados'!D12</f>
        <v>1211298</v>
      </c>
      <c r="E49" s="177">
        <f>ABS(D49/('Estado de Resultados'!D6))</f>
        <v>1.0099362954511687E-2</v>
      </c>
      <c r="F49" s="12">
        <f>-'Estado de Resultados'!F12</f>
        <v>1247485</v>
      </c>
      <c r="G49" s="177">
        <f>ABS(F49/('Estado de Resultados'!F6))</f>
        <v>9.9456814956979615E-3</v>
      </c>
      <c r="H49" s="12">
        <f>-'Estado de Resultados'!H12</f>
        <v>1280055</v>
      </c>
      <c r="I49" s="177">
        <f>ABS(H49/('Estado de Resultados'!H6))</f>
        <v>1.2050436705536724E-2</v>
      </c>
      <c r="J49" s="12">
        <f>-'Estado de Resultados'!J12</f>
        <v>900982</v>
      </c>
      <c r="K49" s="177">
        <f>ABS(J49/('Estado de Resultados'!J6))</f>
        <v>1.1391012521438225E-2</v>
      </c>
      <c r="L49" s="450"/>
      <c r="M49" s="194">
        <f t="shared" si="1"/>
        <v>1.1079431534011502E-2</v>
      </c>
      <c r="N49"/>
    </row>
    <row r="50" spans="1:14" x14ac:dyDescent="0.25">
      <c r="A50" s="48" t="s">
        <v>272</v>
      </c>
      <c r="B50" s="152">
        <f>SUM(B49)</f>
        <v>1309205</v>
      </c>
      <c r="C50" s="177">
        <f>ABS(B50/('Estado de Resultados'!B6))</f>
        <v>1.1910663992872916E-2</v>
      </c>
      <c r="D50" s="152">
        <f t="shared" ref="D50" si="21">SUM(D49)</f>
        <v>1211298</v>
      </c>
      <c r="E50" s="177">
        <f>ABS(D50/('Estado de Resultados'!D6))</f>
        <v>1.0099362954511687E-2</v>
      </c>
      <c r="F50" s="152">
        <f t="shared" ref="F50" si="22">SUM(F49)</f>
        <v>1247485</v>
      </c>
      <c r="G50" s="177">
        <f>ABS(F50/('Estado de Resultados'!F6))</f>
        <v>9.9456814956979615E-3</v>
      </c>
      <c r="H50" s="152">
        <f t="shared" ref="H50" si="23">SUM(H49)</f>
        <v>1280055</v>
      </c>
      <c r="I50" s="177">
        <f>ABS(H50/('Estado de Resultados'!H6))</f>
        <v>1.2050436705536724E-2</v>
      </c>
      <c r="J50" s="152">
        <f t="shared" ref="J50" si="24">SUM(J49)</f>
        <v>900982</v>
      </c>
      <c r="K50" s="177">
        <f>ABS(J50/('Estado de Resultados'!J6))</f>
        <v>1.1391012521438225E-2</v>
      </c>
      <c r="L50" s="451"/>
      <c r="M50" s="250">
        <f t="shared" si="1"/>
        <v>1.1079431534011502E-2</v>
      </c>
    </row>
    <row r="51" spans="1:14" x14ac:dyDescent="0.25">
      <c r="A51" s="410"/>
      <c r="B51" s="308"/>
      <c r="C51" s="444"/>
      <c r="D51" s="308"/>
      <c r="E51" s="444"/>
      <c r="F51" s="308"/>
      <c r="G51" s="444"/>
      <c r="H51" s="308"/>
      <c r="I51" s="444"/>
      <c r="J51" s="308"/>
      <c r="K51" s="444"/>
      <c r="L51" s="450"/>
      <c r="M51" s="447"/>
      <c r="N51" s="308"/>
    </row>
    <row r="52" spans="1:14" s="308" customFormat="1" x14ac:dyDescent="0.25">
      <c r="A52" s="410"/>
      <c r="C52" s="444"/>
      <c r="E52" s="444"/>
      <c r="G52" s="444"/>
      <c r="I52" s="444"/>
      <c r="K52" s="444"/>
      <c r="L52" s="450"/>
      <c r="M52" s="447"/>
    </row>
    <row r="53" spans="1:14" s="308" customFormat="1" x14ac:dyDescent="0.25">
      <c r="A53" s="48" t="s">
        <v>331</v>
      </c>
      <c r="B53" s="10">
        <f>B12+B18+B41+B46+B50</f>
        <v>111001760.99999999</v>
      </c>
      <c r="C53" s="177">
        <f>ABS(B53/('Estado de Resultados'!B6))</f>
        <v>1.0098530618873172</v>
      </c>
      <c r="D53" s="10">
        <f>D12+D18+D41+D46+D50</f>
        <v>120249702</v>
      </c>
      <c r="E53" s="177">
        <f>ABS(D53/('Estado de Resultados'!D6))</f>
        <v>1.0025983578523781</v>
      </c>
      <c r="F53" s="10">
        <f>F12+F18+F41+F46+F50</f>
        <v>125748993</v>
      </c>
      <c r="G53" s="177">
        <f>ABS(F53/('Estado de Resultados'!F6))</f>
        <v>1.0025446660943838</v>
      </c>
      <c r="H53" s="10">
        <f>H12+H18+H41+H46+H50</f>
        <v>110384302</v>
      </c>
      <c r="I53" s="177">
        <f>ABS(H53/('Estado de Resultados'!H6))</f>
        <v>1.0391577272350414</v>
      </c>
      <c r="J53" s="10">
        <f>J12+J18+J41+J46+J50</f>
        <v>82452073</v>
      </c>
      <c r="K53" s="177">
        <f>ABS(J53/('Estado de Resultados'!J6))</f>
        <v>1.0424321417759053</v>
      </c>
      <c r="L53" s="451"/>
      <c r="M53" s="250">
        <f t="shared" si="1"/>
        <v>1.0193171909690051</v>
      </c>
      <c r="N53"/>
    </row>
    <row r="54" spans="1:14" x14ac:dyDescent="0.25">
      <c r="C54" s="177"/>
      <c r="E54" s="177"/>
      <c r="G54" s="177"/>
      <c r="I54" s="177"/>
      <c r="K54" s="177"/>
      <c r="L54" s="451"/>
      <c r="M54" s="250"/>
    </row>
    <row r="55" spans="1:14" x14ac:dyDescent="0.25">
      <c r="A55" s="48" t="s">
        <v>332</v>
      </c>
      <c r="B55" s="10">
        <f>('Estado de Resultados'!B6+'Estado de Resultados'!B7)-'Costos Operacionales - Print'!B53</f>
        <v>-685292.9999999851</v>
      </c>
      <c r="C55" s="177">
        <f>ABS(B55/('Estado de Resultados'!B6))</f>
        <v>6.234542840630521E-3</v>
      </c>
      <c r="D55" s="10">
        <f>('Estado de Resultados'!D6+'Estado de Resultados'!D7)-'Costos Operacionales - Print'!D53</f>
        <v>153229</v>
      </c>
      <c r="E55" s="177">
        <f>ABS(D55/('Estado de Resultados'!D6))</f>
        <v>1.2775677712312506E-3</v>
      </c>
      <c r="F55" s="10">
        <f>('Estado de Resultados'!F6+'Estado de Resultados'!F7)-'Costos Operacionales - Print'!F53</f>
        <v>-154474</v>
      </c>
      <c r="G55" s="177">
        <f>ABS(F55/('Estado de Resultados'!F6))</f>
        <v>1.2315572558920121E-3</v>
      </c>
      <c r="H55" s="10">
        <f>('Estado de Resultados'!H6+'Estado de Resultados'!H7)-'Costos Operacionales - Print'!H53</f>
        <v>-3983079</v>
      </c>
      <c r="I55" s="177">
        <f>ABS(H55/('Estado de Resultados'!H6))</f>
        <v>3.749670239376629E-2</v>
      </c>
      <c r="J55" s="10">
        <f>('Estado de Resultados'!J6+'Estado de Resultados'!J7)-'Costos Operacionales - Print'!J53</f>
        <v>-2947556</v>
      </c>
      <c r="K55" s="177">
        <f>ABS(J55/('Estado de Resultados'!J6))</f>
        <v>3.7265613856481451E-2</v>
      </c>
      <c r="L55" s="451"/>
      <c r="M55" s="250">
        <f t="shared" si="1"/>
        <v>1.6701196823600307E-2</v>
      </c>
    </row>
    <row r="56" spans="1:14" x14ac:dyDescent="0.25">
      <c r="C56" s="177"/>
      <c r="E56" s="177"/>
      <c r="G56" s="177"/>
      <c r="I56" s="177"/>
      <c r="K56" s="177"/>
      <c r="L56" s="451"/>
      <c r="M56" s="250"/>
    </row>
    <row r="57" spans="1:14" x14ac:dyDescent="0.25">
      <c r="A57" s="48" t="s">
        <v>48</v>
      </c>
      <c r="B57" s="10">
        <f>'Estado de Resultados'!B19</f>
        <v>17308</v>
      </c>
      <c r="C57" s="177">
        <f>ABS(B57/('Estado de Resultados'!B6))</f>
        <v>1.5746179734162674E-4</v>
      </c>
      <c r="D57" s="10">
        <f>'Estado de Resultados'!D19</f>
        <v>-11855</v>
      </c>
      <c r="E57" s="177">
        <f>ABS(D57/('Estado de Resultados'!D6))</f>
        <v>9.8842685966406331E-5</v>
      </c>
      <c r="F57" s="10">
        <f>'Estado de Resultados'!F19</f>
        <v>-3759</v>
      </c>
      <c r="G57" s="177">
        <f>ABS(F57/('Estado de Resultados'!F6))</f>
        <v>2.9968950923120227E-5</v>
      </c>
      <c r="H57" s="10">
        <f>'Estado de Resultados'!H19</f>
        <v>-5609</v>
      </c>
      <c r="I57" s="177">
        <f>ABS(H57/('Estado de Resultados'!H6))</f>
        <v>5.2803121335689078E-5</v>
      </c>
      <c r="J57" s="10">
        <f>'Estado de Resultados'!J19</f>
        <v>56750</v>
      </c>
      <c r="K57" s="177">
        <f>ABS(J57/('Estado de Resultados'!J6))</f>
        <v>7.1748376836786888E-4</v>
      </c>
      <c r="L57" s="451"/>
      <c r="M57" s="250">
        <f t="shared" si="1"/>
        <v>2.1131206478694226E-4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174C6-3427-41D6-BF0A-7E8170C7522A}">
  <dimension ref="A1:K25"/>
  <sheetViews>
    <sheetView showGridLines="0" workbookViewId="0">
      <selection activeCell="A27" sqref="A27"/>
    </sheetView>
  </sheetViews>
  <sheetFormatPr defaultRowHeight="15" x14ac:dyDescent="0.25"/>
  <cols>
    <col min="1" max="1" width="50.7109375" bestFit="1" customWidth="1"/>
    <col min="2" max="2" width="13.85546875" customWidth="1"/>
    <col min="3" max="3" width="5.7109375" style="412" bestFit="1" customWidth="1"/>
    <col min="4" max="4" width="11.42578125" customWidth="1"/>
    <col min="5" max="5" width="5.7109375" style="412" bestFit="1" customWidth="1"/>
    <col min="6" max="6" width="10.85546875" bestFit="1" customWidth="1"/>
    <col min="7" max="7" width="5.7109375" style="412" bestFit="1" customWidth="1"/>
    <col min="8" max="8" width="11.42578125" customWidth="1"/>
    <col min="9" max="9" width="5.7109375" style="412" bestFit="1" customWidth="1"/>
    <col min="10" max="10" width="11.42578125" customWidth="1"/>
    <col min="11" max="11" width="5.7109375" style="412" bestFit="1" customWidth="1"/>
  </cols>
  <sheetData>
    <row r="1" spans="1:11" x14ac:dyDescent="0.25">
      <c r="A1" s="1" t="s">
        <v>0</v>
      </c>
    </row>
    <row r="2" spans="1:11" x14ac:dyDescent="0.25">
      <c r="A2" s="1" t="s">
        <v>56</v>
      </c>
    </row>
    <row r="3" spans="1:11" x14ac:dyDescent="0.25">
      <c r="A3" s="1" t="s">
        <v>602</v>
      </c>
    </row>
    <row r="5" spans="1:11" x14ac:dyDescent="0.25">
      <c r="A5" s="2" t="s">
        <v>2</v>
      </c>
      <c r="B5" s="167">
        <v>2013</v>
      </c>
      <c r="C5" s="247" t="s">
        <v>495</v>
      </c>
      <c r="D5" s="167">
        <v>2014</v>
      </c>
      <c r="E5" s="247" t="s">
        <v>495</v>
      </c>
      <c r="F5" s="167">
        <v>2015</v>
      </c>
      <c r="G5" s="247" t="s">
        <v>495</v>
      </c>
      <c r="H5" s="167">
        <v>2016</v>
      </c>
      <c r="I5" s="247" t="s">
        <v>495</v>
      </c>
      <c r="J5" s="3">
        <v>42887</v>
      </c>
      <c r="K5" s="247" t="s">
        <v>495</v>
      </c>
    </row>
    <row r="6" spans="1:11" x14ac:dyDescent="0.25">
      <c r="A6" s="1" t="s">
        <v>3</v>
      </c>
      <c r="C6" s="413"/>
      <c r="E6" s="413"/>
      <c r="G6" s="413"/>
      <c r="I6" s="413"/>
      <c r="K6" s="413"/>
    </row>
    <row r="7" spans="1:11" x14ac:dyDescent="0.25">
      <c r="A7" t="s">
        <v>4</v>
      </c>
      <c r="B7" s="10">
        <v>5504259</v>
      </c>
      <c r="C7" s="413">
        <f>B7/B24</f>
        <v>0.10116143261446606</v>
      </c>
      <c r="D7" s="10">
        <v>5180172</v>
      </c>
      <c r="E7" s="413">
        <f>D7/D24</f>
        <v>8.3360904814920478E-2</v>
      </c>
      <c r="F7" s="10">
        <v>5928683</v>
      </c>
      <c r="G7" s="413">
        <f>F7/F24</f>
        <v>0.10136007567894195</v>
      </c>
      <c r="H7" s="10">
        <v>4214451</v>
      </c>
      <c r="I7" s="413">
        <f>H7/H24</f>
        <v>7.3899278102006707E-2</v>
      </c>
      <c r="J7" s="10">
        <v>4838632</v>
      </c>
      <c r="K7" s="413">
        <f>J7/J24</f>
        <v>8.9540666045947279E-2</v>
      </c>
    </row>
    <row r="8" spans="1:11" x14ac:dyDescent="0.25">
      <c r="A8" t="s">
        <v>5</v>
      </c>
      <c r="B8" s="10">
        <v>14268730</v>
      </c>
      <c r="C8" s="413">
        <f>B8/B24</f>
        <v>0.26224150578470423</v>
      </c>
      <c r="D8" s="10">
        <v>17217938</v>
      </c>
      <c r="E8" s="413">
        <f>D8/D24</f>
        <v>0.27707629992347788</v>
      </c>
      <c r="F8" s="10">
        <v>14392343</v>
      </c>
      <c r="G8" s="413">
        <f>F8/F24</f>
        <v>0.24605953390951926</v>
      </c>
      <c r="H8" s="10">
        <v>13133149</v>
      </c>
      <c r="I8" s="413">
        <f>H8/H24</f>
        <v>0.23028627698034482</v>
      </c>
      <c r="J8" s="10">
        <v>12240993</v>
      </c>
      <c r="K8" s="413">
        <f>J8/J24</f>
        <v>0.22652408083189179</v>
      </c>
    </row>
    <row r="9" spans="1:11" x14ac:dyDescent="0.25">
      <c r="A9" t="s">
        <v>6</v>
      </c>
      <c r="B9" s="10">
        <v>13196876</v>
      </c>
      <c r="C9" s="413">
        <f>B9/B24</f>
        <v>0.24254216274987503</v>
      </c>
      <c r="D9" s="10">
        <v>17427496</v>
      </c>
      <c r="E9" s="413">
        <f>D9/D24</f>
        <v>0.28044857105486215</v>
      </c>
      <c r="F9" s="10">
        <v>16032065</v>
      </c>
      <c r="G9" s="413">
        <f>F9/F24</f>
        <v>0.27409313699007293</v>
      </c>
      <c r="H9" s="10">
        <v>17009482</v>
      </c>
      <c r="I9" s="413">
        <f>H9/H24</f>
        <v>0.2982567458226652</v>
      </c>
      <c r="J9" s="10">
        <v>14338108</v>
      </c>
      <c r="K9" s="413">
        <f>J9/J24</f>
        <v>0.26533196576196022</v>
      </c>
    </row>
    <row r="10" spans="1:11" x14ac:dyDescent="0.25">
      <c r="A10" t="s">
        <v>7</v>
      </c>
      <c r="B10" s="12">
        <v>45651</v>
      </c>
      <c r="C10" s="414">
        <f>B10/B24</f>
        <v>8.3900858594826119E-4</v>
      </c>
      <c r="D10" s="12">
        <v>71593</v>
      </c>
      <c r="E10" s="414">
        <f>D10/D24</f>
        <v>1.1520963509347956E-3</v>
      </c>
      <c r="F10" s="12">
        <v>66422</v>
      </c>
      <c r="G10" s="414">
        <f>F10/F24</f>
        <v>1.1355876080314435E-3</v>
      </c>
      <c r="H10" s="12">
        <v>108639</v>
      </c>
      <c r="I10" s="414">
        <f>H10/H24</f>
        <v>1.9049559892199259E-3</v>
      </c>
      <c r="J10" s="12">
        <v>222345</v>
      </c>
      <c r="K10" s="414">
        <f>J10/J24</f>
        <v>4.1145760603381589E-3</v>
      </c>
    </row>
    <row r="11" spans="1:11" x14ac:dyDescent="0.25">
      <c r="B11" s="10"/>
      <c r="C11" s="413"/>
      <c r="D11" s="10"/>
      <c r="E11" s="413"/>
      <c r="F11" s="10"/>
      <c r="G11" s="413"/>
      <c r="H11" s="10"/>
      <c r="I11" s="413"/>
      <c r="J11" s="10"/>
      <c r="K11" s="413"/>
    </row>
    <row r="12" spans="1:11" x14ac:dyDescent="0.25">
      <c r="A12" s="1" t="s">
        <v>8</v>
      </c>
      <c r="B12" s="10">
        <f>SUM(B7:B11)</f>
        <v>33015516</v>
      </c>
      <c r="C12" s="413">
        <f>B12/B24</f>
        <v>0.60678410973499364</v>
      </c>
      <c r="D12" s="10">
        <f t="shared" ref="D12:J12" si="0">SUM(D7:D11)</f>
        <v>39897199</v>
      </c>
      <c r="E12" s="413">
        <f>D12/D24</f>
        <v>0.64203787214419528</v>
      </c>
      <c r="F12" s="10">
        <f t="shared" si="0"/>
        <v>36419513</v>
      </c>
      <c r="G12" s="413">
        <f>F12/F24</f>
        <v>0.62264833418656562</v>
      </c>
      <c r="H12" s="10">
        <f t="shared" si="0"/>
        <v>34465721</v>
      </c>
      <c r="I12" s="413">
        <f>H12/H24</f>
        <v>0.60434725689423663</v>
      </c>
      <c r="J12" s="10">
        <f t="shared" si="0"/>
        <v>31640078</v>
      </c>
      <c r="K12" s="413">
        <f>J12/J24</f>
        <v>0.58551128870013747</v>
      </c>
    </row>
    <row r="13" spans="1:11" x14ac:dyDescent="0.25">
      <c r="B13" s="10"/>
      <c r="C13" s="413"/>
      <c r="D13" s="10"/>
      <c r="E13" s="413"/>
      <c r="F13" s="10"/>
      <c r="G13" s="413"/>
      <c r="H13" s="10"/>
      <c r="I13" s="413"/>
      <c r="J13" s="10"/>
      <c r="K13" s="413"/>
    </row>
    <row r="14" spans="1:11" x14ac:dyDescent="0.25">
      <c r="B14" s="10"/>
      <c r="C14" s="413"/>
      <c r="D14" s="10"/>
      <c r="E14" s="413"/>
      <c r="F14" s="10"/>
      <c r="G14" s="413"/>
      <c r="H14" s="10"/>
      <c r="I14" s="413"/>
      <c r="J14" s="10"/>
      <c r="K14" s="413"/>
    </row>
    <row r="15" spans="1:11" x14ac:dyDescent="0.25">
      <c r="A15" s="1" t="s">
        <v>9</v>
      </c>
      <c r="B15" s="10"/>
      <c r="C15" s="413"/>
      <c r="D15" s="10"/>
      <c r="E15" s="413"/>
      <c r="F15" s="10"/>
      <c r="G15" s="413"/>
      <c r="H15" s="10"/>
      <c r="I15" s="413"/>
      <c r="J15" s="10"/>
      <c r="K15" s="413"/>
    </row>
    <row r="16" spans="1:11" x14ac:dyDescent="0.25">
      <c r="A16" t="s">
        <v>10</v>
      </c>
      <c r="B16" s="10">
        <v>18291117</v>
      </c>
      <c r="C16" s="413">
        <f>B16/B24</f>
        <v>0.33616797462452525</v>
      </c>
      <c r="D16" s="10">
        <v>11963624</v>
      </c>
      <c r="E16" s="413">
        <f>D16/D24</f>
        <v>0.19252227947363487</v>
      </c>
      <c r="F16" s="10">
        <v>11319918</v>
      </c>
      <c r="G16" s="413">
        <f>F16/F24</f>
        <v>0.19353164019048028</v>
      </c>
      <c r="H16" s="10">
        <v>10654096</v>
      </c>
      <c r="I16" s="413">
        <f>H16/H24</f>
        <v>0.18681674154699562</v>
      </c>
      <c r="J16" s="10">
        <v>9940924</v>
      </c>
      <c r="K16" s="413">
        <f>J16/J24</f>
        <v>0.18396045743345274</v>
      </c>
    </row>
    <row r="17" spans="1:11" x14ac:dyDescent="0.25">
      <c r="A17" t="s">
        <v>50</v>
      </c>
      <c r="B17" s="10"/>
      <c r="C17" s="413"/>
      <c r="D17" s="10">
        <v>7300000</v>
      </c>
      <c r="E17" s="413"/>
      <c r="F17" s="10">
        <v>7300000</v>
      </c>
      <c r="G17" s="413"/>
      <c r="H17" s="10">
        <v>9000000</v>
      </c>
      <c r="I17" s="413"/>
      <c r="J17" s="10">
        <v>9275000</v>
      </c>
      <c r="K17" s="413"/>
    </row>
    <row r="18" spans="1:11" x14ac:dyDescent="0.25">
      <c r="A18" t="s">
        <v>51</v>
      </c>
      <c r="B18" s="10">
        <v>13147</v>
      </c>
      <c r="C18" s="415">
        <f>B18/B24</f>
        <v>2.4162550392021622E-4</v>
      </c>
      <c r="D18" s="10">
        <v>116452</v>
      </c>
      <c r="E18" s="415">
        <f>D18/D24</f>
        <v>1.8739810352836005E-3</v>
      </c>
      <c r="F18" s="10">
        <v>112693</v>
      </c>
      <c r="G18" s="415">
        <f>F18/F24</f>
        <v>1.9266624659282686E-3</v>
      </c>
      <c r="H18" s="10">
        <v>107935</v>
      </c>
      <c r="I18" s="415">
        <f>H18/H24</f>
        <v>1.8926115363401053E-3</v>
      </c>
      <c r="J18" s="10">
        <v>164685</v>
      </c>
      <c r="K18" s="415">
        <f>J18/J24</f>
        <v>3.0475565382481716E-3</v>
      </c>
    </row>
    <row r="19" spans="1:11" x14ac:dyDescent="0.25">
      <c r="A19" t="s">
        <v>7</v>
      </c>
      <c r="B19" s="12">
        <v>3090867</v>
      </c>
      <c r="C19" s="416">
        <f>B19/B24</f>
        <v>5.6806290136560959E-2</v>
      </c>
      <c r="D19" s="12">
        <v>2864229</v>
      </c>
      <c r="E19" s="416">
        <f>D19/D24</f>
        <v>4.609204502034582E-2</v>
      </c>
      <c r="F19" s="12">
        <v>3339180</v>
      </c>
      <c r="G19" s="416">
        <f>F19/F24</f>
        <v>5.7088486179073729E-2</v>
      </c>
      <c r="H19" s="12">
        <v>2801912</v>
      </c>
      <c r="I19" s="416">
        <f>H19/H24</f>
        <v>4.9130782183812269E-2</v>
      </c>
      <c r="J19" s="12">
        <v>3017687</v>
      </c>
      <c r="K19" s="416">
        <f>J19/J24</f>
        <v>5.5843408611813521E-2</v>
      </c>
    </row>
    <row r="20" spans="1:11" x14ac:dyDescent="0.25">
      <c r="B20" s="10"/>
      <c r="C20" s="413">
        <f>B20/B24</f>
        <v>0</v>
      </c>
      <c r="D20" s="10"/>
      <c r="E20" s="413">
        <f>D20/D24</f>
        <v>0</v>
      </c>
      <c r="F20" s="10"/>
      <c r="G20" s="413">
        <f>F20/F24</f>
        <v>0</v>
      </c>
      <c r="H20" s="10"/>
      <c r="I20" s="413">
        <f>H20/H24</f>
        <v>0</v>
      </c>
      <c r="J20" s="10"/>
      <c r="K20" s="413">
        <f>J20/J24</f>
        <v>0</v>
      </c>
    </row>
    <row r="21" spans="1:11" x14ac:dyDescent="0.25">
      <c r="A21" s="1" t="s">
        <v>11</v>
      </c>
      <c r="B21" s="10">
        <f>SUM(B16:B19)</f>
        <v>21395131</v>
      </c>
      <c r="C21" s="413">
        <f>B21/B24</f>
        <v>0.39321589026500642</v>
      </c>
      <c r="D21" s="10">
        <f t="shared" ref="D21:J21" si="1">SUM(D16:D19)</f>
        <v>22244305</v>
      </c>
      <c r="E21" s="413">
        <f>D21/D24</f>
        <v>0.35796212785580472</v>
      </c>
      <c r="F21" s="10">
        <f t="shared" si="1"/>
        <v>22071791</v>
      </c>
      <c r="G21" s="413">
        <f>F21/F24</f>
        <v>0.37735166581343443</v>
      </c>
      <c r="H21" s="10">
        <f t="shared" si="1"/>
        <v>22563943</v>
      </c>
      <c r="I21" s="413">
        <f>H21/H24</f>
        <v>0.39565274310576337</v>
      </c>
      <c r="J21" s="10">
        <f t="shared" si="1"/>
        <v>22398296</v>
      </c>
      <c r="K21" s="413">
        <f>J21/J24</f>
        <v>0.41448871129986259</v>
      </c>
    </row>
    <row r="22" spans="1:11" x14ac:dyDescent="0.25">
      <c r="B22" s="10"/>
      <c r="C22" s="413"/>
      <c r="D22" s="10"/>
      <c r="E22" s="413"/>
      <c r="F22" s="10"/>
      <c r="G22" s="413"/>
      <c r="H22" s="10"/>
      <c r="I22" s="413"/>
      <c r="J22" s="10"/>
      <c r="K22" s="413"/>
    </row>
    <row r="23" spans="1:11" x14ac:dyDescent="0.25">
      <c r="B23" s="10"/>
      <c r="C23" s="416"/>
      <c r="D23" s="10"/>
      <c r="E23" s="416"/>
      <c r="F23" s="10"/>
      <c r="G23" s="416"/>
      <c r="H23" s="10"/>
      <c r="I23" s="416"/>
      <c r="J23" s="10"/>
      <c r="K23" s="416"/>
    </row>
    <row r="24" spans="1:11" x14ac:dyDescent="0.25">
      <c r="A24" s="13" t="s">
        <v>12</v>
      </c>
      <c r="B24" s="14">
        <f>B12+B21</f>
        <v>54410647</v>
      </c>
      <c r="C24" s="417">
        <f>B24/B24</f>
        <v>1</v>
      </c>
      <c r="D24" s="14">
        <f t="shared" ref="D24:J24" si="2">D12+D21</f>
        <v>62141504</v>
      </c>
      <c r="E24" s="417">
        <f>D24/D24</f>
        <v>1</v>
      </c>
      <c r="F24" s="14">
        <f t="shared" si="2"/>
        <v>58491304</v>
      </c>
      <c r="G24" s="417">
        <f>F24/F24</f>
        <v>1</v>
      </c>
      <c r="H24" s="14">
        <f t="shared" si="2"/>
        <v>57029664</v>
      </c>
      <c r="I24" s="417">
        <f>H24/H24</f>
        <v>1</v>
      </c>
      <c r="J24" s="14">
        <f t="shared" si="2"/>
        <v>54038374</v>
      </c>
      <c r="K24" s="417">
        <f>J24/J24</f>
        <v>1</v>
      </c>
    </row>
    <row r="25" spans="1:11" x14ac:dyDescent="0.25">
      <c r="B25" s="11"/>
      <c r="C25" s="418"/>
      <c r="D25" s="11"/>
      <c r="E25" s="418"/>
      <c r="F25" s="11"/>
      <c r="G25" s="418"/>
      <c r="H25" s="11"/>
      <c r="I25" s="418"/>
      <c r="J25" s="11"/>
    </row>
  </sheetData>
  <pageMargins left="0.7" right="0.7" top="0.75" bottom="0.75" header="0.3" footer="0.3"/>
  <pageSetup orientation="portrait" horizontalDpi="4294967293" verticalDpi="0" r:id="rId1"/>
  <ignoredErrors>
    <ignoredError sqref="C12:E12 C21:E21 C24:D24 E24:G24 F12:G12 F21:G21 H24:I24 H21:I21 H12:I12 J12 J21 J24"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C0648-11A9-4913-8D0B-C9614CEE7197}">
  <sheetPr>
    <tabColor theme="8"/>
  </sheetPr>
  <dimension ref="A1:G21"/>
  <sheetViews>
    <sheetView showGridLines="0" workbookViewId="0">
      <selection activeCell="H25" sqref="H25"/>
    </sheetView>
  </sheetViews>
  <sheetFormatPr defaultRowHeight="15" x14ac:dyDescent="0.25"/>
  <cols>
    <col min="1" max="1" width="28.7109375" bestFit="1" customWidth="1"/>
    <col min="2" max="2" width="8.42578125" style="161" customWidth="1"/>
    <col min="3" max="3" width="13.7109375" style="161" customWidth="1"/>
    <col min="4" max="4" width="13.5703125" customWidth="1"/>
    <col min="5" max="5" width="13.28515625" customWidth="1"/>
    <col min="6" max="6" width="12.7109375" customWidth="1"/>
    <col min="7" max="7" width="8.85546875" customWidth="1"/>
  </cols>
  <sheetData>
    <row r="1" spans="1:7" x14ac:dyDescent="0.25">
      <c r="A1" s="5" t="s">
        <v>0</v>
      </c>
    </row>
    <row r="2" spans="1:7" x14ac:dyDescent="0.25">
      <c r="A2" s="1" t="s">
        <v>380</v>
      </c>
    </row>
    <row r="3" spans="1:7" x14ac:dyDescent="0.25">
      <c r="A3" s="1" t="s">
        <v>602</v>
      </c>
    </row>
    <row r="7" spans="1:7" x14ac:dyDescent="0.25">
      <c r="B7" s="496"/>
      <c r="C7" s="496"/>
      <c r="D7" s="411"/>
      <c r="E7" s="786" t="s">
        <v>481</v>
      </c>
      <c r="F7" s="786" t="s">
        <v>415</v>
      </c>
    </row>
    <row r="8" spans="1:7" ht="14.45" customHeight="1" x14ac:dyDescent="0.25">
      <c r="A8" s="1"/>
      <c r="B8" s="496"/>
      <c r="C8" s="539" t="s">
        <v>379</v>
      </c>
      <c r="D8" s="539" t="s">
        <v>199</v>
      </c>
      <c r="E8" s="786"/>
      <c r="F8" s="786"/>
    </row>
    <row r="9" spans="1:7" x14ac:dyDescent="0.25">
      <c r="B9" s="497">
        <v>2013</v>
      </c>
      <c r="C9" s="540">
        <f>-'Flujo de Efectivo - Analizado'!B29</f>
        <v>2891730</v>
      </c>
      <c r="D9" s="540">
        <f>'Flujo de Efectivo - Analizado'!B10</f>
        <v>1326140</v>
      </c>
      <c r="E9" s="534">
        <f>C9/D9</f>
        <v>2.1805616299938166</v>
      </c>
      <c r="F9" s="786"/>
    </row>
    <row r="10" spans="1:7" x14ac:dyDescent="0.25">
      <c r="B10" s="497">
        <f>B9+1</f>
        <v>2014</v>
      </c>
      <c r="C10" s="540">
        <f>-'Flujo de Efectivo - Analizado'!D29</f>
        <v>1082930</v>
      </c>
      <c r="D10" s="540">
        <f>'Flujo de Efectivo - Analizado'!D10</f>
        <v>1545672</v>
      </c>
      <c r="E10" s="534">
        <f t="shared" ref="E10:E13" si="0">C10/D10</f>
        <v>0.70062083029258471</v>
      </c>
      <c r="F10" s="535">
        <f>(E10-E9)/E9</f>
        <v>-0.67869707480151731</v>
      </c>
    </row>
    <row r="11" spans="1:7" x14ac:dyDescent="0.25">
      <c r="B11" s="497">
        <f>B10+1</f>
        <v>2015</v>
      </c>
      <c r="C11" s="540">
        <f>-'Flujo de Efectivo - Analizado'!F29</f>
        <v>852092</v>
      </c>
      <c r="D11" s="540">
        <f>'Flujo de Efectivo - Analizado'!F10</f>
        <v>1494868</v>
      </c>
      <c r="E11" s="534">
        <f t="shared" si="0"/>
        <v>0.57001153279085515</v>
      </c>
      <c r="F11" s="535">
        <f t="shared" ref="F11:F13" si="1">(E11-E10)/E10</f>
        <v>-0.18641937529488825</v>
      </c>
    </row>
    <row r="12" spans="1:7" x14ac:dyDescent="0.25">
      <c r="B12" s="497">
        <f>B11+1</f>
        <v>2016</v>
      </c>
      <c r="C12" s="540">
        <f>-'Flujo de Efectivo - Analizado'!H29</f>
        <v>655245</v>
      </c>
      <c r="D12" s="540">
        <f>'Flujo de Efectivo - Analizado'!H10</f>
        <v>1319295</v>
      </c>
      <c r="E12" s="534">
        <f t="shared" si="0"/>
        <v>0.4966629904608143</v>
      </c>
      <c r="F12" s="535">
        <f t="shared" si="1"/>
        <v>-0.12867904965170837</v>
      </c>
    </row>
    <row r="13" spans="1:7" x14ac:dyDescent="0.25">
      <c r="B13" s="498" t="s">
        <v>641</v>
      </c>
      <c r="C13" s="541">
        <f>-'Flujo de Efectivo - Analizado'!J29</f>
        <v>112649</v>
      </c>
      <c r="D13" s="541">
        <f>'Flujo de Efectivo - Analizado'!J10</f>
        <v>761359</v>
      </c>
      <c r="E13" s="536">
        <f t="shared" si="0"/>
        <v>0.14795779651911911</v>
      </c>
      <c r="F13" s="537">
        <f t="shared" si="1"/>
        <v>-0.70209619125870282</v>
      </c>
    </row>
    <row r="14" spans="1:7" x14ac:dyDescent="0.25">
      <c r="B14" s="496"/>
      <c r="C14" s="496"/>
      <c r="D14" s="542" t="s">
        <v>92</v>
      </c>
      <c r="E14" s="538">
        <f>AVERAGE(E9:E13)</f>
        <v>0.81916295601143807</v>
      </c>
      <c r="F14" s="538">
        <f>AVERAGE(F9:F13)</f>
        <v>-0.42397292275170417</v>
      </c>
    </row>
    <row r="15" spans="1:7" x14ac:dyDescent="0.25">
      <c r="B15" s="496"/>
      <c r="C15" s="499"/>
      <c r="D15" s="411"/>
      <c r="E15" s="411"/>
      <c r="F15" s="500"/>
      <c r="G15" s="337"/>
    </row>
    <row r="16" spans="1:7" x14ac:dyDescent="0.25">
      <c r="B16" s="496"/>
      <c r="C16" s="499"/>
      <c r="D16" s="411"/>
      <c r="E16" s="411"/>
      <c r="F16" s="411"/>
    </row>
    <row r="17" spans="2:7" ht="15.75" thickBot="1" x14ac:dyDescent="0.3">
      <c r="B17" s="496"/>
      <c r="C17" s="496"/>
      <c r="D17" s="532" t="s">
        <v>416</v>
      </c>
      <c r="E17" s="532"/>
      <c r="F17" s="533">
        <f>E13</f>
        <v>0.14795779651911911</v>
      </c>
    </row>
    <row r="18" spans="2:7" ht="15.75" thickBot="1" x14ac:dyDescent="0.3">
      <c r="B18" s="496"/>
      <c r="C18" s="496"/>
      <c r="D18" s="551" t="s">
        <v>444</v>
      </c>
      <c r="E18" s="552"/>
      <c r="F18" s="553">
        <f>UltimaTasa*(1+(AVERAGE(Vector_ReducciónTasaInversion)))</f>
        <v>8.5227697085006257E-2</v>
      </c>
    </row>
    <row r="20" spans="2:7" ht="15.75" x14ac:dyDescent="0.25">
      <c r="C20" s="334" t="s">
        <v>445</v>
      </c>
      <c r="D20" s="333"/>
      <c r="E20" s="335"/>
      <c r="F20" s="335"/>
      <c r="G20" s="335"/>
    </row>
    <row r="21" spans="2:7" ht="15.75" x14ac:dyDescent="0.25">
      <c r="C21" s="335" t="str">
        <f ca="1">_xlfn.FORMULATEXT(F18)</f>
        <v>=UltimaTasa*(1+(AVERAGE(Vector_ReducciónTasaInversion)))</v>
      </c>
      <c r="D21" s="333"/>
      <c r="E21" s="335"/>
      <c r="F21" s="335"/>
      <c r="G21" s="335"/>
    </row>
  </sheetData>
  <mergeCells count="2">
    <mergeCell ref="E7:E8"/>
    <mergeCell ref="F7:F9"/>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76077-383A-4FA9-B7D4-CEE7DD8D8DCF}">
  <dimension ref="A1:H28"/>
  <sheetViews>
    <sheetView showGridLines="0" zoomScale="120" zoomScaleNormal="120" workbookViewId="0">
      <selection activeCell="I19" sqref="I19"/>
    </sheetView>
  </sheetViews>
  <sheetFormatPr defaultRowHeight="15" x14ac:dyDescent="0.25"/>
  <cols>
    <col min="1" max="1" width="20.140625" customWidth="1"/>
    <col min="2" max="2" width="21.42578125" style="161" customWidth="1"/>
    <col min="3" max="3" width="14" style="341" customWidth="1"/>
    <col min="4" max="4" width="13.7109375" style="161" customWidth="1"/>
    <col min="5" max="5" width="13.5703125" customWidth="1"/>
    <col min="6" max="6" width="11.7109375" customWidth="1"/>
    <col min="7" max="7" width="12.7109375" customWidth="1"/>
    <col min="8" max="8" width="9.28515625" bestFit="1" customWidth="1"/>
  </cols>
  <sheetData>
    <row r="1" spans="1:8" x14ac:dyDescent="0.25">
      <c r="A1" s="5" t="s">
        <v>0</v>
      </c>
    </row>
    <row r="2" spans="1:8" x14ac:dyDescent="0.25">
      <c r="A2" s="1" t="s">
        <v>449</v>
      </c>
    </row>
    <row r="3" spans="1:8" x14ac:dyDescent="0.25">
      <c r="A3" s="1" t="s">
        <v>602</v>
      </c>
      <c r="D3" s="262"/>
    </row>
    <row r="4" spans="1:8" x14ac:dyDescent="0.25">
      <c r="B4" s="341"/>
      <c r="C4" s="161"/>
      <c r="D4"/>
    </row>
    <row r="5" spans="1:8" x14ac:dyDescent="0.25">
      <c r="B5" s="505"/>
      <c r="C5" s="787" t="s">
        <v>453</v>
      </c>
      <c r="D5" s="787"/>
      <c r="E5" s="787"/>
      <c r="F5" s="787"/>
      <c r="G5" s="787"/>
    </row>
    <row r="6" spans="1:8" x14ac:dyDescent="0.25">
      <c r="A6" s="531" t="s">
        <v>454</v>
      </c>
      <c r="B6" s="341"/>
      <c r="C6" s="506">
        <v>2013</v>
      </c>
      <c r="D6" s="507" t="s">
        <v>465</v>
      </c>
      <c r="E6" s="506">
        <v>2015</v>
      </c>
      <c r="F6" s="507">
        <f>E6+1</f>
        <v>2016</v>
      </c>
      <c r="G6" s="506" t="s">
        <v>116</v>
      </c>
    </row>
    <row r="7" spans="1:8" x14ac:dyDescent="0.25">
      <c r="A7" s="531" t="s">
        <v>455</v>
      </c>
      <c r="B7" s="504" t="s">
        <v>464</v>
      </c>
      <c r="C7" s="508">
        <v>12972448</v>
      </c>
      <c r="D7" s="509">
        <v>7707448</v>
      </c>
      <c r="E7" s="508">
        <v>7707448</v>
      </c>
      <c r="F7" s="509">
        <v>7707448</v>
      </c>
      <c r="G7" s="508">
        <v>7707448</v>
      </c>
    </row>
    <row r="8" spans="1:8" x14ac:dyDescent="0.25">
      <c r="A8" s="530"/>
      <c r="B8" s="523" t="s">
        <v>460</v>
      </c>
      <c r="C8" s="524"/>
      <c r="D8" s="525">
        <f>(D7-C7)/C7</f>
        <v>-0.40586017380836675</v>
      </c>
      <c r="E8" s="526">
        <f t="shared" ref="E8" si="0">(E7-D7)/D7</f>
        <v>0</v>
      </c>
      <c r="F8" s="525">
        <f t="shared" ref="F8" si="1">(F7-E7)/E7</f>
        <v>0</v>
      </c>
      <c r="G8" s="526">
        <f t="shared" ref="G8" si="2">(G7-F7)/F7</f>
        <v>0</v>
      </c>
    </row>
    <row r="9" spans="1:8" s="308" customFormat="1" ht="9.6" customHeight="1" x14ac:dyDescent="0.25">
      <c r="A9" s="530"/>
      <c r="B9" s="513"/>
      <c r="C9" s="510"/>
      <c r="D9" s="511"/>
      <c r="E9" s="512"/>
      <c r="F9" s="511"/>
      <c r="G9" s="512"/>
    </row>
    <row r="10" spans="1:8" x14ac:dyDescent="0.25">
      <c r="A10" s="531">
        <v>10</v>
      </c>
      <c r="B10" s="504" t="s">
        <v>450</v>
      </c>
      <c r="C10" s="508">
        <v>2396849</v>
      </c>
      <c r="D10" s="509">
        <v>1736922</v>
      </c>
      <c r="E10" s="508">
        <v>1590105</v>
      </c>
      <c r="F10" s="509">
        <v>1380307</v>
      </c>
      <c r="G10" s="508">
        <v>1158737</v>
      </c>
    </row>
    <row r="11" spans="1:8" s="343" customFormat="1" ht="12" x14ac:dyDescent="0.2">
      <c r="A11" s="530"/>
      <c r="B11" s="523" t="s">
        <v>460</v>
      </c>
      <c r="C11" s="524"/>
      <c r="D11" s="525">
        <f>(D10-C10)/C10</f>
        <v>-0.27533107008409791</v>
      </c>
      <c r="E11" s="526">
        <f t="shared" ref="E11:G11" si="3">(E10-D10)/D10</f>
        <v>-8.4527111752859374E-2</v>
      </c>
      <c r="F11" s="525">
        <f t="shared" si="3"/>
        <v>-0.13193971467293039</v>
      </c>
      <c r="G11" s="526">
        <f t="shared" si="3"/>
        <v>-0.16052226062752706</v>
      </c>
      <c r="H11" s="344"/>
    </row>
    <row r="12" spans="1:8" s="502" customFormat="1" ht="12" x14ac:dyDescent="0.2">
      <c r="A12" s="530"/>
      <c r="B12" s="514"/>
      <c r="C12" s="510"/>
      <c r="D12" s="511"/>
      <c r="E12" s="512"/>
      <c r="F12" s="511"/>
      <c r="G12" s="512"/>
      <c r="H12" s="503"/>
    </row>
    <row r="13" spans="1:8" x14ac:dyDescent="0.25">
      <c r="A13" s="531">
        <v>3</v>
      </c>
      <c r="B13" s="504" t="s">
        <v>451</v>
      </c>
      <c r="C13" s="508">
        <v>1919348</v>
      </c>
      <c r="D13" s="509">
        <v>1522289</v>
      </c>
      <c r="E13" s="508">
        <v>985793</v>
      </c>
      <c r="F13" s="509">
        <v>900516</v>
      </c>
      <c r="G13" s="508">
        <v>639559</v>
      </c>
    </row>
    <row r="14" spans="1:8" ht="12" customHeight="1" x14ac:dyDescent="0.25">
      <c r="A14" s="530"/>
      <c r="B14" s="523" t="s">
        <v>460</v>
      </c>
      <c r="C14" s="524"/>
      <c r="D14" s="525">
        <f>(D13-C13)/C13</f>
        <v>-0.20687181271973606</v>
      </c>
      <c r="E14" s="526">
        <f t="shared" ref="E14" si="4">(E13-D13)/D13</f>
        <v>-0.35242716724616679</v>
      </c>
      <c r="F14" s="525">
        <f t="shared" ref="F14" si="5">(F13-E13)/E13</f>
        <v>-8.6505990608576042E-2</v>
      </c>
      <c r="G14" s="526">
        <f t="shared" ref="G14" si="6">(G13-F13)/F13</f>
        <v>-0.28978607820405189</v>
      </c>
    </row>
    <row r="15" spans="1:8" s="308" customFormat="1" ht="12" customHeight="1" x14ac:dyDescent="0.25">
      <c r="A15" s="530"/>
      <c r="B15" s="513"/>
      <c r="C15" s="510"/>
      <c r="D15" s="511"/>
      <c r="E15" s="512"/>
      <c r="F15" s="511"/>
      <c r="G15" s="512"/>
    </row>
    <row r="16" spans="1:8" x14ac:dyDescent="0.25">
      <c r="A16" s="531">
        <v>3</v>
      </c>
      <c r="B16" s="513" t="s">
        <v>452</v>
      </c>
      <c r="C16" s="508">
        <v>1002472</v>
      </c>
      <c r="D16" s="515">
        <v>996965</v>
      </c>
      <c r="E16" s="508">
        <v>1036572</v>
      </c>
      <c r="F16" s="515">
        <v>665825</v>
      </c>
      <c r="G16" s="508">
        <v>435180</v>
      </c>
    </row>
    <row r="17" spans="1:8" ht="10.9" customHeight="1" x14ac:dyDescent="0.25">
      <c r="A17" s="530"/>
      <c r="B17" s="523" t="s">
        <v>460</v>
      </c>
      <c r="C17" s="524"/>
      <c r="D17" s="525">
        <f>(D16-C16)/C16</f>
        <v>-5.493420265104661E-3</v>
      </c>
      <c r="E17" s="526">
        <f t="shared" ref="E17" si="7">(E16-D16)/D16</f>
        <v>3.9727573184615304E-2</v>
      </c>
      <c r="F17" s="525">
        <f t="shared" ref="F17" si="8">(F16-E16)/E16</f>
        <v>-0.35766642355764966</v>
      </c>
      <c r="G17" s="526">
        <f t="shared" ref="G17" si="9">(G16-F16)/F16</f>
        <v>-0.34640483610558331</v>
      </c>
    </row>
    <row r="18" spans="1:8" s="308" customFormat="1" ht="10.9" customHeight="1" thickBot="1" x14ac:dyDescent="0.3">
      <c r="A18" s="410"/>
      <c r="C18" s="516"/>
      <c r="D18" s="517"/>
      <c r="E18" s="518"/>
      <c r="F18" s="517"/>
      <c r="G18" s="518"/>
    </row>
    <row r="19" spans="1:8" ht="15.75" thickBot="1" x14ac:dyDescent="0.3">
      <c r="A19" s="135"/>
      <c r="B19" s="519" t="s">
        <v>456</v>
      </c>
      <c r="C19" s="520">
        <f>SUM(C7+C10+C13+C16)</f>
        <v>18291117</v>
      </c>
      <c r="D19" s="521">
        <f t="shared" ref="D19:G19" si="10">SUM(D7+D10+D13+D16)</f>
        <v>11963624</v>
      </c>
      <c r="E19" s="520">
        <f t="shared" si="10"/>
        <v>11319918</v>
      </c>
      <c r="F19" s="521">
        <f t="shared" si="10"/>
        <v>10654096</v>
      </c>
      <c r="G19" s="522">
        <f t="shared" si="10"/>
        <v>9940924</v>
      </c>
    </row>
    <row r="20" spans="1:8" x14ac:dyDescent="0.25">
      <c r="B20" s="788" t="s">
        <v>466</v>
      </c>
      <c r="C20" s="788"/>
      <c r="D20" s="788"/>
      <c r="E20" s="412"/>
      <c r="F20" s="412"/>
      <c r="G20" s="412"/>
      <c r="H20" s="412"/>
    </row>
    <row r="21" spans="1:8" ht="15.75" thickBot="1" x14ac:dyDescent="0.3">
      <c r="B21" s="504"/>
      <c r="C21" s="505"/>
      <c r="D21" s="504"/>
      <c r="E21" s="412"/>
      <c r="F21" s="412"/>
      <c r="G21" s="412"/>
      <c r="H21" s="412"/>
    </row>
    <row r="22" spans="1:8" ht="24.75" thickBot="1" x14ac:dyDescent="0.3">
      <c r="B22" s="527" t="s">
        <v>457</v>
      </c>
      <c r="C22" s="528">
        <f>C19-C7</f>
        <v>5318669</v>
      </c>
      <c r="D22" s="528">
        <f>D19-D7</f>
        <v>4256176</v>
      </c>
      <c r="E22" s="528">
        <f>E19-E7</f>
        <v>3612470</v>
      </c>
      <c r="F22" s="528">
        <f>F19-F7</f>
        <v>2946648</v>
      </c>
      <c r="G22" s="529">
        <f>G19-G7</f>
        <v>2233476</v>
      </c>
    </row>
    <row r="23" spans="1:8" x14ac:dyDescent="0.25">
      <c r="D23" s="68"/>
      <c r="E23" s="68"/>
      <c r="F23" s="68"/>
      <c r="G23" s="68"/>
    </row>
    <row r="24" spans="1:8" x14ac:dyDescent="0.25">
      <c r="B24" s="342" t="s">
        <v>458</v>
      </c>
      <c r="C24" s="342"/>
    </row>
    <row r="25" spans="1:8" x14ac:dyDescent="0.25">
      <c r="C25" s="204">
        <f>D25-1</f>
        <v>2013</v>
      </c>
      <c r="D25" s="205">
        <f>E25-1</f>
        <v>2014</v>
      </c>
      <c r="E25" s="205">
        <v>2015</v>
      </c>
      <c r="F25" s="224">
        <f>E25+1</f>
        <v>2016</v>
      </c>
      <c r="G25" s="215" t="s">
        <v>116</v>
      </c>
      <c r="H25" s="311" t="s">
        <v>92</v>
      </c>
    </row>
    <row r="26" spans="1:8" x14ac:dyDescent="0.25">
      <c r="B26" s="161" t="s">
        <v>450</v>
      </c>
      <c r="C26" s="71">
        <f>C10/C$22</f>
        <v>0.45064827309238459</v>
      </c>
      <c r="D26" s="71">
        <f>D10/D$22</f>
        <v>0.40809449609226683</v>
      </c>
      <c r="E26" s="71">
        <f>E10/E$22</f>
        <v>0.44017112944882586</v>
      </c>
      <c r="F26" s="71">
        <f>F10/F$22</f>
        <v>0.46843294482408487</v>
      </c>
      <c r="G26" s="71">
        <f>G10/G$22</f>
        <v>0.51880432115679775</v>
      </c>
      <c r="H26" s="707">
        <f>AVERAGE(C26:G26)</f>
        <v>0.45723023292287196</v>
      </c>
    </row>
    <row r="27" spans="1:8" x14ac:dyDescent="0.25">
      <c r="B27" s="161" t="s">
        <v>451</v>
      </c>
      <c r="C27" s="71">
        <f>C13/C$22</f>
        <v>0.36086998457696839</v>
      </c>
      <c r="D27" s="71">
        <f>D13/D$22</f>
        <v>0.35766589539530319</v>
      </c>
      <c r="E27" s="71">
        <f>E13/E$22</f>
        <v>0.2728861416150169</v>
      </c>
      <c r="F27" s="71">
        <f>F13/F$22</f>
        <v>0.30560691334696238</v>
      </c>
      <c r="G27" s="71">
        <f>G13/G$22</f>
        <v>0.28635140919356195</v>
      </c>
      <c r="H27" s="707">
        <f t="shared" ref="H27:H28" si="11">AVERAGE(C27:G27)</f>
        <v>0.3166760688255626</v>
      </c>
    </row>
    <row r="28" spans="1:8" x14ac:dyDescent="0.25">
      <c r="B28" s="340" t="s">
        <v>452</v>
      </c>
      <c r="C28" s="71">
        <f>C16/C$22</f>
        <v>0.18848174233064702</v>
      </c>
      <c r="D28" s="71">
        <f>D16/D$22</f>
        <v>0.23423960851242995</v>
      </c>
      <c r="E28" s="71">
        <f>E16/E$22</f>
        <v>0.28694272893615724</v>
      </c>
      <c r="F28" s="71">
        <f>F16/F$22</f>
        <v>0.22596014182895277</v>
      </c>
      <c r="G28" s="71">
        <f>G16/G$22</f>
        <v>0.1948442696496403</v>
      </c>
      <c r="H28" s="707">
        <f t="shared" si="11"/>
        <v>0.22609369825156547</v>
      </c>
    </row>
  </sheetData>
  <mergeCells count="2">
    <mergeCell ref="C5:G5"/>
    <mergeCell ref="B20:D20"/>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0E704-A25C-496E-A96A-F727554EE8BE}">
  <sheetPr>
    <tabColor theme="8"/>
  </sheetPr>
  <dimension ref="A1:L22"/>
  <sheetViews>
    <sheetView showGridLines="0" workbookViewId="0">
      <selection activeCell="B13" sqref="B13"/>
    </sheetView>
  </sheetViews>
  <sheetFormatPr defaultRowHeight="15" x14ac:dyDescent="0.25"/>
  <cols>
    <col min="1" max="1" width="40.5703125" customWidth="1"/>
    <col min="2" max="3" width="13.7109375" style="161" customWidth="1"/>
    <col min="4" max="4" width="13.5703125" customWidth="1"/>
    <col min="5" max="5" width="13.28515625" customWidth="1"/>
    <col min="6" max="6" width="12.7109375" customWidth="1"/>
    <col min="7" max="7" width="42.28515625" bestFit="1" customWidth="1"/>
    <col min="8" max="8" width="10.5703125" bestFit="1" customWidth="1"/>
    <col min="9" max="9" width="11" customWidth="1"/>
    <col min="10" max="10" width="10.7109375" customWidth="1"/>
    <col min="11" max="13" width="9.28515625" bestFit="1" customWidth="1"/>
  </cols>
  <sheetData>
    <row r="1" spans="1:12" x14ac:dyDescent="0.25">
      <c r="A1" s="5" t="s">
        <v>0</v>
      </c>
    </row>
    <row r="2" spans="1:12" x14ac:dyDescent="0.25">
      <c r="A2" s="1" t="s">
        <v>447</v>
      </c>
      <c r="G2" s="1" t="s">
        <v>213</v>
      </c>
      <c r="H2" s="167">
        <v>2013</v>
      </c>
      <c r="I2" s="167">
        <f>H2+1</f>
        <v>2014</v>
      </c>
      <c r="J2" s="167">
        <f>I2+1</f>
        <v>2015</v>
      </c>
      <c r="K2" s="167">
        <f>J2+1</f>
        <v>2016</v>
      </c>
      <c r="L2" s="3" t="s">
        <v>641</v>
      </c>
    </row>
    <row r="3" spans="1:12" ht="29.45" customHeight="1" x14ac:dyDescent="0.25">
      <c r="A3" s="668" t="s">
        <v>602</v>
      </c>
      <c r="G3" s="348" t="s">
        <v>215</v>
      </c>
      <c r="H3" s="349">
        <v>2891730</v>
      </c>
      <c r="I3" s="349">
        <v>1082930</v>
      </c>
      <c r="J3" s="349">
        <v>852092</v>
      </c>
      <c r="K3" s="349">
        <v>655245</v>
      </c>
      <c r="L3" s="349">
        <v>112649</v>
      </c>
    </row>
    <row r="7" spans="1:12" x14ac:dyDescent="0.25">
      <c r="D7" s="161"/>
      <c r="E7" s="789" t="s">
        <v>482</v>
      </c>
      <c r="F7" s="789" t="s">
        <v>448</v>
      </c>
    </row>
    <row r="8" spans="1:12" ht="14.45" customHeight="1" x14ac:dyDescent="0.25">
      <c r="A8" s="1"/>
      <c r="C8" s="501" t="s">
        <v>459</v>
      </c>
      <c r="D8" s="501" t="s">
        <v>446</v>
      </c>
      <c r="E8" s="789"/>
      <c r="F8" s="789"/>
    </row>
    <row r="9" spans="1:12" x14ac:dyDescent="0.25">
      <c r="B9" s="167">
        <v>2013</v>
      </c>
      <c r="C9" s="548">
        <f>'Activo Fijo Histórico'!C22</f>
        <v>5318669</v>
      </c>
      <c r="D9" s="549">
        <f>'Estado de Resultados'!B6</f>
        <v>109918725</v>
      </c>
      <c r="E9" s="543">
        <f>C9/D9</f>
        <v>4.8387287971180526E-2</v>
      </c>
      <c r="F9" s="789"/>
    </row>
    <row r="10" spans="1:12" x14ac:dyDescent="0.25">
      <c r="B10" s="167">
        <f>B9+1</f>
        <v>2014</v>
      </c>
      <c r="C10" s="548">
        <f>'Activo Fijo Histórico'!D22</f>
        <v>4256176</v>
      </c>
      <c r="D10" s="549">
        <f>'Estado de Resultados'!D6</f>
        <v>119938060</v>
      </c>
      <c r="E10" s="543">
        <f t="shared" ref="E10:E13" si="0">C10/D10</f>
        <v>3.5486450256073845E-2</v>
      </c>
      <c r="F10" s="544">
        <f t="shared" ref="F10:F13" si="1">(E10-E9)/E9</f>
        <v>-0.26661625927021204</v>
      </c>
    </row>
    <row r="11" spans="1:12" x14ac:dyDescent="0.25">
      <c r="B11" s="167">
        <f>B10+1</f>
        <v>2015</v>
      </c>
      <c r="C11" s="548">
        <f>'Activo Fijo Histórico'!E22</f>
        <v>3612470</v>
      </c>
      <c r="D11" s="549">
        <f>'Estado de Resultados'!F6</f>
        <v>125429816</v>
      </c>
      <c r="E11" s="543">
        <f t="shared" si="0"/>
        <v>2.8800727890727355E-2</v>
      </c>
      <c r="F11" s="544">
        <f t="shared" si="1"/>
        <v>-0.18840211734624443</v>
      </c>
    </row>
    <row r="12" spans="1:12" x14ac:dyDescent="0.25">
      <c r="B12" s="167">
        <f>B11+1</f>
        <v>2016</v>
      </c>
      <c r="C12" s="548">
        <f>'Activo Fijo Histórico'!F22</f>
        <v>2946648</v>
      </c>
      <c r="D12" s="549">
        <f>'Estado de Resultados'!H6</f>
        <v>106224781</v>
      </c>
      <c r="E12" s="543">
        <f t="shared" si="0"/>
        <v>2.7739741821637645E-2</v>
      </c>
      <c r="F12" s="544">
        <f t="shared" si="1"/>
        <v>-3.6838863000796009E-2</v>
      </c>
      <c r="I12" s="27"/>
    </row>
    <row r="13" spans="1:12" x14ac:dyDescent="0.25">
      <c r="B13" s="3" t="s">
        <v>641</v>
      </c>
      <c r="C13" s="548">
        <f>'Activo Fijo Histórico'!G22</f>
        <v>2233476</v>
      </c>
      <c r="D13" s="549">
        <f>'Estado de Resultados'!J6</f>
        <v>79095866</v>
      </c>
      <c r="E13" s="545">
        <f t="shared" si="0"/>
        <v>2.8237581974258932E-2</v>
      </c>
      <c r="F13" s="546">
        <f t="shared" si="1"/>
        <v>1.7946819974833349E-2</v>
      </c>
      <c r="I13" s="27"/>
    </row>
    <row r="14" spans="1:12" x14ac:dyDescent="0.25">
      <c r="D14" s="550" t="s">
        <v>92</v>
      </c>
      <c r="E14" s="547">
        <f>AVERAGE(E9:E13)</f>
        <v>3.3730357982775662E-2</v>
      </c>
      <c r="F14" s="547">
        <f>AVERAGE(F9:F13)</f>
        <v>-0.1184776049106048</v>
      </c>
    </row>
    <row r="15" spans="1:12" x14ac:dyDescent="0.25">
      <c r="C15" s="161" t="s">
        <v>461</v>
      </c>
      <c r="E15" s="339"/>
      <c r="F15" s="338"/>
    </row>
    <row r="16" spans="1:12" x14ac:dyDescent="0.25">
      <c r="C16" s="262"/>
    </row>
    <row r="17" spans="3:6" ht="15.75" thickBot="1" x14ac:dyDescent="0.3">
      <c r="D17" s="554" t="s">
        <v>416</v>
      </c>
      <c r="E17" s="554"/>
      <c r="F17" s="555">
        <f>E13</f>
        <v>2.8237581974258932E-2</v>
      </c>
    </row>
    <row r="18" spans="3:6" ht="15.75" thickBot="1" x14ac:dyDescent="0.3">
      <c r="D18" s="276" t="s">
        <v>417</v>
      </c>
      <c r="E18" s="556"/>
      <c r="F18" s="557">
        <f>UltimaTasa*(1+VariaciónPromedio)</f>
        <v>2.4892060893481865E-2</v>
      </c>
    </row>
    <row r="21" spans="3:6" ht="15.75" x14ac:dyDescent="0.25">
      <c r="C21" s="334" t="s">
        <v>445</v>
      </c>
      <c r="D21" s="333"/>
      <c r="E21" s="333"/>
      <c r="F21" s="333"/>
    </row>
    <row r="22" spans="3:6" ht="15.75" x14ac:dyDescent="0.25">
      <c r="C22" s="335" t="str">
        <f ca="1">_xlfn.FORMULATEXT(F18)</f>
        <v>=UltimaTasa*(1+VariaciónPromedio)</v>
      </c>
      <c r="D22" s="333"/>
      <c r="E22" s="333"/>
      <c r="F22" s="333"/>
    </row>
  </sheetData>
  <mergeCells count="2">
    <mergeCell ref="E7:E8"/>
    <mergeCell ref="F7:F9"/>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AF728-E616-4880-9990-F51037867124}">
  <sheetPr>
    <tabColor theme="8"/>
  </sheetPr>
  <dimension ref="A1:M29"/>
  <sheetViews>
    <sheetView showGridLines="0" workbookViewId="0">
      <pane xSplit="1" topLeftCell="B1" activePane="topRight" state="frozen"/>
      <selection pane="topRight" activeCell="F24" sqref="F24"/>
    </sheetView>
  </sheetViews>
  <sheetFormatPr defaultRowHeight="15" x14ac:dyDescent="0.25"/>
  <cols>
    <col min="1" max="1" width="37.5703125" customWidth="1"/>
    <col min="2" max="2" width="16.28515625" customWidth="1"/>
    <col min="3" max="3" width="13.5703125" bestFit="1" customWidth="1"/>
    <col min="4" max="4" width="16.28515625" customWidth="1"/>
    <col min="5" max="5" width="13.5703125" bestFit="1" customWidth="1"/>
    <col min="6" max="6" width="16.28515625" customWidth="1"/>
    <col min="7" max="7" width="14.5703125" customWidth="1"/>
    <col min="8" max="8" width="14.5703125" bestFit="1" customWidth="1"/>
    <col min="9" max="9" width="11.85546875" customWidth="1"/>
    <col min="10" max="11" width="14" customWidth="1"/>
    <col min="12" max="12" width="11.85546875" bestFit="1" customWidth="1"/>
  </cols>
  <sheetData>
    <row r="1" spans="1:13" x14ac:dyDescent="0.25">
      <c r="A1" s="5" t="s">
        <v>0</v>
      </c>
    </row>
    <row r="2" spans="1:13" x14ac:dyDescent="0.25">
      <c r="A2" s="1" t="s">
        <v>382</v>
      </c>
      <c r="H2" s="345"/>
      <c r="I2" s="346"/>
      <c r="J2" s="346"/>
      <c r="K2" s="346"/>
      <c r="L2" s="346"/>
      <c r="M2" s="346"/>
    </row>
    <row r="3" spans="1:13" x14ac:dyDescent="0.25">
      <c r="A3" s="1" t="s">
        <v>602</v>
      </c>
      <c r="H3" s="346"/>
      <c r="I3" s="346"/>
      <c r="J3" s="346"/>
      <c r="K3" s="346"/>
      <c r="L3" s="346"/>
      <c r="M3" s="346"/>
    </row>
    <row r="4" spans="1:13" x14ac:dyDescent="0.25">
      <c r="H4" s="346"/>
      <c r="I4" s="346"/>
      <c r="J4" s="346"/>
      <c r="K4" s="346"/>
      <c r="L4" s="346"/>
      <c r="M4" s="346"/>
    </row>
    <row r="5" spans="1:13" x14ac:dyDescent="0.25">
      <c r="B5" s="167">
        <v>2013</v>
      </c>
      <c r="C5" s="167">
        <v>2014</v>
      </c>
      <c r="D5" s="167">
        <v>2015</v>
      </c>
      <c r="E5" s="167">
        <v>2016</v>
      </c>
      <c r="F5" s="3" t="s">
        <v>631</v>
      </c>
      <c r="H5" s="346"/>
      <c r="I5" s="346"/>
      <c r="J5" s="346"/>
      <c r="K5" s="346"/>
      <c r="L5" s="346"/>
      <c r="M5" s="346"/>
    </row>
    <row r="6" spans="1:13" ht="45" x14ac:dyDescent="0.25">
      <c r="A6" s="267" t="s">
        <v>462</v>
      </c>
      <c r="B6" s="268">
        <f>Activos!B8</f>
        <v>14268730</v>
      </c>
      <c r="C6" s="268">
        <f>Activos!D8</f>
        <v>17217938</v>
      </c>
      <c r="D6" s="268">
        <f>Activos!F8</f>
        <v>14392343</v>
      </c>
      <c r="E6" s="268">
        <f>Activos!H8</f>
        <v>13133149</v>
      </c>
      <c r="F6" s="268">
        <f>Activos!J8</f>
        <v>12240993</v>
      </c>
      <c r="H6" s="346"/>
      <c r="I6" s="346"/>
      <c r="J6" s="346"/>
      <c r="K6" s="346"/>
      <c r="L6" s="346"/>
      <c r="M6" s="346"/>
    </row>
    <row r="7" spans="1:13" x14ac:dyDescent="0.25">
      <c r="A7" s="265" t="s">
        <v>6</v>
      </c>
      <c r="B7" s="270">
        <f>Activos!B9</f>
        <v>13196876</v>
      </c>
      <c r="C7" s="270">
        <f>Activos!D9</f>
        <v>17427496</v>
      </c>
      <c r="D7" s="270">
        <f>Activos!F9</f>
        <v>16032065</v>
      </c>
      <c r="E7" s="270">
        <f>Activos!H9</f>
        <v>17009482</v>
      </c>
      <c r="F7" s="270">
        <f>Activos!J9</f>
        <v>14338108</v>
      </c>
    </row>
    <row r="8" spans="1:13" ht="37.9" customHeight="1" x14ac:dyDescent="0.25">
      <c r="A8" s="269" t="s">
        <v>384</v>
      </c>
      <c r="B8" s="609">
        <f>'Pasivos y Patrimonio'!B10</f>
        <v>16789274</v>
      </c>
      <c r="C8" s="609">
        <f>'Pasivos y Patrimonio'!D10</f>
        <v>21916884</v>
      </c>
      <c r="D8" s="609">
        <f>'Pasivos y Patrimonio'!F10</f>
        <v>18674060</v>
      </c>
      <c r="E8" s="609">
        <f>'Pasivos y Patrimonio'!H10</f>
        <v>18698376</v>
      </c>
      <c r="F8" s="609">
        <f>'Pasivos y Patrimonio'!J10</f>
        <v>19990411</v>
      </c>
    </row>
    <row r="9" spans="1:13" ht="39.6" customHeight="1" thickBot="1" x14ac:dyDescent="0.3">
      <c r="A9" s="266" t="s">
        <v>385</v>
      </c>
      <c r="B9" s="610">
        <v>0</v>
      </c>
      <c r="C9" s="610">
        <v>0</v>
      </c>
      <c r="D9" s="610">
        <v>0</v>
      </c>
      <c r="E9" s="610">
        <v>0</v>
      </c>
      <c r="F9" s="610">
        <v>0</v>
      </c>
      <c r="G9" s="2" t="s">
        <v>632</v>
      </c>
      <c r="H9" s="2">
        <v>2018</v>
      </c>
      <c r="I9" s="2">
        <v>2019</v>
      </c>
      <c r="J9" s="2">
        <v>2020</v>
      </c>
      <c r="K9" s="2">
        <v>2021</v>
      </c>
      <c r="L9" s="74" t="s">
        <v>517</v>
      </c>
    </row>
    <row r="10" spans="1:13" ht="15.75" thickBot="1" x14ac:dyDescent="0.3">
      <c r="A10" s="271" t="s">
        <v>386</v>
      </c>
      <c r="B10" s="272">
        <f>(B6+B7)-(B8+B9)</f>
        <v>10676332</v>
      </c>
      <c r="C10" s="272">
        <f t="shared" ref="C10:F10" si="0">(C6+C7)-(C8+C9)</f>
        <v>12728550</v>
      </c>
      <c r="D10" s="272">
        <f t="shared" si="0"/>
        <v>11750348</v>
      </c>
      <c r="E10" s="272">
        <f t="shared" si="0"/>
        <v>11444255</v>
      </c>
      <c r="F10" s="272">
        <f t="shared" si="0"/>
        <v>6588690</v>
      </c>
      <c r="G10" s="272">
        <f>+'CTON Proyectado'!C9</f>
        <v>2989741.043828621</v>
      </c>
      <c r="H10" s="272">
        <f>+'CTON Proyectado'!D9</f>
        <v>11080127.959447086</v>
      </c>
      <c r="I10" s="272">
        <f>+'CTON Proyectado'!E9</f>
        <v>11483250.714931669</v>
      </c>
      <c r="J10" s="272">
        <f>+'CTON Proyectado'!F9</f>
        <v>11921929.55252447</v>
      </c>
      <c r="K10" s="272">
        <f>+'CTON Proyectado'!G9</f>
        <v>12400138.488668526</v>
      </c>
      <c r="L10" s="605">
        <f>+'CTON Proyectado'!H9</f>
        <v>12400138.488668526</v>
      </c>
    </row>
    <row r="11" spans="1:13" ht="15.75" thickBot="1" x14ac:dyDescent="0.3">
      <c r="L11" s="184"/>
    </row>
    <row r="12" spans="1:13" ht="15.75" thickBot="1" x14ac:dyDescent="0.3">
      <c r="A12" s="357" t="str">
        <f>'Estado de Resultados'!A6</f>
        <v>Ventas Netas</v>
      </c>
      <c r="B12" s="273">
        <f>'Estado de Resultados'!B6</f>
        <v>109918725</v>
      </c>
      <c r="C12" s="273">
        <f>'Estado de Resultados'!D6</f>
        <v>119938060</v>
      </c>
      <c r="D12" s="273">
        <f>'Estado de Resultados'!F6</f>
        <v>125429816</v>
      </c>
      <c r="E12" s="273">
        <f>'Estado de Resultados'!H6</f>
        <v>106224781</v>
      </c>
      <c r="F12" s="273">
        <f>'Estado de Resultados'!J6</f>
        <v>79095866</v>
      </c>
      <c r="G12" s="273">
        <f>+'Jul - Sep 2017'!C7</f>
        <v>30634332.772999987</v>
      </c>
      <c r="H12" s="273">
        <f>+'EERR Proyectado'!H7</f>
        <v>113532350.16048445</v>
      </c>
      <c r="I12" s="273">
        <f>+'EERR Proyectado'!I7</f>
        <v>117662940.89019828</v>
      </c>
      <c r="J12" s="273">
        <f>+'EERR Proyectado'!J7</f>
        <v>122157856.43448278</v>
      </c>
      <c r="K12" s="273">
        <f>+'EERR Proyectado'!K7</f>
        <v>127057816.48791243</v>
      </c>
      <c r="L12" s="606">
        <f>+K12</f>
        <v>127057816.48791243</v>
      </c>
    </row>
    <row r="13" spans="1:13" x14ac:dyDescent="0.25">
      <c r="L13" s="184"/>
    </row>
    <row r="14" spans="1:13" ht="15.75" thickBot="1" x14ac:dyDescent="0.3">
      <c r="L14" s="184"/>
    </row>
    <row r="15" spans="1:13" ht="15.75" thickBot="1" x14ac:dyDescent="0.3">
      <c r="A15" s="274" t="s">
        <v>387</v>
      </c>
      <c r="B15" s="275">
        <f t="shared" ref="B15:K15" si="1">B10/B12</f>
        <v>9.7129328965560688E-2</v>
      </c>
      <c r="C15" s="275">
        <f t="shared" si="1"/>
        <v>0.1061260287184902</v>
      </c>
      <c r="D15" s="275">
        <f t="shared" si="1"/>
        <v>9.3680660426066473E-2</v>
      </c>
      <c r="E15" s="275">
        <f t="shared" si="1"/>
        <v>0.10773620705322988</v>
      </c>
      <c r="F15" s="374">
        <f>F10/F12</f>
        <v>8.3300055150796373E-2</v>
      </c>
      <c r="G15" s="275">
        <f t="shared" si="1"/>
        <v>9.7594456062828711E-2</v>
      </c>
      <c r="H15" s="275">
        <f t="shared" si="1"/>
        <v>9.7594456062828724E-2</v>
      </c>
      <c r="I15" s="275">
        <f t="shared" si="1"/>
        <v>9.7594456062828724E-2</v>
      </c>
      <c r="J15" s="275">
        <f t="shared" si="1"/>
        <v>9.7594456062828724E-2</v>
      </c>
      <c r="K15" s="275">
        <f t="shared" si="1"/>
        <v>9.7594456062828724E-2</v>
      </c>
      <c r="L15" s="607">
        <f>+K15</f>
        <v>9.7594456062828724E-2</v>
      </c>
    </row>
    <row r="16" spans="1:13" x14ac:dyDescent="0.25">
      <c r="E16" s="376" t="s">
        <v>92</v>
      </c>
      <c r="F16" s="375">
        <f>AVERAGE(B15:F15)</f>
        <v>9.7594456062828724E-2</v>
      </c>
      <c r="L16" s="184"/>
    </row>
    <row r="17" spans="1:12" ht="15.75" thickBot="1" x14ac:dyDescent="0.3">
      <c r="L17" s="184"/>
    </row>
    <row r="18" spans="1:12" ht="15.75" thickBot="1" x14ac:dyDescent="0.3">
      <c r="A18" s="276" t="s">
        <v>388</v>
      </c>
      <c r="B18" s="277">
        <f>B15*360</f>
        <v>34.966558427601846</v>
      </c>
      <c r="C18" s="277">
        <f t="shared" ref="C18:L18" si="2">C15*360</f>
        <v>38.205370338656472</v>
      </c>
      <c r="D18" s="277">
        <f t="shared" si="2"/>
        <v>33.72503775338393</v>
      </c>
      <c r="E18" s="277">
        <f t="shared" si="2"/>
        <v>38.785034539162758</v>
      </c>
      <c r="F18" s="277">
        <f t="shared" si="2"/>
        <v>29.988019854286694</v>
      </c>
      <c r="G18" s="277">
        <f t="shared" si="2"/>
        <v>35.134004182618334</v>
      </c>
      <c r="H18" s="277">
        <f t="shared" si="2"/>
        <v>35.134004182618341</v>
      </c>
      <c r="I18" s="277">
        <f t="shared" si="2"/>
        <v>35.134004182618341</v>
      </c>
      <c r="J18" s="277">
        <f t="shared" si="2"/>
        <v>35.134004182618341</v>
      </c>
      <c r="K18" s="277">
        <f t="shared" si="2"/>
        <v>35.134004182618341</v>
      </c>
      <c r="L18" s="608">
        <f t="shared" si="2"/>
        <v>35.134004182618341</v>
      </c>
    </row>
    <row r="20" spans="1:12" ht="14.45" customHeight="1" x14ac:dyDescent="0.25">
      <c r="C20" s="790" t="s">
        <v>513</v>
      </c>
      <c r="D20" s="790"/>
      <c r="E20" s="790"/>
      <c r="F20" s="617" t="s">
        <v>631</v>
      </c>
      <c r="G20" s="595" t="s">
        <v>632</v>
      </c>
      <c r="H20" s="595">
        <v>2018</v>
      </c>
      <c r="I20" s="595">
        <v>2019</v>
      </c>
      <c r="J20" s="595">
        <v>2020</v>
      </c>
      <c r="K20" s="595" t="str">
        <f>+'CTON Proyectado'!H12</f>
        <v>2021 - ∞</v>
      </c>
    </row>
    <row r="21" spans="1:12" s="592" customFormat="1" ht="14.45" customHeight="1" x14ac:dyDescent="0.25">
      <c r="C21" s="790"/>
      <c r="D21" s="790"/>
      <c r="E21" s="790"/>
      <c r="F21" s="596">
        <f>(G10-F10)</f>
        <v>-3598948.956171379</v>
      </c>
      <c r="G21" s="596">
        <f>+G15*(H12-G12)</f>
        <v>8090386.9156184625</v>
      </c>
      <c r="H21" s="596">
        <f>+H15*(I12-H12)</f>
        <v>403122.75548458379</v>
      </c>
      <c r="I21" s="596">
        <f>+I15*(J12-I12)</f>
        <v>438678.83759280026</v>
      </c>
      <c r="J21" s="596">
        <f>+J15*(K12-J12)</f>
        <v>478208.93614405568</v>
      </c>
      <c r="K21" s="596">
        <f>+K15*(L12-K12)</f>
        <v>0</v>
      </c>
    </row>
    <row r="22" spans="1:12" s="592" customFormat="1" x14ac:dyDescent="0.25">
      <c r="F22" s="592" t="s">
        <v>129</v>
      </c>
    </row>
    <row r="23" spans="1:12" s="593" customFormat="1" x14ac:dyDescent="0.25"/>
    <row r="24" spans="1:12" s="4" customFormat="1" x14ac:dyDescent="0.25">
      <c r="B24" s="4" t="s">
        <v>129</v>
      </c>
    </row>
    <row r="25" spans="1:12" s="4" customFormat="1" x14ac:dyDescent="0.25">
      <c r="A25" s="594"/>
      <c r="B25" s="594"/>
      <c r="C25" s="594"/>
      <c r="D25" s="594"/>
      <c r="E25" s="594"/>
      <c r="F25" s="594"/>
      <c r="G25" s="594"/>
      <c r="H25" s="594"/>
      <c r="I25" s="594"/>
      <c r="J25" s="594"/>
      <c r="K25" s="594"/>
    </row>
    <row r="26" spans="1:12" s="4" customFormat="1" x14ac:dyDescent="0.25">
      <c r="A26" s="378"/>
      <c r="B26" s="379">
        <v>2013</v>
      </c>
      <c r="C26" s="379">
        <v>2014</v>
      </c>
      <c r="D26" s="379">
        <v>2015</v>
      </c>
      <c r="E26" s="379">
        <v>2016</v>
      </c>
      <c r="F26" s="380">
        <v>42887</v>
      </c>
      <c r="G26" s="594"/>
      <c r="H26" s="594"/>
      <c r="I26" s="594"/>
      <c r="J26" s="594"/>
      <c r="K26" s="594"/>
    </row>
    <row r="27" spans="1:12" s="4" customFormat="1" x14ac:dyDescent="0.25">
      <c r="A27" s="381" t="s">
        <v>390</v>
      </c>
      <c r="B27" s="382">
        <f t="shared" ref="B27:K27" si="3">B15*(C12-B12)</f>
        <v>973171.28523115604</v>
      </c>
      <c r="C27" s="382">
        <f t="shared" si="3"/>
        <v>582818.25497094088</v>
      </c>
      <c r="D27" s="382">
        <f t="shared" si="3"/>
        <v>-1799140.3623057215</v>
      </c>
      <c r="E27" s="382">
        <f t="shared" si="3"/>
        <v>-2922766.4035694739</v>
      </c>
      <c r="F27" s="382">
        <f t="shared" si="3"/>
        <v>-4036848.3905012519</v>
      </c>
      <c r="G27" s="382">
        <f t="shared" si="3"/>
        <v>8090386.9156184625</v>
      </c>
      <c r="H27" s="382">
        <f t="shared" si="3"/>
        <v>403122.75548458379</v>
      </c>
      <c r="I27" s="382">
        <f t="shared" si="3"/>
        <v>438678.83759280026</v>
      </c>
      <c r="J27" s="382">
        <f t="shared" si="3"/>
        <v>478208.93614405568</v>
      </c>
      <c r="K27" s="382">
        <f t="shared" si="3"/>
        <v>0</v>
      </c>
    </row>
    <row r="28" spans="1:12" s="4" customFormat="1" x14ac:dyDescent="0.25">
      <c r="A28" s="594"/>
      <c r="B28" s="377">
        <f>+B15*(C12-B12)</f>
        <v>973171.28523115604</v>
      </c>
      <c r="C28" s="377">
        <f>+C15*(D12-C12)</f>
        <v>582818.25497094088</v>
      </c>
      <c r="D28" s="377">
        <f>+D15*(E12-D12)</f>
        <v>-1799140.3623057215</v>
      </c>
      <c r="E28" s="377">
        <f>+E15*(F12-E12)</f>
        <v>-2922766.4035694739</v>
      </c>
      <c r="F28" s="377">
        <f>+F15*(G12-F12)</f>
        <v>-4036848.3905012519</v>
      </c>
      <c r="G28" s="594"/>
      <c r="H28" s="594"/>
      <c r="I28" s="594"/>
      <c r="J28" s="594"/>
      <c r="K28" s="594"/>
    </row>
    <row r="29" spans="1:12" s="4" customFormat="1" x14ac:dyDescent="0.25">
      <c r="A29" s="594"/>
      <c r="B29" s="594"/>
      <c r="C29" s="594"/>
      <c r="D29" s="594"/>
      <c r="E29" s="594"/>
      <c r="F29" s="594"/>
      <c r="G29" s="594"/>
      <c r="H29" s="594"/>
      <c r="I29" s="594"/>
      <c r="J29" s="594"/>
      <c r="K29" s="594"/>
    </row>
  </sheetData>
  <mergeCells count="1">
    <mergeCell ref="C20:E2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0BFF0-C95A-4104-BC87-B04E919F409A}">
  <sheetPr>
    <tabColor theme="8"/>
  </sheetPr>
  <dimension ref="A1:K25"/>
  <sheetViews>
    <sheetView showGridLines="0" workbookViewId="0">
      <selection activeCell="J6" sqref="J6"/>
    </sheetView>
  </sheetViews>
  <sheetFormatPr defaultColWidth="8.85546875" defaultRowHeight="12.75" x14ac:dyDescent="0.2"/>
  <cols>
    <col min="1" max="1" width="42" style="411" bestFit="1" customWidth="1"/>
    <col min="2" max="2" width="12.28515625" style="411" bestFit="1" customWidth="1"/>
    <col min="3" max="3" width="12.85546875" style="411" bestFit="1" customWidth="1"/>
    <col min="4" max="4" width="13.7109375" style="411" customWidth="1"/>
    <col min="5" max="8" width="11.42578125" style="411" bestFit="1" customWidth="1"/>
    <col min="9" max="9" width="10" style="411" customWidth="1"/>
    <col min="10" max="16384" width="8.85546875" style="411"/>
  </cols>
  <sheetData>
    <row r="1" spans="1:8" x14ac:dyDescent="0.2">
      <c r="A1" s="560" t="s">
        <v>0</v>
      </c>
      <c r="B1" s="560"/>
      <c r="C1" s="560"/>
    </row>
    <row r="2" spans="1:8" x14ac:dyDescent="0.2">
      <c r="A2" s="560" t="s">
        <v>471</v>
      </c>
      <c r="B2" s="560"/>
      <c r="C2" s="560"/>
    </row>
    <row r="3" spans="1:8" x14ac:dyDescent="0.2">
      <c r="A3" s="560" t="s">
        <v>472</v>
      </c>
      <c r="B3" s="560"/>
      <c r="C3" s="560"/>
    </row>
    <row r="5" spans="1:8" ht="14.45" customHeight="1" x14ac:dyDescent="0.2">
      <c r="B5" s="578" t="s">
        <v>474</v>
      </c>
      <c r="C5" s="792" t="s">
        <v>475</v>
      </c>
      <c r="D5" s="793"/>
      <c r="E5" s="793"/>
      <c r="F5" s="793"/>
      <c r="G5" s="793"/>
      <c r="H5" s="578" t="s">
        <v>514</v>
      </c>
    </row>
    <row r="6" spans="1:8" ht="15" x14ac:dyDescent="0.3">
      <c r="A6" s="571"/>
      <c r="B6" s="588" t="s">
        <v>651</v>
      </c>
      <c r="C6" s="585" t="s">
        <v>632</v>
      </c>
      <c r="D6" s="425">
        <v>2018</v>
      </c>
      <c r="E6" s="425">
        <v>2019</v>
      </c>
      <c r="F6" s="425">
        <v>2020</v>
      </c>
      <c r="G6" s="425">
        <v>2021</v>
      </c>
      <c r="H6" s="597" t="s">
        <v>516</v>
      </c>
    </row>
    <row r="7" spans="1:8" x14ac:dyDescent="0.2">
      <c r="A7" s="581" t="s">
        <v>446</v>
      </c>
      <c r="B7" s="589">
        <f>+'Estado de Resultados'!J6</f>
        <v>79095866</v>
      </c>
      <c r="C7" s="590">
        <f>+'Jul - Sep 2017'!C7</f>
        <v>30634332.772999987</v>
      </c>
      <c r="D7" s="591">
        <f>+'EERR Proyectado'!H7</f>
        <v>113532350.16048445</v>
      </c>
      <c r="E7" s="591">
        <f>+'EERR Proyectado'!I7</f>
        <v>117662940.89019828</v>
      </c>
      <c r="F7" s="591">
        <f>+'EERR Proyectado'!J7</f>
        <v>122157856.43448278</v>
      </c>
      <c r="G7" s="591">
        <f>+'EERR Proyectado'!K7</f>
        <v>127057816.48791243</v>
      </c>
      <c r="H7" s="598">
        <f>+G7</f>
        <v>127057816.48791243</v>
      </c>
    </row>
    <row r="8" spans="1:8" s="562" customFormat="1" x14ac:dyDescent="0.2">
      <c r="A8" s="582"/>
      <c r="B8" s="579"/>
      <c r="C8" s="573"/>
      <c r="D8" s="574"/>
      <c r="E8" s="575"/>
      <c r="F8" s="574"/>
      <c r="G8" s="575"/>
      <c r="H8" s="599"/>
    </row>
    <row r="9" spans="1:8" x14ac:dyDescent="0.2">
      <c r="A9" s="581" t="s">
        <v>386</v>
      </c>
      <c r="B9" s="580">
        <f>+B7*'Inversión en Capital de Trabajo'!F15</f>
        <v>6588690</v>
      </c>
      <c r="C9" s="576">
        <f>+C7*Supuestos!C58</f>
        <v>2989741.043828621</v>
      </c>
      <c r="D9" s="577">
        <f>+D7*Supuestos!D58</f>
        <v>11080127.959447086</v>
      </c>
      <c r="E9" s="577">
        <f>+E7*Supuestos!E58</f>
        <v>11483250.714931669</v>
      </c>
      <c r="F9" s="577">
        <f>+F7*Supuestos!F58</f>
        <v>11921929.55252447</v>
      </c>
      <c r="G9" s="577">
        <f>+G7*Supuestos!G58</f>
        <v>12400138.488668526</v>
      </c>
      <c r="H9" s="600">
        <f>+H7*Supuestos!G58</f>
        <v>12400138.488668526</v>
      </c>
    </row>
    <row r="10" spans="1:8" x14ac:dyDescent="0.2">
      <c r="H10" s="586"/>
    </row>
    <row r="11" spans="1:8" x14ac:dyDescent="0.2">
      <c r="H11" s="586"/>
    </row>
    <row r="12" spans="1:8" ht="15" x14ac:dyDescent="0.3">
      <c r="C12" s="583" t="s">
        <v>635</v>
      </c>
      <c r="D12" s="583" t="s">
        <v>509</v>
      </c>
      <c r="E12" s="583" t="s">
        <v>510</v>
      </c>
      <c r="F12" s="583" t="s">
        <v>511</v>
      </c>
      <c r="G12" s="583" t="s">
        <v>512</v>
      </c>
      <c r="H12" s="601" t="s">
        <v>515</v>
      </c>
    </row>
    <row r="13" spans="1:8" x14ac:dyDescent="0.2">
      <c r="A13" s="791" t="s">
        <v>508</v>
      </c>
      <c r="B13" s="791"/>
      <c r="C13" s="584">
        <f>(C7-B7)</f>
        <v>-48461533.227000013</v>
      </c>
      <c r="D13" s="584">
        <f t="shared" ref="D13:H13" si="0">(D7-C7)</f>
        <v>82898017.387484461</v>
      </c>
      <c r="E13" s="584">
        <f t="shared" si="0"/>
        <v>4130590.7297138274</v>
      </c>
      <c r="F13" s="584">
        <f t="shared" si="0"/>
        <v>4494915.5442845076</v>
      </c>
      <c r="G13" s="584">
        <f t="shared" si="0"/>
        <v>4899960.0534296483</v>
      </c>
      <c r="H13" s="602">
        <f t="shared" si="0"/>
        <v>0</v>
      </c>
    </row>
    <row r="14" spans="1:8" s="562" customFormat="1" x14ac:dyDescent="0.2">
      <c r="A14" s="563" t="s">
        <v>473</v>
      </c>
      <c r="B14" s="563"/>
      <c r="C14" s="564" t="e">
        <f>+C12*'Inversión en Capital de Trabajo'!F14</f>
        <v>#VALUE!</v>
      </c>
      <c r="D14" s="565"/>
      <c r="E14" s="565" t="e">
        <f>+Supuestos!C57*'CTON Proyectado'!D12</f>
        <v>#VALUE!</v>
      </c>
      <c r="F14" s="565"/>
      <c r="G14" s="565" t="e">
        <f>+Supuestos!D57*'CTON Proyectado'!E12</f>
        <v>#VALUE!</v>
      </c>
      <c r="H14" s="599"/>
    </row>
    <row r="15" spans="1:8" s="562" customFormat="1" x14ac:dyDescent="0.2">
      <c r="A15" s="563" t="s">
        <v>473</v>
      </c>
      <c r="B15" s="563"/>
      <c r="C15" s="564">
        <f>+C13*'Inversión en Capital de Trabajo'!F15</f>
        <v>-4036848.3905012519</v>
      </c>
      <c r="D15" s="565"/>
      <c r="E15" s="565">
        <f>+Supuestos!C58*'CTON Proyectado'!D13</f>
        <v>8090386.9156184634</v>
      </c>
      <c r="F15" s="565"/>
      <c r="G15" s="565">
        <f>+Supuestos!D58*'CTON Proyectado'!E13</f>
        <v>403122.75548458379</v>
      </c>
      <c r="H15" s="599"/>
    </row>
    <row r="16" spans="1:8" s="562" customFormat="1" x14ac:dyDescent="0.2">
      <c r="A16" s="794" t="s">
        <v>382</v>
      </c>
      <c r="B16" s="794"/>
      <c r="C16" s="564"/>
      <c r="D16" s="565"/>
      <c r="E16" s="565"/>
      <c r="F16" s="565"/>
      <c r="G16" s="565"/>
      <c r="H16" s="599"/>
    </row>
    <row r="17" spans="1:11" ht="15" x14ac:dyDescent="0.3">
      <c r="A17" s="561"/>
      <c r="B17" s="561"/>
      <c r="C17" s="566" t="s">
        <v>636</v>
      </c>
      <c r="D17" s="567" t="s">
        <v>637</v>
      </c>
      <c r="E17" s="567" t="s">
        <v>510</v>
      </c>
      <c r="F17" s="567" t="s">
        <v>511</v>
      </c>
      <c r="G17" s="567" t="s">
        <v>512</v>
      </c>
      <c r="H17" s="603" t="s">
        <v>515</v>
      </c>
    </row>
    <row r="18" spans="1:11" s="569" customFormat="1" x14ac:dyDescent="0.2">
      <c r="A18" s="795" t="s">
        <v>483</v>
      </c>
      <c r="B18" s="795"/>
      <c r="C18" s="568">
        <f>+C9-B9</f>
        <v>-3598948.956171379</v>
      </c>
      <c r="D18" s="568">
        <f>+D9-C9</f>
        <v>8090386.9156184644</v>
      </c>
      <c r="E18" s="568">
        <f t="shared" ref="E18:H18" si="1">+E9-D9</f>
        <v>403122.75548458286</v>
      </c>
      <c r="F18" s="568">
        <f t="shared" si="1"/>
        <v>438678.83759280108</v>
      </c>
      <c r="G18" s="568">
        <f t="shared" si="1"/>
        <v>478208.9361440558</v>
      </c>
      <c r="H18" s="604">
        <f t="shared" si="1"/>
        <v>0</v>
      </c>
      <c r="I18" s="411"/>
      <c r="J18" s="411"/>
      <c r="K18" s="411"/>
    </row>
    <row r="19" spans="1:11" x14ac:dyDescent="0.2">
      <c r="E19" s="570"/>
    </row>
    <row r="25" spans="1:11" x14ac:dyDescent="0.2">
      <c r="F25" s="572"/>
    </row>
  </sheetData>
  <mergeCells count="4">
    <mergeCell ref="A13:B13"/>
    <mergeCell ref="C5:G5"/>
    <mergeCell ref="A16:B16"/>
    <mergeCell ref="A18:B18"/>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6B06C-329A-4BAE-B30E-A56B98E50A53}">
  <dimension ref="A1:O57"/>
  <sheetViews>
    <sheetView showGridLines="0" zoomScale="90" zoomScaleNormal="90" workbookViewId="0">
      <pane xSplit="1" topLeftCell="B1" activePane="topRight" state="frozen"/>
      <selection pane="topRight" activeCell="J6" sqref="J6"/>
    </sheetView>
  </sheetViews>
  <sheetFormatPr defaultRowHeight="15" x14ac:dyDescent="0.25"/>
  <cols>
    <col min="1" max="1" width="43.7109375" customWidth="1"/>
    <col min="2" max="2" width="16.7109375" customWidth="1"/>
    <col min="3" max="3" width="10.7109375" style="174" customWidth="1"/>
    <col min="4" max="4" width="16.7109375" customWidth="1"/>
    <col min="5" max="5" width="10.85546875" customWidth="1"/>
    <col min="6" max="6" width="16.7109375" customWidth="1"/>
    <col min="7" max="7" width="10.85546875" customWidth="1"/>
    <col min="8" max="8" width="16.7109375" customWidth="1"/>
    <col min="9" max="9" width="11.7109375" customWidth="1"/>
    <col min="10" max="10" width="16.7109375" customWidth="1"/>
    <col min="11" max="11" width="10.7109375" customWidth="1"/>
    <col min="12" max="12" width="9.28515625" bestFit="1" customWidth="1"/>
    <col min="14" max="14" width="0" hidden="1" customWidth="1"/>
    <col min="15" max="15" width="20.85546875" bestFit="1" customWidth="1"/>
  </cols>
  <sheetData>
    <row r="1" spans="1:15" x14ac:dyDescent="0.25">
      <c r="A1" s="5" t="s">
        <v>0</v>
      </c>
    </row>
    <row r="2" spans="1:15" x14ac:dyDescent="0.25">
      <c r="A2" s="1" t="s">
        <v>259</v>
      </c>
    </row>
    <row r="3" spans="1:15" x14ac:dyDescent="0.25">
      <c r="A3" s="1" t="s">
        <v>602</v>
      </c>
    </row>
    <row r="4" spans="1:15" hidden="1" x14ac:dyDescent="0.25"/>
    <row r="5" spans="1:15" ht="21" customHeight="1" x14ac:dyDescent="0.25">
      <c r="C5" s="796" t="s">
        <v>337</v>
      </c>
      <c r="E5" s="796" t="s">
        <v>337</v>
      </c>
      <c r="G5" s="796" t="s">
        <v>337</v>
      </c>
      <c r="I5" s="796" t="s">
        <v>337</v>
      </c>
      <c r="K5" s="796" t="s">
        <v>337</v>
      </c>
      <c r="L5" s="192" t="s">
        <v>92</v>
      </c>
      <c r="M5" s="264" t="s">
        <v>418</v>
      </c>
      <c r="N5" s="301" t="s">
        <v>131</v>
      </c>
    </row>
    <row r="6" spans="1:15" s="27" customFormat="1" ht="33.6" customHeight="1" x14ac:dyDescent="0.25">
      <c r="B6" s="167">
        <v>2013</v>
      </c>
      <c r="C6" s="796"/>
      <c r="D6" s="167">
        <v>2014</v>
      </c>
      <c r="E6" s="796"/>
      <c r="F6" s="167">
        <v>2015</v>
      </c>
      <c r="G6" s="796"/>
      <c r="H6" s="167">
        <v>2016</v>
      </c>
      <c r="I6" s="796"/>
      <c r="J6" s="3" t="s">
        <v>641</v>
      </c>
      <c r="K6" s="796"/>
      <c r="L6" s="193"/>
      <c r="M6" s="296"/>
      <c r="N6" s="302"/>
    </row>
    <row r="7" spans="1:15" x14ac:dyDescent="0.25">
      <c r="A7" s="1" t="s">
        <v>260</v>
      </c>
      <c r="C7" s="176"/>
      <c r="E7" s="176"/>
      <c r="G7" s="176"/>
      <c r="I7" s="176"/>
      <c r="K7" s="176"/>
      <c r="L7" s="193"/>
      <c r="M7" s="295"/>
      <c r="N7" s="303"/>
    </row>
    <row r="8" spans="1:15" x14ac:dyDescent="0.25">
      <c r="A8" s="135" t="s">
        <v>264</v>
      </c>
      <c r="B8" s="10">
        <f>-'Estado de Resultados'!B9</f>
        <v>90537704</v>
      </c>
      <c r="C8" s="177">
        <f>ABS(B8/('Estado de Resultados'!B6))</f>
        <v>0.82367862254588564</v>
      </c>
      <c r="D8" s="10">
        <f>-'Estado de Resultados'!D9</f>
        <v>90891061</v>
      </c>
      <c r="E8" s="298">
        <f>ABS(D8/('Estado de Resultados'!D6))</f>
        <v>0.75781666803681835</v>
      </c>
      <c r="F8" s="10">
        <f>-'Estado de Resultados'!F9</f>
        <v>101078938</v>
      </c>
      <c r="G8" s="177">
        <f>ABS(F8/('Estado de Resultados'!F6))</f>
        <v>0.80586053000348812</v>
      </c>
      <c r="H8" s="10">
        <f>-'Estado de Resultados'!H9</f>
        <v>83263356</v>
      </c>
      <c r="I8" s="177">
        <f>ABS(H8/('Estado de Resultados'!H6))</f>
        <v>0.7838411641441746</v>
      </c>
      <c r="J8" s="10">
        <f>-'Estado de Resultados'!J9</f>
        <v>66110714</v>
      </c>
      <c r="K8" s="177">
        <f>ABS(J8/('Estado de Resultados'!J6))</f>
        <v>0.8358302063473203</v>
      </c>
      <c r="L8" s="193">
        <f>AVERAGE(C8,E8,G8,I8,K8)</f>
        <v>0.80140543821553734</v>
      </c>
      <c r="M8" s="137">
        <f t="shared" ref="M8:M18" si="0">MIN(C8,E8,G8,I8,K8)</f>
        <v>0.75781666803681835</v>
      </c>
      <c r="N8" s="304">
        <f>ABS(L8-M8)</f>
        <v>4.3588770178718983E-2</v>
      </c>
      <c r="O8" s="300"/>
    </row>
    <row r="9" spans="1:15" x14ac:dyDescent="0.25">
      <c r="A9" s="186" t="str">
        <f>'Estado de Resultados'!A8</f>
        <v>Cambios en el Inventario de Mercancía</v>
      </c>
      <c r="B9" s="10">
        <f>-'Estado de Resultados'!B8</f>
        <v>-2630509</v>
      </c>
      <c r="C9" s="177">
        <f>ABS(B9/('Estado de Resultados'!B6))</f>
        <v>2.3931400223210376E-2</v>
      </c>
      <c r="D9" s="10">
        <f>-'Estado de Resultados'!D8</f>
        <v>4230620</v>
      </c>
      <c r="E9" s="177">
        <f>ABS(D9/('Estado de Resultados'!D6))</f>
        <v>3.5273373606343139E-2</v>
      </c>
      <c r="F9" s="10">
        <f>-'Estado de Resultados'!F8</f>
        <v>-1395431</v>
      </c>
      <c r="G9" s="177">
        <f>ABS(F9/('Estado de Resultados'!F6))</f>
        <v>1.1125193709923006E-2</v>
      </c>
      <c r="H9" s="10">
        <f>-'Estado de Resultados'!H8</f>
        <v>977418</v>
      </c>
      <c r="I9" s="298">
        <f>ABS(H9/('Estado de Resultados'!H6))</f>
        <v>9.2014122392024521E-3</v>
      </c>
      <c r="J9" s="10">
        <f>-'Estado de Resultados'!J8</f>
        <v>-2671375</v>
      </c>
      <c r="K9" s="177">
        <f>ABS(J9/('Estado de Resultados'!J6))</f>
        <v>3.3773889017157992E-2</v>
      </c>
      <c r="L9" s="193">
        <f t="shared" ref="L9:L57" si="1">AVERAGE(C9,E9,G9,I9,K9)</f>
        <v>2.2661053759167393E-2</v>
      </c>
      <c r="M9" s="137">
        <f t="shared" si="0"/>
        <v>9.2014122392024521E-3</v>
      </c>
      <c r="N9" s="304">
        <f t="shared" ref="N9:N41" si="2">ABS(L9-M9)</f>
        <v>1.3459641519964941E-2</v>
      </c>
    </row>
    <row r="10" spans="1:15" x14ac:dyDescent="0.25">
      <c r="A10" s="135" t="s">
        <v>237</v>
      </c>
      <c r="B10" s="10">
        <f>'Otros Gastos'!B10</f>
        <v>1013294.8697581631</v>
      </c>
      <c r="C10" s="177">
        <f>ABS(B10/('Estado de Resultados'!B6))</f>
        <v>9.2185828188797048E-3</v>
      </c>
      <c r="D10" s="10">
        <f>'Otros Gastos'!D10</f>
        <v>1125275</v>
      </c>
      <c r="E10" s="177">
        <f>ABS(D10/('Estado de Resultados'!D6))</f>
        <v>9.3821344117121785E-3</v>
      </c>
      <c r="F10" s="10">
        <f>'Otros Gastos'!F10</f>
        <v>823878</v>
      </c>
      <c r="G10" s="298">
        <f>ABS(F10/('Estado de Resultados'!F6))</f>
        <v>6.5684382411913926E-3</v>
      </c>
      <c r="H10" s="10">
        <f>'Otros Gastos'!H10</f>
        <v>1476139</v>
      </c>
      <c r="I10" s="177">
        <f>ABS(H10/('Estado de Resultados'!H6))</f>
        <v>1.3896371318477936E-2</v>
      </c>
      <c r="J10" s="10">
        <f>'Otros Gastos'!J10</f>
        <v>767266</v>
      </c>
      <c r="K10" s="177">
        <f>ABS(J10/('Estado de Resultados'!J6))</f>
        <v>9.7004564056483045E-3</v>
      </c>
      <c r="L10" s="193">
        <f t="shared" si="1"/>
        <v>9.7531966391819023E-3</v>
      </c>
      <c r="M10" s="137">
        <f t="shared" si="0"/>
        <v>6.5684382411913926E-3</v>
      </c>
      <c r="N10" s="304">
        <f t="shared" si="2"/>
        <v>3.1847583979905097E-3</v>
      </c>
    </row>
    <row r="11" spans="1:15" x14ac:dyDescent="0.25">
      <c r="A11" s="135" t="s">
        <v>266</v>
      </c>
      <c r="B11" s="12">
        <f>'Otros Gastos'!B15</f>
        <v>472614.36173010041</v>
      </c>
      <c r="C11" s="178">
        <f>ABS(B11/('Estado de Resultados'!B6))</f>
        <v>4.2996710681469461E-3</v>
      </c>
      <c r="D11" s="12">
        <f>'Otros Gastos'!D15</f>
        <v>604248</v>
      </c>
      <c r="E11" s="178">
        <f>ABS(D11/('Estado de Resultados'!D6))</f>
        <v>5.0380004478978568E-3</v>
      </c>
      <c r="F11" s="12">
        <f>'Otros Gastos'!F15</f>
        <v>578398</v>
      </c>
      <c r="G11" s="178">
        <f>ABS(F11/('Estado de Resultados'!F6))</f>
        <v>4.6113278201731552E-3</v>
      </c>
      <c r="H11" s="12">
        <f>'Otros Gastos'!H15</f>
        <v>513777</v>
      </c>
      <c r="I11" s="178">
        <f>ABS(H11/('Estado de Resultados'!H6))</f>
        <v>4.836696250755273E-3</v>
      </c>
      <c r="J11" s="12">
        <f>'Otros Gastos'!J15</f>
        <v>275984</v>
      </c>
      <c r="K11" s="299">
        <f>ABS(J11/('Estado de Resultados'!J6))</f>
        <v>3.489234190823576E-3</v>
      </c>
      <c r="L11" s="194">
        <f t="shared" si="1"/>
        <v>4.4549859555593615E-3</v>
      </c>
      <c r="M11" s="297">
        <f t="shared" si="0"/>
        <v>3.489234190823576E-3</v>
      </c>
      <c r="N11" s="305">
        <f t="shared" si="2"/>
        <v>9.6575176473578548E-4</v>
      </c>
    </row>
    <row r="12" spans="1:15" x14ac:dyDescent="0.25">
      <c r="A12" s="48" t="s">
        <v>269</v>
      </c>
      <c r="B12" s="152">
        <f>SUM(B8:B11)</f>
        <v>89393104.231488258</v>
      </c>
      <c r="C12" s="179">
        <f>ABS(B12/('Estado de Resultados'!B6))</f>
        <v>0.8132654762097018</v>
      </c>
      <c r="D12" s="152">
        <f t="shared" ref="D12" si="3">SUM(D8:D11)</f>
        <v>96851204</v>
      </c>
      <c r="E12" s="179">
        <f>ABS(D12/('Estado de Resultados'!D6))</f>
        <v>0.80751017650277146</v>
      </c>
      <c r="F12" s="152">
        <f t="shared" ref="F12" si="4">SUM(F8:F11)</f>
        <v>101085783</v>
      </c>
      <c r="G12" s="179">
        <f>ABS(F12/('Estado de Resultados'!F6))</f>
        <v>0.80591510235492969</v>
      </c>
      <c r="H12" s="152">
        <f t="shared" ref="H12" si="5">SUM(H8:H11)</f>
        <v>86230690</v>
      </c>
      <c r="I12" s="179">
        <f>ABS(H12/('Estado de Resultados'!H6))</f>
        <v>0.81177564395261026</v>
      </c>
      <c r="J12" s="152">
        <f t="shared" ref="J12" si="6">SUM(J8:J11)</f>
        <v>64482589</v>
      </c>
      <c r="K12" s="179">
        <f>ABS(J12/('Estado de Resultados'!J6))</f>
        <v>0.81524600792663426</v>
      </c>
      <c r="L12" s="250">
        <f t="shared" si="1"/>
        <v>0.81074248138932958</v>
      </c>
      <c r="M12" s="137">
        <f t="shared" si="0"/>
        <v>0.80591510235492969</v>
      </c>
      <c r="N12" s="304">
        <f t="shared" si="2"/>
        <v>4.8273790343998924E-3</v>
      </c>
    </row>
    <row r="13" spans="1:15" x14ac:dyDescent="0.25">
      <c r="A13" s="48"/>
      <c r="B13" s="152"/>
      <c r="C13" s="177"/>
      <c r="D13" s="152"/>
      <c r="E13" s="177"/>
      <c r="F13" s="152"/>
      <c r="G13" s="177"/>
      <c r="H13" s="152"/>
      <c r="I13" s="177"/>
      <c r="J13" s="152"/>
      <c r="K13" s="177"/>
      <c r="L13" s="193"/>
      <c r="M13" s="137"/>
      <c r="N13" s="304"/>
    </row>
    <row r="14" spans="1:15" x14ac:dyDescent="0.25">
      <c r="A14" s="1" t="s">
        <v>261</v>
      </c>
      <c r="C14" s="177"/>
      <c r="E14" s="177"/>
      <c r="G14" s="177"/>
      <c r="I14" s="177"/>
      <c r="K14" s="177"/>
      <c r="L14" s="193"/>
      <c r="M14" s="137"/>
      <c r="N14" s="304"/>
    </row>
    <row r="15" spans="1:15" x14ac:dyDescent="0.25">
      <c r="A15" s="135" t="s">
        <v>263</v>
      </c>
      <c r="B15" s="10">
        <f>'Otros Gastos'!B7</f>
        <v>1045944.0499023503</v>
      </c>
      <c r="C15" s="177">
        <f>ABS(B15/('Estado de Resultados'!B6))</f>
        <v>9.5156130122720246E-3</v>
      </c>
      <c r="D15" s="10">
        <f>'Otros Gastos'!D7</f>
        <v>1200163</v>
      </c>
      <c r="E15" s="177">
        <f>ABS(D15/('Estado de Resultados'!D6))</f>
        <v>1.0006523367144674E-2</v>
      </c>
      <c r="F15" s="10">
        <f>'Otros Gastos'!F7</f>
        <v>1148752</v>
      </c>
      <c r="G15" s="298">
        <f>ABS(F15/('Estado de Resultados'!F6))</f>
        <v>9.1585241582432045E-3</v>
      </c>
      <c r="H15" s="10">
        <f>'Otros Gastos'!H7</f>
        <v>1225590</v>
      </c>
      <c r="I15" s="177">
        <f>ABS(H15/('Estado de Resultados'!H6))</f>
        <v>1.1537703240828522E-2</v>
      </c>
      <c r="J15" s="10">
        <f>'Otros Gastos'!J7</f>
        <v>755312</v>
      </c>
      <c r="K15" s="177">
        <f>ABS(J15/('Estado de Resultados'!J6))</f>
        <v>9.549323348959856E-3</v>
      </c>
      <c r="L15" s="193">
        <f t="shared" si="1"/>
        <v>9.9535374254896558E-3</v>
      </c>
      <c r="M15" s="137">
        <f t="shared" si="0"/>
        <v>9.1585241582432045E-3</v>
      </c>
      <c r="N15" s="304">
        <f t="shared" si="2"/>
        <v>7.9501326724645133E-4</v>
      </c>
    </row>
    <row r="16" spans="1:15" x14ac:dyDescent="0.25">
      <c r="A16" s="135" t="s">
        <v>239</v>
      </c>
      <c r="B16" s="10">
        <f>'Otros Gastos'!B12</f>
        <v>611175.01946623379</v>
      </c>
      <c r="C16" s="177">
        <f>ABS(B16/('Estado de Resultados'!B6))</f>
        <v>5.560244803296561E-3</v>
      </c>
      <c r="D16" s="10">
        <f>'Otros Gastos'!D12</f>
        <v>899156</v>
      </c>
      <c r="E16" s="177">
        <f>ABS(D16/('Estado de Resultados'!D6))</f>
        <v>7.4968362836617501E-3</v>
      </c>
      <c r="F16" s="10">
        <f>'Otros Gastos'!F12</f>
        <v>686262</v>
      </c>
      <c r="G16" s="177">
        <f>ABS(F16/('Estado de Resultados'!F6))</f>
        <v>5.4712828407561401E-3</v>
      </c>
      <c r="H16" s="10">
        <f>'Otros Gastos'!H12</f>
        <v>527239</v>
      </c>
      <c r="I16" s="298">
        <f>ABS(H16/('Estado de Resultados'!H6))</f>
        <v>4.9634275075605945E-3</v>
      </c>
      <c r="J16" s="10">
        <f>'Otros Gastos'!J12</f>
        <v>423715</v>
      </c>
      <c r="K16" s="177">
        <f>ABS(J16/('Estado de Resultados'!J6))</f>
        <v>5.3569803509073404E-3</v>
      </c>
      <c r="L16" s="193">
        <f t="shared" si="1"/>
        <v>5.7697543572364767E-3</v>
      </c>
      <c r="M16" s="137">
        <f t="shared" si="0"/>
        <v>4.9634275075605945E-3</v>
      </c>
      <c r="N16" s="304">
        <f t="shared" si="2"/>
        <v>8.0632684967588217E-4</v>
      </c>
    </row>
    <row r="17" spans="1:14" x14ac:dyDescent="0.25">
      <c r="A17" s="135" t="s">
        <v>265</v>
      </c>
      <c r="B17" s="12">
        <f>'Otros Gastos'!B23</f>
        <v>293988.45141898631</v>
      </c>
      <c r="C17" s="178">
        <f>ABS(B17/('Estado de Resultados'!B6))</f>
        <v>2.6745984491631093E-3</v>
      </c>
      <c r="D17" s="12">
        <f>'Otros Gastos'!D23</f>
        <v>224603</v>
      </c>
      <c r="E17" s="178">
        <f>ABS(D17/('Estado de Resultados'!D6))</f>
        <v>1.8726582704439274E-3</v>
      </c>
      <c r="F17" s="12">
        <f>'Otros Gastos'!F23</f>
        <v>196159</v>
      </c>
      <c r="G17" s="299">
        <f>ABS(F17/('Estado de Resultados'!F6))</f>
        <v>1.5638945049556638E-3</v>
      </c>
      <c r="H17" s="12">
        <f>'Otros Gastos'!H23</f>
        <v>430333</v>
      </c>
      <c r="I17" s="178">
        <f>ABS(H17/('Estado de Resultados'!H6))</f>
        <v>4.0511545041453179E-3</v>
      </c>
      <c r="J17" s="12">
        <f>'Otros Gastos'!J23</f>
        <v>336077</v>
      </c>
      <c r="K17" s="178">
        <f>ABS(J17/('Estado de Resultados'!J6))</f>
        <v>4.2489831263747713E-3</v>
      </c>
      <c r="L17" s="194">
        <f t="shared" si="1"/>
        <v>2.8822577710165579E-3</v>
      </c>
      <c r="M17" s="297">
        <f t="shared" si="0"/>
        <v>1.5638945049556638E-3</v>
      </c>
      <c r="N17" s="305">
        <f t="shared" si="2"/>
        <v>1.3183632660608941E-3</v>
      </c>
    </row>
    <row r="18" spans="1:14" x14ac:dyDescent="0.25">
      <c r="A18" s="48" t="s">
        <v>270</v>
      </c>
      <c r="B18" s="152">
        <f>SUM(B15:B17)</f>
        <v>1951107.5207875704</v>
      </c>
      <c r="C18" s="179">
        <f>ABS(B18/('Estado de Resultados'!B6))</f>
        <v>1.7750456264731696E-2</v>
      </c>
      <c r="D18" s="152">
        <f t="shared" ref="D18" si="7">SUM(D15:D17)</f>
        <v>2323922</v>
      </c>
      <c r="E18" s="179">
        <f>ABS(D18/('Estado de Resultados'!D6))</f>
        <v>1.9376017921250353E-2</v>
      </c>
      <c r="F18" s="152">
        <f t="shared" ref="F18" si="8">SUM(F15:F17)</f>
        <v>2031173</v>
      </c>
      <c r="G18" s="179">
        <f>ABS(F18/('Estado de Resultados'!F6))</f>
        <v>1.6193701503955008E-2</v>
      </c>
      <c r="H18" s="152">
        <f t="shared" ref="H18" si="9">SUM(H15:H17)</f>
        <v>2183162</v>
      </c>
      <c r="I18" s="179">
        <f>ABS(H18/('Estado de Resultados'!H6))</f>
        <v>2.0552285252534434E-2</v>
      </c>
      <c r="J18" s="152">
        <f t="shared" ref="J18" si="10">SUM(J15:J17)</f>
        <v>1515104</v>
      </c>
      <c r="K18" s="179">
        <f>ABS(J18/('Estado de Resultados'!J6))</f>
        <v>1.9155286826241968E-2</v>
      </c>
      <c r="L18" s="250">
        <f t="shared" si="1"/>
        <v>1.8605549553742693E-2</v>
      </c>
      <c r="M18" s="137">
        <f t="shared" si="0"/>
        <v>1.6193701503955008E-2</v>
      </c>
      <c r="N18" s="304">
        <f t="shared" si="2"/>
        <v>2.4118480497876855E-3</v>
      </c>
    </row>
    <row r="19" spans="1:14" x14ac:dyDescent="0.25">
      <c r="A19" s="48"/>
      <c r="B19" s="152"/>
      <c r="C19" s="177"/>
      <c r="D19" s="152"/>
      <c r="E19" s="177"/>
      <c r="F19" s="152"/>
      <c r="G19" s="177"/>
      <c r="H19" s="152"/>
      <c r="I19" s="177"/>
      <c r="J19" s="152"/>
      <c r="K19" s="177"/>
      <c r="L19" s="193"/>
      <c r="M19" s="137"/>
      <c r="N19" s="304"/>
    </row>
    <row r="20" spans="1:14" x14ac:dyDescent="0.25">
      <c r="A20" s="1" t="s">
        <v>262</v>
      </c>
      <c r="C20" s="177"/>
      <c r="E20" s="177"/>
      <c r="G20" s="177"/>
      <c r="I20" s="177"/>
      <c r="K20" s="177"/>
      <c r="L20" s="193"/>
      <c r="M20" s="137"/>
      <c r="N20" s="304"/>
    </row>
    <row r="21" spans="1:14" x14ac:dyDescent="0.25">
      <c r="A21" s="175" t="s">
        <v>44</v>
      </c>
      <c r="B21" s="10">
        <f>-'Estado de Resultados'!B11</f>
        <v>10402945</v>
      </c>
      <c r="C21" s="177">
        <f>ABS(B21/('Estado de Resultados'!B6))</f>
        <v>9.4642154919464358E-2</v>
      </c>
      <c r="D21" s="10">
        <f>-'Estado de Resultados'!D11</f>
        <v>11335326</v>
      </c>
      <c r="E21" s="298">
        <f>ABS(D21/('Estado de Resultados'!D6))</f>
        <v>9.4509832825376699E-2</v>
      </c>
      <c r="F21" s="10">
        <f>-'Estado de Resultados'!F11</f>
        <v>12683648</v>
      </c>
      <c r="G21" s="177">
        <f>ABS(F21/('Estado de Resultados'!F6))</f>
        <v>0.10112147497689067</v>
      </c>
      <c r="H21" s="10">
        <f>-'Estado de Resultados'!H11</f>
        <v>12630314</v>
      </c>
      <c r="I21" s="177">
        <f>ABS(H21/('Estado de Resultados'!H6))</f>
        <v>0.11890176549293145</v>
      </c>
      <c r="J21" s="10">
        <f>-'Estado de Resultados'!J11</f>
        <v>8670297</v>
      </c>
      <c r="K21" s="177">
        <f>ABS(J21/('Estado de Resultados'!J6))</f>
        <v>0.10961757470358817</v>
      </c>
      <c r="L21" s="193">
        <f t="shared" si="1"/>
        <v>0.10375856058365027</v>
      </c>
      <c r="M21" s="137">
        <f>MIN(C21,E21,G21,I21,K21)</f>
        <v>9.4509832825376699E-2</v>
      </c>
      <c r="N21" s="304">
        <f t="shared" si="2"/>
        <v>9.2487277582735672E-3</v>
      </c>
    </row>
    <row r="22" spans="1:14" x14ac:dyDescent="0.25">
      <c r="A22" s="135" t="s">
        <v>235</v>
      </c>
      <c r="B22" s="10">
        <f>'Otros Gastos'!B8</f>
        <v>1004453.7278927838</v>
      </c>
      <c r="C22" s="177">
        <f>ABS(B22/('Estado de Resultados'!B6))</f>
        <v>9.1381493725730886E-3</v>
      </c>
      <c r="D22" s="10">
        <f>'Otros Gastos'!D8</f>
        <v>904701</v>
      </c>
      <c r="E22" s="298">
        <f>ABS(D22/('Estado de Resultados'!D6))</f>
        <v>7.5430684805140253E-3</v>
      </c>
      <c r="F22" s="10">
        <f>'Otros Gastos'!F8</f>
        <v>1093996</v>
      </c>
      <c r="G22" s="177">
        <f>ABS(F22/('Estado de Resultados'!F6))</f>
        <v>8.7219772370550237E-3</v>
      </c>
      <c r="H22" s="10">
        <f>'Otros Gastos'!H8</f>
        <v>1204276</v>
      </c>
      <c r="I22" s="177">
        <f>ABS(H22/('Estado de Resultados'!H6))</f>
        <v>1.1337053262552738E-2</v>
      </c>
      <c r="J22" s="10">
        <f>'Otros Gastos'!J8</f>
        <v>906080</v>
      </c>
      <c r="K22" s="177">
        <f>ABS(J22/('Estado de Resultados'!J6))</f>
        <v>1.1455465953176364E-2</v>
      </c>
      <c r="L22" s="193">
        <f t="shared" si="1"/>
        <v>9.6391428611742481E-3</v>
      </c>
      <c r="M22" s="137">
        <f t="shared" ref="M22:M41" si="11">MIN(C22,E22,G22,I22,K22)</f>
        <v>7.5430684805140253E-3</v>
      </c>
      <c r="N22" s="304">
        <f t="shared" si="2"/>
        <v>2.0960743806602228E-3</v>
      </c>
    </row>
    <row r="23" spans="1:14" x14ac:dyDescent="0.25">
      <c r="A23" s="135" t="s">
        <v>236</v>
      </c>
      <c r="B23" s="10">
        <f>'Otros Gastos'!B9</f>
        <v>832961.66567069711</v>
      </c>
      <c r="C23" s="177">
        <f>ABS(B23/('Estado de Resultados'!B6))</f>
        <v>7.5779778711106511E-3</v>
      </c>
      <c r="D23" s="10">
        <f>'Otros Gastos'!D9</f>
        <v>897430</v>
      </c>
      <c r="E23" s="177">
        <f>ABS(D23/('Estado de Resultados'!D6))</f>
        <v>7.4824455222970926E-3</v>
      </c>
      <c r="F23" s="10">
        <f>'Otros Gastos'!F9</f>
        <v>923889</v>
      </c>
      <c r="G23" s="298">
        <f>ABS(F23/('Estado de Resultados'!F6))</f>
        <v>7.3657845436048471E-3</v>
      </c>
      <c r="H23" s="10">
        <f>'Otros Gastos'!H9</f>
        <v>929912</v>
      </c>
      <c r="I23" s="177">
        <f>ABS(H23/('Estado de Resultados'!H6))</f>
        <v>8.7541907947073106E-3</v>
      </c>
      <c r="J23" s="10">
        <f>'Otros Gastos'!J9</f>
        <v>676693</v>
      </c>
      <c r="K23" s="177">
        <f>ABS(J23/('Estado de Resultados'!J6))</f>
        <v>8.5553523113331871E-3</v>
      </c>
      <c r="L23" s="193">
        <f t="shared" si="1"/>
        <v>7.9471502086106184E-3</v>
      </c>
      <c r="M23" s="137">
        <f t="shared" si="11"/>
        <v>7.3657845436048471E-3</v>
      </c>
      <c r="N23" s="304">
        <f t="shared" si="2"/>
        <v>5.8136566500577129E-4</v>
      </c>
    </row>
    <row r="24" spans="1:14" x14ac:dyDescent="0.25">
      <c r="A24" s="135" t="s">
        <v>238</v>
      </c>
      <c r="B24" s="10">
        <f>'Otros Gastos'!B11</f>
        <v>632025.10543385101</v>
      </c>
      <c r="C24" s="298">
        <f>ABS(B24/('Estado de Resultados'!B6))</f>
        <v>5.7499311917405434E-3</v>
      </c>
      <c r="D24" s="10">
        <f>'Otros Gastos'!D11</f>
        <v>720217</v>
      </c>
      <c r="E24" s="177">
        <f>ABS(D24/('Estado de Resultados'!D6))</f>
        <v>6.0049078666104825E-3</v>
      </c>
      <c r="F24" s="10">
        <f>'Otros Gastos'!F11</f>
        <v>742551</v>
      </c>
      <c r="G24" s="177">
        <f>ABS(F24/('Estado de Resultados'!F6))</f>
        <v>5.9200517363431357E-3</v>
      </c>
      <c r="H24" s="10">
        <f>'Otros Gastos'!H11</f>
        <v>653406</v>
      </c>
      <c r="I24" s="177">
        <f>ABS(H24/('Estado de Resultados'!H6))</f>
        <v>6.15116354064312E-3</v>
      </c>
      <c r="J24" s="10">
        <f>'Otros Gastos'!J11</f>
        <v>490179</v>
      </c>
      <c r="K24" s="177">
        <f>ABS(J24/('Estado de Resultados'!J6))</f>
        <v>6.1972771118025309E-3</v>
      </c>
      <c r="L24" s="193">
        <f t="shared" si="1"/>
        <v>6.0046662894279613E-3</v>
      </c>
      <c r="M24" s="137">
        <f t="shared" si="11"/>
        <v>5.7499311917405434E-3</v>
      </c>
      <c r="N24" s="304">
        <f t="shared" si="2"/>
        <v>2.5473509768741791E-4</v>
      </c>
    </row>
    <row r="25" spans="1:14" x14ac:dyDescent="0.25">
      <c r="A25" s="135" t="s">
        <v>240</v>
      </c>
      <c r="B25" s="10">
        <f>'Otros Gastos'!B13</f>
        <v>638027.03489884746</v>
      </c>
      <c r="C25" s="177">
        <f>ABS(B25/('Estado de Resultados'!B6))</f>
        <v>5.8045345312988982E-3</v>
      </c>
      <c r="D25" s="10">
        <f>'Otros Gastos'!D13</f>
        <v>649351</v>
      </c>
      <c r="E25" s="298">
        <f>ABS(D25/('Estado de Resultados'!D6))</f>
        <v>5.4140528869651549E-3</v>
      </c>
      <c r="F25" s="10">
        <f>'Otros Gastos'!F13</f>
        <v>676395</v>
      </c>
      <c r="G25" s="298">
        <f>ABS(F25/('Estado de Resultados'!F6))</f>
        <v>5.3926173343027146E-3</v>
      </c>
      <c r="H25" s="10">
        <f>'Otros Gastos'!H13</f>
        <v>734476</v>
      </c>
      <c r="I25" s="177">
        <f>ABS(H25/('Estado de Resultados'!H6))</f>
        <v>6.914356453227237E-3</v>
      </c>
      <c r="J25" s="10">
        <f>'Otros Gastos'!J13</f>
        <v>556136</v>
      </c>
      <c r="K25" s="177">
        <f>ABS(J25/('Estado de Resultados'!J6))</f>
        <v>7.0311639296041081E-3</v>
      </c>
      <c r="L25" s="193">
        <f t="shared" si="1"/>
        <v>6.1113450270796231E-3</v>
      </c>
      <c r="M25" s="137">
        <f t="shared" si="11"/>
        <v>5.3926173343027146E-3</v>
      </c>
      <c r="N25" s="304">
        <f t="shared" si="2"/>
        <v>7.1872769277690849E-4</v>
      </c>
    </row>
    <row r="26" spans="1:14" x14ac:dyDescent="0.25">
      <c r="A26" s="135" t="s">
        <v>241</v>
      </c>
      <c r="B26" s="10">
        <f>'Otros Gastos'!B14</f>
        <v>504541.4687993158</v>
      </c>
      <c r="C26" s="177">
        <f>ABS(B26/('Estado de Resultados'!B6))</f>
        <v>4.5901321071484024E-3</v>
      </c>
      <c r="D26" s="10">
        <f>'Otros Gastos'!D14</f>
        <v>719489</v>
      </c>
      <c r="E26" s="177">
        <f>ABS(D26/('Estado de Resultados'!D6))</f>
        <v>5.9988380669155393E-3</v>
      </c>
      <c r="F26" s="10">
        <f>'Otros Gastos'!F14</f>
        <v>674546</v>
      </c>
      <c r="G26" s="177">
        <f>ABS(F26/('Estado de Resultados'!F6))</f>
        <v>5.3778760227153645E-3</v>
      </c>
      <c r="H26" s="10">
        <f>'Otros Gastos'!H14</f>
        <v>418462</v>
      </c>
      <c r="I26" s="177">
        <f>ABS(H26/('Estado de Resultados'!H6))</f>
        <v>3.9394009200169593E-3</v>
      </c>
      <c r="J26" s="10">
        <f>'Otros Gastos'!J14</f>
        <v>292939</v>
      </c>
      <c r="K26" s="298">
        <f>ABS(J26/('Estado de Resultados'!J6))</f>
        <v>3.7035943193289016E-3</v>
      </c>
      <c r="L26" s="193">
        <f t="shared" si="1"/>
        <v>4.7219682872250337E-3</v>
      </c>
      <c r="M26" s="137">
        <f t="shared" si="11"/>
        <v>3.7035943193289016E-3</v>
      </c>
      <c r="N26" s="304">
        <f t="shared" si="2"/>
        <v>1.0183739678961321E-3</v>
      </c>
    </row>
    <row r="27" spans="1:14" x14ac:dyDescent="0.25">
      <c r="A27" s="135" t="s">
        <v>243</v>
      </c>
      <c r="B27" s="10">
        <f>'Otros Gastos'!B16</f>
        <v>367781.91597015597</v>
      </c>
      <c r="C27" s="177">
        <f>ABS(B27/('Estado de Resultados'!B6))</f>
        <v>3.3459441598340588E-3</v>
      </c>
      <c r="D27" s="10">
        <f>'Otros Gastos'!D16</f>
        <v>340409</v>
      </c>
      <c r="E27" s="298">
        <f>ABS(D27/('Estado de Resultados'!D6))</f>
        <v>2.8382066543347459E-3</v>
      </c>
      <c r="F27" s="10">
        <f>'Otros Gastos'!F16</f>
        <v>511418</v>
      </c>
      <c r="G27" s="177">
        <f>ABS(F27/('Estado de Resultados'!F6))</f>
        <v>4.0773240072360471E-3</v>
      </c>
      <c r="H27" s="10">
        <f>'Otros Gastos'!H16</f>
        <v>398096</v>
      </c>
      <c r="I27" s="177">
        <f>ABS(H27/('Estado de Resultados'!H6))</f>
        <v>3.7476754129528401E-3</v>
      </c>
      <c r="J27" s="10">
        <f>'Otros Gastos'!J16</f>
        <v>268209</v>
      </c>
      <c r="K27" s="177">
        <f>ABS(J27/('Estado de Resultados'!J6))</f>
        <v>3.3909357538357316E-3</v>
      </c>
      <c r="L27" s="193">
        <f t="shared" si="1"/>
        <v>3.4800171976386842E-3</v>
      </c>
      <c r="M27" s="137">
        <f t="shared" si="11"/>
        <v>2.8382066543347459E-3</v>
      </c>
      <c r="N27" s="304">
        <f t="shared" si="2"/>
        <v>6.4181054330393833E-4</v>
      </c>
    </row>
    <row r="28" spans="1:14" x14ac:dyDescent="0.25">
      <c r="A28" s="135" t="s">
        <v>244</v>
      </c>
      <c r="B28" s="10">
        <f>'Otros Gastos'!B17</f>
        <v>265590.12179989181</v>
      </c>
      <c r="C28" s="177">
        <f>ABS(B28/('Estado de Resultados'!B6))</f>
        <v>2.4162409252826743E-3</v>
      </c>
      <c r="D28" s="10">
        <f>'Otros Gastos'!D17</f>
        <v>372765</v>
      </c>
      <c r="E28" s="177">
        <f>ABS(D28/('Estado de Resultados'!D6))</f>
        <v>3.1079792352819448E-3</v>
      </c>
      <c r="F28" s="10">
        <f>'Otros Gastos'!F17</f>
        <v>454868</v>
      </c>
      <c r="G28" s="177">
        <f>ABS(F28/('Estado de Resultados'!F6))</f>
        <v>3.6264742666926976E-3</v>
      </c>
      <c r="H28" s="10">
        <f>'Otros Gastos'!H17</f>
        <v>32356</v>
      </c>
      <c r="I28" s="298">
        <f>ABS(H28/('Estado de Resultados'!H6))</f>
        <v>3.045993570935204E-4</v>
      </c>
      <c r="J28" s="10">
        <f>'Otros Gastos'!J17</f>
        <v>226950</v>
      </c>
      <c r="K28" s="177">
        <f>ABS(J28/('Estado de Resultados'!J6))</f>
        <v>2.869302929182165E-3</v>
      </c>
      <c r="L28" s="193">
        <f t="shared" si="1"/>
        <v>2.4649193427066008E-3</v>
      </c>
      <c r="M28" s="137">
        <f t="shared" si="11"/>
        <v>3.045993570935204E-4</v>
      </c>
      <c r="N28" s="304">
        <f t="shared" si="2"/>
        <v>2.1603199856130803E-3</v>
      </c>
    </row>
    <row r="29" spans="1:14" x14ac:dyDescent="0.25">
      <c r="A29" s="135" t="s">
        <v>245</v>
      </c>
      <c r="B29" s="10">
        <f>'Otros Gastos'!B18</f>
        <v>565881.45324113488</v>
      </c>
      <c r="C29" s="177">
        <f>ABS(B29/('Estado de Resultados'!B6))</f>
        <v>5.1481806511232261E-3</v>
      </c>
      <c r="D29" s="10">
        <f>'Otros Gastos'!D18</f>
        <v>327883</v>
      </c>
      <c r="E29" s="298">
        <f>ABS(D29/('Estado de Resultados'!D6))</f>
        <v>2.7337694139791821E-3</v>
      </c>
      <c r="F29" s="10">
        <f>'Otros Gastos'!F18</f>
        <v>409453</v>
      </c>
      <c r="G29" s="177">
        <f>ABS(F29/('Estado de Resultados'!F6))</f>
        <v>3.2643992717010764E-3</v>
      </c>
      <c r="H29" s="10">
        <f>'Otros Gastos'!H18</f>
        <v>579726</v>
      </c>
      <c r="I29" s="177">
        <f>ABS(H29/('Estado de Resultados'!H6))</f>
        <v>5.4575400819136541E-3</v>
      </c>
      <c r="J29" s="10">
        <f>'Otros Gastos'!J18</f>
        <v>900753</v>
      </c>
      <c r="K29" s="177">
        <f>ABS(J29/('Estado de Resultados'!J6))</f>
        <v>1.1388117300593182E-2</v>
      </c>
      <c r="L29" s="193">
        <f t="shared" si="1"/>
        <v>5.5984013438620641E-3</v>
      </c>
      <c r="M29" s="137">
        <f t="shared" si="11"/>
        <v>2.7337694139791821E-3</v>
      </c>
      <c r="N29" s="304">
        <f t="shared" si="2"/>
        <v>2.8646319298828819E-3</v>
      </c>
    </row>
    <row r="30" spans="1:14" x14ac:dyDescent="0.25">
      <c r="A30" s="135" t="s">
        <v>246</v>
      </c>
      <c r="B30" s="10">
        <f>'Otros Gastos'!B19</f>
        <v>326482.57591262186</v>
      </c>
      <c r="C30" s="177">
        <f>ABS(B30/('Estado de Resultados'!B6))</f>
        <v>2.9702180034623022E-3</v>
      </c>
      <c r="D30" s="10">
        <f>'Otros Gastos'!D19</f>
        <v>503627</v>
      </c>
      <c r="E30" s="177">
        <f>ABS(D30/('Estado de Resultados'!D6))</f>
        <v>4.1990590809956405E-3</v>
      </c>
      <c r="F30" s="10">
        <f>'Otros Gastos'!F19</f>
        <v>322452</v>
      </c>
      <c r="G30" s="177">
        <f>ABS(F30/('Estado de Resultados'!F6))</f>
        <v>2.5707763136637303E-3</v>
      </c>
      <c r="H30" s="10">
        <f>'Otros Gastos'!H19</f>
        <v>348388</v>
      </c>
      <c r="I30" s="177">
        <f>ABS(H30/('Estado de Resultados'!H6))</f>
        <v>3.27972434228883E-3</v>
      </c>
      <c r="J30" s="10">
        <f>'Otros Gastos'!J19</f>
        <v>190940</v>
      </c>
      <c r="K30" s="298">
        <f>ABS(J30/('Estado de Resultados'!J6))</f>
        <v>2.4140326120204564E-3</v>
      </c>
      <c r="L30" s="193">
        <f t="shared" si="1"/>
        <v>3.0867620704861922E-3</v>
      </c>
      <c r="M30" s="137">
        <f t="shared" si="11"/>
        <v>2.4140326120204564E-3</v>
      </c>
      <c r="N30" s="304">
        <f t="shared" si="2"/>
        <v>6.7272945846573581E-4</v>
      </c>
    </row>
    <row r="31" spans="1:14" x14ac:dyDescent="0.25">
      <c r="A31" s="135" t="s">
        <v>247</v>
      </c>
      <c r="B31" s="10">
        <f>'Otros Gastos'!B20</f>
        <v>251748.7569503843</v>
      </c>
      <c r="C31" s="298">
        <f>ABS(B31/('Estado de Resultados'!B6))</f>
        <v>2.2903172953505808E-3</v>
      </c>
      <c r="D31" s="10">
        <f>'Otros Gastos'!D20</f>
        <v>328606</v>
      </c>
      <c r="E31" s="177">
        <f>ABS(D31/('Estado de Resultados'!D6))</f>
        <v>2.7397975254894067E-3</v>
      </c>
      <c r="F31" s="10">
        <f>'Otros Gastos'!F20</f>
        <v>284925</v>
      </c>
      <c r="G31" s="298">
        <f>ABS(F31/('Estado de Resultados'!F6))</f>
        <v>2.2715890773530273E-3</v>
      </c>
      <c r="H31" s="10">
        <f>'Otros Gastos'!H20</f>
        <v>243551</v>
      </c>
      <c r="I31" s="298">
        <f>ABS(H31/('Estado de Resultados'!H6))</f>
        <v>2.2927889114687842E-3</v>
      </c>
      <c r="J31" s="10">
        <f>'Otros Gastos'!J20</f>
        <v>184571</v>
      </c>
      <c r="K31" s="298">
        <f>ABS(J31/('Estado de Resultados'!J6))</f>
        <v>2.3335100724480341E-3</v>
      </c>
      <c r="L31" s="193">
        <f t="shared" si="1"/>
        <v>2.3856005764219665E-3</v>
      </c>
      <c r="M31" s="137">
        <f t="shared" si="11"/>
        <v>2.2715890773530273E-3</v>
      </c>
      <c r="N31" s="304">
        <f t="shared" si="2"/>
        <v>1.1401149906893919E-4</v>
      </c>
    </row>
    <row r="32" spans="1:14" x14ac:dyDescent="0.25">
      <c r="A32" s="135" t="s">
        <v>248</v>
      </c>
      <c r="B32" s="10">
        <f>'Otros Gastos'!B21</f>
        <v>263668.53856289381</v>
      </c>
      <c r="C32" s="177">
        <f>ABS(B32/('Estado de Resultados'!B6))</f>
        <v>2.3987590700573886E-3</v>
      </c>
      <c r="D32" s="10">
        <f>'Otros Gastos'!D21</f>
        <v>301821</v>
      </c>
      <c r="E32" s="177">
        <f>ABS(D32/('Estado de Resultados'!D6))</f>
        <v>2.5164739199550167E-3</v>
      </c>
      <c r="F32" s="10">
        <f>'Otros Gastos'!F21</f>
        <v>281050</v>
      </c>
      <c r="G32" s="298">
        <f>ABS(F32/('Estado de Resultados'!F6))</f>
        <v>2.2406953064493056E-3</v>
      </c>
      <c r="H32" s="10">
        <f>'Otros Gastos'!H21</f>
        <v>282861</v>
      </c>
      <c r="I32" s="177">
        <f>ABS(H32/('Estado de Resultados'!H6))</f>
        <v>2.6628532187795238E-3</v>
      </c>
      <c r="J32" s="10">
        <f>'Otros Gastos'!J21</f>
        <v>218690</v>
      </c>
      <c r="K32" s="177">
        <f>ABS(J32/('Estado de Resultados'!J6))</f>
        <v>2.7648726925880046E-3</v>
      </c>
      <c r="L32" s="193">
        <f t="shared" si="1"/>
        <v>2.5167308415658478E-3</v>
      </c>
      <c r="M32" s="137">
        <f t="shared" si="11"/>
        <v>2.2406953064493056E-3</v>
      </c>
      <c r="N32" s="304">
        <f t="shared" si="2"/>
        <v>2.7603553511654222E-4</v>
      </c>
    </row>
    <row r="33" spans="1:14" x14ac:dyDescent="0.25">
      <c r="A33" s="135" t="s">
        <v>249</v>
      </c>
      <c r="B33" s="10">
        <f>'Otros Gastos'!B22</f>
        <v>199982.21992044934</v>
      </c>
      <c r="C33" s="177">
        <f>ABS(B33/('Estado de Resultados'!B6))</f>
        <v>1.8193644433234586E-3</v>
      </c>
      <c r="D33" s="10">
        <f>'Otros Gastos'!D22</f>
        <v>198221</v>
      </c>
      <c r="E33" s="177">
        <f>ABS(D33/('Estado de Resultados'!D6))</f>
        <v>1.6526947325978091E-3</v>
      </c>
      <c r="F33" s="10">
        <f>'Otros Gastos'!F22</f>
        <v>196802</v>
      </c>
      <c r="G33" s="298">
        <f>ABS(F33/('Estado de Resultados'!F6))</f>
        <v>1.5690208777791718E-3</v>
      </c>
      <c r="H33" s="10">
        <f>'Otros Gastos'!H22</f>
        <v>209823</v>
      </c>
      <c r="I33" s="177">
        <f>ABS(H33/('Estado de Resultados'!H6))</f>
        <v>1.9752735475161865E-3</v>
      </c>
      <c r="J33" s="10">
        <f>'Otros Gastos'!J22</f>
        <v>207114</v>
      </c>
      <c r="K33" s="177">
        <f>ABS(J33/('Estado de Resultados'!J6))</f>
        <v>2.6185186467267453E-3</v>
      </c>
      <c r="L33" s="193">
        <f t="shared" si="1"/>
        <v>1.9269744495886744E-3</v>
      </c>
      <c r="M33" s="137">
        <f t="shared" si="11"/>
        <v>1.5690208777791718E-3</v>
      </c>
      <c r="N33" s="304">
        <f t="shared" si="2"/>
        <v>3.5795357180950257E-4</v>
      </c>
    </row>
    <row r="34" spans="1:14" x14ac:dyDescent="0.25">
      <c r="A34" s="135" t="s">
        <v>251</v>
      </c>
      <c r="B34" s="10">
        <f>'Otros Gastos'!B24</f>
        <v>143384.91516122076</v>
      </c>
      <c r="C34" s="298">
        <f>ABS(B34/('Estado de Resultados'!B6))</f>
        <v>1.3044630490502938E-3</v>
      </c>
      <c r="D34" s="10">
        <f>'Otros Gastos'!D24</f>
        <v>161828</v>
      </c>
      <c r="E34" s="298">
        <f>ABS(D34/('Estado de Resultados'!D6))</f>
        <v>1.3492631113092874E-3</v>
      </c>
      <c r="F34" s="10">
        <f>'Otros Gastos'!F24</f>
        <v>174615</v>
      </c>
      <c r="G34" s="177">
        <f>ABS(F34/('Estado de Resultados'!F6))</f>
        <v>1.3921331113170093E-3</v>
      </c>
      <c r="H34" s="10">
        <f>'Otros Gastos'!H24</f>
        <v>140139</v>
      </c>
      <c r="I34" s="298">
        <f>ABS(H34/('Estado de Resultados'!H6))</f>
        <v>1.3192684294637425E-3</v>
      </c>
      <c r="J34" s="10">
        <f>'Otros Gastos'!J24</f>
        <v>113853</v>
      </c>
      <c r="K34" s="177">
        <f>ABS(J34/('Estado de Resultados'!J6))</f>
        <v>1.4394304754182729E-3</v>
      </c>
      <c r="L34" s="193">
        <f t="shared" si="1"/>
        <v>1.360911635311721E-3</v>
      </c>
      <c r="M34" s="137">
        <f t="shared" si="11"/>
        <v>1.3044630490502938E-3</v>
      </c>
      <c r="N34" s="304">
        <f t="shared" si="2"/>
        <v>5.6448586261427167E-5</v>
      </c>
    </row>
    <row r="35" spans="1:14" x14ac:dyDescent="0.25">
      <c r="A35" s="135" t="s">
        <v>252</v>
      </c>
      <c r="B35" s="10">
        <f>'Otros Gastos'!B25</f>
        <v>136957.10058445725</v>
      </c>
      <c r="C35" s="298">
        <f>ABS(B35/('Estado de Resultados'!B6))</f>
        <v>1.2459851638968451E-3</v>
      </c>
      <c r="D35" s="10">
        <f>'Otros Gastos'!D25</f>
        <v>149406</v>
      </c>
      <c r="E35" s="298">
        <f>ABS(D35/('Estado de Resultados'!D6))</f>
        <v>1.2456929851958586E-3</v>
      </c>
      <c r="F35" s="10">
        <f>'Otros Gastos'!F25</f>
        <v>158836</v>
      </c>
      <c r="G35" s="177">
        <f>ABS(F35/('Estado de Resultados'!F6))</f>
        <v>1.2663336761970536E-3</v>
      </c>
      <c r="H35" s="10">
        <f>'Otros Gastos'!H25</f>
        <v>133495</v>
      </c>
      <c r="I35" s="177">
        <f>ABS(H35/('Estado de Resultados'!H6))</f>
        <v>1.2567218189887348E-3</v>
      </c>
      <c r="J35" s="10">
        <f>'Otros Gastos'!J25</f>
        <v>119588</v>
      </c>
      <c r="K35" s="177">
        <f>ABS(J35/('Estado de Resultados'!J6))</f>
        <v>1.5119374254022328E-3</v>
      </c>
      <c r="L35" s="193">
        <f t="shared" si="1"/>
        <v>1.3053342139361451E-3</v>
      </c>
      <c r="M35" s="137">
        <f t="shared" si="11"/>
        <v>1.2456929851958586E-3</v>
      </c>
      <c r="N35" s="304">
        <f t="shared" si="2"/>
        <v>5.9641228740286512E-5</v>
      </c>
    </row>
    <row r="36" spans="1:14" x14ac:dyDescent="0.25">
      <c r="A36" s="135" t="s">
        <v>253</v>
      </c>
      <c r="B36" s="10">
        <f>'Otros Gastos'!B26</f>
        <v>256562.30457816401</v>
      </c>
      <c r="C36" s="177">
        <f>ABS(B36/('Estado de Resultados'!B6))</f>
        <v>2.334109175467274E-3</v>
      </c>
      <c r="D36" s="10">
        <f>'Otros Gastos'!D26</f>
        <v>157170</v>
      </c>
      <c r="E36" s="177">
        <f>ABS(D36/('Estado de Resultados'!D6))</f>
        <v>1.3104263984259875E-3</v>
      </c>
      <c r="F36" s="10">
        <f>'Otros Gastos'!F26</f>
        <v>122256</v>
      </c>
      <c r="G36" s="177">
        <f>ABS(F36/('Estado de Resultados'!F6))</f>
        <v>9.746964788659181E-4</v>
      </c>
      <c r="H36" s="10">
        <f>'Otros Gastos'!H26</f>
        <v>87404</v>
      </c>
      <c r="I36" s="298">
        <f>ABS(H36/('Estado de Resultados'!H6))</f>
        <v>8.2282118331691357E-4</v>
      </c>
      <c r="J36" s="10">
        <f>'Otros Gastos'!J26</f>
        <v>592932</v>
      </c>
      <c r="K36" s="177">
        <f>ABS(J36/('Estado de Resultados'!J6))</f>
        <v>7.4963715549937844E-3</v>
      </c>
      <c r="L36" s="193">
        <f t="shared" si="1"/>
        <v>2.5876849582139754E-3</v>
      </c>
      <c r="M36" s="137">
        <f t="shared" si="11"/>
        <v>8.2282118331691357E-4</v>
      </c>
      <c r="N36" s="304">
        <f t="shared" si="2"/>
        <v>1.7648637748970619E-3</v>
      </c>
    </row>
    <row r="37" spans="1:14" x14ac:dyDescent="0.25">
      <c r="A37" s="135" t="s">
        <v>254</v>
      </c>
      <c r="B37" s="10">
        <f>'Otros Gastos'!B27</f>
        <v>58440.613508044145</v>
      </c>
      <c r="C37" s="298">
        <f>ABS(B37/('Estado de Resultados'!B6))</f>
        <v>5.3167113708828175E-4</v>
      </c>
      <c r="D37" s="10">
        <f>'Otros Gastos'!D27</f>
        <v>77087</v>
      </c>
      <c r="E37" s="177">
        <f>ABS(D37/('Estado de Resultados'!D6))</f>
        <v>6.4272341907147738E-4</v>
      </c>
      <c r="F37" s="10">
        <f>'Otros Gastos'!F27</f>
        <v>69058</v>
      </c>
      <c r="G37" s="177">
        <f>ABS(F37/('Estado de Resultados'!F6))</f>
        <v>5.5057084672754367E-4</v>
      </c>
      <c r="H37" s="10">
        <f>'Otros Gastos'!H27</f>
        <v>59280</v>
      </c>
      <c r="I37" s="177">
        <f>ABS(H37/('Estado de Resultados'!H6))</f>
        <v>5.5806187070416274E-4</v>
      </c>
      <c r="J37" s="10">
        <f>'Otros Gastos'!J27</f>
        <v>37653</v>
      </c>
      <c r="K37" s="177">
        <f>ABS(J37/('Estado de Resultados'!J6))</f>
        <v>4.7604257850846464E-4</v>
      </c>
      <c r="L37" s="193">
        <f t="shared" si="1"/>
        <v>5.5181397041998597E-4</v>
      </c>
      <c r="M37" s="137">
        <f t="shared" si="11"/>
        <v>4.7604257850846464E-4</v>
      </c>
      <c r="N37" s="304">
        <f t="shared" si="2"/>
        <v>7.5771391911521333E-5</v>
      </c>
    </row>
    <row r="38" spans="1:14" x14ac:dyDescent="0.25">
      <c r="A38" s="135" t="s">
        <v>256</v>
      </c>
      <c r="B38" s="10">
        <f>'Otros Gastos'!B29</f>
        <v>88218.057034609054</v>
      </c>
      <c r="C38" s="177">
        <f>ABS(B38/('Estado de Resultados'!B6))</f>
        <v>8.025753304053432E-4</v>
      </c>
      <c r="D38" s="10">
        <f>'Otros Gastos'!D29</f>
        <v>143669</v>
      </c>
      <c r="E38" s="177">
        <f>ABS(D38/('Estado de Resultados'!D6))</f>
        <v>1.1978599620504117E-3</v>
      </c>
      <c r="F38" s="10">
        <f>'Otros Gastos'!F29</f>
        <v>30035</v>
      </c>
      <c r="G38" s="298">
        <f>ABS(F38/('Estado de Resultados'!F6))</f>
        <v>2.39456621701494E-4</v>
      </c>
      <c r="H38" s="10">
        <f>'Otros Gastos'!H29</f>
        <v>163517</v>
      </c>
      <c r="I38" s="177">
        <f>ABS(H38/('Estado de Resultados'!H6))</f>
        <v>1.5393489020231541E-3</v>
      </c>
      <c r="J38" s="10">
        <f>'Otros Gastos'!J29</f>
        <v>37027</v>
      </c>
      <c r="K38" s="177">
        <f>ABS(J38/('Estado de Resultados'!J6))</f>
        <v>4.6812813200629224E-4</v>
      </c>
      <c r="L38" s="193">
        <f t="shared" si="1"/>
        <v>8.4947378963733913E-4</v>
      </c>
      <c r="M38" s="137">
        <f t="shared" si="11"/>
        <v>2.39456621701494E-4</v>
      </c>
      <c r="N38" s="304">
        <f t="shared" si="2"/>
        <v>6.1001716793584516E-4</v>
      </c>
    </row>
    <row r="39" spans="1:14" x14ac:dyDescent="0.25">
      <c r="A39" s="135" t="s">
        <v>257</v>
      </c>
      <c r="B39" s="10">
        <f>'Otros Gastos'!B30</f>
        <v>14911.434448148817</v>
      </c>
      <c r="C39" s="298">
        <f>ABS(B39/('Estado de Resultados'!B6))</f>
        <v>1.3565872828445578E-4</v>
      </c>
      <c r="D39" s="10">
        <f>'Otros Gastos'!D30</f>
        <v>18500</v>
      </c>
      <c r="E39" s="177">
        <f>ABS(D39/('Estado de Resultados'!D6))</f>
        <v>1.542462834566442E-4</v>
      </c>
      <c r="F39" s="10">
        <f>'Otros Gastos'!F30</f>
        <v>18500</v>
      </c>
      <c r="G39" s="298">
        <f>ABS(F39/('Estado de Resultados'!F6))</f>
        <v>1.4749284173389842E-4</v>
      </c>
      <c r="H39" s="10">
        <f>'Otros Gastos'!H30</f>
        <v>13000</v>
      </c>
      <c r="I39" s="298">
        <f>ABS(H39/('Estado de Resultados'!H6))</f>
        <v>1.2238198918950938E-4</v>
      </c>
      <c r="J39" s="10">
        <f>'Otros Gastos'!J30</f>
        <v>11500</v>
      </c>
      <c r="K39" s="298">
        <f>ABS(J39/('Estado de Resultados'!J6))</f>
        <v>1.4539318654150648E-4</v>
      </c>
      <c r="L39" s="193">
        <f t="shared" si="1"/>
        <v>1.4103460584120284E-4</v>
      </c>
      <c r="M39" s="137">
        <f t="shared" si="11"/>
        <v>1.2238198918950938E-4</v>
      </c>
      <c r="N39" s="304">
        <f t="shared" si="2"/>
        <v>1.8652616651693464E-5</v>
      </c>
    </row>
    <row r="40" spans="1:14" x14ac:dyDescent="0.25">
      <c r="A40" s="135" t="s">
        <v>258</v>
      </c>
      <c r="B40" s="12">
        <f>'Otros Gastos'!B31</f>
        <v>6628.5201571679327</v>
      </c>
      <c r="C40" s="178">
        <f>ABS(B40/('Estado de Resultados'!B6))</f>
        <v>6.0303830463535059E-5</v>
      </c>
      <c r="D40" s="12">
        <f>'Otros Gastos'!D31</f>
        <v>10100</v>
      </c>
      <c r="E40" s="178">
        <f>ABS(D40/('Estado de Resultados'!D6))</f>
        <v>8.421013313038414E-5</v>
      </c>
      <c r="F40" s="12">
        <f>'Otros Gastos'!F31</f>
        <v>8500</v>
      </c>
      <c r="G40" s="178">
        <f>ABS(F40/('Estado de Resultados'!F6))</f>
        <v>6.7766981337196577E-5</v>
      </c>
      <c r="H40" s="12">
        <f>'Otros Gastos'!H31</f>
        <v>7500</v>
      </c>
      <c r="I40" s="178">
        <f>ABS(H40/('Estado de Resultados'!H6))</f>
        <v>7.0604993763178481E-5</v>
      </c>
      <c r="J40" s="12">
        <f>'Otros Gastos'!J31</f>
        <v>2042</v>
      </c>
      <c r="K40" s="299">
        <f>ABS(J40/('Estado de Resultados'!J6))</f>
        <v>2.5816772775457064E-5</v>
      </c>
      <c r="L40" s="194">
        <f t="shared" si="1"/>
        <v>6.1740542293950266E-5</v>
      </c>
      <c r="M40" s="297">
        <f t="shared" si="11"/>
        <v>2.5816772775457064E-5</v>
      </c>
      <c r="N40" s="305">
        <f t="shared" si="2"/>
        <v>3.5923769518493199E-5</v>
      </c>
    </row>
    <row r="41" spans="1:14" x14ac:dyDescent="0.25">
      <c r="A41" s="48" t="s">
        <v>322</v>
      </c>
      <c r="B41" s="152">
        <f>SUM(B21:B40)</f>
        <v>16961192.530524839</v>
      </c>
      <c r="C41" s="179">
        <f>ABS(B41/('Estado de Resultados'!B6))</f>
        <v>0.15430667095642567</v>
      </c>
      <c r="D41" s="152">
        <f t="shared" ref="D41" si="12">SUM(D21:D40)</f>
        <v>18317606</v>
      </c>
      <c r="E41" s="179">
        <f>ABS(D41/('Estado de Resultados'!D6))</f>
        <v>0.15272554850395278</v>
      </c>
      <c r="F41" s="152">
        <f t="shared" ref="F41" si="13">SUM(F21:F40)</f>
        <v>19837793</v>
      </c>
      <c r="G41" s="179">
        <f>ABS(F41/('Estado de Resultados'!F6))</f>
        <v>0.15815851152966692</v>
      </c>
      <c r="H41" s="152">
        <f t="shared" ref="H41" si="14">SUM(H21:H40)</f>
        <v>19269982</v>
      </c>
      <c r="I41" s="179">
        <f>ABS(H41/('Estado de Resultados'!H6))</f>
        <v>0.18140759452354155</v>
      </c>
      <c r="J41" s="152">
        <f t="shared" ref="J41" si="15">SUM(J21:J40)</f>
        <v>14704146</v>
      </c>
      <c r="K41" s="179">
        <f>ABS(J41/('Estado de Resultados'!J6))</f>
        <v>0.18590283846187358</v>
      </c>
      <c r="L41" s="250">
        <f t="shared" si="1"/>
        <v>0.16650023279509213</v>
      </c>
      <c r="M41" s="137">
        <f t="shared" si="11"/>
        <v>0.15272554850395278</v>
      </c>
      <c r="N41" s="304">
        <f t="shared" si="2"/>
        <v>1.3774684291139344E-2</v>
      </c>
    </row>
    <row r="42" spans="1:14" x14ac:dyDescent="0.25">
      <c r="C42" s="177"/>
      <c r="E42" s="177"/>
      <c r="G42" s="177"/>
      <c r="I42" s="177"/>
      <c r="K42" s="177"/>
      <c r="L42" s="193"/>
    </row>
    <row r="43" spans="1:14" x14ac:dyDescent="0.25">
      <c r="A43" s="1" t="s">
        <v>267</v>
      </c>
      <c r="C43" s="177"/>
      <c r="E43" s="177"/>
      <c r="G43" s="177"/>
      <c r="I43" s="177"/>
      <c r="K43" s="177"/>
      <c r="L43" s="193"/>
    </row>
    <row r="44" spans="1:14" x14ac:dyDescent="0.25">
      <c r="A44" s="175" t="s">
        <v>43</v>
      </c>
      <c r="B44" s="10">
        <f>-'Estado de Resultados'!B10</f>
        <v>1326140</v>
      </c>
      <c r="C44" s="177">
        <f>ABS(B44/('Estado de Resultados'!B6))</f>
        <v>1.206473237385168E-2</v>
      </c>
      <c r="D44" s="10">
        <f>-'Estado de Resultados'!D10</f>
        <v>1545672</v>
      </c>
      <c r="E44" s="177">
        <f>ABS(D44/('Estado de Resultados'!D6))</f>
        <v>1.2887251969891792E-2</v>
      </c>
      <c r="F44" s="10">
        <f>-'Estado de Resultados'!F10</f>
        <v>1494868</v>
      </c>
      <c r="G44" s="177">
        <f>ABS(F44/('Estado de Resultados'!F6))</f>
        <v>1.191796374794969E-2</v>
      </c>
      <c r="H44" s="10">
        <f>-'Estado de Resultados'!H10</f>
        <v>1319295</v>
      </c>
      <c r="I44" s="177">
        <f>ABS(H44/('Estado de Resultados'!H6))</f>
        <v>1.2419842032905673E-2</v>
      </c>
      <c r="J44" s="10">
        <f>-'Estado de Resultados'!J10</f>
        <v>761359</v>
      </c>
      <c r="K44" s="177">
        <f>ABS(J44/('Estado de Resultados'!J6))</f>
        <v>9.6257748793091152E-3</v>
      </c>
      <c r="L44" s="193">
        <f t="shared" si="1"/>
        <v>1.1783113000781591E-2</v>
      </c>
    </row>
    <row r="45" spans="1:14" x14ac:dyDescent="0.25">
      <c r="A45" s="135" t="s">
        <v>255</v>
      </c>
      <c r="B45" s="12">
        <f>'Otros Gastos'!B28</f>
        <v>61011.717199327279</v>
      </c>
      <c r="C45" s="178">
        <f>ABS(B45/('Estado de Resultados'!B6))</f>
        <v>5.5506208973336694E-4</v>
      </c>
      <c r="D45" s="12">
        <f>'Otros Gastos'!D28</f>
        <v>0</v>
      </c>
      <c r="E45" s="178">
        <f>ABS(D45/('Estado de Resultados'!D6))</f>
        <v>0</v>
      </c>
      <c r="F45" s="12">
        <f>'Otros Gastos'!F28</f>
        <v>51891</v>
      </c>
      <c r="G45" s="178">
        <f>ABS(F45/('Estado de Resultados'!F6))</f>
        <v>4.1370546218452557E-4</v>
      </c>
      <c r="H45" s="12">
        <f>'Otros Gastos'!H28</f>
        <v>101118</v>
      </c>
      <c r="I45" s="178">
        <f>ABS(H45/('Estado de Resultados'!H6))</f>
        <v>9.519247679126775E-4</v>
      </c>
      <c r="J45" s="12">
        <f>'Otros Gastos'!J28</f>
        <v>87893</v>
      </c>
      <c r="K45" s="178">
        <f>ABS(J45/('Estado de Resultados'!J6))</f>
        <v>1.1112211604080548E-3</v>
      </c>
      <c r="L45" s="194">
        <f t="shared" si="1"/>
        <v>6.0638269604772492E-4</v>
      </c>
    </row>
    <row r="46" spans="1:14" x14ac:dyDescent="0.25">
      <c r="A46" s="48" t="s">
        <v>271</v>
      </c>
      <c r="B46" s="152">
        <f>SUM(B44:B45)</f>
        <v>1387151.7171993272</v>
      </c>
      <c r="C46" s="179">
        <f>ABS(B46/('Estado de Resultados'!B6))</f>
        <v>1.2619794463585046E-2</v>
      </c>
      <c r="D46" s="152">
        <f t="shared" ref="D46" si="16">SUM(D44:D45)</f>
        <v>1545672</v>
      </c>
      <c r="E46" s="179">
        <f>ABS(D46/('Estado de Resultados'!D6))</f>
        <v>1.2887251969891792E-2</v>
      </c>
      <c r="F46" s="152">
        <f t="shared" ref="F46" si="17">SUM(F44:F45)</f>
        <v>1546759</v>
      </c>
      <c r="G46" s="179">
        <f>ABS(F46/('Estado de Resultados'!F6))</f>
        <v>1.2331669210134216E-2</v>
      </c>
      <c r="H46" s="152">
        <f t="shared" ref="H46" si="18">SUM(H44:H45)</f>
        <v>1420413</v>
      </c>
      <c r="I46" s="179">
        <f>ABS(H46/('Estado de Resultados'!H6))</f>
        <v>1.3371766800818351E-2</v>
      </c>
      <c r="J46" s="152">
        <f t="shared" ref="J46" si="19">SUM(J44:J45)</f>
        <v>849252</v>
      </c>
      <c r="K46" s="179">
        <f>ABS(J46/('Estado de Resultados'!J6))</f>
        <v>1.0736996039717171E-2</v>
      </c>
      <c r="L46" s="250">
        <f t="shared" si="1"/>
        <v>1.2389495696829313E-2</v>
      </c>
    </row>
    <row r="47" spans="1:14" x14ac:dyDescent="0.25">
      <c r="A47" s="48"/>
      <c r="B47" s="152"/>
      <c r="C47" s="177"/>
      <c r="D47" s="152"/>
      <c r="E47" s="177"/>
      <c r="F47" s="152"/>
      <c r="G47" s="177"/>
      <c r="H47" s="152"/>
      <c r="I47" s="177"/>
      <c r="J47" s="152"/>
      <c r="K47" s="177"/>
      <c r="L47" s="193"/>
    </row>
    <row r="48" spans="1:14" x14ac:dyDescent="0.25">
      <c r="A48" s="1" t="s">
        <v>268</v>
      </c>
      <c r="C48" s="177"/>
      <c r="E48" s="177"/>
      <c r="G48" s="177"/>
      <c r="I48" s="177"/>
      <c r="K48" s="177"/>
      <c r="L48" s="193"/>
    </row>
    <row r="49" spans="1:12" x14ac:dyDescent="0.25">
      <c r="A49" s="175" t="s">
        <v>45</v>
      </c>
      <c r="B49" s="12">
        <f>-'Estado de Resultados'!B12</f>
        <v>1309205</v>
      </c>
      <c r="C49" s="178">
        <f>ABS(B49/('Estado de Resultados'!B6))</f>
        <v>1.1910663992872916E-2</v>
      </c>
      <c r="D49" s="12">
        <f>-'Estado de Resultados'!D12</f>
        <v>1211298</v>
      </c>
      <c r="E49" s="178">
        <f>ABS(D49/('Estado de Resultados'!D6))</f>
        <v>1.0099362954511687E-2</v>
      </c>
      <c r="F49" s="12">
        <f>-'Estado de Resultados'!F12</f>
        <v>1247485</v>
      </c>
      <c r="G49" s="178">
        <f>ABS(F49/('Estado de Resultados'!F6))</f>
        <v>9.9456814956979615E-3</v>
      </c>
      <c r="H49" s="12">
        <f>-'Estado de Resultados'!H12</f>
        <v>1280055</v>
      </c>
      <c r="I49" s="178">
        <f>ABS(H49/('Estado de Resultados'!H6))</f>
        <v>1.2050436705536724E-2</v>
      </c>
      <c r="J49" s="12">
        <f>-'Estado de Resultados'!J12</f>
        <v>900982</v>
      </c>
      <c r="K49" s="178">
        <f>ABS(J49/('Estado de Resultados'!J6))</f>
        <v>1.1391012521438225E-2</v>
      </c>
      <c r="L49" s="194">
        <f t="shared" si="1"/>
        <v>1.1079431534011502E-2</v>
      </c>
    </row>
    <row r="50" spans="1:12" x14ac:dyDescent="0.25">
      <c r="A50" s="48" t="s">
        <v>272</v>
      </c>
      <c r="B50" s="152">
        <f>SUM(B49)</f>
        <v>1309205</v>
      </c>
      <c r="C50" s="179">
        <f>ABS(B50/('Estado de Resultados'!B6))</f>
        <v>1.1910663992872916E-2</v>
      </c>
      <c r="D50" s="152">
        <f t="shared" ref="D50" si="20">SUM(D49)</f>
        <v>1211298</v>
      </c>
      <c r="E50" s="179">
        <f>ABS(D50/('Estado de Resultados'!D6))</f>
        <v>1.0099362954511687E-2</v>
      </c>
      <c r="F50" s="152">
        <f t="shared" ref="F50" si="21">SUM(F49)</f>
        <v>1247485</v>
      </c>
      <c r="G50" s="179">
        <f>ABS(F50/('Estado de Resultados'!F6))</f>
        <v>9.9456814956979615E-3</v>
      </c>
      <c r="H50" s="152">
        <f t="shared" ref="H50" si="22">SUM(H49)</f>
        <v>1280055</v>
      </c>
      <c r="I50" s="179">
        <f>ABS(H50/('Estado de Resultados'!H6))</f>
        <v>1.2050436705536724E-2</v>
      </c>
      <c r="J50" s="152">
        <f t="shared" ref="J50" si="23">SUM(J49)</f>
        <v>900982</v>
      </c>
      <c r="K50" s="179">
        <f>ABS(J50/('Estado de Resultados'!J6))</f>
        <v>1.1391012521438225E-2</v>
      </c>
      <c r="L50" s="250">
        <f t="shared" si="1"/>
        <v>1.1079431534011502E-2</v>
      </c>
    </row>
    <row r="51" spans="1:12" s="236" customFormat="1" x14ac:dyDescent="0.25">
      <c r="C51" s="177"/>
      <c r="E51" s="177"/>
      <c r="G51" s="177"/>
      <c r="I51" s="177"/>
      <c r="K51" s="177"/>
      <c r="L51" s="193"/>
    </row>
    <row r="52" spans="1:12" s="236" customFormat="1" x14ac:dyDescent="0.25">
      <c r="C52" s="177"/>
      <c r="E52" s="177"/>
      <c r="G52" s="177"/>
      <c r="I52" s="177"/>
      <c r="K52" s="177"/>
      <c r="L52" s="193"/>
    </row>
    <row r="53" spans="1:12" x14ac:dyDescent="0.25">
      <c r="A53" s="48" t="s">
        <v>331</v>
      </c>
      <c r="B53" s="10">
        <f>B12+B18+B41+B46+B50</f>
        <v>111001760.99999999</v>
      </c>
      <c r="C53" s="179">
        <f>ABS(B53/('Estado de Resultados'!B6))</f>
        <v>1.0098530618873172</v>
      </c>
      <c r="D53" s="10">
        <f>D12+D18+D41+D46+D50</f>
        <v>120249702</v>
      </c>
      <c r="E53" s="179">
        <f>ABS(D53/('Estado de Resultados'!D6))</f>
        <v>1.0025983578523781</v>
      </c>
      <c r="F53" s="10">
        <f>F12+F18+F41+F46+F50</f>
        <v>125748993</v>
      </c>
      <c r="G53" s="179">
        <f>ABS(F53/('Estado de Resultados'!F6))</f>
        <v>1.0025446660943838</v>
      </c>
      <c r="H53" s="10">
        <f>H12+H18+H41+H46+H50</f>
        <v>110384302</v>
      </c>
      <c r="I53" s="179">
        <f>ABS(H53/('Estado de Resultados'!H6))</f>
        <v>1.0391577272350414</v>
      </c>
      <c r="J53" s="10">
        <f>J12+J18+J41+J46+J50</f>
        <v>82452073</v>
      </c>
      <c r="K53" s="179">
        <f>ABS(J53/('Estado de Resultados'!J6))</f>
        <v>1.0424321417759053</v>
      </c>
      <c r="L53" s="250">
        <f t="shared" si="1"/>
        <v>1.0193171909690051</v>
      </c>
    </row>
    <row r="54" spans="1:12" x14ac:dyDescent="0.25">
      <c r="C54" s="179"/>
      <c r="E54" s="179"/>
      <c r="G54" s="179"/>
      <c r="I54" s="179"/>
      <c r="K54" s="179"/>
      <c r="L54" s="250"/>
    </row>
    <row r="55" spans="1:12" x14ac:dyDescent="0.25">
      <c r="A55" s="48" t="s">
        <v>332</v>
      </c>
      <c r="B55" s="10">
        <f>('Estado de Resultados'!B6+'Estado de Resultados'!B7)-'Análisis de Costos de Operación'!B53</f>
        <v>-685292.9999999851</v>
      </c>
      <c r="C55" s="179">
        <f>ABS(B55/('Estado de Resultados'!B6))</f>
        <v>6.234542840630521E-3</v>
      </c>
      <c r="D55" s="10">
        <f>('Estado de Resultados'!D6+'Estado de Resultados'!D7)-'Análisis de Costos de Operación'!D53</f>
        <v>153229</v>
      </c>
      <c r="E55" s="179">
        <f>ABS(D55/('Estado de Resultados'!D6))</f>
        <v>1.2775677712312506E-3</v>
      </c>
      <c r="F55" s="10">
        <f>('Estado de Resultados'!F6+'Estado de Resultados'!F7)-'Análisis de Costos de Operación'!F53</f>
        <v>-154474</v>
      </c>
      <c r="G55" s="179">
        <f>ABS(F55/('Estado de Resultados'!F6))</f>
        <v>1.2315572558920121E-3</v>
      </c>
      <c r="H55" s="10">
        <f>('Estado de Resultados'!H6+'Estado de Resultados'!H7)-'Análisis de Costos de Operación'!H53</f>
        <v>-3983079</v>
      </c>
      <c r="I55" s="179">
        <f>ABS(H55/('Estado de Resultados'!H6))</f>
        <v>3.749670239376629E-2</v>
      </c>
      <c r="J55" s="10">
        <f>('Estado de Resultados'!J6+'Estado de Resultados'!J7)-'Análisis de Costos de Operación'!J53</f>
        <v>-2947556</v>
      </c>
      <c r="K55" s="179">
        <f>ABS(J55/('Estado de Resultados'!J6))</f>
        <v>3.7265613856481451E-2</v>
      </c>
      <c r="L55" s="250">
        <f t="shared" si="1"/>
        <v>1.6701196823600307E-2</v>
      </c>
    </row>
    <row r="56" spans="1:12" x14ac:dyDescent="0.25">
      <c r="C56" s="179"/>
      <c r="E56" s="179"/>
      <c r="G56" s="179"/>
      <c r="I56" s="179"/>
      <c r="K56" s="179"/>
      <c r="L56" s="250"/>
    </row>
    <row r="57" spans="1:12" x14ac:dyDescent="0.25">
      <c r="A57" s="48" t="s">
        <v>48</v>
      </c>
      <c r="B57" s="10">
        <f>'Estado de Resultados'!B19</f>
        <v>17308</v>
      </c>
      <c r="C57" s="179">
        <f>ABS(B57/('Estado de Resultados'!B6))</f>
        <v>1.5746179734162674E-4</v>
      </c>
      <c r="D57" s="10">
        <f>'Estado de Resultados'!D19</f>
        <v>-11855</v>
      </c>
      <c r="E57" s="179">
        <f>ABS(D57/('Estado de Resultados'!D6))</f>
        <v>9.8842685966406331E-5</v>
      </c>
      <c r="F57" s="10">
        <f>'Estado de Resultados'!F19</f>
        <v>-3759</v>
      </c>
      <c r="G57" s="179">
        <f>ABS(F57/('Estado de Resultados'!F6))</f>
        <v>2.9968950923120227E-5</v>
      </c>
      <c r="H57" s="10">
        <f>'Estado de Resultados'!H19</f>
        <v>-5609</v>
      </c>
      <c r="I57" s="179">
        <f>ABS(H57/('Estado de Resultados'!H6))</f>
        <v>5.2803121335689078E-5</v>
      </c>
      <c r="J57" s="10">
        <f>'Estado de Resultados'!J19</f>
        <v>56750</v>
      </c>
      <c r="K57" s="179">
        <f>ABS(J57/('Estado de Resultados'!J6))</f>
        <v>7.1748376836786888E-4</v>
      </c>
      <c r="L57" s="250">
        <f t="shared" si="1"/>
        <v>2.1131206478694226E-4</v>
      </c>
    </row>
  </sheetData>
  <mergeCells count="5">
    <mergeCell ref="C5:C6"/>
    <mergeCell ref="E5:E6"/>
    <mergeCell ref="G5:G6"/>
    <mergeCell ref="I5:I6"/>
    <mergeCell ref="K5:K6"/>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69ABE-04DC-46CC-844E-17274C69131F}">
  <sheetPr>
    <tabColor rgb="FF92D050"/>
  </sheetPr>
  <dimension ref="B1:K65"/>
  <sheetViews>
    <sheetView showGridLines="0" topLeftCell="A31" zoomScale="90" zoomScaleNormal="90" workbookViewId="0">
      <selection activeCell="I54" sqref="I54"/>
    </sheetView>
  </sheetViews>
  <sheetFormatPr defaultRowHeight="15" x14ac:dyDescent="0.25"/>
  <cols>
    <col min="1" max="1" width="3.140625" customWidth="1"/>
    <col min="2" max="2" width="45.140625" bestFit="1" customWidth="1"/>
    <col min="3" max="7" width="13.7109375" customWidth="1"/>
    <col min="8" max="8" width="15.140625" customWidth="1"/>
    <col min="9" max="9" width="11" customWidth="1"/>
    <col min="11" max="11" width="8.85546875" customWidth="1"/>
    <col min="15" max="15" width="8.85546875" customWidth="1"/>
    <col min="17" max="18" width="8.85546875" customWidth="1"/>
  </cols>
  <sheetData>
    <row r="1" spans="2:11" ht="14.45" customHeight="1" x14ac:dyDescent="0.25">
      <c r="B1" s="5" t="s">
        <v>0</v>
      </c>
      <c r="C1" s="801" t="s">
        <v>487</v>
      </c>
      <c r="D1" s="801"/>
      <c r="E1" s="801"/>
      <c r="F1" s="801"/>
      <c r="G1" s="801"/>
      <c r="H1" s="801"/>
      <c r="I1" s="801"/>
      <c r="J1" s="801"/>
      <c r="K1" s="801"/>
    </row>
    <row r="2" spans="2:11" x14ac:dyDescent="0.25">
      <c r="B2" s="1" t="s">
        <v>193</v>
      </c>
      <c r="C2" s="801"/>
      <c r="D2" s="801"/>
      <c r="E2" s="801"/>
      <c r="F2" s="801"/>
      <c r="G2" s="801"/>
      <c r="H2" s="801"/>
      <c r="I2" s="801"/>
      <c r="J2" s="801"/>
      <c r="K2" s="801"/>
    </row>
    <row r="3" spans="2:11" ht="14.45" customHeight="1" x14ac:dyDescent="0.25">
      <c r="B3" s="5" t="s">
        <v>1</v>
      </c>
      <c r="C3" s="801"/>
      <c r="D3" s="801"/>
      <c r="E3" s="801"/>
      <c r="F3" s="801"/>
      <c r="G3" s="801"/>
      <c r="H3" s="801"/>
      <c r="I3" s="801"/>
      <c r="J3" s="801"/>
      <c r="K3" s="801"/>
    </row>
    <row r="4" spans="2:11" ht="14.45" customHeight="1" x14ac:dyDescent="0.25">
      <c r="C4" s="801"/>
      <c r="D4" s="801"/>
      <c r="E4" s="801"/>
      <c r="F4" s="801"/>
      <c r="G4" s="801"/>
      <c r="H4" s="801"/>
      <c r="I4" s="801"/>
      <c r="J4" s="801"/>
      <c r="K4" s="801"/>
    </row>
    <row r="5" spans="2:11" x14ac:dyDescent="0.25">
      <c r="B5" s="236"/>
      <c r="C5" s="723" t="s">
        <v>639</v>
      </c>
      <c r="D5" s="372">
        <v>0.05</v>
      </c>
      <c r="E5" s="372">
        <v>0.05</v>
      </c>
      <c r="F5" s="372">
        <v>0.05</v>
      </c>
      <c r="G5" s="372">
        <v>0.05</v>
      </c>
      <c r="H5" s="371" t="s">
        <v>334</v>
      </c>
      <c r="I5" s="373"/>
      <c r="J5" s="373"/>
      <c r="K5" s="373"/>
    </row>
    <row r="6" spans="2:11" s="27" customFormat="1" x14ac:dyDescent="0.25">
      <c r="B6" s="760" t="s">
        <v>39</v>
      </c>
      <c r="C6" s="762" t="s">
        <v>630</v>
      </c>
      <c r="D6" s="188">
        <v>2018</v>
      </c>
      <c r="E6" s="188">
        <v>2019</v>
      </c>
      <c r="F6" s="188">
        <v>2020</v>
      </c>
      <c r="G6" s="188">
        <v>2021</v>
      </c>
    </row>
    <row r="7" spans="2:11" ht="14.45" customHeight="1" x14ac:dyDescent="0.25">
      <c r="B7" s="763" t="s">
        <v>320</v>
      </c>
      <c r="C7" s="361">
        <v>3.3000000000000002E-2</v>
      </c>
      <c r="D7" s="361">
        <f>+C7*(1+D5)</f>
        <v>3.465E-2</v>
      </c>
      <c r="E7" s="361">
        <f t="shared" ref="E7:G7" si="0">+D7*(1+E5)</f>
        <v>3.6382500000000005E-2</v>
      </c>
      <c r="F7" s="361">
        <f t="shared" si="0"/>
        <v>3.820162500000001E-2</v>
      </c>
      <c r="G7" s="361">
        <f t="shared" si="0"/>
        <v>4.0111706250000011E-2</v>
      </c>
      <c r="H7" s="803" t="s">
        <v>476</v>
      </c>
      <c r="I7" s="803"/>
      <c r="J7" s="803"/>
      <c r="K7" s="803"/>
    </row>
    <row r="8" spans="2:11" x14ac:dyDescent="0.25">
      <c r="B8" s="763" t="s">
        <v>321</v>
      </c>
      <c r="C8" s="361">
        <v>3.7548676240198469E-3</v>
      </c>
      <c r="D8" s="361">
        <v>3.7548676240198469E-3</v>
      </c>
      <c r="E8" s="361">
        <v>3.7548676240198469E-3</v>
      </c>
      <c r="F8" s="361">
        <v>3.7548676240198469E-3</v>
      </c>
      <c r="G8" s="361">
        <v>3.7548676240198469E-3</v>
      </c>
      <c r="H8" s="803"/>
      <c r="I8" s="803"/>
      <c r="J8" s="803"/>
      <c r="K8" s="803"/>
    </row>
    <row r="9" spans="2:11" x14ac:dyDescent="0.25">
      <c r="B9" s="757"/>
      <c r="C9" s="759"/>
      <c r="D9" s="759"/>
      <c r="E9" s="759"/>
      <c r="F9" s="759"/>
      <c r="G9" s="759"/>
      <c r="H9" s="759"/>
      <c r="I9" s="759"/>
      <c r="J9" s="759"/>
      <c r="K9" s="759"/>
    </row>
    <row r="10" spans="2:11" x14ac:dyDescent="0.25">
      <c r="B10" s="760" t="str">
        <f>'Análisis de Costos de Operación'!A7</f>
        <v>Costo de Venta</v>
      </c>
      <c r="C10" s="759"/>
      <c r="D10" s="759"/>
      <c r="E10" s="759"/>
      <c r="F10" s="759"/>
      <c r="G10" s="759"/>
      <c r="H10" s="759"/>
      <c r="I10" s="759"/>
      <c r="J10" s="759"/>
      <c r="K10" s="759"/>
    </row>
    <row r="11" spans="2:11" ht="14.45" customHeight="1" x14ac:dyDescent="0.25">
      <c r="B11" s="763" t="str">
        <f>'Análisis de Costos de Operación'!A8</f>
        <v>Compra de mercancía</v>
      </c>
      <c r="C11" s="362">
        <f>+'Análisis de Costos de Operación'!K8</f>
        <v>0.8358302063473203</v>
      </c>
      <c r="D11" s="362">
        <f>'Análisis de Costos de Operación'!$L8</f>
        <v>0.80140543821553734</v>
      </c>
      <c r="E11" s="362">
        <f>'Análisis de Costos de Operación'!$L8</f>
        <v>0.80140543821553734</v>
      </c>
      <c r="F11" s="362">
        <f>'Análisis de Costos de Operación'!$L8</f>
        <v>0.80140543821553734</v>
      </c>
      <c r="G11" s="362">
        <f>'Análisis de Costos de Operación'!$L8</f>
        <v>0.80140543821553734</v>
      </c>
      <c r="H11" s="806" t="s">
        <v>478</v>
      </c>
      <c r="I11" s="806"/>
      <c r="J11" s="806"/>
      <c r="K11" s="806"/>
    </row>
    <row r="12" spans="2:11" x14ac:dyDescent="0.25">
      <c r="B12" s="764" t="str">
        <f>'Análisis de Costos de Operación'!A9</f>
        <v>Cambios en el Inventario de Mercancía</v>
      </c>
      <c r="C12" s="364">
        <f>-+'Análisis de Costos de Operación'!K9</f>
        <v>-3.3773889017157992E-2</v>
      </c>
      <c r="D12" s="364">
        <f>'Análisis de Costos de Operación'!$M9</f>
        <v>9.2014122392024521E-3</v>
      </c>
      <c r="E12" s="364">
        <f>'Análisis de Costos de Operación'!$M9</f>
        <v>9.2014122392024521E-3</v>
      </c>
      <c r="F12" s="364">
        <f>'Análisis de Costos de Operación'!$M9</f>
        <v>9.2014122392024521E-3</v>
      </c>
      <c r="G12" s="364">
        <f>'Análisis de Costos de Operación'!$M9</f>
        <v>9.2014122392024521E-3</v>
      </c>
      <c r="H12" s="805" t="s">
        <v>477</v>
      </c>
      <c r="I12" s="805"/>
      <c r="J12" s="805"/>
      <c r="K12" s="805"/>
    </row>
    <row r="13" spans="2:11" ht="14.45" customHeight="1" x14ac:dyDescent="0.25">
      <c r="B13" s="764" t="str">
        <f>'Análisis de Costos de Operación'!A10</f>
        <v>Mercancía dañada</v>
      </c>
      <c r="C13" s="364">
        <f>+'Análisis de Costos de Operación'!K10</f>
        <v>9.7004564056483045E-3</v>
      </c>
      <c r="D13" s="364">
        <f>'Análisis de Costos de Operación'!$M10</f>
        <v>6.5684382411913926E-3</v>
      </c>
      <c r="E13" s="364">
        <f>'Análisis de Costos de Operación'!$M10</f>
        <v>6.5684382411913926E-3</v>
      </c>
      <c r="F13" s="364">
        <f>'Análisis de Costos de Operación'!$M10</f>
        <v>6.5684382411913926E-3</v>
      </c>
      <c r="G13" s="364">
        <f>'Análisis de Costos de Operación'!$M10</f>
        <v>6.5684382411913926E-3</v>
      </c>
      <c r="H13" s="805"/>
      <c r="I13" s="805"/>
      <c r="J13" s="805"/>
      <c r="K13" s="805"/>
    </row>
    <row r="14" spans="2:11" x14ac:dyDescent="0.25">
      <c r="B14" s="764" t="str">
        <f>'Análisis de Costos de Operación'!A11</f>
        <v>Faltantes en Inventario</v>
      </c>
      <c r="C14" s="364">
        <f>+'Análisis de Costos de Operación'!K11</f>
        <v>3.489234190823576E-3</v>
      </c>
      <c r="D14" s="364">
        <f>'Análisis de Costos de Operación'!$M11</f>
        <v>3.489234190823576E-3</v>
      </c>
      <c r="E14" s="364">
        <f>'Análisis de Costos de Operación'!$M11</f>
        <v>3.489234190823576E-3</v>
      </c>
      <c r="F14" s="364">
        <f>'Análisis de Costos de Operación'!$M11</f>
        <v>3.489234190823576E-3</v>
      </c>
      <c r="G14" s="364">
        <f>'Análisis de Costos de Operación'!$M11</f>
        <v>3.489234190823576E-3</v>
      </c>
      <c r="H14" s="805"/>
      <c r="I14" s="805"/>
      <c r="J14" s="805"/>
      <c r="K14" s="805"/>
    </row>
    <row r="15" spans="2:11" x14ac:dyDescent="0.25">
      <c r="B15" s="757"/>
      <c r="C15" s="758"/>
      <c r="D15" s="758"/>
      <c r="E15" s="758"/>
      <c r="F15" s="758"/>
      <c r="G15" s="758"/>
      <c r="H15" s="759"/>
      <c r="I15" s="759"/>
      <c r="J15" s="759"/>
      <c r="K15" s="759"/>
    </row>
    <row r="16" spans="2:11" x14ac:dyDescent="0.25">
      <c r="B16" s="760" t="str">
        <f>'Análisis de Costos de Operación'!A14</f>
        <v>Costo de Distribución</v>
      </c>
      <c r="C16" s="758"/>
      <c r="D16" s="758"/>
      <c r="E16" s="758"/>
      <c r="F16" s="758"/>
      <c r="G16" s="758"/>
      <c r="H16" s="759"/>
      <c r="I16" s="759"/>
      <c r="J16" s="759"/>
      <c r="K16" s="759"/>
    </row>
    <row r="17" spans="2:11" ht="14.45" customHeight="1" x14ac:dyDescent="0.25">
      <c r="B17" s="764" t="str">
        <f>'Análisis de Costos de Operación'!A15</f>
        <v>Fletes y almacenajes</v>
      </c>
      <c r="C17" s="364">
        <f>+'Análisis de Costos de Operación'!K15</f>
        <v>9.549323348959856E-3</v>
      </c>
      <c r="D17" s="364">
        <f>'Análisis de Costos de Operación'!$M15</f>
        <v>9.1585241582432045E-3</v>
      </c>
      <c r="E17" s="364">
        <f>'Análisis de Costos de Operación'!$M15</f>
        <v>9.1585241582432045E-3</v>
      </c>
      <c r="F17" s="364">
        <f>'Análisis de Costos de Operación'!$M15</f>
        <v>9.1585241582432045E-3</v>
      </c>
      <c r="G17" s="364">
        <f>'Análisis de Costos de Operación'!$M15</f>
        <v>9.1585241582432045E-3</v>
      </c>
      <c r="H17" s="805" t="s">
        <v>477</v>
      </c>
      <c r="I17" s="805"/>
      <c r="J17" s="805"/>
      <c r="K17" s="805"/>
    </row>
    <row r="18" spans="2:11" x14ac:dyDescent="0.25">
      <c r="B18" s="764" t="str">
        <f>'Análisis de Costos de Operación'!A16</f>
        <v>Combustible</v>
      </c>
      <c r="C18" s="364">
        <f>+'Análisis de Costos de Operación'!K16</f>
        <v>5.3569803509073404E-3</v>
      </c>
      <c r="D18" s="364">
        <f>'Análisis de Costos de Operación'!$M16</f>
        <v>4.9634275075605945E-3</v>
      </c>
      <c r="E18" s="364">
        <f>'Análisis de Costos de Operación'!$M16</f>
        <v>4.9634275075605945E-3</v>
      </c>
      <c r="F18" s="364">
        <f>'Análisis de Costos de Operación'!$M16</f>
        <v>4.9634275075605945E-3</v>
      </c>
      <c r="G18" s="364">
        <f>'Análisis de Costos de Operación'!$M16</f>
        <v>4.9634275075605945E-3</v>
      </c>
      <c r="H18" s="805"/>
      <c r="I18" s="805"/>
      <c r="J18" s="805"/>
      <c r="K18" s="805"/>
    </row>
    <row r="19" spans="2:11" x14ac:dyDescent="0.25">
      <c r="B19" s="764" t="str">
        <f>'Análisis de Costos de Operación'!A17</f>
        <v>Partes y Repuestos</v>
      </c>
      <c r="C19" s="364">
        <f>+'Análisis de Costos de Operación'!K17</f>
        <v>4.2489831263747713E-3</v>
      </c>
      <c r="D19" s="364">
        <f>'Análisis de Costos de Operación'!$M17</f>
        <v>1.5638945049556638E-3</v>
      </c>
      <c r="E19" s="364">
        <f>'Análisis de Costos de Operación'!$M17</f>
        <v>1.5638945049556638E-3</v>
      </c>
      <c r="F19" s="364">
        <f>'Análisis de Costos de Operación'!$M17</f>
        <v>1.5638945049556638E-3</v>
      </c>
      <c r="G19" s="364">
        <f>'Análisis de Costos de Operación'!$M17</f>
        <v>1.5638945049556638E-3</v>
      </c>
      <c r="H19" s="805"/>
      <c r="I19" s="805"/>
      <c r="J19" s="805"/>
      <c r="K19" s="805"/>
    </row>
    <row r="20" spans="2:11" x14ac:dyDescent="0.25">
      <c r="B20" s="757"/>
      <c r="C20" s="758"/>
      <c r="D20" s="758"/>
      <c r="E20" s="758"/>
      <c r="F20" s="758"/>
      <c r="G20" s="758"/>
      <c r="H20" s="759"/>
      <c r="I20" s="759"/>
      <c r="J20" s="759"/>
      <c r="K20" s="759"/>
    </row>
    <row r="21" spans="2:11" x14ac:dyDescent="0.25">
      <c r="B21" s="760" t="str">
        <f>'Análisis de Costos de Operación'!A20</f>
        <v>Gasto de Administración</v>
      </c>
      <c r="C21" s="758"/>
      <c r="D21" s="758"/>
      <c r="E21" s="758"/>
      <c r="F21" s="758"/>
      <c r="G21" s="758"/>
      <c r="H21" s="759"/>
      <c r="I21" s="759"/>
      <c r="J21" s="759"/>
      <c r="K21" s="759"/>
    </row>
    <row r="22" spans="2:11" x14ac:dyDescent="0.25">
      <c r="B22" s="764" t="str">
        <f>'Análisis de Costos de Operación'!A21</f>
        <v>Gastos de Salarios y Beneficios a Empleados</v>
      </c>
      <c r="C22" s="364">
        <f>+'Análisis de Costos de Operación'!K21</f>
        <v>0.10961757470358817</v>
      </c>
      <c r="D22" s="364">
        <f>+C22</f>
        <v>0.10961757470358817</v>
      </c>
      <c r="E22" s="364">
        <f>+D22</f>
        <v>0.10961757470358817</v>
      </c>
      <c r="F22" s="364">
        <f t="shared" ref="F22:G22" si="1">+E22</f>
        <v>0.10961757470358817</v>
      </c>
      <c r="G22" s="364">
        <f t="shared" si="1"/>
        <v>0.10961757470358817</v>
      </c>
      <c r="H22" s="365"/>
      <c r="I22" s="365"/>
      <c r="J22" s="365"/>
      <c r="K22" s="365"/>
    </row>
    <row r="23" spans="2:11" x14ac:dyDescent="0.25">
      <c r="B23" s="764" t="str">
        <f>'Análisis de Costos de Operación'!A22</f>
        <v>Alquileres</v>
      </c>
      <c r="C23" s="364">
        <f>+'Análisis de Costos de Operación'!K22</f>
        <v>1.1455465953176364E-2</v>
      </c>
      <c r="D23" s="364">
        <f>'Análisis de Costos de Operación'!$M22</f>
        <v>7.5430684805140253E-3</v>
      </c>
      <c r="E23" s="364">
        <f>'Análisis de Costos de Operación'!$M22</f>
        <v>7.5430684805140253E-3</v>
      </c>
      <c r="F23" s="364">
        <f>'Análisis de Costos de Operación'!$M22</f>
        <v>7.5430684805140253E-3</v>
      </c>
      <c r="G23" s="364">
        <f>'Análisis de Costos de Operación'!$M22</f>
        <v>7.5430684805140253E-3</v>
      </c>
      <c r="H23" s="365"/>
      <c r="I23" s="365"/>
      <c r="J23" s="365"/>
      <c r="K23" s="365"/>
    </row>
    <row r="24" spans="2:11" x14ac:dyDescent="0.25">
      <c r="B24" s="764" t="str">
        <f>'Análisis de Costos de Operación'!A23</f>
        <v>Viajes</v>
      </c>
      <c r="C24" s="364">
        <f>+'Análisis de Costos de Operación'!K23</f>
        <v>8.5553523113331871E-3</v>
      </c>
      <c r="D24" s="364">
        <f>'Análisis de Costos de Operación'!$M23</f>
        <v>7.3657845436048471E-3</v>
      </c>
      <c r="E24" s="364">
        <f>'Análisis de Costos de Operación'!$M23</f>
        <v>7.3657845436048471E-3</v>
      </c>
      <c r="F24" s="364">
        <f>'Análisis de Costos de Operación'!$M23</f>
        <v>7.3657845436048471E-3</v>
      </c>
      <c r="G24" s="364">
        <f>'Análisis de Costos de Operación'!$M23</f>
        <v>7.3657845436048471E-3</v>
      </c>
      <c r="H24" s="365"/>
      <c r="I24" s="365"/>
      <c r="J24" s="365"/>
      <c r="K24" s="365"/>
    </row>
    <row r="25" spans="2:11" x14ac:dyDescent="0.25">
      <c r="B25" s="764" t="str">
        <f>'Análisis de Costos de Operación'!A24</f>
        <v>Agua, luz y energía</v>
      </c>
      <c r="C25" s="364">
        <f>+'Análisis de Costos de Operación'!K24</f>
        <v>6.1972771118025309E-3</v>
      </c>
      <c r="D25" s="364">
        <f>'Análisis de Costos de Operación'!$M24</f>
        <v>5.7499311917405434E-3</v>
      </c>
      <c r="E25" s="364">
        <f>'Análisis de Costos de Operación'!$M24</f>
        <v>5.7499311917405434E-3</v>
      </c>
      <c r="F25" s="364">
        <f>'Análisis de Costos de Operación'!$M24</f>
        <v>5.7499311917405434E-3</v>
      </c>
      <c r="G25" s="364">
        <f>'Análisis de Costos de Operación'!$M24</f>
        <v>5.7499311917405434E-3</v>
      </c>
      <c r="H25" s="365"/>
      <c r="I25" s="365"/>
      <c r="J25" s="365"/>
      <c r="K25" s="365"/>
    </row>
    <row r="26" spans="2:11" x14ac:dyDescent="0.25">
      <c r="B26" s="764" t="str">
        <f>'Análisis de Costos de Operación'!A25</f>
        <v>Seguridad</v>
      </c>
      <c r="C26" s="364">
        <f>+'Análisis de Costos de Operación'!K25</f>
        <v>7.0311639296041081E-3</v>
      </c>
      <c r="D26" s="364">
        <f>'Análisis de Costos de Operación'!$M25</f>
        <v>5.3926173343027146E-3</v>
      </c>
      <c r="E26" s="364">
        <f>'Análisis de Costos de Operación'!$M25</f>
        <v>5.3926173343027146E-3</v>
      </c>
      <c r="F26" s="364">
        <f>'Análisis de Costos de Operación'!$M25</f>
        <v>5.3926173343027146E-3</v>
      </c>
      <c r="G26" s="364">
        <f>'Análisis de Costos de Operación'!$M25</f>
        <v>5.3926173343027146E-3</v>
      </c>
      <c r="H26" s="365"/>
      <c r="I26" s="365"/>
      <c r="J26" s="365"/>
      <c r="K26" s="365"/>
    </row>
    <row r="27" spans="2:11" x14ac:dyDescent="0.25">
      <c r="B27" s="764" t="str">
        <f>'Análisis de Costos de Operación'!A26</f>
        <v>Mantenimiento</v>
      </c>
      <c r="C27" s="364">
        <f>+'Análisis de Costos de Operación'!K26</f>
        <v>3.7035943193289016E-3</v>
      </c>
      <c r="D27" s="364">
        <f>'Análisis de Costos de Operación'!$M26</f>
        <v>3.7035943193289016E-3</v>
      </c>
      <c r="E27" s="364">
        <f>'Análisis de Costos de Operación'!$M26</f>
        <v>3.7035943193289016E-3</v>
      </c>
      <c r="F27" s="364">
        <f>'Análisis de Costos de Operación'!$M26</f>
        <v>3.7035943193289016E-3</v>
      </c>
      <c r="G27" s="364">
        <f>'Análisis de Costos de Operación'!$M26</f>
        <v>3.7035943193289016E-3</v>
      </c>
      <c r="H27" s="365"/>
      <c r="I27" s="365"/>
      <c r="J27" s="365"/>
      <c r="K27" s="365"/>
    </row>
    <row r="28" spans="2:11" x14ac:dyDescent="0.25">
      <c r="B28" s="764" t="str">
        <f>'Análisis de Costos de Operación'!A27</f>
        <v>Útiles de oficina</v>
      </c>
      <c r="C28" s="364">
        <f>+'Análisis de Costos de Operación'!K27</f>
        <v>3.3909357538357316E-3</v>
      </c>
      <c r="D28" s="364">
        <f>'Análisis de Costos de Operación'!$M27</f>
        <v>2.8382066543347459E-3</v>
      </c>
      <c r="E28" s="364">
        <f>'Análisis de Costos de Operación'!$M27</f>
        <v>2.8382066543347459E-3</v>
      </c>
      <c r="F28" s="364">
        <f>'Análisis de Costos de Operación'!$M27</f>
        <v>2.8382066543347459E-3</v>
      </c>
      <c r="G28" s="364">
        <f>'Análisis de Costos de Operación'!$M27</f>
        <v>2.8382066543347459E-3</v>
      </c>
      <c r="H28" s="365"/>
      <c r="I28" s="365"/>
      <c r="J28" s="365"/>
      <c r="K28" s="365"/>
    </row>
    <row r="29" spans="2:11" x14ac:dyDescent="0.25">
      <c r="B29" s="764" t="str">
        <f>'Análisis de Costos de Operación'!A28</f>
        <v>Provisión para cuentas malas</v>
      </c>
      <c r="C29" s="364">
        <f>+'Análisis de Costos de Operación'!K28</f>
        <v>2.869302929182165E-3</v>
      </c>
      <c r="D29" s="364">
        <f>'Análisis de Costos de Operación'!$M28</f>
        <v>3.045993570935204E-4</v>
      </c>
      <c r="E29" s="364">
        <f>'Análisis de Costos de Operación'!$M28</f>
        <v>3.045993570935204E-4</v>
      </c>
      <c r="F29" s="364">
        <f>'Análisis de Costos de Operación'!$M28</f>
        <v>3.045993570935204E-4</v>
      </c>
      <c r="G29" s="364">
        <f>'Análisis de Costos de Operación'!$M28</f>
        <v>3.045993570935204E-4</v>
      </c>
      <c r="H29" s="365"/>
      <c r="I29" s="365"/>
      <c r="J29" s="365"/>
      <c r="K29" s="365"/>
    </row>
    <row r="30" spans="2:11" x14ac:dyDescent="0.25">
      <c r="B30" s="764" t="str">
        <f>'Análisis de Costos de Operación'!A29</f>
        <v>Anuncios y propagandas</v>
      </c>
      <c r="C30" s="364">
        <f>+'Análisis de Costos de Operación'!K29</f>
        <v>1.1388117300593182E-2</v>
      </c>
      <c r="D30" s="364">
        <f>'Análisis de Costos de Operación'!$M29</f>
        <v>2.7337694139791821E-3</v>
      </c>
      <c r="E30" s="364">
        <f>'Análisis de Costos de Operación'!$M29</f>
        <v>2.7337694139791821E-3</v>
      </c>
      <c r="F30" s="364">
        <f>'Análisis de Costos de Operación'!$M29</f>
        <v>2.7337694139791821E-3</v>
      </c>
      <c r="G30" s="364">
        <f>'Análisis de Costos de Operación'!$M29</f>
        <v>2.7337694139791821E-3</v>
      </c>
      <c r="H30" s="805" t="s">
        <v>477</v>
      </c>
      <c r="I30" s="805"/>
      <c r="J30" s="805"/>
      <c r="K30" s="805"/>
    </row>
    <row r="31" spans="2:11" x14ac:dyDescent="0.25">
      <c r="B31" s="764" t="str">
        <f>'Análisis de Costos de Operación'!A30</f>
        <v>Honorarios profesionales</v>
      </c>
      <c r="C31" s="364">
        <f>+'Análisis de Costos de Operación'!K30</f>
        <v>2.4140326120204564E-3</v>
      </c>
      <c r="D31" s="364">
        <f>'Análisis de Costos de Operación'!$M30</f>
        <v>2.4140326120204564E-3</v>
      </c>
      <c r="E31" s="364">
        <f>'Análisis de Costos de Operación'!$M30</f>
        <v>2.4140326120204564E-3</v>
      </c>
      <c r="F31" s="364">
        <f>'Análisis de Costos de Operación'!$M30</f>
        <v>2.4140326120204564E-3</v>
      </c>
      <c r="G31" s="364">
        <f>'Análisis de Costos de Operación'!$M30</f>
        <v>2.4140326120204564E-3</v>
      </c>
      <c r="H31" s="805"/>
      <c r="I31" s="805"/>
      <c r="J31" s="805"/>
      <c r="K31" s="805"/>
    </row>
    <row r="32" spans="2:11" x14ac:dyDescent="0.25">
      <c r="B32" s="764" t="str">
        <f>'Análisis de Costos de Operación'!A31</f>
        <v>Telecomunicaciones</v>
      </c>
      <c r="C32" s="364">
        <f>+'Análisis de Costos de Operación'!K31</f>
        <v>2.3335100724480341E-3</v>
      </c>
      <c r="D32" s="364">
        <f>'Análisis de Costos de Operación'!$M31</f>
        <v>2.2715890773530273E-3</v>
      </c>
      <c r="E32" s="364">
        <f>'Análisis de Costos de Operación'!$M31</f>
        <v>2.2715890773530273E-3</v>
      </c>
      <c r="F32" s="364">
        <f>'Análisis de Costos de Operación'!$M31</f>
        <v>2.2715890773530273E-3</v>
      </c>
      <c r="G32" s="364">
        <f>'Análisis de Costos de Operación'!$M31</f>
        <v>2.2715890773530273E-3</v>
      </c>
      <c r="H32" s="805"/>
      <c r="I32" s="805"/>
      <c r="J32" s="805"/>
      <c r="K32" s="805"/>
    </row>
    <row r="33" spans="2:11" x14ac:dyDescent="0.25">
      <c r="B33" s="764" t="str">
        <f>'Análisis de Costos de Operación'!A32</f>
        <v>Impuestos generales</v>
      </c>
      <c r="C33" s="364">
        <f>+'Análisis de Costos de Operación'!K32</f>
        <v>2.7648726925880046E-3</v>
      </c>
      <c r="D33" s="364">
        <f>'Análisis de Costos de Operación'!$M32</f>
        <v>2.2406953064493056E-3</v>
      </c>
      <c r="E33" s="364">
        <f>'Análisis de Costos de Operación'!$M32</f>
        <v>2.2406953064493056E-3</v>
      </c>
      <c r="F33" s="364">
        <f>'Análisis de Costos de Operación'!$M32</f>
        <v>2.2406953064493056E-3</v>
      </c>
      <c r="G33" s="364">
        <f>'Análisis de Costos de Operación'!$M32</f>
        <v>2.2406953064493056E-3</v>
      </c>
      <c r="H33" s="365"/>
      <c r="I33" s="365"/>
      <c r="J33" s="365"/>
      <c r="K33" s="365"/>
    </row>
    <row r="34" spans="2:11" x14ac:dyDescent="0.25">
      <c r="B34" s="764" t="str">
        <f>'Análisis de Costos de Operación'!A33</f>
        <v>Misceláneos</v>
      </c>
      <c r="C34" s="364">
        <f>+'Análisis de Costos de Operación'!K33</f>
        <v>2.6185186467267453E-3</v>
      </c>
      <c r="D34" s="364">
        <f>'Análisis de Costos de Operación'!$M33</f>
        <v>1.5690208777791718E-3</v>
      </c>
      <c r="E34" s="364">
        <f>'Análisis de Costos de Operación'!$M33</f>
        <v>1.5690208777791718E-3</v>
      </c>
      <c r="F34" s="364">
        <f>'Análisis de Costos de Operación'!$M33</f>
        <v>1.5690208777791718E-3</v>
      </c>
      <c r="G34" s="364">
        <f>'Análisis de Costos de Operación'!$M33</f>
        <v>1.5690208777791718E-3</v>
      </c>
      <c r="H34" s="365"/>
      <c r="I34" s="365"/>
      <c r="J34" s="365"/>
      <c r="K34" s="365"/>
    </row>
    <row r="35" spans="2:11" x14ac:dyDescent="0.25">
      <c r="B35" s="764" t="str">
        <f>'Análisis de Costos de Operación'!A34</f>
        <v>Aseo y limpieza</v>
      </c>
      <c r="C35" s="364">
        <f>+'Análisis de Costos de Operación'!K34</f>
        <v>1.4394304754182729E-3</v>
      </c>
      <c r="D35" s="364">
        <f>'Análisis de Costos de Operación'!$M34</f>
        <v>1.3044630490502938E-3</v>
      </c>
      <c r="E35" s="364">
        <f>'Análisis de Costos de Operación'!$M34</f>
        <v>1.3044630490502938E-3</v>
      </c>
      <c r="F35" s="364">
        <f>'Análisis de Costos de Operación'!$M34</f>
        <v>1.3044630490502938E-3</v>
      </c>
      <c r="G35" s="364">
        <f>'Análisis de Costos de Operación'!$M34</f>
        <v>1.3044630490502938E-3</v>
      </c>
      <c r="H35" s="365"/>
      <c r="I35" s="365"/>
      <c r="J35" s="365"/>
      <c r="K35" s="365"/>
    </row>
    <row r="36" spans="2:11" x14ac:dyDescent="0.25">
      <c r="B36" s="764" t="str">
        <f>'Análisis de Costos de Operación'!A35</f>
        <v>Seguros</v>
      </c>
      <c r="C36" s="364">
        <f>+'Análisis de Costos de Operación'!K35</f>
        <v>1.5119374254022328E-3</v>
      </c>
      <c r="D36" s="364">
        <f>'Análisis de Costos de Operación'!$M35</f>
        <v>1.2456929851958586E-3</v>
      </c>
      <c r="E36" s="364">
        <f>'Análisis de Costos de Operación'!$M35</f>
        <v>1.2456929851958586E-3</v>
      </c>
      <c r="F36" s="364">
        <f>'Análisis de Costos de Operación'!$M35</f>
        <v>1.2456929851958586E-3</v>
      </c>
      <c r="G36" s="364">
        <f>'Análisis de Costos de Operación'!$M35</f>
        <v>1.2456929851958586E-3</v>
      </c>
      <c r="H36" s="365"/>
      <c r="I36" s="365"/>
      <c r="J36" s="365"/>
      <c r="K36" s="365"/>
    </row>
    <row r="37" spans="2:11" x14ac:dyDescent="0.25">
      <c r="B37" s="764" t="str">
        <f>'Análisis de Costos de Operación'!A36</f>
        <v>Provisión para productos obsoletos</v>
      </c>
      <c r="C37" s="364">
        <f>+'Análisis de Costos de Operación'!K36</f>
        <v>7.4963715549937844E-3</v>
      </c>
      <c r="D37" s="364">
        <f>'Análisis de Costos de Operación'!$M36</f>
        <v>8.2282118331691357E-4</v>
      </c>
      <c r="E37" s="364">
        <f>'Análisis de Costos de Operación'!$M36</f>
        <v>8.2282118331691357E-4</v>
      </c>
      <c r="F37" s="364">
        <f>'Análisis de Costos de Operación'!$M36</f>
        <v>8.2282118331691357E-4</v>
      </c>
      <c r="G37" s="364">
        <f>'Análisis de Costos de Operación'!$M36</f>
        <v>8.2282118331691357E-4</v>
      </c>
      <c r="H37" s="365"/>
      <c r="I37" s="365"/>
      <c r="J37" s="365"/>
      <c r="K37" s="365"/>
    </row>
    <row r="38" spans="2:11" x14ac:dyDescent="0.25">
      <c r="B38" s="764" t="str">
        <f>'Análisis de Costos de Operación'!A37</f>
        <v>Uniformes</v>
      </c>
      <c r="C38" s="364">
        <f>+'Análisis de Costos de Operación'!K37</f>
        <v>4.7604257850846464E-4</v>
      </c>
      <c r="D38" s="364">
        <f>'Análisis de Costos de Operación'!$M37</f>
        <v>4.7604257850846464E-4</v>
      </c>
      <c r="E38" s="364">
        <f>'Análisis de Costos de Operación'!$M37</f>
        <v>4.7604257850846464E-4</v>
      </c>
      <c r="F38" s="364">
        <f>'Análisis de Costos de Operación'!$M37</f>
        <v>4.7604257850846464E-4</v>
      </c>
      <c r="G38" s="364">
        <f>'Análisis de Costos de Operación'!$M37</f>
        <v>4.7604257850846464E-4</v>
      </c>
      <c r="H38" s="365"/>
      <c r="I38" s="365"/>
      <c r="J38" s="365"/>
      <c r="K38" s="365"/>
    </row>
    <row r="39" spans="2:11" x14ac:dyDescent="0.25">
      <c r="B39" s="764" t="str">
        <f>'Análisis de Costos de Operación'!A38</f>
        <v>Gastos no deducibles</v>
      </c>
      <c r="C39" s="364">
        <f>+'Análisis de Costos de Operación'!K38</f>
        <v>4.6812813200629224E-4</v>
      </c>
      <c r="D39" s="364">
        <f>'Análisis de Costos de Operación'!$M38</f>
        <v>2.39456621701494E-4</v>
      </c>
      <c r="E39" s="364">
        <f>'Análisis de Costos de Operación'!$M38</f>
        <v>2.39456621701494E-4</v>
      </c>
      <c r="F39" s="364">
        <f>'Análisis de Costos de Operación'!$M38</f>
        <v>2.39456621701494E-4</v>
      </c>
      <c r="G39" s="364">
        <f>'Análisis de Costos de Operación'!$M38</f>
        <v>2.39456621701494E-4</v>
      </c>
      <c r="H39" s="365"/>
      <c r="I39" s="365"/>
      <c r="J39" s="365"/>
      <c r="K39" s="365"/>
    </row>
    <row r="40" spans="2:11" x14ac:dyDescent="0.25">
      <c r="B40" s="764" t="str">
        <f>'Análisis de Costos de Operación'!A39</f>
        <v>Dietas</v>
      </c>
      <c r="C40" s="364">
        <f>+'Análisis de Costos de Operación'!K39</f>
        <v>1.4539318654150648E-4</v>
      </c>
      <c r="D40" s="364">
        <f>'Análisis de Costos de Operación'!$M39</f>
        <v>1.2238198918950938E-4</v>
      </c>
      <c r="E40" s="364">
        <f>'Análisis de Costos de Operación'!$M39</f>
        <v>1.2238198918950938E-4</v>
      </c>
      <c r="F40" s="364">
        <f>'Análisis de Costos de Operación'!$M39</f>
        <v>1.2238198918950938E-4</v>
      </c>
      <c r="G40" s="364">
        <f>'Análisis de Costos de Operación'!$M39</f>
        <v>1.2238198918950938E-4</v>
      </c>
      <c r="H40" s="365"/>
      <c r="I40" s="365"/>
      <c r="J40" s="365"/>
      <c r="K40" s="365"/>
    </row>
    <row r="41" spans="2:11" x14ac:dyDescent="0.25">
      <c r="B41" s="764" t="str">
        <f>'Análisis de Costos de Operación'!A40</f>
        <v>Donaciones</v>
      </c>
      <c r="C41" s="364">
        <f>+'Análisis de Costos de Operación'!K40</f>
        <v>2.5816772775457064E-5</v>
      </c>
      <c r="D41" s="364">
        <f>'Análisis de Costos de Operación'!$M40</f>
        <v>2.5816772775457064E-5</v>
      </c>
      <c r="E41" s="364">
        <f>'Análisis de Costos de Operación'!$M40</f>
        <v>2.5816772775457064E-5</v>
      </c>
      <c r="F41" s="364">
        <f>'Análisis de Costos de Operación'!$M40</f>
        <v>2.5816772775457064E-5</v>
      </c>
      <c r="G41" s="364">
        <f>'Análisis de Costos de Operación'!$M40</f>
        <v>2.5816772775457064E-5</v>
      </c>
      <c r="H41" s="365"/>
      <c r="I41" s="365"/>
      <c r="J41" s="365"/>
      <c r="K41" s="365"/>
    </row>
    <row r="42" spans="2:11" x14ac:dyDescent="0.25">
      <c r="B42" s="757"/>
      <c r="C42" s="758"/>
      <c r="D42" s="758"/>
      <c r="E42" s="758"/>
      <c r="F42" s="758"/>
      <c r="G42" s="758"/>
      <c r="H42" s="759"/>
      <c r="I42" s="759"/>
      <c r="J42" s="759"/>
      <c r="K42" s="759"/>
    </row>
    <row r="43" spans="2:11" x14ac:dyDescent="0.25">
      <c r="B43" s="760" t="str">
        <f>'Análisis de Costos de Operación'!A43</f>
        <v>Gasto de Depreciación y Amortización</v>
      </c>
      <c r="C43" s="758"/>
      <c r="D43" s="758"/>
      <c r="E43" s="758"/>
      <c r="F43" s="758"/>
      <c r="G43" s="758"/>
      <c r="H43" s="759"/>
      <c r="I43" s="759"/>
      <c r="J43" s="759"/>
      <c r="K43" s="759"/>
    </row>
    <row r="44" spans="2:11" ht="14.45" customHeight="1" x14ac:dyDescent="0.25">
      <c r="B44" s="763" t="str">
        <f>'Análisis de Costos de Operación'!A44</f>
        <v>Gasto de Depreciación</v>
      </c>
      <c r="C44" s="361">
        <f>+'Análisis de Costos de Operación'!K44</f>
        <v>9.6257748793091152E-3</v>
      </c>
      <c r="D44" s="361">
        <f>+'Análisis de Costos de Operación'!$L$44</f>
        <v>1.1783113000781591E-2</v>
      </c>
      <c r="E44" s="361">
        <f>+'Análisis de Costos de Operación'!$L$44</f>
        <v>1.1783113000781591E-2</v>
      </c>
      <c r="F44" s="361">
        <f>+'Análisis de Costos de Operación'!$L$44</f>
        <v>1.1783113000781591E-2</v>
      </c>
      <c r="G44" s="361">
        <f>+'Análisis de Costos de Operación'!$L$44</f>
        <v>1.1783113000781591E-2</v>
      </c>
      <c r="H44" s="802" t="s">
        <v>476</v>
      </c>
      <c r="I44" s="802"/>
      <c r="J44" s="802"/>
      <c r="K44" s="802"/>
    </row>
    <row r="45" spans="2:11" x14ac:dyDescent="0.25">
      <c r="B45" s="763" t="str">
        <f>'Análisis de Costos de Operación'!A45</f>
        <v>Amortización intangibles</v>
      </c>
      <c r="C45" s="361">
        <f>+'Análisis de Costos de Operación'!K45</f>
        <v>1.1112211604080548E-3</v>
      </c>
      <c r="D45" s="361">
        <f>+'Análisis de Costos de Operación'!$L$45</f>
        <v>6.0638269604772492E-4</v>
      </c>
      <c r="E45" s="361">
        <f>+'Análisis de Costos de Operación'!$L$45</f>
        <v>6.0638269604772492E-4</v>
      </c>
      <c r="F45" s="361">
        <f>+'Análisis de Costos de Operación'!$L$45</f>
        <v>6.0638269604772492E-4</v>
      </c>
      <c r="G45" s="361">
        <f>+'Análisis de Costos de Operación'!$L$45</f>
        <v>6.0638269604772492E-4</v>
      </c>
      <c r="H45" s="802"/>
      <c r="I45" s="802"/>
      <c r="J45" s="802"/>
      <c r="K45" s="802"/>
    </row>
    <row r="46" spans="2:11" x14ac:dyDescent="0.25">
      <c r="B46" s="757"/>
      <c r="C46" s="306"/>
      <c r="D46" s="306"/>
      <c r="E46" s="306"/>
      <c r="F46" s="306"/>
      <c r="G46" s="306"/>
      <c r="H46" s="759"/>
      <c r="I46" s="759"/>
      <c r="J46" s="759"/>
      <c r="K46" s="759"/>
    </row>
    <row r="47" spans="2:11" x14ac:dyDescent="0.25">
      <c r="B47" s="760" t="str">
        <f>'Análisis de Costos de Operación'!A48</f>
        <v>Gasto Financiero</v>
      </c>
      <c r="C47" s="758"/>
      <c r="D47" s="758"/>
      <c r="E47" s="758"/>
      <c r="F47" s="758"/>
      <c r="G47" s="758"/>
      <c r="H47" s="759"/>
      <c r="I47" s="759"/>
      <c r="J47" s="759"/>
      <c r="K47" s="759"/>
    </row>
    <row r="48" spans="2:11" x14ac:dyDescent="0.25">
      <c r="B48" s="763" t="str">
        <f>'Análisis de Costos de Operación'!A49</f>
        <v>Costos Financieros</v>
      </c>
      <c r="C48" s="362">
        <f>+'Análisis de Costos de Operación'!K49</f>
        <v>1.1391012521438225E-2</v>
      </c>
      <c r="D48" s="362">
        <f>'Análisis de Costos de Operación'!$L49</f>
        <v>1.1079431534011502E-2</v>
      </c>
      <c r="E48" s="362">
        <f>'Análisis de Costos de Operación'!$L49</f>
        <v>1.1079431534011502E-2</v>
      </c>
      <c r="F48" s="362">
        <f>'Análisis de Costos de Operación'!$L49</f>
        <v>1.1079431534011502E-2</v>
      </c>
      <c r="G48" s="362">
        <f>'Análisis de Costos de Operación'!$L49</f>
        <v>1.1079431534011502E-2</v>
      </c>
      <c r="H48" s="802" t="s">
        <v>476</v>
      </c>
      <c r="I48" s="802"/>
      <c r="J48" s="802"/>
      <c r="K48" s="802"/>
    </row>
    <row r="49" spans="2:11" x14ac:dyDescent="0.25">
      <c r="B49" s="757"/>
      <c r="C49" s="765">
        <f>+'Análisis de Costos de Operación'!K50</f>
        <v>1.1391012521438225E-2</v>
      </c>
      <c r="D49" s="758"/>
      <c r="E49" s="758"/>
      <c r="F49" s="758"/>
      <c r="G49" s="758"/>
      <c r="H49" s="761"/>
      <c r="I49" s="761"/>
      <c r="J49" s="761"/>
      <c r="K49" s="761"/>
    </row>
    <row r="50" spans="2:11" x14ac:dyDescent="0.25">
      <c r="B50" s="367" t="s">
        <v>331</v>
      </c>
      <c r="C50" s="362">
        <f>+'Análisis de Costos de Operación'!K53</f>
        <v>1.0424321417759053</v>
      </c>
      <c r="D50" s="362">
        <f>'Análisis de Costos de Operación'!$L53</f>
        <v>1.0193171909690051</v>
      </c>
      <c r="E50" s="362">
        <f>'Análisis de Costos de Operación'!$L53</f>
        <v>1.0193171909690051</v>
      </c>
      <c r="F50" s="362">
        <f>'Análisis de Costos de Operación'!$L53</f>
        <v>1.0193171909690051</v>
      </c>
      <c r="G50" s="362">
        <f>'Análisis de Costos de Operación'!$L53</f>
        <v>1.0193171909690051</v>
      </c>
      <c r="H50" s="802" t="s">
        <v>476</v>
      </c>
      <c r="I50" s="802"/>
      <c r="J50" s="802"/>
      <c r="K50" s="802"/>
    </row>
    <row r="51" spans="2:11" x14ac:dyDescent="0.25">
      <c r="B51" s="236"/>
      <c r="C51" s="366"/>
      <c r="D51" s="366"/>
      <c r="E51" s="366"/>
      <c r="F51" s="366"/>
      <c r="G51" s="366"/>
      <c r="H51" s="236"/>
      <c r="I51" s="236"/>
      <c r="J51" s="236"/>
      <c r="K51" s="236"/>
    </row>
    <row r="52" spans="2:11" ht="14.45" customHeight="1" x14ac:dyDescent="0.25">
      <c r="B52" s="368" t="s">
        <v>48</v>
      </c>
      <c r="C52" s="711">
        <f>+'Análisis de Costos de Operación'!K57</f>
        <v>7.1748376836786888E-4</v>
      </c>
      <c r="D52" s="711">
        <v>0</v>
      </c>
      <c r="E52" s="711">
        <v>0</v>
      </c>
      <c r="F52" s="711">
        <v>0</v>
      </c>
      <c r="G52" s="711">
        <v>0</v>
      </c>
      <c r="H52" s="804" t="s">
        <v>479</v>
      </c>
      <c r="I52" s="804"/>
      <c r="J52" s="804"/>
      <c r="K52" s="804"/>
    </row>
    <row r="53" spans="2:11" x14ac:dyDescent="0.25">
      <c r="B53" s="358"/>
      <c r="C53" s="358"/>
      <c r="D53" s="358"/>
      <c r="E53" s="358"/>
      <c r="F53" s="358"/>
      <c r="G53" s="358"/>
      <c r="H53" s="804"/>
      <c r="I53" s="804"/>
      <c r="J53" s="804"/>
      <c r="K53" s="804"/>
    </row>
    <row r="55" spans="2:11" x14ac:dyDescent="0.25">
      <c r="B55" s="1" t="s">
        <v>519</v>
      </c>
      <c r="C55" s="188">
        <v>2017</v>
      </c>
      <c r="D55" s="188">
        <f>C55+1</f>
        <v>2018</v>
      </c>
      <c r="E55" s="188">
        <f t="shared" ref="E55" si="2">D55+1</f>
        <v>2019</v>
      </c>
      <c r="F55" s="188">
        <f t="shared" ref="F55" si="3">E55+1</f>
        <v>2020</v>
      </c>
      <c r="G55" s="188">
        <f t="shared" ref="G55" si="4">F55+1</f>
        <v>2021</v>
      </c>
    </row>
    <row r="56" spans="2:11" x14ac:dyDescent="0.25">
      <c r="B56" s="369" t="s">
        <v>381</v>
      </c>
      <c r="C56" s="359">
        <f>'Inversión en Reposición'!$F$18</f>
        <v>8.5227697085006257E-2</v>
      </c>
      <c r="D56" s="359">
        <f>'Inversión en Reposición'!$F$18</f>
        <v>8.5227697085006257E-2</v>
      </c>
      <c r="E56" s="359">
        <f>'Inversión en Reposición'!$F$18</f>
        <v>8.5227697085006257E-2</v>
      </c>
      <c r="F56" s="359">
        <f>'Inversión en Reposición'!$F$18</f>
        <v>8.5227697085006257E-2</v>
      </c>
      <c r="G56" s="359">
        <f>'Inversión en Reposición'!$F$18</f>
        <v>8.5227697085006257E-2</v>
      </c>
      <c r="H56" s="800" t="s">
        <v>480</v>
      </c>
      <c r="I56" s="800"/>
      <c r="J56" s="800"/>
      <c r="K56" s="800"/>
    </row>
    <row r="57" spans="2:11" x14ac:dyDescent="0.25">
      <c r="B57" s="369" t="s">
        <v>383</v>
      </c>
      <c r="C57" s="370">
        <f>'Inversiones en Activo Fijo'!$F$18</f>
        <v>2.4892060893481865E-2</v>
      </c>
      <c r="D57" s="370">
        <f>'Inversiones en Activo Fijo'!$F$18</f>
        <v>2.4892060893481865E-2</v>
      </c>
      <c r="E57" s="370">
        <f>'Inversiones en Activo Fijo'!$F$18</f>
        <v>2.4892060893481865E-2</v>
      </c>
      <c r="F57" s="370">
        <f>'Inversiones en Activo Fijo'!$F$18</f>
        <v>2.4892060893481865E-2</v>
      </c>
      <c r="G57" s="370">
        <f>'Inversiones en Activo Fijo'!$F$18</f>
        <v>2.4892060893481865E-2</v>
      </c>
      <c r="H57" s="800"/>
      <c r="I57" s="800"/>
      <c r="J57" s="800"/>
      <c r="K57" s="800"/>
    </row>
    <row r="58" spans="2:11" x14ac:dyDescent="0.25">
      <c r="B58" s="360" t="s">
        <v>389</v>
      </c>
      <c r="C58" s="363">
        <f>'Inversión en Capital de Trabajo'!$F$16</f>
        <v>9.7594456062828724E-2</v>
      </c>
      <c r="D58" s="363">
        <f>'Inversión en Capital de Trabajo'!$F$16</f>
        <v>9.7594456062828724E-2</v>
      </c>
      <c r="E58" s="363">
        <f>'Inversión en Capital de Trabajo'!$F$16</f>
        <v>9.7594456062828724E-2</v>
      </c>
      <c r="F58" s="363">
        <f>'Inversión en Capital de Trabajo'!$F$16</f>
        <v>9.7594456062828724E-2</v>
      </c>
      <c r="G58" s="363">
        <f>'Inversión en Capital de Trabajo'!$F$16</f>
        <v>9.7594456062828724E-2</v>
      </c>
      <c r="H58" s="800"/>
      <c r="I58" s="800"/>
      <c r="J58" s="800"/>
      <c r="K58" s="800"/>
    </row>
    <row r="61" spans="2:11" ht="15.75" thickBot="1" x14ac:dyDescent="0.3"/>
    <row r="62" spans="2:11" ht="15.75" thickBot="1" x14ac:dyDescent="0.3">
      <c r="B62" s="654" t="s">
        <v>522</v>
      </c>
      <c r="C62" s="655" t="s">
        <v>108</v>
      </c>
      <c r="D62" s="798" t="s">
        <v>520</v>
      </c>
      <c r="E62" s="799"/>
    </row>
    <row r="63" spans="2:11" x14ac:dyDescent="0.25">
      <c r="B63" s="650" t="s">
        <v>523</v>
      </c>
      <c r="C63" s="651">
        <f>'Inversión en Reposición'!$F$18</f>
        <v>8.5227697085006257E-2</v>
      </c>
      <c r="D63" s="797" t="s">
        <v>280</v>
      </c>
      <c r="E63" s="797"/>
    </row>
    <row r="64" spans="2:11" x14ac:dyDescent="0.25">
      <c r="B64" s="650" t="s">
        <v>524</v>
      </c>
      <c r="C64" s="652">
        <f>'Inversiones en Activo Fijo'!$F$18</f>
        <v>2.4892060893481865E-2</v>
      </c>
      <c r="D64" s="766" t="s">
        <v>521</v>
      </c>
      <c r="E64" s="766"/>
    </row>
    <row r="65" spans="2:5" x14ac:dyDescent="0.25">
      <c r="B65" s="649" t="s">
        <v>287</v>
      </c>
      <c r="C65" s="653">
        <f>'Inversión en Capital de Trabajo'!$F$16</f>
        <v>9.7594456062828724E-2</v>
      </c>
      <c r="D65" s="766" t="s">
        <v>521</v>
      </c>
      <c r="E65" s="766"/>
    </row>
  </sheetData>
  <mergeCells count="13">
    <mergeCell ref="D63:E63"/>
    <mergeCell ref="D62:E62"/>
    <mergeCell ref="H56:K58"/>
    <mergeCell ref="C1:K4"/>
    <mergeCell ref="H50:K50"/>
    <mergeCell ref="H7:K8"/>
    <mergeCell ref="H52:K53"/>
    <mergeCell ref="H30:K32"/>
    <mergeCell ref="H48:K48"/>
    <mergeCell ref="H44:K45"/>
    <mergeCell ref="H17:K19"/>
    <mergeCell ref="H11:K11"/>
    <mergeCell ref="H12:K14"/>
  </mergeCells>
  <pageMargins left="0.7" right="0.7" top="0.75" bottom="0.75" header="0.3" footer="0.3"/>
  <pageSetup orientation="portrait" horizontalDpi="4294967293" verticalDpi="0"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D40DA-0D29-44C2-A72C-2678FFDD84E8}">
  <sheetPr>
    <tabColor theme="1"/>
  </sheetPr>
  <dimension ref="A1:M71"/>
  <sheetViews>
    <sheetView showGridLines="0" zoomScale="80" zoomScaleNormal="80" workbookViewId="0">
      <pane xSplit="1" ySplit="6" topLeftCell="B48" activePane="bottomRight" state="frozen"/>
      <selection pane="topRight" activeCell="B1" sqref="B1"/>
      <selection pane="bottomLeft" activeCell="A7" sqref="A7"/>
      <selection pane="bottomRight" activeCell="G61" sqref="G61"/>
    </sheetView>
  </sheetViews>
  <sheetFormatPr defaultRowHeight="15" x14ac:dyDescent="0.25"/>
  <cols>
    <col min="1" max="1" width="41.7109375" style="161" customWidth="1"/>
    <col min="2" max="6" width="15.5703125" customWidth="1"/>
    <col min="7" max="11" width="16.7109375" style="27" customWidth="1"/>
    <col min="12" max="12" width="15.85546875" style="161" customWidth="1"/>
    <col min="13" max="13" width="12.85546875" style="161" customWidth="1"/>
  </cols>
  <sheetData>
    <row r="1" spans="1:13" x14ac:dyDescent="0.25">
      <c r="A1" s="460" t="s">
        <v>0</v>
      </c>
      <c r="B1" s="5"/>
      <c r="C1" s="5"/>
      <c r="D1" s="5"/>
      <c r="E1" s="5"/>
      <c r="F1" s="5"/>
    </row>
    <row r="2" spans="1:13" x14ac:dyDescent="0.25">
      <c r="A2" s="164" t="s">
        <v>338</v>
      </c>
      <c r="B2" s="1"/>
      <c r="C2" s="1"/>
      <c r="D2" s="1"/>
      <c r="E2" s="1"/>
      <c r="F2" s="1"/>
    </row>
    <row r="3" spans="1:13" x14ac:dyDescent="0.25">
      <c r="A3" s="164" t="s">
        <v>633</v>
      </c>
      <c r="B3" s="238"/>
      <c r="C3" s="238"/>
      <c r="D3" s="238"/>
      <c r="E3" s="238"/>
      <c r="F3" s="238"/>
      <c r="G3" s="238"/>
      <c r="H3" s="238"/>
      <c r="I3" s="238"/>
      <c r="J3" s="238"/>
      <c r="K3" s="238"/>
    </row>
    <row r="4" spans="1:13" x14ac:dyDescent="0.25">
      <c r="B4" s="71"/>
      <c r="C4" s="71"/>
      <c r="D4" s="71"/>
      <c r="E4" s="71"/>
      <c r="F4" s="807">
        <v>2017</v>
      </c>
      <c r="G4" s="808"/>
      <c r="H4" s="71"/>
      <c r="I4" s="71"/>
      <c r="J4" s="195"/>
      <c r="K4" s="71"/>
    </row>
    <row r="5" spans="1:13" x14ac:dyDescent="0.25">
      <c r="B5" s="809" t="s">
        <v>328</v>
      </c>
      <c r="C5" s="809"/>
      <c r="D5" s="809"/>
      <c r="E5" s="809"/>
      <c r="F5" s="724"/>
      <c r="G5" s="726"/>
      <c r="H5" s="725"/>
      <c r="I5" s="725" t="s">
        <v>329</v>
      </c>
      <c r="J5" s="725"/>
      <c r="K5" s="725"/>
    </row>
    <row r="6" spans="1:13" s="27" customFormat="1" x14ac:dyDescent="0.25">
      <c r="A6" s="355"/>
      <c r="B6" s="205">
        <f>C6-1</f>
        <v>2013</v>
      </c>
      <c r="C6" s="205">
        <f>D6-1</f>
        <v>2014</v>
      </c>
      <c r="D6" s="205">
        <v>2015</v>
      </c>
      <c r="E6" s="224">
        <f>D6+1</f>
        <v>2016</v>
      </c>
      <c r="F6" s="708" t="s">
        <v>651</v>
      </c>
      <c r="G6" s="727" t="s">
        <v>650</v>
      </c>
      <c r="H6" s="198">
        <v>2018</v>
      </c>
      <c r="I6" s="198">
        <f t="shared" ref="I6:K6" si="0">H6+1</f>
        <v>2019</v>
      </c>
      <c r="J6" s="198">
        <f t="shared" si="0"/>
        <v>2020</v>
      </c>
      <c r="K6" s="198">
        <f t="shared" si="0"/>
        <v>2021</v>
      </c>
      <c r="L6" s="770" t="s">
        <v>327</v>
      </c>
      <c r="M6" s="770"/>
    </row>
    <row r="7" spans="1:13" x14ac:dyDescent="0.25">
      <c r="A7" s="161" t="s">
        <v>320</v>
      </c>
      <c r="B7" s="206">
        <f>'Estado de Resultados'!B6</f>
        <v>109918725</v>
      </c>
      <c r="C7" s="206">
        <f>'Estado de Resultados'!D6</f>
        <v>119938060</v>
      </c>
      <c r="D7" s="206">
        <f>'Estado de Resultados'!F6</f>
        <v>125429816</v>
      </c>
      <c r="E7" s="207">
        <f>'Estado de Resultados'!H6</f>
        <v>106224781</v>
      </c>
      <c r="F7" s="207">
        <f>'Estado de Resultados'!J6</f>
        <v>79095866</v>
      </c>
      <c r="G7" s="728">
        <f>'Estado de Resultados'!H6*(1+Supuestos!C7)</f>
        <v>109730198.77299999</v>
      </c>
      <c r="H7" s="216">
        <f>G7*(1+Supuestos!D7)</f>
        <v>113532350.16048445</v>
      </c>
      <c r="I7" s="216">
        <f>H7*(1+Supuestos!E7)</f>
        <v>117662940.89019828</v>
      </c>
      <c r="J7" s="216">
        <f>I7*(1+Supuestos!F7)</f>
        <v>122157856.43448278</v>
      </c>
      <c r="K7" s="216">
        <f>J7*(1+Supuestos!G7)</f>
        <v>127057816.48791243</v>
      </c>
    </row>
    <row r="8" spans="1:13" x14ac:dyDescent="0.25">
      <c r="A8" s="161" t="s">
        <v>321</v>
      </c>
      <c r="B8" s="209">
        <f>'Estado de Resultados'!B7</f>
        <v>397743</v>
      </c>
      <c r="C8" s="209">
        <f>'Estado de Resultados'!D7</f>
        <v>464871</v>
      </c>
      <c r="D8" s="209">
        <f>'Estado de Resultados'!F7</f>
        <v>164703</v>
      </c>
      <c r="E8" s="210">
        <f>'Estado de Resultados'!H7</f>
        <v>176442</v>
      </c>
      <c r="F8" s="210">
        <f>'Estado de Resultados'!J7</f>
        <v>408651</v>
      </c>
      <c r="G8" s="729">
        <f>+Supuestos!C8*'EERR Proyectado'!G7</f>
        <v>412022.37075</v>
      </c>
      <c r="H8" s="217">
        <f>G8*(1+Supuestos!D7)</f>
        <v>426298.94589648751</v>
      </c>
      <c r="I8" s="217">
        <f>H8*(1+Supuestos!E7)</f>
        <v>441808.76729556645</v>
      </c>
      <c r="J8" s="217">
        <f>I8*(1+Supuestos!F7)</f>
        <v>458686.58014550392</v>
      </c>
      <c r="K8" s="217">
        <f>J8*(1+Supuestos!G7)</f>
        <v>477085.28150911746</v>
      </c>
    </row>
    <row r="9" spans="1:13" x14ac:dyDescent="0.25">
      <c r="A9" s="461" t="s">
        <v>323</v>
      </c>
      <c r="B9" s="206">
        <f t="shared" ref="B9:E9" si="1">SUM(B7:B8)</f>
        <v>110316468</v>
      </c>
      <c r="C9" s="206">
        <f t="shared" si="1"/>
        <v>120402931</v>
      </c>
      <c r="D9" s="206">
        <f t="shared" si="1"/>
        <v>125594519</v>
      </c>
      <c r="E9" s="213">
        <f t="shared" si="1"/>
        <v>106401223</v>
      </c>
      <c r="F9" s="213">
        <f>SUM(F7:F8)</f>
        <v>79504517</v>
      </c>
      <c r="G9" s="730">
        <f>SUM(G7:G8)</f>
        <v>110142221.14374998</v>
      </c>
      <c r="H9" s="218">
        <f t="shared" ref="H9:J9" si="2">SUM(H7:H8)</f>
        <v>113958649.10638094</v>
      </c>
      <c r="I9" s="218">
        <f t="shared" si="2"/>
        <v>118104749.65749384</v>
      </c>
      <c r="J9" s="218">
        <f t="shared" si="2"/>
        <v>122616543.01462829</v>
      </c>
      <c r="K9" s="218">
        <f>SUM(K7:K8)</f>
        <v>127534901.76942155</v>
      </c>
    </row>
    <row r="10" spans="1:13" s="308" customFormat="1" x14ac:dyDescent="0.25">
      <c r="A10" s="340"/>
      <c r="B10" s="462"/>
      <c r="C10" s="462"/>
      <c r="D10" s="462"/>
      <c r="E10" s="463"/>
      <c r="F10" s="463"/>
      <c r="G10" s="731"/>
      <c r="H10" s="440"/>
      <c r="I10" s="440"/>
      <c r="J10" s="440"/>
      <c r="K10" s="440"/>
      <c r="L10" s="340"/>
      <c r="M10" s="340"/>
    </row>
    <row r="11" spans="1:13" s="308" customFormat="1" x14ac:dyDescent="0.25">
      <c r="A11" s="470" t="str">
        <f>'Análisis de Costos de Operación'!A7</f>
        <v>Costo de Venta</v>
      </c>
      <c r="B11" s="464"/>
      <c r="C11" s="464"/>
      <c r="D11" s="464"/>
      <c r="E11" s="465"/>
      <c r="F11" s="465"/>
      <c r="G11" s="732"/>
      <c r="H11" s="440"/>
      <c r="I11" s="440"/>
      <c r="J11" s="440"/>
      <c r="K11" s="440"/>
      <c r="L11" s="340"/>
      <c r="M11" s="340"/>
    </row>
    <row r="12" spans="1:13" x14ac:dyDescent="0.25">
      <c r="A12" s="161" t="str">
        <f>'Análisis de Costos de Operación'!A8</f>
        <v>Compra de mercancía</v>
      </c>
      <c r="B12" s="206">
        <f>'Análisis de Costos de Operación'!B8</f>
        <v>90537704</v>
      </c>
      <c r="C12" s="206">
        <f>'Análisis de Costos de Operación'!D8</f>
        <v>90891061</v>
      </c>
      <c r="D12" s="206">
        <f>'Análisis de Costos de Operación'!F8</f>
        <v>101078938</v>
      </c>
      <c r="E12" s="213">
        <f>'Análisis de Costos de Operación'!H8</f>
        <v>83263356</v>
      </c>
      <c r="F12" s="213">
        <f>'Análisis de Costos de Operación'!J8</f>
        <v>66110714</v>
      </c>
      <c r="G12" s="730">
        <f>G$7*Supuestos!C11</f>
        <v>91715814.682969049</v>
      </c>
      <c r="H12" s="203">
        <f>H$7*Supuestos!D11</f>
        <v>90985442.832002863</v>
      </c>
      <c r="I12" s="203">
        <f>I$7*Supuestos!E11</f>
        <v>94295720.705838218</v>
      </c>
      <c r="J12" s="203">
        <f>J$7*Supuestos!F11</f>
        <v>97897970.467347369</v>
      </c>
      <c r="K12" s="203">
        <f>K$7*Supuestos!G11</f>
        <v>101824825.10120478</v>
      </c>
    </row>
    <row r="13" spans="1:13" x14ac:dyDescent="0.25">
      <c r="A13" s="161" t="str">
        <f>'Estado de Resultados'!A8</f>
        <v>Cambios en el Inventario de Mercancía</v>
      </c>
      <c r="B13" s="206">
        <f>-'Estado de Resultados'!B8</f>
        <v>-2630509</v>
      </c>
      <c r="C13" s="206">
        <f>Activos!D9-Activos!B9</f>
        <v>4230620</v>
      </c>
      <c r="D13" s="206">
        <f>Activos!F9-Activos!D9</f>
        <v>-1395431</v>
      </c>
      <c r="E13" s="213">
        <f>Activos!H9-Activos!F9</f>
        <v>977417</v>
      </c>
      <c r="F13" s="213">
        <f>'Análisis de Costos de Operación'!J9</f>
        <v>-2671375</v>
      </c>
      <c r="G13" s="730">
        <f>G$7*Supuestos!C12</f>
        <v>-3706015.5551899876</v>
      </c>
      <c r="H13" s="203">
        <f>H$7*Supuestos!D12</f>
        <v>1044657.9563121001</v>
      </c>
      <c r="I13" s="203">
        <f>I$7*Supuestos!E12</f>
        <v>1082665.2244076252</v>
      </c>
      <c r="J13" s="203">
        <f>J$7*Supuestos!F12</f>
        <v>1124024.795310986</v>
      </c>
      <c r="K13" s="203">
        <f>K$7*Supuestos!G12</f>
        <v>1169111.3477182165</v>
      </c>
    </row>
    <row r="14" spans="1:13" x14ac:dyDescent="0.25">
      <c r="A14" s="161" t="str">
        <f>'Análisis de Costos de Operación'!A10</f>
        <v>Mercancía dañada</v>
      </c>
      <c r="B14" s="206">
        <f>'Análisis de Costos de Operación'!B10</f>
        <v>1013294.8697581631</v>
      </c>
      <c r="C14" s="206">
        <f>'Análisis de Costos de Operación'!D10</f>
        <v>1125275</v>
      </c>
      <c r="D14" s="206">
        <f>'Análisis de Costos de Operación'!F10</f>
        <v>823878</v>
      </c>
      <c r="E14" s="213">
        <f>'Análisis de Costos de Operación'!H10</f>
        <v>1476139</v>
      </c>
      <c r="F14" s="213">
        <f>'Análisis de Costos de Operación'!J10</f>
        <v>767266</v>
      </c>
      <c r="G14" s="730">
        <f>G$7*Supuestos!C13</f>
        <v>1064433.0095806094</v>
      </c>
      <c r="H14" s="203">
        <f>H$7*Supuestos!D13</f>
        <v>745730.23040645779</v>
      </c>
      <c r="I14" s="203">
        <f>I$7*Supuestos!E13</f>
        <v>772861.7605142208</v>
      </c>
      <c r="J14" s="203">
        <f>J$7*Supuestos!F13</f>
        <v>802386.33566622471</v>
      </c>
      <c r="K14" s="203">
        <f>K$7*Supuestos!G13</f>
        <v>834571.42066148226</v>
      </c>
    </row>
    <row r="15" spans="1:13" x14ac:dyDescent="0.25">
      <c r="A15" s="161" t="str">
        <f>'Análisis de Costos de Operación'!A11</f>
        <v>Faltantes en Inventario</v>
      </c>
      <c r="B15" s="209">
        <f>'Análisis de Costos de Operación'!B11</f>
        <v>472614.36173010041</v>
      </c>
      <c r="C15" s="209">
        <f>'Análisis de Costos de Operación'!D11</f>
        <v>604248</v>
      </c>
      <c r="D15" s="209">
        <f>'Análisis de Costos de Operación'!F11</f>
        <v>578398</v>
      </c>
      <c r="E15" s="210">
        <f>'Análisis de Costos de Operación'!H11</f>
        <v>513777</v>
      </c>
      <c r="F15" s="210">
        <f>'Análisis de Costos de Operación'!J11</f>
        <v>275984</v>
      </c>
      <c r="G15" s="733">
        <f>G$7*Supuestos!C14</f>
        <v>382874.36132461875</v>
      </c>
      <c r="H15" s="201">
        <f>H$7*Supuestos!D14</f>
        <v>396140.95794451685</v>
      </c>
      <c r="I15" s="201">
        <f>I$7*Supuestos!E14</f>
        <v>410553.55634693324</v>
      </c>
      <c r="J15" s="201">
        <f>J$7*Supuestos!F14</f>
        <v>426237.36934891512</v>
      </c>
      <c r="K15" s="201">
        <f>K$7*Supuestos!G14</f>
        <v>443334.47750101157</v>
      </c>
    </row>
    <row r="16" spans="1:13" x14ac:dyDescent="0.25">
      <c r="A16" s="461" t="str">
        <f>'Análisis de Costos de Operación'!A12</f>
        <v>Total Costo de Venta</v>
      </c>
      <c r="B16" s="206">
        <f t="shared" ref="B16:K16" si="3">SUM(B12:B15)</f>
        <v>89393104.231488258</v>
      </c>
      <c r="C16" s="206">
        <f t="shared" si="3"/>
        <v>96851204</v>
      </c>
      <c r="D16" s="206">
        <f t="shared" si="3"/>
        <v>101085783</v>
      </c>
      <c r="E16" s="213">
        <f t="shared" si="3"/>
        <v>86230689</v>
      </c>
      <c r="F16" s="213">
        <f>'Análisis de Costos de Operación'!J12</f>
        <v>64482589</v>
      </c>
      <c r="G16" s="730">
        <f t="shared" si="3"/>
        <v>89457106.498684302</v>
      </c>
      <c r="H16" s="218">
        <f t="shared" si="3"/>
        <v>93171971.976665944</v>
      </c>
      <c r="I16" s="218">
        <f t="shared" si="3"/>
        <v>96561801.247106999</v>
      </c>
      <c r="J16" s="218">
        <f t="shared" si="3"/>
        <v>100250618.9676735</v>
      </c>
      <c r="K16" s="218">
        <f t="shared" si="3"/>
        <v>104271842.34708548</v>
      </c>
    </row>
    <row r="17" spans="1:13" s="308" customFormat="1" x14ac:dyDescent="0.25">
      <c r="A17" s="471"/>
      <c r="B17" s="462"/>
      <c r="C17" s="462"/>
      <c r="D17" s="462"/>
      <c r="E17" s="463"/>
      <c r="F17" s="463"/>
      <c r="G17" s="732"/>
      <c r="H17" s="440"/>
      <c r="I17" s="440"/>
      <c r="J17" s="440"/>
      <c r="K17" s="440"/>
      <c r="L17" s="340"/>
      <c r="M17" s="340"/>
    </row>
    <row r="18" spans="1:13" s="308" customFormat="1" x14ac:dyDescent="0.25">
      <c r="A18" s="470" t="str">
        <f>'Análisis de Costos de Operación'!A14</f>
        <v>Costo de Distribución</v>
      </c>
      <c r="B18" s="462"/>
      <c r="C18" s="462"/>
      <c r="D18" s="462"/>
      <c r="E18" s="463"/>
      <c r="F18" s="463"/>
      <c r="G18" s="732"/>
      <c r="H18" s="440"/>
      <c r="I18" s="440"/>
      <c r="J18" s="440"/>
      <c r="K18" s="440"/>
      <c r="L18" s="340"/>
      <c r="M18" s="340"/>
    </row>
    <row r="19" spans="1:13" x14ac:dyDescent="0.25">
      <c r="A19" s="161" t="str">
        <f>'Análisis de Costos de Operación'!A15</f>
        <v>Fletes y almacenajes</v>
      </c>
      <c r="B19" s="206">
        <f>'Análisis de Costos de Operación'!B15</f>
        <v>1045944.0499023503</v>
      </c>
      <c r="C19" s="206">
        <f>'Análisis de Costos de Operación'!D15</f>
        <v>1200163</v>
      </c>
      <c r="D19" s="206">
        <f>'Análisis de Costos de Operación'!F15</f>
        <v>1148752</v>
      </c>
      <c r="E19" s="213">
        <f>'Análisis de Costos de Operación'!H15</f>
        <v>1225590</v>
      </c>
      <c r="F19" s="213">
        <f>'Análisis de Costos de Operación'!J15</f>
        <v>755312</v>
      </c>
      <c r="G19" s="730">
        <f>G$7*Supuestos!C17</f>
        <v>1047849.1492290149</v>
      </c>
      <c r="H19" s="203">
        <f>H$7*Supuestos!D17</f>
        <v>1039788.7716869236</v>
      </c>
      <c r="I19" s="203">
        <f>I$7*Supuestos!E17</f>
        <v>1077618.886672823</v>
      </c>
      <c r="J19" s="203">
        <f>J$7*Supuestos!F17</f>
        <v>1118785.6792744156</v>
      </c>
      <c r="K19" s="203">
        <f>K$7*Supuestos!G17</f>
        <v>1163662.0817981777</v>
      </c>
    </row>
    <row r="20" spans="1:13" x14ac:dyDescent="0.25">
      <c r="A20" s="161" t="str">
        <f>'Análisis de Costos de Operación'!A16</f>
        <v>Combustible</v>
      </c>
      <c r="B20" s="206">
        <f>'Análisis de Costos de Operación'!B16</f>
        <v>611175.01946623379</v>
      </c>
      <c r="C20" s="206">
        <f>'Análisis de Costos de Operación'!D16</f>
        <v>899156</v>
      </c>
      <c r="D20" s="206">
        <f>'Análisis de Costos de Operación'!F16</f>
        <v>686262</v>
      </c>
      <c r="E20" s="213">
        <f>'Análisis de Costos de Operación'!H16</f>
        <v>527239</v>
      </c>
      <c r="F20" s="213">
        <f>'Análisis de Costos de Operación'!J16</f>
        <v>423715</v>
      </c>
      <c r="G20" s="730">
        <f>G$7*Supuestos!C18</f>
        <v>587822.51872811769</v>
      </c>
      <c r="H20" s="203">
        <f>H$7*Supuestos!D18</f>
        <v>563509.58978455001</v>
      </c>
      <c r="I20" s="203">
        <f>I$7*Supuestos!E18</f>
        <v>584011.47743488639</v>
      </c>
      <c r="J20" s="203">
        <f>J$7*Supuestos!F18</f>
        <v>606321.66489154985</v>
      </c>
      <c r="K20" s="203">
        <f>K$7*Supuestos!G18</f>
        <v>630642.26140669058</v>
      </c>
    </row>
    <row r="21" spans="1:13" x14ac:dyDescent="0.25">
      <c r="A21" s="161" t="str">
        <f>'Análisis de Costos de Operación'!A17</f>
        <v>Partes y Repuestos</v>
      </c>
      <c r="B21" s="209">
        <f>'Análisis de Costos de Operación'!B17</f>
        <v>293988.45141898631</v>
      </c>
      <c r="C21" s="209">
        <f>'Análisis de Costos de Operación'!D17</f>
        <v>224603</v>
      </c>
      <c r="D21" s="209">
        <f>'Análisis de Costos de Operación'!F17</f>
        <v>196159</v>
      </c>
      <c r="E21" s="210">
        <f>'Análisis de Costos de Operación'!H17</f>
        <v>430333</v>
      </c>
      <c r="F21" s="210">
        <f>'Análisis de Costos de Operación'!J17</f>
        <v>336077</v>
      </c>
      <c r="G21" s="733">
        <f>G$7*Supuestos!C19</f>
        <v>466241.76304022659</v>
      </c>
      <c r="H21" s="201">
        <f>H$7*Supuestos!D19</f>
        <v>177552.6185506839</v>
      </c>
      <c r="I21" s="201">
        <f>I$7*Supuestos!E19</f>
        <v>184012.42669510416</v>
      </c>
      <c r="J21" s="201">
        <f>J$7*Supuestos!F19</f>
        <v>191042.00041505051</v>
      </c>
      <c r="K21" s="201">
        <f>K$7*Supuestos!G19</f>
        <v>198705.0210171114</v>
      </c>
    </row>
    <row r="22" spans="1:13" x14ac:dyDescent="0.25">
      <c r="A22" s="461" t="str">
        <f>'Análisis de Costos de Operación'!A18</f>
        <v>Total Costo de Distribución</v>
      </c>
      <c r="B22" s="206">
        <f t="shared" ref="B22:E22" si="4">SUM(B19:B21)</f>
        <v>1951107.5207875704</v>
      </c>
      <c r="C22" s="206">
        <f t="shared" si="4"/>
        <v>2323922</v>
      </c>
      <c r="D22" s="206">
        <f t="shared" si="4"/>
        <v>2031173</v>
      </c>
      <c r="E22" s="213">
        <f t="shared" si="4"/>
        <v>2183162</v>
      </c>
      <c r="F22" s="213">
        <f>'Análisis de Costos de Operación'!J18</f>
        <v>1515104</v>
      </c>
      <c r="G22" s="730">
        <f>SUM(G19:G21)</f>
        <v>2101913.4309973591</v>
      </c>
      <c r="H22" s="218">
        <f t="shared" ref="H22:K22" si="5">SUM(H19:H21)</f>
        <v>1780850.9800221575</v>
      </c>
      <c r="I22" s="218">
        <f t="shared" si="5"/>
        <v>1845642.7908028136</v>
      </c>
      <c r="J22" s="218">
        <f t="shared" si="5"/>
        <v>1916149.3445810159</v>
      </c>
      <c r="K22" s="218">
        <f t="shared" si="5"/>
        <v>1993009.3642219796</v>
      </c>
    </row>
    <row r="23" spans="1:13" s="308" customFormat="1" x14ac:dyDescent="0.25">
      <c r="A23" s="471"/>
      <c r="B23" s="462"/>
      <c r="C23" s="462"/>
      <c r="D23" s="462"/>
      <c r="E23" s="463"/>
      <c r="F23" s="463"/>
      <c r="G23" s="732"/>
      <c r="H23" s="440"/>
      <c r="I23" s="440"/>
      <c r="J23" s="440"/>
      <c r="K23" s="440"/>
      <c r="L23" s="340"/>
      <c r="M23" s="340"/>
    </row>
    <row r="24" spans="1:13" s="308" customFormat="1" x14ac:dyDescent="0.25">
      <c r="A24" s="470" t="str">
        <f>'Análisis de Costos de Operación'!A20</f>
        <v>Gasto de Administración</v>
      </c>
      <c r="B24" s="462"/>
      <c r="C24" s="462"/>
      <c r="D24" s="462"/>
      <c r="E24" s="463"/>
      <c r="F24" s="463"/>
      <c r="G24" s="732"/>
      <c r="H24" s="440"/>
      <c r="I24" s="440"/>
      <c r="J24" s="440"/>
      <c r="K24" s="440"/>
      <c r="L24" s="340"/>
      <c r="M24" s="340"/>
    </row>
    <row r="25" spans="1:13" x14ac:dyDescent="0.25">
      <c r="A25" s="161" t="str">
        <f>'Análisis de Costos de Operación'!A21</f>
        <v>Gastos de Salarios y Beneficios a Empleados</v>
      </c>
      <c r="B25" s="206">
        <f>'Análisis de Costos de Operación'!B21</f>
        <v>10402945</v>
      </c>
      <c r="C25" s="206">
        <f>'Análisis de Costos de Operación'!D21</f>
        <v>11335326</v>
      </c>
      <c r="D25" s="206">
        <f>'Análisis de Costos de Operación'!F21</f>
        <v>12683648</v>
      </c>
      <c r="E25" s="213">
        <f>'Análisis de Costos de Operación'!H21</f>
        <v>12630314</v>
      </c>
      <c r="F25" s="213">
        <f>'Análisis de Costos de Operación'!J21</f>
        <v>8670297</v>
      </c>
      <c r="G25" s="730">
        <f>G$7*Supuestos!C22</f>
        <v>12028358.261238905</v>
      </c>
      <c r="H25" s="203">
        <f>H$7*Supuestos!D22</f>
        <v>12445140.874990834</v>
      </c>
      <c r="I25" s="203">
        <f>I$7*Supuestos!E22</f>
        <v>12897926.212875189</v>
      </c>
      <c r="J25" s="203">
        <f>J$7*Supuestos!F22</f>
        <v>13390647.953337114</v>
      </c>
      <c r="K25" s="203">
        <f>K$7*Supuestos!G22</f>
        <v>13927769.690538537</v>
      </c>
    </row>
    <row r="26" spans="1:13" x14ac:dyDescent="0.25">
      <c r="A26" s="161" t="str">
        <f>'Análisis de Costos de Operación'!A22</f>
        <v>Alquileres</v>
      </c>
      <c r="B26" s="206">
        <f>'Análisis de Costos de Operación'!B22</f>
        <v>1004453.7278927838</v>
      </c>
      <c r="C26" s="206">
        <f>'Análisis de Costos de Operación'!D22</f>
        <v>904701</v>
      </c>
      <c r="D26" s="206">
        <f>'Análisis de Costos de Operación'!F22</f>
        <v>1093996</v>
      </c>
      <c r="E26" s="213">
        <f>'Análisis de Costos de Operación'!H22</f>
        <v>1204276</v>
      </c>
      <c r="F26" s="213">
        <f>'Análisis de Costos de Operación'!J22</f>
        <v>906080</v>
      </c>
      <c r="G26" s="730">
        <f>G$7*Supuestos!C23</f>
        <v>1257010.5560793763</v>
      </c>
      <c r="H26" s="203">
        <f>H$7*Supuestos!D23</f>
        <v>856382.29201423167</v>
      </c>
      <c r="I26" s="203">
        <f>I$7*Supuestos!E23</f>
        <v>887539.62075343949</v>
      </c>
      <c r="J26" s="203">
        <f>J$7*Supuestos!F23</f>
        <v>921445.07651810453</v>
      </c>
      <c r="K26" s="203">
        <f>K$7*Supuestos!G23</f>
        <v>958405.81075290754</v>
      </c>
    </row>
    <row r="27" spans="1:13" x14ac:dyDescent="0.25">
      <c r="A27" s="161" t="str">
        <f>'Análisis de Costos de Operación'!A23</f>
        <v>Viajes</v>
      </c>
      <c r="B27" s="206">
        <f>'Análisis de Costos de Operación'!B23</f>
        <v>832961.66567069711</v>
      </c>
      <c r="C27" s="206">
        <f>'Análisis de Costos de Operación'!D23</f>
        <v>897430</v>
      </c>
      <c r="D27" s="206">
        <f>'Análisis de Costos de Operación'!F23</f>
        <v>923889</v>
      </c>
      <c r="E27" s="213">
        <f>'Análisis de Costos de Operación'!H23</f>
        <v>929912</v>
      </c>
      <c r="F27" s="213">
        <f>'Análisis de Costos de Operación'!J23</f>
        <v>676693</v>
      </c>
      <c r="G27" s="730">
        <f>G$7*Supuestos!C24</f>
        <v>938780.50969563553</v>
      </c>
      <c r="H27" s="203">
        <f>H$7*Supuestos!D24</f>
        <v>836254.83001122961</v>
      </c>
      <c r="I27" s="203">
        <f>I$7*Supuestos!E24</f>
        <v>866679.87136411318</v>
      </c>
      <c r="J27" s="203">
        <f>J$7*Supuestos!F24</f>
        <v>899788.45080501318</v>
      </c>
      <c r="K27" s="203">
        <f>K$7*Supuestos!G24</f>
        <v>935880.50083084649</v>
      </c>
    </row>
    <row r="28" spans="1:13" x14ac:dyDescent="0.25">
      <c r="A28" s="161" t="str">
        <f>'Análisis de Costos de Operación'!A24</f>
        <v>Agua, luz y energía</v>
      </c>
      <c r="B28" s="206">
        <f>'Análisis de Costos de Operación'!B24</f>
        <v>632025.10543385101</v>
      </c>
      <c r="C28" s="206">
        <f>'Análisis de Costos de Operación'!D24</f>
        <v>720217</v>
      </c>
      <c r="D28" s="206">
        <f>'Análisis de Costos de Operación'!F24</f>
        <v>742551</v>
      </c>
      <c r="E28" s="213">
        <f>'Análisis de Costos de Operación'!H24</f>
        <v>653406</v>
      </c>
      <c r="F28" s="213">
        <f>'Análisis de Costos de Operación'!J24</f>
        <v>490179</v>
      </c>
      <c r="G28" s="730">
        <f>G$7*Supuestos!C25</f>
        <v>680028.44932945503</v>
      </c>
      <c r="H28" s="203">
        <f>H$7*Supuestos!D25</f>
        <v>652803.20145937905</v>
      </c>
      <c r="I28" s="203">
        <f>I$7*Supuestos!E25</f>
        <v>676553.81393647485</v>
      </c>
      <c r="J28" s="203">
        <f>J$7*Supuestos!F25</f>
        <v>702399.26902879577</v>
      </c>
      <c r="K28" s="203">
        <f>K$7*Supuestos!G25</f>
        <v>730573.70217829361</v>
      </c>
    </row>
    <row r="29" spans="1:13" x14ac:dyDescent="0.25">
      <c r="A29" s="161" t="str">
        <f>'Análisis de Costos de Operación'!A25</f>
        <v>Seguridad</v>
      </c>
      <c r="B29" s="206">
        <f>'Análisis de Costos de Operación'!B25</f>
        <v>638027.03489884746</v>
      </c>
      <c r="C29" s="206">
        <f>'Análisis de Costos de Operación'!D25</f>
        <v>649351</v>
      </c>
      <c r="D29" s="206">
        <f>'Análisis de Costos de Operación'!F25</f>
        <v>676395</v>
      </c>
      <c r="E29" s="213">
        <f>'Análisis de Costos de Operación'!H25</f>
        <v>734476</v>
      </c>
      <c r="F29" s="213">
        <f>'Análisis de Costos de Operación'!J25</f>
        <v>556136</v>
      </c>
      <c r="G29" s="730">
        <f>G$7*Supuestos!C26</f>
        <v>771531.01560100645</v>
      </c>
      <c r="H29" s="203">
        <f>H$7*Supuestos!D26</f>
        <v>612236.51947955403</v>
      </c>
      <c r="I29" s="203">
        <f>I$7*Supuestos!E26</f>
        <v>634511.21464951895</v>
      </c>
      <c r="J29" s="203">
        <f>J$7*Supuestos!F26</f>
        <v>658750.57412985421</v>
      </c>
      <c r="K29" s="203">
        <f>K$7*Supuestos!G26</f>
        <v>685174.18365136988</v>
      </c>
    </row>
    <row r="30" spans="1:13" x14ac:dyDescent="0.25">
      <c r="A30" s="161" t="str">
        <f>'Análisis de Costos de Operación'!A26</f>
        <v>Mantenimiento</v>
      </c>
      <c r="B30" s="206">
        <f>'Análisis de Costos de Operación'!B26</f>
        <v>504541.4687993158</v>
      </c>
      <c r="C30" s="206">
        <f>'Análisis de Costos de Operación'!D26</f>
        <v>719489</v>
      </c>
      <c r="D30" s="206">
        <f>'Análisis de Costos de Operación'!F26</f>
        <v>674546</v>
      </c>
      <c r="E30" s="213">
        <f>'Análisis de Costos de Operación'!H26</f>
        <v>418462</v>
      </c>
      <c r="F30" s="213">
        <f>'Análisis de Costos de Operación'!J26</f>
        <v>292939</v>
      </c>
      <c r="G30" s="730">
        <f>G$7*Supuestos!C27</f>
        <v>406396.14083451394</v>
      </c>
      <c r="H30" s="203">
        <f>H$7*Supuestos!D27</f>
        <v>420477.76711442991</v>
      </c>
      <c r="I30" s="203">
        <f>I$7*Supuestos!E27</f>
        <v>435775.79947647068</v>
      </c>
      <c r="J30" s="203">
        <f>J$7*Supuestos!F27</f>
        <v>452423.14315214596</v>
      </c>
      <c r="K30" s="203">
        <f>K$7*Supuestos!G27</f>
        <v>470570.60737096652</v>
      </c>
    </row>
    <row r="31" spans="1:13" x14ac:dyDescent="0.25">
      <c r="A31" s="161" t="str">
        <f>'Análisis de Costos de Operación'!A27</f>
        <v>Útiles de oficina</v>
      </c>
      <c r="B31" s="206">
        <f>'Análisis de Costos de Operación'!B27</f>
        <v>367781.91597015597</v>
      </c>
      <c r="C31" s="206">
        <f>'Análisis de Costos de Operación'!D27</f>
        <v>340409</v>
      </c>
      <c r="D31" s="206">
        <f>'Análisis de Costos de Operación'!F27</f>
        <v>511418</v>
      </c>
      <c r="E31" s="213">
        <f>'Análisis de Costos de Operación'!H27</f>
        <v>398096</v>
      </c>
      <c r="F31" s="213">
        <f>'Análisis de Costos de Operación'!J27</f>
        <v>268209</v>
      </c>
      <c r="G31" s="730">
        <f>G$7*Supuestos!C28</f>
        <v>372088.05429486738</v>
      </c>
      <c r="H31" s="203">
        <f>H$7*Supuestos!D28</f>
        <v>322228.2717077494</v>
      </c>
      <c r="I31" s="203">
        <f>I$7*Supuestos!E28</f>
        <v>333951.74180315662</v>
      </c>
      <c r="J31" s="203">
        <f>J$7*Supuestos!F28</f>
        <v>346709.24101161759</v>
      </c>
      <c r="K31" s="203">
        <f>K$7*Supuestos!G28</f>
        <v>360616.34024123603</v>
      </c>
    </row>
    <row r="32" spans="1:13" x14ac:dyDescent="0.25">
      <c r="A32" s="161" t="str">
        <f>'Análisis de Costos de Operación'!A28</f>
        <v>Provisión para cuentas malas</v>
      </c>
      <c r="B32" s="206">
        <f>'Análisis de Costos de Operación'!B28</f>
        <v>265590.12179989181</v>
      </c>
      <c r="C32" s="206">
        <f>'Análisis de Costos de Operación'!D28</f>
        <v>372765</v>
      </c>
      <c r="D32" s="206">
        <f>'Análisis de Costos de Operación'!F28</f>
        <v>454868</v>
      </c>
      <c r="E32" s="213">
        <f>'Análisis de Costos de Operación'!H28</f>
        <v>32356</v>
      </c>
      <c r="F32" s="213">
        <f>'Análisis de Costos de Operación'!J28</f>
        <v>226950</v>
      </c>
      <c r="G32" s="730">
        <f>G$7*Supuestos!C29</f>
        <v>314849.18075911008</v>
      </c>
      <c r="H32" s="203">
        <f>H$7*Supuestos!D29</f>
        <v>34581.880868200002</v>
      </c>
      <c r="I32" s="203">
        <f>I$7*Supuestos!E29</f>
        <v>35840.056148887292</v>
      </c>
      <c r="J32" s="203">
        <f>J$7*Supuestos!F29</f>
        <v>37209.204533866017</v>
      </c>
      <c r="K32" s="203">
        <f>K$7*Supuestos!G29</f>
        <v>38701.729215924621</v>
      </c>
    </row>
    <row r="33" spans="1:13" x14ac:dyDescent="0.25">
      <c r="A33" s="161" t="str">
        <f>'Análisis de Costos de Operación'!A29</f>
        <v>Anuncios y propagandas</v>
      </c>
      <c r="B33" s="206">
        <f>'Análisis de Costos de Operación'!B29</f>
        <v>565881.45324113488</v>
      </c>
      <c r="C33" s="206">
        <f>'Análisis de Costos de Operación'!D29</f>
        <v>327883</v>
      </c>
      <c r="D33" s="206">
        <f>'Análisis de Costos de Operación'!F29</f>
        <v>409453</v>
      </c>
      <c r="E33" s="213">
        <f>'Análisis de Costos de Operación'!H29</f>
        <v>579726</v>
      </c>
      <c r="F33" s="213">
        <f>'Análisis de Costos de Operación'!J29</f>
        <v>900753</v>
      </c>
      <c r="G33" s="730">
        <f>G$7*Supuestos!C30</f>
        <v>1249620.3750443298</v>
      </c>
      <c r="H33" s="203">
        <f>H$7*Supuestos!D30</f>
        <v>310371.26636590686</v>
      </c>
      <c r="I33" s="203">
        <f>I$7*Supuestos!E30</f>
        <v>321663.3489644645</v>
      </c>
      <c r="J33" s="203">
        <f>J$7*Supuestos!F30</f>
        <v>333951.41159784904</v>
      </c>
      <c r="K33" s="203">
        <f>K$7*Supuestos!G30</f>
        <v>347346.77252163482</v>
      </c>
    </row>
    <row r="34" spans="1:13" x14ac:dyDescent="0.25">
      <c r="A34" s="161" t="str">
        <f>'Análisis de Costos de Operación'!A30</f>
        <v>Honorarios profesionales</v>
      </c>
      <c r="B34" s="206">
        <f>'Análisis de Costos de Operación'!B30</f>
        <v>326482.57591262186</v>
      </c>
      <c r="C34" s="206">
        <f>'Análisis de Costos de Operación'!D30</f>
        <v>503627</v>
      </c>
      <c r="D34" s="206">
        <f>'Análisis de Costos de Operación'!F30</f>
        <v>322452</v>
      </c>
      <c r="E34" s="213">
        <f>'Análisis de Costos de Operación'!H30</f>
        <v>348388</v>
      </c>
      <c r="F34" s="213">
        <f>'Análisis de Costos de Operación'!J30</f>
        <v>190940</v>
      </c>
      <c r="G34" s="730">
        <f>G$7*Supuestos!C31</f>
        <v>264892.27836150903</v>
      </c>
      <c r="H34" s="203">
        <f>H$7*Supuestos!D31</f>
        <v>274070.79580673535</v>
      </c>
      <c r="I34" s="203">
        <f>I$7*Supuestos!E31</f>
        <v>284042.1765351739</v>
      </c>
      <c r="J34" s="203">
        <f>J$7*Supuestos!F31</f>
        <v>294893.04924735439</v>
      </c>
      <c r="K34" s="203">
        <f>K$7*Supuestos!G31</f>
        <v>306721.71261393104</v>
      </c>
    </row>
    <row r="35" spans="1:13" x14ac:dyDescent="0.25">
      <c r="A35" s="161" t="str">
        <f>'Análisis de Costos de Operación'!A31</f>
        <v>Telecomunicaciones</v>
      </c>
      <c r="B35" s="206">
        <f>'Análisis de Costos de Operación'!B31</f>
        <v>251748.7569503843</v>
      </c>
      <c r="C35" s="206">
        <f>'Análisis de Costos de Operación'!D31</f>
        <v>328606</v>
      </c>
      <c r="D35" s="206">
        <f>'Análisis de Costos de Operación'!F31</f>
        <v>284925</v>
      </c>
      <c r="E35" s="213">
        <f>'Análisis de Costos de Operación'!H31</f>
        <v>243551</v>
      </c>
      <c r="F35" s="213">
        <f>'Análisis de Costos de Operación'!J31</f>
        <v>184571</v>
      </c>
      <c r="G35" s="730">
        <f>G$7*Supuestos!C32</f>
        <v>256056.52408852038</v>
      </c>
      <c r="H35" s="203">
        <f>H$7*Supuestos!D32</f>
        <v>257898.84655077569</v>
      </c>
      <c r="I35" s="203">
        <f>I$7*Supuestos!E32</f>
        <v>267281.85133540927</v>
      </c>
      <c r="J35" s="203">
        <f>J$7*Supuestos!F32</f>
        <v>277492.45238943031</v>
      </c>
      <c r="K35" s="203">
        <f>K$7*Supuestos!G32</f>
        <v>288623.14812626725</v>
      </c>
    </row>
    <row r="36" spans="1:13" x14ac:dyDescent="0.25">
      <c r="A36" s="161" t="str">
        <f>'Análisis de Costos de Operación'!A32</f>
        <v>Impuestos generales</v>
      </c>
      <c r="B36" s="206">
        <f>'Análisis de Costos de Operación'!B32</f>
        <v>263668.53856289381</v>
      </c>
      <c r="C36" s="206">
        <f>'Análisis de Costos de Operación'!D32</f>
        <v>301821</v>
      </c>
      <c r="D36" s="206">
        <f>'Análisis de Costos de Operación'!F32</f>
        <v>281050</v>
      </c>
      <c r="E36" s="213">
        <f>'Análisis de Costos de Operación'!H32</f>
        <v>282861</v>
      </c>
      <c r="F36" s="213">
        <f>'Análisis de Costos de Operación'!J32</f>
        <v>218690</v>
      </c>
      <c r="G36" s="730">
        <f>G$7*Supuestos!C33</f>
        <v>303390.03013972141</v>
      </c>
      <c r="H36" s="203">
        <f>H$7*Supuestos!D33</f>
        <v>254391.40413475657</v>
      </c>
      <c r="I36" s="203">
        <f>I$7*Supuestos!E33</f>
        <v>263646.79939568933</v>
      </c>
      <c r="J36" s="203">
        <f>J$7*Supuestos!F33</f>
        <v>273718.5355586537</v>
      </c>
      <c r="K36" s="203">
        <f>K$7*Supuestos!G33</f>
        <v>284697.85305216257</v>
      </c>
    </row>
    <row r="37" spans="1:13" x14ac:dyDescent="0.25">
      <c r="A37" s="161" t="str">
        <f>'Análisis de Costos de Operación'!A33</f>
        <v>Misceláneos</v>
      </c>
      <c r="B37" s="206">
        <f>'Análisis de Costos de Operación'!B33</f>
        <v>199982.21992044934</v>
      </c>
      <c r="C37" s="206">
        <f>'Análisis de Costos de Operación'!D33</f>
        <v>198221</v>
      </c>
      <c r="D37" s="206">
        <f>'Análisis de Costos de Operación'!F33</f>
        <v>196802</v>
      </c>
      <c r="E37" s="213">
        <f>'Análisis de Costos de Operación'!H33</f>
        <v>209823</v>
      </c>
      <c r="F37" s="213">
        <f>'Análisis de Costos de Operación'!J33</f>
        <v>207114</v>
      </c>
      <c r="G37" s="730">
        <f>G$7*Supuestos!C34</f>
        <v>287330.57159613271</v>
      </c>
      <c r="H37" s="203">
        <f>H$7*Supuestos!D34</f>
        <v>178134.62770513562</v>
      </c>
      <c r="I37" s="203">
        <f>I$7*Supuestos!E34</f>
        <v>184615.6107976177</v>
      </c>
      <c r="J37" s="203">
        <f>J$7*Supuestos!F34</f>
        <v>191668.22713045424</v>
      </c>
      <c r="K37" s="203">
        <f>K$7*Supuestos!G34</f>
        <v>199356.36675456929</v>
      </c>
    </row>
    <row r="38" spans="1:13" x14ac:dyDescent="0.25">
      <c r="A38" s="161" t="str">
        <f>'Análisis de Costos de Operación'!A34</f>
        <v>Aseo y limpieza</v>
      </c>
      <c r="B38" s="206">
        <f>'Análisis de Costos de Operación'!B34</f>
        <v>143384.91516122076</v>
      </c>
      <c r="C38" s="206">
        <f>'Análisis de Costos de Operación'!D34</f>
        <v>161828</v>
      </c>
      <c r="D38" s="206">
        <f>'Análisis de Costos de Operación'!F34</f>
        <v>174615</v>
      </c>
      <c r="E38" s="213">
        <f>'Análisis de Costos de Operación'!H34</f>
        <v>140139</v>
      </c>
      <c r="F38" s="213">
        <f>'Análisis de Costos de Operación'!J34</f>
        <v>113853</v>
      </c>
      <c r="G38" s="730">
        <f>G$7*Supuestos!C35</f>
        <v>157948.99218756094</v>
      </c>
      <c r="H38" s="203">
        <f>H$7*Supuestos!D35</f>
        <v>148098.75565619115</v>
      </c>
      <c r="I38" s="203">
        <f>I$7*Supuestos!E35</f>
        <v>153486.95863385254</v>
      </c>
      <c r="J38" s="203">
        <f>J$7*Supuestos!F35</f>
        <v>159350.40986997346</v>
      </c>
      <c r="K38" s="203">
        <f>K$7*Supuestos!G35</f>
        <v>165742.22670149495</v>
      </c>
    </row>
    <row r="39" spans="1:13" x14ac:dyDescent="0.25">
      <c r="A39" s="161" t="str">
        <f>'Análisis de Costos de Operación'!A35</f>
        <v>Seguros</v>
      </c>
      <c r="B39" s="206">
        <f>'Análisis de Costos de Operación'!B35</f>
        <v>136957.10058445725</v>
      </c>
      <c r="C39" s="206">
        <f>'Análisis de Costos de Operación'!D35</f>
        <v>149406</v>
      </c>
      <c r="D39" s="206">
        <f>'Análisis de Costos de Operación'!F35</f>
        <v>158836</v>
      </c>
      <c r="E39" s="213">
        <f>'Análisis de Costos de Operación'!H35</f>
        <v>133495</v>
      </c>
      <c r="F39" s="213">
        <f>'Análisis de Costos de Operación'!J35</f>
        <v>119588</v>
      </c>
      <c r="G39" s="730">
        <f>G$7*Supuestos!C36</f>
        <v>165905.19422172484</v>
      </c>
      <c r="H39" s="203">
        <f>H$7*Supuestos!D36</f>
        <v>141426.45218771539</v>
      </c>
      <c r="I39" s="203">
        <f>I$7*Supuestos!E36</f>
        <v>146571.90008443495</v>
      </c>
      <c r="J39" s="203">
        <f>J$7*Supuestos!F36</f>
        <v>152171.18484699799</v>
      </c>
      <c r="K39" s="203">
        <f>K$7*Supuestos!G36</f>
        <v>158275.03071329521</v>
      </c>
    </row>
    <row r="40" spans="1:13" x14ac:dyDescent="0.25">
      <c r="A40" s="161" t="str">
        <f>'Análisis de Costos de Operación'!A36</f>
        <v>Provisión para productos obsoletos</v>
      </c>
      <c r="B40" s="206">
        <f>'Análisis de Costos de Operación'!B36</f>
        <v>256562.30457816401</v>
      </c>
      <c r="C40" s="206">
        <f>'Análisis de Costos de Operación'!D36</f>
        <v>157170</v>
      </c>
      <c r="D40" s="206">
        <f>'Análisis de Costos de Operación'!F36</f>
        <v>122256</v>
      </c>
      <c r="E40" s="213">
        <f>'Análisis de Costos de Operación'!H36</f>
        <v>87404</v>
      </c>
      <c r="F40" s="213">
        <f>'Análisis de Costos de Operación'!J36</f>
        <v>592932</v>
      </c>
      <c r="G40" s="730">
        <f>G$7*Supuestos!C37</f>
        <v>822578.34080573102</v>
      </c>
      <c r="H40" s="203">
        <f>H$7*Supuestos!D37</f>
        <v>93416.82270379999</v>
      </c>
      <c r="I40" s="203">
        <f>I$7*Supuestos!E37</f>
        <v>96815.560255820994</v>
      </c>
      <c r="J40" s="203">
        <f>J$7*Supuestos!F37</f>
        <v>100514.07198287877</v>
      </c>
      <c r="K40" s="203">
        <f>K$7*Supuestos!G37</f>
        <v>104545.86291224736</v>
      </c>
    </row>
    <row r="41" spans="1:13" x14ac:dyDescent="0.25">
      <c r="A41" s="161" t="str">
        <f>'Análisis de Costos de Operación'!A37</f>
        <v>Uniformes</v>
      </c>
      <c r="B41" s="206">
        <f>'Análisis de Costos de Operación'!B37</f>
        <v>58440.613508044145</v>
      </c>
      <c r="C41" s="206">
        <f>'Análisis de Costos de Operación'!D37</f>
        <v>77087</v>
      </c>
      <c r="D41" s="206">
        <f>'Análisis de Costos de Operación'!F37</f>
        <v>69058</v>
      </c>
      <c r="E41" s="213">
        <f>'Análisis de Costos de Operación'!H37</f>
        <v>59280</v>
      </c>
      <c r="F41" s="213">
        <f>'Análisis de Costos de Operación'!J37</f>
        <v>37653</v>
      </c>
      <c r="G41" s="730">
        <f>G$7*Supuestos!C38</f>
        <v>52236.246764145275</v>
      </c>
      <c r="H41" s="203">
        <f>H$7*Supuestos!D38</f>
        <v>54046.232714522914</v>
      </c>
      <c r="I41" s="203">
        <f>I$7*Supuestos!E38</f>
        <v>56012.56977625905</v>
      </c>
      <c r="J41" s="203">
        <f>J$7*Supuestos!F38</f>
        <v>58152.34096213802</v>
      </c>
      <c r="K41" s="203">
        <f>K$7*Supuestos!G38</f>
        <v>60484.930580561144</v>
      </c>
    </row>
    <row r="42" spans="1:13" x14ac:dyDescent="0.25">
      <c r="A42" s="161" t="str">
        <f>'Análisis de Costos de Operación'!A38</f>
        <v>Gastos no deducibles</v>
      </c>
      <c r="B42" s="206">
        <f>'Análisis de Costos de Operación'!B38</f>
        <v>88218.057034609054</v>
      </c>
      <c r="C42" s="206">
        <f>'Análisis de Costos de Operación'!D38</f>
        <v>143669</v>
      </c>
      <c r="D42" s="206">
        <f>'Análisis de Costos de Operación'!F38</f>
        <v>30035</v>
      </c>
      <c r="E42" s="213">
        <f>'Análisis de Costos de Operación'!H38</f>
        <v>163517</v>
      </c>
      <c r="F42" s="213">
        <f>'Análisis de Costos de Operación'!J38</f>
        <v>37027</v>
      </c>
      <c r="G42" s="730">
        <f>G$7*Supuestos!C39</f>
        <v>51367.792976283621</v>
      </c>
      <c r="H42" s="203">
        <f>H$7*Supuestos!D39</f>
        <v>27186.073023260677</v>
      </c>
      <c r="I42" s="203">
        <f>I$7*Supuestos!E39</f>
        <v>28175.170325029459</v>
      </c>
      <c r="J42" s="203">
        <f>J$7*Supuestos!F39</f>
        <v>29251.507616097359</v>
      </c>
      <c r="K42" s="203">
        <f>K$7*Supuestos!G39</f>
        <v>30424.835496963893</v>
      </c>
    </row>
    <row r="43" spans="1:13" x14ac:dyDescent="0.25">
      <c r="A43" s="161" t="str">
        <f>'Análisis de Costos de Operación'!A39</f>
        <v>Dietas</v>
      </c>
      <c r="B43" s="206">
        <f>'Análisis de Costos de Operación'!B39</f>
        <v>14911.434448148817</v>
      </c>
      <c r="C43" s="206">
        <f>'Análisis de Costos de Operación'!D39</f>
        <v>18500</v>
      </c>
      <c r="D43" s="206">
        <f>'Análisis de Costos de Operación'!F39</f>
        <v>18500</v>
      </c>
      <c r="E43" s="213">
        <f>'Análisis de Costos de Operación'!H39</f>
        <v>13000</v>
      </c>
      <c r="F43" s="213">
        <f>'Análisis de Costos de Operación'!J39</f>
        <v>11500</v>
      </c>
      <c r="G43" s="730">
        <f>G$7*Supuestos!C40</f>
        <v>15954.023259439373</v>
      </c>
      <c r="H43" s="203">
        <f>H$7*Supuestos!D40</f>
        <v>13894.314850000001</v>
      </c>
      <c r="I43" s="203">
        <f>I$7*Supuestos!E40</f>
        <v>14399.824760030126</v>
      </c>
      <c r="J43" s="203">
        <f>J$7*Supuestos!F40</f>
        <v>14949.921465578511</v>
      </c>
      <c r="K43" s="203">
        <f>K$7*Supuestos!G40</f>
        <v>15549.588323866365</v>
      </c>
    </row>
    <row r="44" spans="1:13" x14ac:dyDescent="0.25">
      <c r="A44" s="161" t="str">
        <f>'Análisis de Costos de Operación'!A40</f>
        <v>Donaciones</v>
      </c>
      <c r="B44" s="209">
        <f>'Análisis de Costos de Operación'!B40</f>
        <v>6628.5201571679327</v>
      </c>
      <c r="C44" s="209">
        <f>'Análisis de Costos de Operación'!D40</f>
        <v>10100</v>
      </c>
      <c r="D44" s="209">
        <f>'Análisis de Costos de Operación'!F40</f>
        <v>8500</v>
      </c>
      <c r="E44" s="210">
        <f>'Análisis de Costos de Operación'!H40</f>
        <v>7500</v>
      </c>
      <c r="F44" s="210">
        <f>'Análisis de Costos de Operación'!J40</f>
        <v>2042</v>
      </c>
      <c r="G44" s="733">
        <f>G$7*Supuestos!C41</f>
        <v>2832.8796083282782</v>
      </c>
      <c r="H44" s="201">
        <f>H$7*Supuestos!D41</f>
        <v>2931.0388867568531</v>
      </c>
      <c r="I44" s="201">
        <f>I$7*Supuestos!E41</f>
        <v>3037.6774090542845</v>
      </c>
      <c r="J44" s="201">
        <f>J$7*Supuestos!F41</f>
        <v>3153.7216223059477</v>
      </c>
      <c r="K44" s="201">
        <f>K$7*Supuestos!G41</f>
        <v>3280.2227776141572</v>
      </c>
    </row>
    <row r="45" spans="1:13" x14ac:dyDescent="0.25">
      <c r="A45" s="461" t="str">
        <f>'Análisis de Costos de Operación'!A41</f>
        <v>Total Gasto de  Administración</v>
      </c>
      <c r="B45" s="206">
        <f t="shared" ref="B45:D45" si="6">SUM(B25:B44)</f>
        <v>16961192.530524839</v>
      </c>
      <c r="C45" s="206">
        <f t="shared" si="6"/>
        <v>18317606</v>
      </c>
      <c r="D45" s="206">
        <f t="shared" si="6"/>
        <v>19837793</v>
      </c>
      <c r="E45" s="207">
        <f>SUM(E25:E44)</f>
        <v>19269982</v>
      </c>
      <c r="F45" s="207">
        <f>'Análisis de Costos de Operación'!J41</f>
        <v>14704146</v>
      </c>
      <c r="G45" s="730">
        <f>SUM(G25:G44)</f>
        <v>20399155.4168863</v>
      </c>
      <c r="H45" s="218">
        <f t="shared" ref="H45:K45" si="7">SUM(H25:H44)</f>
        <v>17935972.268231165</v>
      </c>
      <c r="I45" s="218">
        <f t="shared" si="7"/>
        <v>18588527.779280085</v>
      </c>
      <c r="J45" s="218">
        <f t="shared" si="7"/>
        <v>19298639.746806223</v>
      </c>
      <c r="K45" s="467">
        <f t="shared" si="7"/>
        <v>20072741.11535468</v>
      </c>
    </row>
    <row r="46" spans="1:13" s="308" customFormat="1" x14ac:dyDescent="0.25">
      <c r="A46" s="340"/>
      <c r="B46" s="462"/>
      <c r="C46" s="462"/>
      <c r="D46" s="462"/>
      <c r="E46" s="462"/>
      <c r="F46" s="738"/>
      <c r="G46" s="732"/>
      <c r="H46" s="440"/>
      <c r="I46" s="440"/>
      <c r="J46" s="440"/>
      <c r="K46" s="462"/>
      <c r="L46" s="340"/>
      <c r="M46" s="340"/>
    </row>
    <row r="47" spans="1:13" s="308" customFormat="1" x14ac:dyDescent="0.25">
      <c r="A47" s="470" t="str">
        <f>'Análisis de Costos de Operación'!A43</f>
        <v>Gasto de Depreciación y Amortización</v>
      </c>
      <c r="B47" s="462"/>
      <c r="C47" s="462"/>
      <c r="D47" s="462"/>
      <c r="E47" s="462"/>
      <c r="F47" s="738"/>
      <c r="G47" s="732"/>
      <c r="H47" s="440"/>
      <c r="I47" s="440"/>
      <c r="J47" s="440"/>
      <c r="K47" s="462"/>
      <c r="L47" s="340"/>
      <c r="M47" s="340"/>
    </row>
    <row r="48" spans="1:13" x14ac:dyDescent="0.25">
      <c r="A48" s="161" t="str">
        <f>'Análisis de Costos de Operación'!A44</f>
        <v>Gasto de Depreciación</v>
      </c>
      <c r="B48" s="206">
        <f>'Análisis de Costos de Operación'!B44</f>
        <v>1326140</v>
      </c>
      <c r="C48" s="206">
        <f>'Análisis de Costos de Operación'!D44</f>
        <v>1545672</v>
      </c>
      <c r="D48" s="206">
        <f>'Análisis de Costos de Operación'!F44</f>
        <v>1494868</v>
      </c>
      <c r="E48" s="206">
        <f>'Análisis de Costos de Operación'!H44</f>
        <v>1319295</v>
      </c>
      <c r="F48" s="225">
        <f>'Análisis de Costos de Operación'!J44</f>
        <v>761359</v>
      </c>
      <c r="G48" s="734">
        <f>G7*Supuestos!C44</f>
        <v>1056238.1908507391</v>
      </c>
      <c r="H48" s="199">
        <f>H7*Supuestos!D44</f>
        <v>1337764.5111852924</v>
      </c>
      <c r="I48" s="199">
        <f>I7*Supuestos!E44</f>
        <v>1386435.7285134911</v>
      </c>
      <c r="J48" s="199">
        <f>J7*Supuestos!F44</f>
        <v>1439399.8263007652</v>
      </c>
      <c r="K48" s="199">
        <f>K7*Supuestos!G44</f>
        <v>1497136.6093096426</v>
      </c>
    </row>
    <row r="49" spans="1:13" x14ac:dyDescent="0.25">
      <c r="A49" s="161" t="str">
        <f>'Análisis de Costos de Operación'!A45</f>
        <v>Amortización intangibles</v>
      </c>
      <c r="B49" s="209">
        <f>'Análisis de Costos de Operación'!B45</f>
        <v>61011.717199327279</v>
      </c>
      <c r="C49" s="209">
        <f>'Análisis de Costos de Operación'!D45</f>
        <v>0</v>
      </c>
      <c r="D49" s="209">
        <f>'Análisis de Costos de Operación'!F45</f>
        <v>51891</v>
      </c>
      <c r="E49" s="209">
        <f>'Análisis de Costos de Operación'!H45</f>
        <v>101118</v>
      </c>
      <c r="F49" s="208">
        <f>'Análisis de Costos de Operación'!J45</f>
        <v>87893</v>
      </c>
      <c r="G49" s="733">
        <f>G7*Supuestos!C45</f>
        <v>121934.51881233956</v>
      </c>
      <c r="H49" s="201">
        <f>H7*Supuestos!D45</f>
        <v>68844.052578948918</v>
      </c>
      <c r="I49" s="201">
        <f>I7*Supuestos!E45</f>
        <v>71348.771321902532</v>
      </c>
      <c r="J49" s="201">
        <f>J7*Supuestos!F45</f>
        <v>74074.410328152589</v>
      </c>
      <c r="K49" s="201">
        <f>K7*Supuestos!G45</f>
        <v>77045.661315877413</v>
      </c>
    </row>
    <row r="50" spans="1:13" x14ac:dyDescent="0.25">
      <c r="A50" s="461" t="str">
        <f>'Análisis de Costos de Operación'!A46</f>
        <v>Total Gasto de Depreciación y Amortización</v>
      </c>
      <c r="B50" s="206">
        <f t="shared" ref="B50:E50" si="8">SUM(B48:B49)</f>
        <v>1387151.7171993272</v>
      </c>
      <c r="C50" s="206">
        <f t="shared" si="8"/>
        <v>1545672</v>
      </c>
      <c r="D50" s="206">
        <f t="shared" si="8"/>
        <v>1546759</v>
      </c>
      <c r="E50" s="206">
        <f t="shared" si="8"/>
        <v>1420413</v>
      </c>
      <c r="F50" s="713">
        <f>'Análisis de Costos de Operación'!J46</f>
        <v>849252</v>
      </c>
      <c r="G50" s="730">
        <f>SUM(G48:G49)</f>
        <v>1178172.7096630787</v>
      </c>
      <c r="H50" s="218">
        <f t="shared" ref="H50:K50" si="9">SUM(H48:H49)</f>
        <v>1406608.5637642413</v>
      </c>
      <c r="I50" s="218">
        <f t="shared" si="9"/>
        <v>1457784.4998353936</v>
      </c>
      <c r="J50" s="218">
        <f t="shared" si="9"/>
        <v>1513474.2366289177</v>
      </c>
      <c r="K50" s="468">
        <f t="shared" si="9"/>
        <v>1574182.27062552</v>
      </c>
    </row>
    <row r="51" spans="1:13" x14ac:dyDescent="0.25">
      <c r="B51" s="206"/>
      <c r="C51" s="206"/>
      <c r="D51" s="206"/>
      <c r="E51" s="206"/>
      <c r="F51" s="713"/>
      <c r="G51" s="730"/>
      <c r="H51" s="203"/>
      <c r="I51" s="203"/>
      <c r="J51" s="203"/>
      <c r="K51" s="199"/>
    </row>
    <row r="52" spans="1:13" x14ac:dyDescent="0.25">
      <c r="A52" s="355" t="str">
        <f>'Análisis de Costos de Operación'!A48</f>
        <v>Gasto Financiero</v>
      </c>
      <c r="B52" s="206"/>
      <c r="C52" s="206"/>
      <c r="D52" s="206"/>
      <c r="E52" s="206"/>
      <c r="F52" s="713"/>
      <c r="G52" s="730"/>
      <c r="H52" s="203"/>
      <c r="I52" s="203"/>
      <c r="J52" s="203"/>
      <c r="K52" s="199"/>
    </row>
    <row r="53" spans="1:13" x14ac:dyDescent="0.25">
      <c r="A53" s="161" t="str">
        <f>'Análisis de Costos de Operación'!A49</f>
        <v>Costos Financieros</v>
      </c>
      <c r="B53" s="209">
        <f>'Análisis de Costos de Operación'!B49</f>
        <v>1309205</v>
      </c>
      <c r="C53" s="209">
        <f>'Análisis de Costos de Operación'!D49</f>
        <v>1211298</v>
      </c>
      <c r="D53" s="209">
        <f>'Análisis de Costos de Operación'!F49</f>
        <v>1247485</v>
      </c>
      <c r="E53" s="209">
        <f>'Análisis de Costos de Operación'!H49</f>
        <v>1280055</v>
      </c>
      <c r="F53" s="712">
        <f>'Análisis de Costos de Operación'!J49</f>
        <v>900982</v>
      </c>
      <c r="G53" s="730">
        <f>G$7*Supuestos!C48</f>
        <v>1249938.0682031482</v>
      </c>
      <c r="H53" s="203">
        <f>H$7*Supuestos!D48</f>
        <v>1257873.9004985073</v>
      </c>
      <c r="I53" s="203">
        <f>I$7*Supuestos!E48</f>
        <v>1303638.4976833942</v>
      </c>
      <c r="J53" s="203">
        <f>J$7*Supuestos!F48</f>
        <v>1353439.6067074584</v>
      </c>
      <c r="K53" s="201">
        <f>K$7*Supuestos!G48</f>
        <v>1407728.3786388235</v>
      </c>
    </row>
    <row r="54" spans="1:13" x14ac:dyDescent="0.25">
      <c r="A54" s="461" t="str">
        <f>'Análisis de Costos de Operación'!A50</f>
        <v>Total Gasto Financiero</v>
      </c>
      <c r="B54" s="229">
        <f t="shared" ref="B54:F54" si="10">SUM(B53)</f>
        <v>1309205</v>
      </c>
      <c r="C54" s="229">
        <f t="shared" si="10"/>
        <v>1211298</v>
      </c>
      <c r="D54" s="229">
        <f t="shared" si="10"/>
        <v>1247485</v>
      </c>
      <c r="E54" s="229">
        <f t="shared" si="10"/>
        <v>1280055</v>
      </c>
      <c r="F54" s="720">
        <f t="shared" si="10"/>
        <v>900982</v>
      </c>
      <c r="G54" s="735">
        <f>SUM(G53)</f>
        <v>1249938.0682031482</v>
      </c>
      <c r="H54" s="232">
        <f t="shared" ref="H54:K54" si="11">SUM(H53)</f>
        <v>1257873.9004985073</v>
      </c>
      <c r="I54" s="232">
        <f t="shared" si="11"/>
        <v>1303638.4976833942</v>
      </c>
      <c r="J54" s="232">
        <f t="shared" si="11"/>
        <v>1353439.6067074584</v>
      </c>
      <c r="K54" s="232">
        <f t="shared" si="11"/>
        <v>1407728.3786388235</v>
      </c>
    </row>
    <row r="55" spans="1:13" s="308" customFormat="1" x14ac:dyDescent="0.25">
      <c r="A55" s="340"/>
      <c r="F55" s="739"/>
      <c r="G55" s="463"/>
      <c r="H55" s="466"/>
      <c r="I55" s="466"/>
      <c r="J55" s="466"/>
      <c r="K55" s="466"/>
      <c r="L55" s="340"/>
      <c r="M55" s="340"/>
    </row>
    <row r="56" spans="1:13" s="308" customFormat="1" ht="15.75" thickBot="1" x14ac:dyDescent="0.3">
      <c r="A56" s="340"/>
      <c r="F56" s="739"/>
      <c r="G56" s="463"/>
      <c r="H56" s="466"/>
      <c r="I56" s="466"/>
      <c r="J56" s="459"/>
      <c r="K56" s="466"/>
      <c r="L56" s="340"/>
      <c r="M56" s="340"/>
    </row>
    <row r="57" spans="1:13" ht="15.75" thickBot="1" x14ac:dyDescent="0.3">
      <c r="A57" s="163" t="s">
        <v>325</v>
      </c>
      <c r="B57" s="235">
        <f t="shared" ref="B57:K57" si="12">B9-B16-B22-B45-B50-B54</f>
        <v>-685292.99999999418</v>
      </c>
      <c r="C57" s="235">
        <f t="shared" si="12"/>
        <v>153229</v>
      </c>
      <c r="D57" s="235">
        <f t="shared" si="12"/>
        <v>-154474</v>
      </c>
      <c r="E57" s="235">
        <f t="shared" si="12"/>
        <v>-3983078</v>
      </c>
      <c r="F57" s="740">
        <f t="shared" si="12"/>
        <v>-2947556</v>
      </c>
      <c r="G57" s="736">
        <f t="shared" si="12"/>
        <v>-4244064.9806842068</v>
      </c>
      <c r="H57" s="222">
        <f t="shared" si="12"/>
        <v>-1594628.5828010761</v>
      </c>
      <c r="I57" s="222">
        <f t="shared" si="12"/>
        <v>-1652645.1572148416</v>
      </c>
      <c r="J57" s="222">
        <f t="shared" si="12"/>
        <v>-1715778.8877688188</v>
      </c>
      <c r="K57" s="222">
        <f t="shared" si="12"/>
        <v>-1784601.7065049303</v>
      </c>
    </row>
    <row r="58" spans="1:13" s="466" customFormat="1" ht="15.75" thickBot="1" x14ac:dyDescent="0.3">
      <c r="A58" s="469"/>
      <c r="B58" s="440"/>
      <c r="C58" s="440"/>
      <c r="D58" s="440"/>
      <c r="E58" s="440"/>
      <c r="F58" s="741"/>
      <c r="G58" s="732"/>
      <c r="L58" s="469"/>
      <c r="M58" s="469"/>
    </row>
    <row r="59" spans="1:13" ht="15.75" thickBot="1" x14ac:dyDescent="0.3">
      <c r="A59" s="163" t="s">
        <v>330</v>
      </c>
      <c r="B59" s="235">
        <f>'Estado de Resultados'!B19</f>
        <v>17308</v>
      </c>
      <c r="C59" s="235">
        <f>'Estado de Resultados'!D19</f>
        <v>-11855</v>
      </c>
      <c r="D59" s="235">
        <f>'Estado de Resultados'!F19</f>
        <v>-3759</v>
      </c>
      <c r="E59" s="235">
        <f>'Estado de Resultados'!H19</f>
        <v>-5609</v>
      </c>
      <c r="F59" s="740">
        <f>'Estado de Resultados'!J19</f>
        <v>56750</v>
      </c>
      <c r="G59" s="737">
        <f>Supuestos!C52</f>
        <v>7.1748376836786888E-4</v>
      </c>
      <c r="H59" s="223">
        <v>0</v>
      </c>
      <c r="I59" s="223">
        <v>0</v>
      </c>
      <c r="J59" s="223">
        <v>0</v>
      </c>
      <c r="K59" s="223">
        <v>0</v>
      </c>
    </row>
    <row r="60" spans="1:13" s="308" customFormat="1" ht="15.75" thickBot="1" x14ac:dyDescent="0.3">
      <c r="A60" s="340"/>
      <c r="F60" s="739"/>
      <c r="G60" s="732"/>
      <c r="H60" s="466"/>
      <c r="I60" s="466"/>
      <c r="J60" s="466"/>
      <c r="K60" s="466"/>
      <c r="L60" s="340"/>
      <c r="M60" s="340"/>
    </row>
    <row r="61" spans="1:13" ht="15.75" thickBot="1" x14ac:dyDescent="0.3">
      <c r="A61" s="163" t="s">
        <v>326</v>
      </c>
      <c r="B61" s="235">
        <f>B57+B59</f>
        <v>-667984.99999999418</v>
      </c>
      <c r="C61" s="235">
        <f t="shared" ref="C61" si="13">C57+C59</f>
        <v>141374</v>
      </c>
      <c r="D61" s="235">
        <f>D57+D59</f>
        <v>-158233</v>
      </c>
      <c r="E61" s="235">
        <f>E57+E59</f>
        <v>-3988687</v>
      </c>
      <c r="F61" s="740">
        <f>F57+F59</f>
        <v>-2890806</v>
      </c>
      <c r="G61" s="736">
        <f>G57+G59</f>
        <v>-4244064.9799667234</v>
      </c>
      <c r="H61" s="221">
        <f t="shared" ref="H61:K61" si="14">H57+H59</f>
        <v>-1594628.5828010761</v>
      </c>
      <c r="I61" s="221">
        <f t="shared" si="14"/>
        <v>-1652645.1572148416</v>
      </c>
      <c r="J61" s="221">
        <f t="shared" si="14"/>
        <v>-1715778.8877688188</v>
      </c>
      <c r="K61" s="221">
        <f t="shared" si="14"/>
        <v>-1784601.7065049303</v>
      </c>
    </row>
    <row r="63" spans="1:13" x14ac:dyDescent="0.25">
      <c r="B63" s="809" t="s">
        <v>328</v>
      </c>
      <c r="C63" s="809"/>
      <c r="D63" s="809"/>
      <c r="E63" s="809"/>
      <c r="F63" s="691"/>
      <c r="G63" s="810" t="s">
        <v>329</v>
      </c>
      <c r="H63" s="810"/>
      <c r="I63" s="810"/>
      <c r="J63" s="810"/>
      <c r="K63" s="810"/>
    </row>
    <row r="64" spans="1:13" x14ac:dyDescent="0.25">
      <c r="B64" s="205">
        <f>C64-1</f>
        <v>2013</v>
      </c>
      <c r="C64" s="205">
        <f>D64-1</f>
        <v>2014</v>
      </c>
      <c r="D64" s="205">
        <v>2015</v>
      </c>
      <c r="E64" s="224">
        <f>D64+1</f>
        <v>2016</v>
      </c>
      <c r="F64" s="708" t="s">
        <v>641</v>
      </c>
      <c r="G64" s="198" t="s">
        <v>630</v>
      </c>
      <c r="H64" s="198">
        <v>2018</v>
      </c>
      <c r="I64" s="198">
        <f t="shared" ref="I64" si="15">H64+1</f>
        <v>2019</v>
      </c>
      <c r="J64" s="198">
        <f t="shared" ref="J64" si="16">I64+1</f>
        <v>2020</v>
      </c>
      <c r="K64" s="198">
        <f t="shared" ref="K64" si="17">J64+1</f>
        <v>2021</v>
      </c>
    </row>
    <row r="65" spans="1:11" x14ac:dyDescent="0.25">
      <c r="B65" s="812" t="s">
        <v>502</v>
      </c>
      <c r="C65" s="812"/>
      <c r="D65" s="812"/>
      <c r="E65" s="812"/>
      <c r="F65" s="812"/>
      <c r="G65" s="811" t="s">
        <v>502</v>
      </c>
      <c r="H65" s="811"/>
      <c r="I65" s="811"/>
      <c r="J65" s="811"/>
      <c r="K65" s="811"/>
    </row>
    <row r="66" spans="1:11" x14ac:dyDescent="0.25">
      <c r="A66" s="744"/>
      <c r="B66" s="71">
        <f>+(B16+B22)/B9</f>
        <v>0.82801972732009355</v>
      </c>
      <c r="C66" s="71">
        <f t="shared" ref="C66:K66" si="18">+(C16+C22)/C9</f>
        <v>0.8236936192192863</v>
      </c>
      <c r="D66" s="71">
        <f t="shared" si="18"/>
        <v>0.82103070118848098</v>
      </c>
      <c r="E66" s="71">
        <f t="shared" si="18"/>
        <v>0.830947695027904</v>
      </c>
      <c r="F66" s="71">
        <f t="shared" si="18"/>
        <v>0.83011249536928822</v>
      </c>
      <c r="G66" s="71">
        <f t="shared" si="18"/>
        <v>0.83127994858742849</v>
      </c>
      <c r="H66" s="71">
        <f t="shared" si="18"/>
        <v>0.83322173175332392</v>
      </c>
      <c r="I66" s="71">
        <f t="shared" si="18"/>
        <v>0.83322173175332392</v>
      </c>
      <c r="J66" s="71">
        <f t="shared" si="18"/>
        <v>0.83322173175332392</v>
      </c>
      <c r="K66" s="71">
        <f t="shared" si="18"/>
        <v>0.8332217317533237</v>
      </c>
    </row>
    <row r="67" spans="1:11" x14ac:dyDescent="0.25">
      <c r="A67" s="744"/>
      <c r="B67" s="71">
        <f>+B45/B9</f>
        <v>0.15375032248607559</v>
      </c>
      <c r="C67" s="71">
        <f t="shared" ref="C67:K67" si="19">+C45/C9</f>
        <v>0.15213588114395654</v>
      </c>
      <c r="D67" s="71">
        <f t="shared" si="19"/>
        <v>0.1579511045382482</v>
      </c>
      <c r="E67" s="71">
        <f t="shared" si="19"/>
        <v>0.18110677167686315</v>
      </c>
      <c r="F67" s="71">
        <f t="shared" si="19"/>
        <v>0.18494730305700743</v>
      </c>
      <c r="G67" s="71">
        <f t="shared" si="19"/>
        <v>0.18520740915749953</v>
      </c>
      <c r="H67" s="71">
        <f t="shared" si="19"/>
        <v>0.15739017976150146</v>
      </c>
      <c r="I67" s="71">
        <f t="shared" si="19"/>
        <v>0.15739017976150146</v>
      </c>
      <c r="J67" s="71">
        <f t="shared" si="19"/>
        <v>0.15739017976150146</v>
      </c>
      <c r="K67" s="71">
        <f t="shared" si="19"/>
        <v>0.15739017976150138</v>
      </c>
    </row>
    <row r="68" spans="1:11" x14ac:dyDescent="0.25">
      <c r="A68" s="744"/>
      <c r="B68" s="71">
        <f>+B50/B9</f>
        <v>1.2574294140738147E-2</v>
      </c>
      <c r="C68" s="71">
        <f t="shared" ref="C68:K68" si="20">+C50/C9</f>
        <v>1.2837494794873391E-2</v>
      </c>
      <c r="D68" s="71">
        <f t="shared" si="20"/>
        <v>1.2315497621357186E-2</v>
      </c>
      <c r="E68" s="71">
        <f t="shared" si="20"/>
        <v>1.3349592795564013E-2</v>
      </c>
      <c r="F68" s="71">
        <f t="shared" ref="F68" si="21">+F50/F9</f>
        <v>1.0681808179527711E-2</v>
      </c>
      <c r="G68" s="71">
        <f t="shared" si="20"/>
        <v>1.0696830855856897E-2</v>
      </c>
      <c r="H68" s="71">
        <f t="shared" si="20"/>
        <v>1.234314880699547E-2</v>
      </c>
      <c r="I68" s="71">
        <f t="shared" si="20"/>
        <v>1.2343148806995469E-2</v>
      </c>
      <c r="J68" s="71">
        <f t="shared" si="20"/>
        <v>1.2343148806995469E-2</v>
      </c>
      <c r="K68" s="71">
        <f t="shared" si="20"/>
        <v>1.234314880699547E-2</v>
      </c>
    </row>
    <row r="69" spans="1:11" x14ac:dyDescent="0.25">
      <c r="A69" s="742"/>
      <c r="B69" s="151">
        <f>+B54/B9</f>
        <v>1.186772042049062E-2</v>
      </c>
      <c r="C69" s="151">
        <f t="shared" ref="C69:K69" si="22">+C54/C9</f>
        <v>1.0060369709770603E-2</v>
      </c>
      <c r="D69" s="151">
        <f t="shared" si="22"/>
        <v>9.9326388598215826E-3</v>
      </c>
      <c r="E69" s="151">
        <f t="shared" si="22"/>
        <v>1.20304538228851E-2</v>
      </c>
      <c r="F69" s="151">
        <f t="shared" ref="F69" si="23">+F54/F9</f>
        <v>1.1332463034773232E-2</v>
      </c>
      <c r="G69" s="151">
        <f t="shared" si="22"/>
        <v>1.1348400778769622E-2</v>
      </c>
      <c r="H69" s="151">
        <f t="shared" si="22"/>
        <v>1.1037985360148276E-2</v>
      </c>
      <c r="I69" s="151">
        <f t="shared" si="22"/>
        <v>1.1037985360148276E-2</v>
      </c>
      <c r="J69" s="151">
        <f t="shared" si="22"/>
        <v>1.1037985360148276E-2</v>
      </c>
      <c r="K69" s="151">
        <f t="shared" si="22"/>
        <v>1.1037985360148276E-2</v>
      </c>
    </row>
    <row r="70" spans="1:11" x14ac:dyDescent="0.25">
      <c r="A70" s="743"/>
      <c r="B70" s="472">
        <f>SUM(B66:B69)</f>
        <v>1.006212064367398</v>
      </c>
      <c r="C70" s="472">
        <f t="shared" ref="C70:K70" si="24">SUM(C66:C69)</f>
        <v>0.99872736486788694</v>
      </c>
      <c r="D70" s="472">
        <f t="shared" si="24"/>
        <v>1.0012299422079081</v>
      </c>
      <c r="E70" s="472">
        <f t="shared" si="24"/>
        <v>1.0374345133232161</v>
      </c>
      <c r="F70" s="472">
        <f t="shared" si="24"/>
        <v>1.0370740696405967</v>
      </c>
      <c r="G70" s="472">
        <f t="shared" si="24"/>
        <v>1.0385325893795545</v>
      </c>
      <c r="H70" s="472">
        <f t="shared" si="24"/>
        <v>1.0139930456819692</v>
      </c>
      <c r="I70" s="472">
        <f t="shared" si="24"/>
        <v>1.0139930456819692</v>
      </c>
      <c r="J70" s="472">
        <f t="shared" si="24"/>
        <v>1.0139930456819692</v>
      </c>
      <c r="K70" s="472">
        <f t="shared" si="24"/>
        <v>1.0139930456819688</v>
      </c>
    </row>
    <row r="71" spans="1:11" x14ac:dyDescent="0.25">
      <c r="A71" s="473" t="s">
        <v>503</v>
      </c>
      <c r="B71" s="474" t="s">
        <v>504</v>
      </c>
      <c r="C71" s="474" t="s">
        <v>505</v>
      </c>
      <c r="D71" s="474" t="s">
        <v>504</v>
      </c>
      <c r="E71" s="474" t="s">
        <v>504</v>
      </c>
      <c r="F71" s="474" t="s">
        <v>504</v>
      </c>
    </row>
  </sheetData>
  <scenarios current="0" show="0">
    <scenario name="Test" locked="1" count="5" user="rodbl" comment="Created by rodbl on 12/6/2017">
      <inputCells r="G7" val="109730198.773"/>
      <inputCells r="H7" val="113532350.160484"/>
      <inputCells r="I7" val="117662940.890198"/>
      <inputCells r="J7" val="122157856.434483"/>
      <inputCells r="K7" val="127057816.487912"/>
    </scenario>
  </scenarios>
  <mergeCells count="7">
    <mergeCell ref="G65:K65"/>
    <mergeCell ref="B65:F65"/>
    <mergeCell ref="F4:G4"/>
    <mergeCell ref="L6:M6"/>
    <mergeCell ref="B5:E5"/>
    <mergeCell ref="B63:E63"/>
    <mergeCell ref="G63:K63"/>
  </mergeCells>
  <conditionalFormatting sqref="N7">
    <cfRule type="dataBar" priority="1">
      <dataBar>
        <cfvo type="min"/>
        <cfvo type="max"/>
        <color rgb="FF638EC6"/>
      </dataBar>
      <extLst>
        <ext xmlns:x14="http://schemas.microsoft.com/office/spreadsheetml/2009/9/main" uri="{B025F937-C7B1-47D3-B67F-A62EFF666E3E}">
          <x14:id>{61E8A9D9-87D2-4F77-A917-E404A66E7E00}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1E8A9D9-87D2-4F77-A917-E404A66E7E00}">
            <x14:dataBar minLength="0" maxLength="100" border="1" negativeBarBorderColorSameAsPositive="0">
              <x14:cfvo type="autoMin"/>
              <x14:cfvo type="autoMax"/>
              <x14:borderColor rgb="FF638EC6"/>
              <x14:negativeFillColor rgb="FFFF0000"/>
              <x14:negativeBorderColor rgb="FFFF0000"/>
              <x14:axisColor rgb="FF000000"/>
            </x14:dataBar>
          </x14:cfRule>
          <xm:sqref>N7</xm:sqref>
        </x14:conditionalFormatting>
      </x14:conditionalFormattings>
    </ext>
    <ext xmlns:x14="http://schemas.microsoft.com/office/spreadsheetml/2009/9/main" uri="{05C60535-1F16-4fd2-B633-F4F36F0B64E0}">
      <x14:sparklineGroups xmlns:xm="http://schemas.microsoft.com/office/excel/2006/main">
        <x14:sparklineGroup displayEmptyCellsAs="gap" xr2:uid="{84D6143C-A901-4A59-823C-F7CA50C3FB08}">
          <x14:colorSeries rgb="FF376092"/>
          <x14:colorNegative rgb="FFD00000"/>
          <x14:colorAxis rgb="FF000000"/>
          <x14:colorMarkers rgb="FFD00000"/>
          <x14:colorFirst rgb="FFD00000"/>
          <x14:colorLast rgb="FFD00000"/>
          <x14:colorHigh rgb="FFD00000"/>
          <x14:colorLow rgb="FFD00000"/>
          <x14:sparklines>
            <x14:sparkline>
              <xm:f>'EERR Proyectado'!B7:K7</xm:f>
              <xm:sqref>L7</xm:sqref>
            </x14:sparkline>
            <x14:sparkline>
              <xm:f>'EERR Proyectado'!B8:K8</xm:f>
              <xm:sqref>L8</xm:sqref>
            </x14:sparkline>
            <x14:sparkline>
              <xm:f>'EERR Proyectado'!B9:K9</xm:f>
              <xm:sqref>L9</xm:sqref>
            </x14:sparkline>
            <x14:sparkline>
              <xm:f>'EERR Proyectado'!B10:K10</xm:f>
              <xm:sqref>L10</xm:sqref>
            </x14:sparkline>
            <x14:sparkline>
              <xm:f>'EERR Proyectado'!B11:K11</xm:f>
              <xm:sqref>L11</xm:sqref>
            </x14:sparkline>
            <x14:sparkline>
              <xm:f>'EERR Proyectado'!B12:K12</xm:f>
              <xm:sqref>L12</xm:sqref>
            </x14:sparkline>
            <x14:sparkline>
              <xm:f>'EERR Proyectado'!B13:K13</xm:f>
              <xm:sqref>L13</xm:sqref>
            </x14:sparkline>
            <x14:sparkline>
              <xm:f>'EERR Proyectado'!B14:K14</xm:f>
              <xm:sqref>L14</xm:sqref>
            </x14:sparkline>
            <x14:sparkline>
              <xm:f>'EERR Proyectado'!B15:K15</xm:f>
              <xm:sqref>L15</xm:sqref>
            </x14:sparkline>
            <x14:sparkline>
              <xm:f>'EERR Proyectado'!B16:K16</xm:f>
              <xm:sqref>L16</xm:sqref>
            </x14:sparkline>
            <x14:sparkline>
              <xm:f>'EERR Proyectado'!B17:K17</xm:f>
              <xm:sqref>L17</xm:sqref>
            </x14:sparkline>
            <x14:sparkline>
              <xm:f>'EERR Proyectado'!B18:K18</xm:f>
              <xm:sqref>L18</xm:sqref>
            </x14:sparkline>
            <x14:sparkline>
              <xm:f>'EERR Proyectado'!B19:K19</xm:f>
              <xm:sqref>L19</xm:sqref>
            </x14:sparkline>
            <x14:sparkline>
              <xm:f>'EERR Proyectado'!B20:K20</xm:f>
              <xm:sqref>L20</xm:sqref>
            </x14:sparkline>
            <x14:sparkline>
              <xm:f>'EERR Proyectado'!B21:K21</xm:f>
              <xm:sqref>L21</xm:sqref>
            </x14:sparkline>
            <x14:sparkline>
              <xm:f>'EERR Proyectado'!B22:K22</xm:f>
              <xm:sqref>L22</xm:sqref>
            </x14:sparkline>
            <x14:sparkline>
              <xm:f>'EERR Proyectado'!B23:K23</xm:f>
              <xm:sqref>L23</xm:sqref>
            </x14:sparkline>
            <x14:sparkline>
              <xm:f>'EERR Proyectado'!B24:K24</xm:f>
              <xm:sqref>L24</xm:sqref>
            </x14:sparkline>
            <x14:sparkline>
              <xm:f>'EERR Proyectado'!B25:K25</xm:f>
              <xm:sqref>L25</xm:sqref>
            </x14:sparkline>
            <x14:sparkline>
              <xm:f>'EERR Proyectado'!B26:K26</xm:f>
              <xm:sqref>L26</xm:sqref>
            </x14:sparkline>
            <x14:sparkline>
              <xm:f>'EERR Proyectado'!B27:K27</xm:f>
              <xm:sqref>L27</xm:sqref>
            </x14:sparkline>
            <x14:sparkline>
              <xm:f>'EERR Proyectado'!B28:K28</xm:f>
              <xm:sqref>L28</xm:sqref>
            </x14:sparkline>
            <x14:sparkline>
              <xm:f>'EERR Proyectado'!B29:K29</xm:f>
              <xm:sqref>L29</xm:sqref>
            </x14:sparkline>
            <x14:sparkline>
              <xm:f>'EERR Proyectado'!B30:K30</xm:f>
              <xm:sqref>L30</xm:sqref>
            </x14:sparkline>
            <x14:sparkline>
              <xm:f>'EERR Proyectado'!B31:K31</xm:f>
              <xm:sqref>L31</xm:sqref>
            </x14:sparkline>
            <x14:sparkline>
              <xm:f>'EERR Proyectado'!B32:K32</xm:f>
              <xm:sqref>L32</xm:sqref>
            </x14:sparkline>
            <x14:sparkline>
              <xm:f>'EERR Proyectado'!B33:K33</xm:f>
              <xm:sqref>L33</xm:sqref>
            </x14:sparkline>
            <x14:sparkline>
              <xm:f>'EERR Proyectado'!B34:K34</xm:f>
              <xm:sqref>L34</xm:sqref>
            </x14:sparkline>
            <x14:sparkline>
              <xm:f>'EERR Proyectado'!B35:K35</xm:f>
              <xm:sqref>L35</xm:sqref>
            </x14:sparkline>
            <x14:sparkline>
              <xm:f>'EERR Proyectado'!B36:K36</xm:f>
              <xm:sqref>L36</xm:sqref>
            </x14:sparkline>
            <x14:sparkline>
              <xm:f>'EERR Proyectado'!B37:K37</xm:f>
              <xm:sqref>L37</xm:sqref>
            </x14:sparkline>
            <x14:sparkline>
              <xm:f>'EERR Proyectado'!B38:K38</xm:f>
              <xm:sqref>L38</xm:sqref>
            </x14:sparkline>
            <x14:sparkline>
              <xm:f>'EERR Proyectado'!B39:K39</xm:f>
              <xm:sqref>L39</xm:sqref>
            </x14:sparkline>
            <x14:sparkline>
              <xm:f>'EERR Proyectado'!B40:K40</xm:f>
              <xm:sqref>L40</xm:sqref>
            </x14:sparkline>
            <x14:sparkline>
              <xm:f>'EERR Proyectado'!B41:K41</xm:f>
              <xm:sqref>L41</xm:sqref>
            </x14:sparkline>
            <x14:sparkline>
              <xm:f>'EERR Proyectado'!B42:K42</xm:f>
              <xm:sqref>L42</xm:sqref>
            </x14:sparkline>
            <x14:sparkline>
              <xm:f>'EERR Proyectado'!B43:K43</xm:f>
              <xm:sqref>L43</xm:sqref>
            </x14:sparkline>
            <x14:sparkline>
              <xm:f>'EERR Proyectado'!B44:K44</xm:f>
              <xm:sqref>L44</xm:sqref>
            </x14:sparkline>
            <x14:sparkline>
              <xm:f>'EERR Proyectado'!B45:K45</xm:f>
              <xm:sqref>L45</xm:sqref>
            </x14:sparkline>
            <x14:sparkline>
              <xm:f>'EERR Proyectado'!B46:K46</xm:f>
              <xm:sqref>L46</xm:sqref>
            </x14:sparkline>
            <x14:sparkline>
              <xm:f>'EERR Proyectado'!B47:K47</xm:f>
              <xm:sqref>L47</xm:sqref>
            </x14:sparkline>
            <x14:sparkline>
              <xm:f>'EERR Proyectado'!B48:K48</xm:f>
              <xm:sqref>L48</xm:sqref>
            </x14:sparkline>
            <x14:sparkline>
              <xm:f>'EERR Proyectado'!B49:K49</xm:f>
              <xm:sqref>L49</xm:sqref>
            </x14:sparkline>
            <x14:sparkline>
              <xm:f>'EERR Proyectado'!B50:K50</xm:f>
              <xm:sqref>L50</xm:sqref>
            </x14:sparkline>
            <x14:sparkline>
              <xm:f>'EERR Proyectado'!B51:K51</xm:f>
              <xm:sqref>L51</xm:sqref>
            </x14:sparkline>
            <x14:sparkline>
              <xm:f>'EERR Proyectado'!B52:K52</xm:f>
              <xm:sqref>L52</xm:sqref>
            </x14:sparkline>
            <x14:sparkline>
              <xm:f>'EERR Proyectado'!B53:K53</xm:f>
              <xm:sqref>L53</xm:sqref>
            </x14:sparkline>
            <x14:sparkline>
              <xm:f>'EERR Proyectado'!B54:K54</xm:f>
              <xm:sqref>L54</xm:sqref>
            </x14:sparkline>
            <x14:sparkline>
              <xm:f>'EERR Proyectado'!B55:K55</xm:f>
              <xm:sqref>L55</xm:sqref>
            </x14:sparkline>
            <x14:sparkline>
              <xm:f>'EERR Proyectado'!B56:K56</xm:f>
              <xm:sqref>L56</xm:sqref>
            </x14:sparkline>
            <x14:sparkline>
              <xm:f>'EERR Proyectado'!B57:K57</xm:f>
              <xm:sqref>L57</xm:sqref>
            </x14:sparkline>
            <x14:sparkline>
              <xm:f>'EERR Proyectado'!B58:K58</xm:f>
              <xm:sqref>L58</xm:sqref>
            </x14:sparkline>
            <x14:sparkline>
              <xm:f>'EERR Proyectado'!B59:K59</xm:f>
              <xm:sqref>L59</xm:sqref>
            </x14:sparkline>
            <x14:sparkline>
              <xm:f>'EERR Proyectado'!B60:K60</xm:f>
              <xm:sqref>L60</xm:sqref>
            </x14:sparkline>
            <x14:sparkline>
              <xm:f>'EERR Proyectado'!B61:K61</xm:f>
              <xm:sqref>L61</xm:sqref>
            </x14:sparkline>
          </x14:sparklines>
        </x14:sparklineGroup>
        <x14:sparklineGroup type="column" displayEmptyCellsAs="gap" high="1" low="1" xr2:uid="{986ACE87-8279-4386-86AC-F18D6D84685B}">
          <x14:colorSeries rgb="FF00B050"/>
          <x14:colorNegative rgb="FFFF0000"/>
          <x14:colorAxis rgb="FF000000"/>
          <x14:colorMarkers rgb="FF0070C0"/>
          <x14:colorFirst rgb="FFFFC000"/>
          <x14:colorLast rgb="FFFFC000"/>
          <x14:colorHigh rgb="FF00B050"/>
          <x14:colorLow rgb="FFFF0000"/>
          <x14:sparklines>
            <x14:sparkline>
              <xm:f>'EERR Proyectado'!B7:K7</xm:f>
              <xm:sqref>M7</xm:sqref>
            </x14:sparkline>
            <x14:sparkline>
              <xm:f>'EERR Proyectado'!B8:K8</xm:f>
              <xm:sqref>M8</xm:sqref>
            </x14:sparkline>
            <x14:sparkline>
              <xm:f>'EERR Proyectado'!B9:K9</xm:f>
              <xm:sqref>M9</xm:sqref>
            </x14:sparkline>
            <x14:sparkline>
              <xm:f>'EERR Proyectado'!B10:K10</xm:f>
              <xm:sqref>M10</xm:sqref>
            </x14:sparkline>
            <x14:sparkline>
              <xm:f>'EERR Proyectado'!B11:K11</xm:f>
              <xm:sqref>M11</xm:sqref>
            </x14:sparkline>
            <x14:sparkline>
              <xm:f>'EERR Proyectado'!B12:K12</xm:f>
              <xm:sqref>M12</xm:sqref>
            </x14:sparkline>
            <x14:sparkline>
              <xm:f>'EERR Proyectado'!B13:K13</xm:f>
              <xm:sqref>M13</xm:sqref>
            </x14:sparkline>
            <x14:sparkline>
              <xm:f>'EERR Proyectado'!B14:K14</xm:f>
              <xm:sqref>M14</xm:sqref>
            </x14:sparkline>
            <x14:sparkline>
              <xm:f>'EERR Proyectado'!B15:K15</xm:f>
              <xm:sqref>M15</xm:sqref>
            </x14:sparkline>
            <x14:sparkline>
              <xm:f>'EERR Proyectado'!B16:K16</xm:f>
              <xm:sqref>M16</xm:sqref>
            </x14:sparkline>
            <x14:sparkline>
              <xm:f>'EERR Proyectado'!B17:K17</xm:f>
              <xm:sqref>M17</xm:sqref>
            </x14:sparkline>
            <x14:sparkline>
              <xm:f>'EERR Proyectado'!B18:K18</xm:f>
              <xm:sqref>M18</xm:sqref>
            </x14:sparkline>
            <x14:sparkline>
              <xm:f>'EERR Proyectado'!B19:K19</xm:f>
              <xm:sqref>M19</xm:sqref>
            </x14:sparkline>
            <x14:sparkline>
              <xm:f>'EERR Proyectado'!B20:K20</xm:f>
              <xm:sqref>M20</xm:sqref>
            </x14:sparkline>
            <x14:sparkline>
              <xm:f>'EERR Proyectado'!B21:K21</xm:f>
              <xm:sqref>M21</xm:sqref>
            </x14:sparkline>
            <x14:sparkline>
              <xm:f>'EERR Proyectado'!B22:K22</xm:f>
              <xm:sqref>M22</xm:sqref>
            </x14:sparkline>
            <x14:sparkline>
              <xm:f>'EERR Proyectado'!B23:K23</xm:f>
              <xm:sqref>M23</xm:sqref>
            </x14:sparkline>
            <x14:sparkline>
              <xm:f>'EERR Proyectado'!B24:K24</xm:f>
              <xm:sqref>M24</xm:sqref>
            </x14:sparkline>
            <x14:sparkline>
              <xm:f>'EERR Proyectado'!B25:K25</xm:f>
              <xm:sqref>M25</xm:sqref>
            </x14:sparkline>
            <x14:sparkline>
              <xm:f>'EERR Proyectado'!B26:K26</xm:f>
              <xm:sqref>M26</xm:sqref>
            </x14:sparkline>
            <x14:sparkline>
              <xm:f>'EERR Proyectado'!B27:K27</xm:f>
              <xm:sqref>M27</xm:sqref>
            </x14:sparkline>
            <x14:sparkline>
              <xm:f>'EERR Proyectado'!B28:K28</xm:f>
              <xm:sqref>M28</xm:sqref>
            </x14:sparkline>
            <x14:sparkline>
              <xm:f>'EERR Proyectado'!B29:K29</xm:f>
              <xm:sqref>M29</xm:sqref>
            </x14:sparkline>
            <x14:sparkline>
              <xm:f>'EERR Proyectado'!B30:K30</xm:f>
              <xm:sqref>M30</xm:sqref>
            </x14:sparkline>
            <x14:sparkline>
              <xm:f>'EERR Proyectado'!B31:K31</xm:f>
              <xm:sqref>M31</xm:sqref>
            </x14:sparkline>
            <x14:sparkline>
              <xm:f>'EERR Proyectado'!B32:K32</xm:f>
              <xm:sqref>M32</xm:sqref>
            </x14:sparkline>
            <x14:sparkline>
              <xm:f>'EERR Proyectado'!B33:K33</xm:f>
              <xm:sqref>M33</xm:sqref>
            </x14:sparkline>
            <x14:sparkline>
              <xm:f>'EERR Proyectado'!B34:K34</xm:f>
              <xm:sqref>M34</xm:sqref>
            </x14:sparkline>
            <x14:sparkline>
              <xm:f>'EERR Proyectado'!B35:K35</xm:f>
              <xm:sqref>M35</xm:sqref>
            </x14:sparkline>
            <x14:sparkline>
              <xm:f>'EERR Proyectado'!B36:K36</xm:f>
              <xm:sqref>M36</xm:sqref>
            </x14:sparkline>
            <x14:sparkline>
              <xm:f>'EERR Proyectado'!B37:K37</xm:f>
              <xm:sqref>M37</xm:sqref>
            </x14:sparkline>
            <x14:sparkline>
              <xm:f>'EERR Proyectado'!B38:K38</xm:f>
              <xm:sqref>M38</xm:sqref>
            </x14:sparkline>
            <x14:sparkline>
              <xm:f>'EERR Proyectado'!B39:K39</xm:f>
              <xm:sqref>M39</xm:sqref>
            </x14:sparkline>
            <x14:sparkline>
              <xm:f>'EERR Proyectado'!B40:K40</xm:f>
              <xm:sqref>M40</xm:sqref>
            </x14:sparkline>
            <x14:sparkline>
              <xm:f>'EERR Proyectado'!B41:K41</xm:f>
              <xm:sqref>M41</xm:sqref>
            </x14:sparkline>
            <x14:sparkline>
              <xm:f>'EERR Proyectado'!B42:K42</xm:f>
              <xm:sqref>M42</xm:sqref>
            </x14:sparkline>
            <x14:sparkline>
              <xm:f>'EERR Proyectado'!B43:K43</xm:f>
              <xm:sqref>M43</xm:sqref>
            </x14:sparkline>
            <x14:sparkline>
              <xm:f>'EERR Proyectado'!B44:K44</xm:f>
              <xm:sqref>M44</xm:sqref>
            </x14:sparkline>
            <x14:sparkline>
              <xm:f>'EERR Proyectado'!B45:K45</xm:f>
              <xm:sqref>M45</xm:sqref>
            </x14:sparkline>
            <x14:sparkline>
              <xm:f>'EERR Proyectado'!B46:K46</xm:f>
              <xm:sqref>M46</xm:sqref>
            </x14:sparkline>
            <x14:sparkline>
              <xm:f>'EERR Proyectado'!B47:K47</xm:f>
              <xm:sqref>M47</xm:sqref>
            </x14:sparkline>
            <x14:sparkline>
              <xm:f>'EERR Proyectado'!B48:K48</xm:f>
              <xm:sqref>M48</xm:sqref>
            </x14:sparkline>
            <x14:sparkline>
              <xm:f>'EERR Proyectado'!B49:K49</xm:f>
              <xm:sqref>M49</xm:sqref>
            </x14:sparkline>
            <x14:sparkline>
              <xm:f>'EERR Proyectado'!B50:K50</xm:f>
              <xm:sqref>M50</xm:sqref>
            </x14:sparkline>
            <x14:sparkline>
              <xm:f>'EERR Proyectado'!B51:K51</xm:f>
              <xm:sqref>M51</xm:sqref>
            </x14:sparkline>
            <x14:sparkline>
              <xm:f>'EERR Proyectado'!B52:K52</xm:f>
              <xm:sqref>M52</xm:sqref>
            </x14:sparkline>
            <x14:sparkline>
              <xm:f>'EERR Proyectado'!B53:K53</xm:f>
              <xm:sqref>M53</xm:sqref>
            </x14:sparkline>
            <x14:sparkline>
              <xm:f>'EERR Proyectado'!B54:K54</xm:f>
              <xm:sqref>M54</xm:sqref>
            </x14:sparkline>
            <x14:sparkline>
              <xm:f>'EERR Proyectado'!B55:K55</xm:f>
              <xm:sqref>M55</xm:sqref>
            </x14:sparkline>
            <x14:sparkline>
              <xm:f>'EERR Proyectado'!B56:K56</xm:f>
              <xm:sqref>M56</xm:sqref>
            </x14:sparkline>
            <x14:sparkline>
              <xm:f>'EERR Proyectado'!B57:K57</xm:f>
              <xm:sqref>M57</xm:sqref>
            </x14:sparkline>
            <x14:sparkline>
              <xm:f>'EERR Proyectado'!B58:K58</xm:f>
              <xm:sqref>M58</xm:sqref>
            </x14:sparkline>
            <x14:sparkline>
              <xm:f>'EERR Proyectado'!B59:K59</xm:f>
              <xm:sqref>M59</xm:sqref>
            </x14:sparkline>
            <x14:sparkline>
              <xm:f>'EERR Proyectado'!B60:K60</xm:f>
              <xm:sqref>M60</xm:sqref>
            </x14:sparkline>
            <x14:sparkline>
              <xm:f>'EERR Proyectado'!B61:K61</xm:f>
              <xm:sqref>M61</xm:sqref>
            </x14:sparkline>
          </x14:sparklines>
        </x14:sparklineGroup>
      </x14:sparklineGroup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A8536-4D85-4EDA-A86B-281D3AE8A30E}">
  <sheetPr>
    <tabColor rgb="FFFF6699"/>
  </sheetPr>
  <dimension ref="A1:G63"/>
  <sheetViews>
    <sheetView showGridLines="0" topLeftCell="A33" zoomScale="90" zoomScaleNormal="90" workbookViewId="0">
      <selection activeCell="I47" sqref="I47"/>
    </sheetView>
  </sheetViews>
  <sheetFormatPr defaultRowHeight="15" x14ac:dyDescent="0.25"/>
  <cols>
    <col min="1" max="1" width="39.28515625" customWidth="1"/>
    <col min="2" max="4" width="16.28515625" customWidth="1"/>
  </cols>
  <sheetData>
    <row r="1" spans="1:4" x14ac:dyDescent="0.25">
      <c r="A1" s="1" t="s">
        <v>0</v>
      </c>
    </row>
    <row r="2" spans="1:4" x14ac:dyDescent="0.25">
      <c r="A2" s="1" t="s">
        <v>338</v>
      </c>
    </row>
    <row r="3" spans="1:4" x14ac:dyDescent="0.25">
      <c r="A3" s="1" t="s">
        <v>634</v>
      </c>
    </row>
    <row r="6" spans="1:4" x14ac:dyDescent="0.25">
      <c r="B6" s="708" t="s">
        <v>651</v>
      </c>
      <c r="C6" s="715" t="s">
        <v>632</v>
      </c>
      <c r="D6" s="710" t="s">
        <v>650</v>
      </c>
    </row>
    <row r="7" spans="1:4" x14ac:dyDescent="0.25">
      <c r="A7" s="161" t="s">
        <v>320</v>
      </c>
      <c r="B7" s="714">
        <f>+'EERR Proyectado'!F7</f>
        <v>79095866</v>
      </c>
      <c r="C7" s="716">
        <f>+D7-B7</f>
        <v>30634332.772999987</v>
      </c>
      <c r="D7" s="216">
        <f>+'EERR Proyectado'!G7</f>
        <v>109730198.77299999</v>
      </c>
    </row>
    <row r="8" spans="1:4" x14ac:dyDescent="0.25">
      <c r="A8" s="161" t="s">
        <v>321</v>
      </c>
      <c r="B8" s="209">
        <f>+'EERR Proyectado'!F8</f>
        <v>408651</v>
      </c>
      <c r="C8" s="717">
        <f>+D8-B8</f>
        <v>3371.3707500000019</v>
      </c>
      <c r="D8" s="217">
        <f>+'EERR Proyectado'!G8</f>
        <v>412022.37075</v>
      </c>
    </row>
    <row r="9" spans="1:4" x14ac:dyDescent="0.25">
      <c r="A9" s="461" t="s">
        <v>323</v>
      </c>
      <c r="B9" s="206">
        <f>+'EERR Proyectado'!F9</f>
        <v>79504517</v>
      </c>
      <c r="C9" s="717">
        <f>SUM(C7:C8)</f>
        <v>30637704.143749986</v>
      </c>
      <c r="D9" s="203">
        <f>+'EERR Proyectado'!G9</f>
        <v>110142221.14374998</v>
      </c>
    </row>
    <row r="10" spans="1:4" x14ac:dyDescent="0.25">
      <c r="A10" s="340"/>
      <c r="B10" s="462"/>
      <c r="C10" s="462"/>
      <c r="D10" s="441"/>
    </row>
    <row r="11" spans="1:4" x14ac:dyDescent="0.25">
      <c r="A11" s="470" t="s">
        <v>260</v>
      </c>
      <c r="B11" s="464"/>
      <c r="C11" s="464"/>
      <c r="D11" s="466"/>
    </row>
    <row r="12" spans="1:4" x14ac:dyDescent="0.25">
      <c r="A12" s="161" t="s">
        <v>264</v>
      </c>
      <c r="B12" s="206">
        <f>+'EERR Proyectado'!F12</f>
        <v>66110714</v>
      </c>
      <c r="C12" s="716">
        <f t="shared" ref="C12:C15" si="0">+D12-B12</f>
        <v>25605100.682969049</v>
      </c>
      <c r="D12" s="203">
        <f>+'EERR Proyectado'!G12</f>
        <v>91715814.682969049</v>
      </c>
    </row>
    <row r="13" spans="1:4" x14ac:dyDescent="0.25">
      <c r="A13" s="161" t="s">
        <v>41</v>
      </c>
      <c r="B13" s="206">
        <f>+'EERR Proyectado'!F13</f>
        <v>-2671375</v>
      </c>
      <c r="C13" s="718">
        <f t="shared" si="0"/>
        <v>-1034640.5551899876</v>
      </c>
      <c r="D13" s="203">
        <f>+'EERR Proyectado'!G13</f>
        <v>-3706015.5551899876</v>
      </c>
    </row>
    <row r="14" spans="1:4" x14ac:dyDescent="0.25">
      <c r="A14" s="161" t="s">
        <v>237</v>
      </c>
      <c r="B14" s="206">
        <f>+'EERR Proyectado'!F14</f>
        <v>767266</v>
      </c>
      <c r="C14" s="718">
        <f t="shared" si="0"/>
        <v>297167.00958060939</v>
      </c>
      <c r="D14" s="203">
        <f>+'EERR Proyectado'!G14</f>
        <v>1064433.0095806094</v>
      </c>
    </row>
    <row r="15" spans="1:4" x14ac:dyDescent="0.25">
      <c r="A15" s="161" t="s">
        <v>266</v>
      </c>
      <c r="B15" s="209">
        <f>+'EERR Proyectado'!F15</f>
        <v>275984</v>
      </c>
      <c r="C15" s="717">
        <f t="shared" si="0"/>
        <v>106890.36132461875</v>
      </c>
      <c r="D15" s="201">
        <f>+'EERR Proyectado'!G15</f>
        <v>382874.36132461875</v>
      </c>
    </row>
    <row r="16" spans="1:4" x14ac:dyDescent="0.25">
      <c r="A16" s="461" t="s">
        <v>269</v>
      </c>
      <c r="B16" s="213">
        <f>+'EERR Proyectado'!F16</f>
        <v>64482589</v>
      </c>
      <c r="C16" s="719">
        <f>SUM(C12:C15)</f>
        <v>24974517.498684287</v>
      </c>
      <c r="D16" s="203">
        <f>+'EERR Proyectado'!G16</f>
        <v>89457106.498684302</v>
      </c>
    </row>
    <row r="17" spans="1:4" x14ac:dyDescent="0.25">
      <c r="A17" s="471"/>
    </row>
    <row r="18" spans="1:4" x14ac:dyDescent="0.25">
      <c r="A18" s="470" t="s">
        <v>261</v>
      </c>
    </row>
    <row r="19" spans="1:4" x14ac:dyDescent="0.25">
      <c r="A19" s="161" t="s">
        <v>263</v>
      </c>
      <c r="B19" s="213">
        <f>+'EERR Proyectado'!F19</f>
        <v>755312</v>
      </c>
      <c r="C19" s="718">
        <f t="shared" ref="C19:C22" si="1">+D19-B19</f>
        <v>292537.14922901487</v>
      </c>
      <c r="D19" s="203">
        <f>+'EERR Proyectado'!G19</f>
        <v>1047849.1492290149</v>
      </c>
    </row>
    <row r="20" spans="1:4" x14ac:dyDescent="0.25">
      <c r="A20" s="161" t="s">
        <v>239</v>
      </c>
      <c r="B20" s="213">
        <f>+'EERR Proyectado'!F20</f>
        <v>423715</v>
      </c>
      <c r="C20" s="718">
        <f t="shared" si="1"/>
        <v>164107.51872811769</v>
      </c>
      <c r="D20" s="203">
        <f>+'EERR Proyectado'!G20</f>
        <v>587822.51872811769</v>
      </c>
    </row>
    <row r="21" spans="1:4" x14ac:dyDescent="0.25">
      <c r="A21" s="161" t="s">
        <v>265</v>
      </c>
      <c r="B21" s="210">
        <f>+'EERR Proyectado'!F21</f>
        <v>336077</v>
      </c>
      <c r="C21" s="717">
        <f t="shared" si="1"/>
        <v>130164.76304022659</v>
      </c>
      <c r="D21" s="200">
        <f>+'EERR Proyectado'!G21</f>
        <v>466241.76304022659</v>
      </c>
    </row>
    <row r="22" spans="1:4" x14ac:dyDescent="0.25">
      <c r="A22" s="461" t="s">
        <v>270</v>
      </c>
      <c r="B22" s="213">
        <f>+'EERR Proyectado'!F22</f>
        <v>1515104</v>
      </c>
      <c r="C22" s="718">
        <f t="shared" si="1"/>
        <v>586809.4309973591</v>
      </c>
      <c r="D22" s="203">
        <f>+'EERR Proyectado'!G22</f>
        <v>2101913.4309973591</v>
      </c>
    </row>
    <row r="23" spans="1:4" x14ac:dyDescent="0.25">
      <c r="A23" s="471"/>
    </row>
    <row r="24" spans="1:4" x14ac:dyDescent="0.25">
      <c r="A24" s="470" t="s">
        <v>262</v>
      </c>
    </row>
    <row r="25" spans="1:4" x14ac:dyDescent="0.25">
      <c r="A25" s="161" t="s">
        <v>44</v>
      </c>
      <c r="B25" s="213">
        <f>+'EERR Proyectado'!F25</f>
        <v>8670297</v>
      </c>
      <c r="C25" s="718">
        <f t="shared" ref="C25:C45" si="2">+D25-B25</f>
        <v>3358061.2612389047</v>
      </c>
      <c r="D25" s="203">
        <f>+'EERR Proyectado'!G25</f>
        <v>12028358.261238905</v>
      </c>
    </row>
    <row r="26" spans="1:4" x14ac:dyDescent="0.25">
      <c r="A26" s="161" t="s">
        <v>235</v>
      </c>
      <c r="B26" s="213">
        <f>+'EERR Proyectado'!F26</f>
        <v>906080</v>
      </c>
      <c r="C26" s="718">
        <f t="shared" si="2"/>
        <v>350930.55607937626</v>
      </c>
      <c r="D26" s="203">
        <f>+'EERR Proyectado'!G26</f>
        <v>1257010.5560793763</v>
      </c>
    </row>
    <row r="27" spans="1:4" x14ac:dyDescent="0.25">
      <c r="A27" s="161" t="s">
        <v>236</v>
      </c>
      <c r="B27" s="213">
        <f>+'EERR Proyectado'!F27</f>
        <v>676693</v>
      </c>
      <c r="C27" s="718">
        <f t="shared" si="2"/>
        <v>262087.50969563553</v>
      </c>
      <c r="D27" s="203">
        <f>+'EERR Proyectado'!G27</f>
        <v>938780.50969563553</v>
      </c>
    </row>
    <row r="28" spans="1:4" x14ac:dyDescent="0.25">
      <c r="A28" s="161" t="s">
        <v>238</v>
      </c>
      <c r="B28" s="213">
        <f>+'EERR Proyectado'!F28</f>
        <v>490179</v>
      </c>
      <c r="C28" s="718">
        <f t="shared" si="2"/>
        <v>189849.44932945503</v>
      </c>
      <c r="D28" s="203">
        <f>+'EERR Proyectado'!G28</f>
        <v>680028.44932945503</v>
      </c>
    </row>
    <row r="29" spans="1:4" x14ac:dyDescent="0.25">
      <c r="A29" s="161" t="s">
        <v>240</v>
      </c>
      <c r="B29" s="213">
        <f>+'EERR Proyectado'!F29</f>
        <v>556136</v>
      </c>
      <c r="C29" s="718">
        <f t="shared" si="2"/>
        <v>215395.01560100645</v>
      </c>
      <c r="D29" s="203">
        <f>+'EERR Proyectado'!G29</f>
        <v>771531.01560100645</v>
      </c>
    </row>
    <row r="30" spans="1:4" x14ac:dyDescent="0.25">
      <c r="A30" s="161" t="s">
        <v>241</v>
      </c>
      <c r="B30" s="213">
        <f>+'EERR Proyectado'!F30</f>
        <v>292939</v>
      </c>
      <c r="C30" s="718">
        <f t="shared" si="2"/>
        <v>113457.14083451394</v>
      </c>
      <c r="D30" s="203">
        <f>+'EERR Proyectado'!G30</f>
        <v>406396.14083451394</v>
      </c>
    </row>
    <row r="31" spans="1:4" x14ac:dyDescent="0.25">
      <c r="A31" s="161" t="s">
        <v>243</v>
      </c>
      <c r="B31" s="213">
        <f>+'EERR Proyectado'!F31</f>
        <v>268209</v>
      </c>
      <c r="C31" s="718">
        <f t="shared" si="2"/>
        <v>103879.05429486738</v>
      </c>
      <c r="D31" s="203">
        <f>+'EERR Proyectado'!G31</f>
        <v>372088.05429486738</v>
      </c>
    </row>
    <row r="32" spans="1:4" x14ac:dyDescent="0.25">
      <c r="A32" s="161" t="s">
        <v>244</v>
      </c>
      <c r="B32" s="213">
        <f>+'EERR Proyectado'!F32</f>
        <v>226950</v>
      </c>
      <c r="C32" s="718">
        <f t="shared" si="2"/>
        <v>87899.180759110081</v>
      </c>
      <c r="D32" s="203">
        <f>+'EERR Proyectado'!G32</f>
        <v>314849.18075911008</v>
      </c>
    </row>
    <row r="33" spans="1:4" x14ac:dyDescent="0.25">
      <c r="A33" s="161" t="s">
        <v>245</v>
      </c>
      <c r="B33" s="213">
        <f>+'EERR Proyectado'!F33</f>
        <v>900753</v>
      </c>
      <c r="C33" s="718">
        <f t="shared" si="2"/>
        <v>348867.37504432979</v>
      </c>
      <c r="D33" s="203">
        <f>+'EERR Proyectado'!G33</f>
        <v>1249620.3750443298</v>
      </c>
    </row>
    <row r="34" spans="1:4" x14ac:dyDescent="0.25">
      <c r="A34" s="161" t="s">
        <v>246</v>
      </c>
      <c r="B34" s="213">
        <f>+'EERR Proyectado'!F34</f>
        <v>190940</v>
      </c>
      <c r="C34" s="718">
        <f t="shared" si="2"/>
        <v>73952.27836150903</v>
      </c>
      <c r="D34" s="203">
        <f>+'EERR Proyectado'!G34</f>
        <v>264892.27836150903</v>
      </c>
    </row>
    <row r="35" spans="1:4" x14ac:dyDescent="0.25">
      <c r="A35" s="161" t="s">
        <v>247</v>
      </c>
      <c r="B35" s="213">
        <f>+'EERR Proyectado'!F35</f>
        <v>184571</v>
      </c>
      <c r="C35" s="718">
        <f t="shared" si="2"/>
        <v>71485.524088520382</v>
      </c>
      <c r="D35" s="203">
        <f>+'EERR Proyectado'!G35</f>
        <v>256056.52408852038</v>
      </c>
    </row>
    <row r="36" spans="1:4" x14ac:dyDescent="0.25">
      <c r="A36" s="161" t="s">
        <v>248</v>
      </c>
      <c r="B36" s="213">
        <f>+'EERR Proyectado'!F36</f>
        <v>218690</v>
      </c>
      <c r="C36" s="718">
        <f t="shared" si="2"/>
        <v>84700.030139721406</v>
      </c>
      <c r="D36" s="203">
        <f>+'EERR Proyectado'!G36</f>
        <v>303390.03013972141</v>
      </c>
    </row>
    <row r="37" spans="1:4" x14ac:dyDescent="0.25">
      <c r="A37" s="161" t="s">
        <v>249</v>
      </c>
      <c r="B37" s="213">
        <f>+'EERR Proyectado'!F37</f>
        <v>207114</v>
      </c>
      <c r="C37" s="718">
        <f t="shared" si="2"/>
        <v>80216.571596132708</v>
      </c>
      <c r="D37" s="203">
        <f>+'EERR Proyectado'!G37</f>
        <v>287330.57159613271</v>
      </c>
    </row>
    <row r="38" spans="1:4" x14ac:dyDescent="0.25">
      <c r="A38" s="161" t="s">
        <v>251</v>
      </c>
      <c r="B38" s="213">
        <f>+'EERR Proyectado'!F38</f>
        <v>113853</v>
      </c>
      <c r="C38" s="718">
        <f t="shared" si="2"/>
        <v>44095.992187560943</v>
      </c>
      <c r="D38" s="203">
        <f>+'EERR Proyectado'!G38</f>
        <v>157948.99218756094</v>
      </c>
    </row>
    <row r="39" spans="1:4" x14ac:dyDescent="0.25">
      <c r="A39" s="161" t="s">
        <v>252</v>
      </c>
      <c r="B39" s="213">
        <f>+'EERR Proyectado'!F39</f>
        <v>119588</v>
      </c>
      <c r="C39" s="718">
        <f t="shared" si="2"/>
        <v>46317.194221724843</v>
      </c>
      <c r="D39" s="203">
        <f>+'EERR Proyectado'!G39</f>
        <v>165905.19422172484</v>
      </c>
    </row>
    <row r="40" spans="1:4" x14ac:dyDescent="0.25">
      <c r="A40" s="161" t="s">
        <v>253</v>
      </c>
      <c r="B40" s="213">
        <f>+'EERR Proyectado'!F40</f>
        <v>592932</v>
      </c>
      <c r="C40" s="718">
        <f t="shared" si="2"/>
        <v>229646.34080573102</v>
      </c>
      <c r="D40" s="203">
        <f>+'EERR Proyectado'!G40</f>
        <v>822578.34080573102</v>
      </c>
    </row>
    <row r="41" spans="1:4" x14ac:dyDescent="0.25">
      <c r="A41" s="161" t="s">
        <v>254</v>
      </c>
      <c r="B41" s="213">
        <f>+'EERR Proyectado'!F41</f>
        <v>37653</v>
      </c>
      <c r="C41" s="718">
        <f t="shared" si="2"/>
        <v>14583.246764145275</v>
      </c>
      <c r="D41" s="203">
        <f>+'EERR Proyectado'!G41</f>
        <v>52236.246764145275</v>
      </c>
    </row>
    <row r="42" spans="1:4" x14ac:dyDescent="0.25">
      <c r="A42" s="161" t="s">
        <v>256</v>
      </c>
      <c r="B42" s="213">
        <f>+'EERR Proyectado'!F42</f>
        <v>37027</v>
      </c>
      <c r="C42" s="718">
        <f t="shared" si="2"/>
        <v>14340.792976283621</v>
      </c>
      <c r="D42" s="203">
        <f>+'EERR Proyectado'!G42</f>
        <v>51367.792976283621</v>
      </c>
    </row>
    <row r="43" spans="1:4" x14ac:dyDescent="0.25">
      <c r="A43" s="161" t="s">
        <v>257</v>
      </c>
      <c r="B43" s="213">
        <f>+'EERR Proyectado'!F43</f>
        <v>11500</v>
      </c>
      <c r="C43" s="718">
        <f t="shared" si="2"/>
        <v>4454.0232594393729</v>
      </c>
      <c r="D43" s="203">
        <f>+'EERR Proyectado'!G43</f>
        <v>15954.023259439373</v>
      </c>
    </row>
    <row r="44" spans="1:4" x14ac:dyDescent="0.25">
      <c r="A44" s="161" t="s">
        <v>258</v>
      </c>
      <c r="B44" s="210">
        <f>+'EERR Proyectado'!F44</f>
        <v>2042</v>
      </c>
      <c r="C44" s="717">
        <f t="shared" si="2"/>
        <v>790.87960832827821</v>
      </c>
      <c r="D44" s="200">
        <f>+'EERR Proyectado'!G44</f>
        <v>2832.8796083282782</v>
      </c>
    </row>
    <row r="45" spans="1:4" x14ac:dyDescent="0.25">
      <c r="A45" s="461" t="s">
        <v>322</v>
      </c>
      <c r="B45" s="207">
        <f>+'EERR Proyectado'!F45</f>
        <v>14704146</v>
      </c>
      <c r="C45" s="718">
        <f t="shared" si="2"/>
        <v>5695009.4168862998</v>
      </c>
      <c r="D45" s="203">
        <f>+'EERR Proyectado'!G45</f>
        <v>20399155.4168863</v>
      </c>
    </row>
    <row r="46" spans="1:4" x14ac:dyDescent="0.25">
      <c r="A46" s="340"/>
    </row>
    <row r="47" spans="1:4" x14ac:dyDescent="0.25">
      <c r="A47" s="470" t="s">
        <v>267</v>
      </c>
    </row>
    <row r="48" spans="1:4" x14ac:dyDescent="0.25">
      <c r="A48" s="161" t="s">
        <v>43</v>
      </c>
      <c r="B48" s="206">
        <f>+'EERR Proyectado'!F48</f>
        <v>761359</v>
      </c>
      <c r="C48" s="718">
        <f t="shared" ref="C48:C59" si="3">+D48-B48</f>
        <v>294879.19085073913</v>
      </c>
      <c r="D48" s="248">
        <f>+'EERR Proyectado'!G48</f>
        <v>1056238.1908507391</v>
      </c>
    </row>
    <row r="49" spans="1:7" x14ac:dyDescent="0.25">
      <c r="A49" s="161" t="s">
        <v>255</v>
      </c>
      <c r="B49" s="209">
        <f>+'EERR Proyectado'!F49</f>
        <v>87893</v>
      </c>
      <c r="C49" s="717">
        <f t="shared" si="3"/>
        <v>34041.518812339564</v>
      </c>
      <c r="D49" s="200">
        <f>+'EERR Proyectado'!G49</f>
        <v>121934.51881233956</v>
      </c>
    </row>
    <row r="50" spans="1:7" x14ac:dyDescent="0.25">
      <c r="A50" s="461" t="s">
        <v>271</v>
      </c>
      <c r="B50" s="213">
        <f>+'EERR Proyectado'!F50</f>
        <v>849252</v>
      </c>
      <c r="C50" s="718">
        <f t="shared" si="3"/>
        <v>328920.70966307865</v>
      </c>
      <c r="D50" s="203">
        <f>+'EERR Proyectado'!G50</f>
        <v>1178172.7096630787</v>
      </c>
    </row>
    <row r="51" spans="1:7" x14ac:dyDescent="0.25">
      <c r="A51" s="161"/>
      <c r="B51" s="213"/>
      <c r="C51" s="718"/>
      <c r="D51" s="203"/>
    </row>
    <row r="52" spans="1:7" x14ac:dyDescent="0.25">
      <c r="A52" s="709" t="s">
        <v>268</v>
      </c>
      <c r="B52" s="213"/>
      <c r="C52" s="718"/>
      <c r="D52" s="203"/>
    </row>
    <row r="53" spans="1:7" x14ac:dyDescent="0.25">
      <c r="A53" s="161" t="s">
        <v>45</v>
      </c>
      <c r="B53" s="210">
        <f>+'EERR Proyectado'!F53</f>
        <v>900982</v>
      </c>
      <c r="C53" s="717">
        <f t="shared" si="3"/>
        <v>348956.0682031482</v>
      </c>
      <c r="D53" s="203">
        <f>+'EERR Proyectado'!G53</f>
        <v>1249938.0682031482</v>
      </c>
    </row>
    <row r="54" spans="1:7" x14ac:dyDescent="0.25">
      <c r="A54" s="461" t="s">
        <v>272</v>
      </c>
      <c r="B54" s="230">
        <f>+'EERR Proyectado'!F54</f>
        <v>900982</v>
      </c>
      <c r="C54" s="721">
        <f t="shared" si="3"/>
        <v>348956.0682031482</v>
      </c>
      <c r="D54" s="231">
        <f>+'EERR Proyectado'!G54</f>
        <v>1249938.0682031482</v>
      </c>
    </row>
    <row r="55" spans="1:7" x14ac:dyDescent="0.25">
      <c r="A55" s="340"/>
      <c r="B55" s="308"/>
      <c r="C55" s="308"/>
      <c r="D55" s="308"/>
      <c r="E55" s="308"/>
    </row>
    <row r="56" spans="1:7" x14ac:dyDescent="0.25">
      <c r="A56" s="340"/>
      <c r="B56" s="308"/>
      <c r="C56" s="308"/>
      <c r="D56" s="308"/>
      <c r="E56" s="308"/>
    </row>
    <row r="57" spans="1:7" ht="15.75" hidden="1" thickBot="1" x14ac:dyDescent="0.3">
      <c r="A57" s="163" t="s">
        <v>325</v>
      </c>
      <c r="B57" s="740">
        <f t="shared" ref="B57:C57" si="4">B9-B16-B22-B45-B50-B54</f>
        <v>-2947556</v>
      </c>
      <c r="C57" s="756">
        <f t="shared" si="4"/>
        <v>-1296508.9806841866</v>
      </c>
      <c r="D57" s="736">
        <f t="shared" ref="D57" si="5">D9-D16-D22-D45-D50-D54</f>
        <v>-4244064.9806842068</v>
      </c>
    </row>
    <row r="58" spans="1:7" hidden="1" x14ac:dyDescent="0.25">
      <c r="A58" s="469"/>
      <c r="B58" s="462"/>
      <c r="C58" s="462"/>
      <c r="D58" s="462"/>
      <c r="E58" s="440"/>
      <c r="F58" s="440"/>
      <c r="G58" s="440"/>
    </row>
    <row r="59" spans="1:7" hidden="1" x14ac:dyDescent="0.25">
      <c r="A59" s="163" t="s">
        <v>330</v>
      </c>
      <c r="B59" s="755">
        <f>+'EERR Proyectado'!F59</f>
        <v>56750</v>
      </c>
      <c r="C59" s="756">
        <f t="shared" si="3"/>
        <v>-56749.999282516234</v>
      </c>
      <c r="D59" s="232">
        <f>+'EERR Proyectado'!G59</f>
        <v>7.1748376836786888E-4</v>
      </c>
    </row>
    <row r="60" spans="1:7" hidden="1" x14ac:dyDescent="0.25">
      <c r="A60" s="340"/>
      <c r="B60" s="340"/>
      <c r="C60" s="340"/>
      <c r="D60" s="340"/>
      <c r="E60" s="308"/>
    </row>
    <row r="61" spans="1:7" ht="15.75" hidden="1" thickBot="1" x14ac:dyDescent="0.3">
      <c r="A61" s="163" t="s">
        <v>326</v>
      </c>
      <c r="B61" s="740">
        <f>B57+B59</f>
        <v>-2890806</v>
      </c>
      <c r="C61" s="756">
        <f>C57+C59</f>
        <v>-1353258.9799667029</v>
      </c>
      <c r="D61" s="736">
        <f>D57+D59</f>
        <v>-4244064.9799667234</v>
      </c>
    </row>
    <row r="62" spans="1:7" hidden="1" x14ac:dyDescent="0.25"/>
    <row r="63" spans="1:7" hidden="1" x14ac:dyDescent="0.25"/>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71ED2-A310-4D8F-BE53-83C234FFEB63}">
  <dimension ref="B1:H26"/>
  <sheetViews>
    <sheetView showGridLines="0" topLeftCell="A5" workbookViewId="0">
      <selection activeCell="D17" sqref="D17"/>
    </sheetView>
  </sheetViews>
  <sheetFormatPr defaultRowHeight="15" x14ac:dyDescent="0.25"/>
  <cols>
    <col min="2" max="2" width="52.7109375" customWidth="1"/>
    <col min="3" max="8" width="15.28515625" style="27" customWidth="1"/>
  </cols>
  <sheetData>
    <row r="1" spans="2:7" x14ac:dyDescent="0.25">
      <c r="B1" s="5" t="s">
        <v>0</v>
      </c>
    </row>
    <row r="2" spans="2:7" x14ac:dyDescent="0.25">
      <c r="B2" s="1" t="s">
        <v>353</v>
      </c>
    </row>
    <row r="3" spans="2:7" x14ac:dyDescent="0.25">
      <c r="B3" s="1" t="s">
        <v>640</v>
      </c>
    </row>
    <row r="4" spans="2:7" x14ac:dyDescent="0.25">
      <c r="C4" s="810" t="s">
        <v>329</v>
      </c>
      <c r="D4" s="810"/>
      <c r="E4" s="810"/>
      <c r="F4" s="810"/>
      <c r="G4" s="810"/>
    </row>
    <row r="5" spans="2:7" x14ac:dyDescent="0.25">
      <c r="B5" s="255"/>
      <c r="C5" s="198" t="s">
        <v>632</v>
      </c>
      <c r="D5" s="722">
        <v>2018</v>
      </c>
      <c r="E5" s="722">
        <v>2019</v>
      </c>
      <c r="F5" s="722">
        <v>2020</v>
      </c>
      <c r="G5" s="722">
        <v>2021</v>
      </c>
    </row>
    <row r="6" spans="2:7" x14ac:dyDescent="0.25">
      <c r="B6" s="253" t="s">
        <v>339</v>
      </c>
      <c r="C6" s="319">
        <f>+'Jul - Sep 2017'!C7</f>
        <v>30634332.772999987</v>
      </c>
      <c r="D6" s="319">
        <f>'EERR Proyectado'!H7</f>
        <v>113532350.16048445</v>
      </c>
      <c r="E6" s="319">
        <f>'EERR Proyectado'!I7</f>
        <v>117662940.89019828</v>
      </c>
      <c r="F6" s="319">
        <f>'EERR Proyectado'!J7</f>
        <v>122157856.43448278</v>
      </c>
      <c r="G6" s="319">
        <f>'EERR Proyectado'!K7</f>
        <v>127057816.48791243</v>
      </c>
    </row>
    <row r="7" spans="2:7" x14ac:dyDescent="0.25">
      <c r="B7" s="253" t="s">
        <v>340</v>
      </c>
      <c r="C7" s="320">
        <f>+'Jul - Sep 2017'!C16</f>
        <v>24974517.498684287</v>
      </c>
      <c r="D7" s="320">
        <f>'EERR Proyectado'!H16</f>
        <v>93171971.976665944</v>
      </c>
      <c r="E7" s="320">
        <f>'EERR Proyectado'!I16</f>
        <v>96561801.247106999</v>
      </c>
      <c r="F7" s="320">
        <f>'EERR Proyectado'!J16</f>
        <v>100250618.9676735</v>
      </c>
      <c r="G7" s="320">
        <f>'EERR Proyectado'!K16</f>
        <v>104271842.34708548</v>
      </c>
    </row>
    <row r="8" spans="2:7" x14ac:dyDescent="0.25">
      <c r="B8" s="254" t="s">
        <v>341</v>
      </c>
      <c r="C8" s="321">
        <f>C6-C7</f>
        <v>5659815.2743156999</v>
      </c>
      <c r="D8" s="321">
        <f t="shared" ref="D8:G8" si="0">D6-D7</f>
        <v>20360378.183818504</v>
      </c>
      <c r="E8" s="321">
        <f t="shared" si="0"/>
        <v>21101139.643091276</v>
      </c>
      <c r="F8" s="321">
        <f t="shared" si="0"/>
        <v>21907237.466809288</v>
      </c>
      <c r="G8" s="321">
        <f t="shared" si="0"/>
        <v>22785974.140826955</v>
      </c>
    </row>
    <row r="9" spans="2:7" x14ac:dyDescent="0.25">
      <c r="B9" s="253" t="s">
        <v>342</v>
      </c>
      <c r="C9" s="319">
        <f>+'Jul - Sep 2017'!C8</f>
        <v>3371.3707500000019</v>
      </c>
      <c r="D9" s="319">
        <f>'EERR Proyectado'!H8</f>
        <v>426298.94589648751</v>
      </c>
      <c r="E9" s="319">
        <f>'EERR Proyectado'!I8</f>
        <v>441808.76729556645</v>
      </c>
      <c r="F9" s="319">
        <f>'EERR Proyectado'!J8</f>
        <v>458686.58014550392</v>
      </c>
      <c r="G9" s="319">
        <f>'EERR Proyectado'!K8</f>
        <v>477085.28150911746</v>
      </c>
    </row>
    <row r="10" spans="2:7" x14ac:dyDescent="0.25">
      <c r="B10" s="253" t="s">
        <v>343</v>
      </c>
      <c r="C10" s="319">
        <f>+'Jul - Sep 2017'!C22</f>
        <v>586809.4309973591</v>
      </c>
      <c r="D10" s="319">
        <f>'EERR Proyectado'!H22</f>
        <v>1780850.9800221575</v>
      </c>
      <c r="E10" s="319">
        <f>'EERR Proyectado'!I22</f>
        <v>1845642.7908028136</v>
      </c>
      <c r="F10" s="319">
        <f>'EERR Proyectado'!J22</f>
        <v>1916149.3445810159</v>
      </c>
      <c r="G10" s="319">
        <f>'EERR Proyectado'!K22</f>
        <v>1993009.3642219796</v>
      </c>
    </row>
    <row r="11" spans="2:7" x14ac:dyDescent="0.25">
      <c r="B11" s="253" t="s">
        <v>344</v>
      </c>
      <c r="C11" s="319">
        <f>+'Jul - Sep 2017'!C45</f>
        <v>5695009.4168862998</v>
      </c>
      <c r="D11" s="319">
        <f>'EERR Proyectado'!H45</f>
        <v>17935972.268231165</v>
      </c>
      <c r="E11" s="319">
        <f>'EERR Proyectado'!I45</f>
        <v>18588527.779280085</v>
      </c>
      <c r="F11" s="319">
        <f>'EERR Proyectado'!J45</f>
        <v>19298639.746806223</v>
      </c>
      <c r="G11" s="319">
        <f>'EERR Proyectado'!K45</f>
        <v>20072741.11535468</v>
      </c>
    </row>
    <row r="12" spans="2:7" x14ac:dyDescent="0.25">
      <c r="B12" s="253" t="s">
        <v>345</v>
      </c>
      <c r="C12" s="319"/>
      <c r="D12" s="319"/>
      <c r="E12" s="319"/>
      <c r="F12" s="319"/>
      <c r="G12" s="319"/>
    </row>
    <row r="13" spans="2:7" x14ac:dyDescent="0.25">
      <c r="B13" s="253" t="s">
        <v>346</v>
      </c>
      <c r="C13" s="322">
        <f>+'Jul - Sep 2017'!C54</f>
        <v>348956.0682031482</v>
      </c>
      <c r="D13" s="322">
        <f>'EERR Proyectado'!H54</f>
        <v>1257873.9004985073</v>
      </c>
      <c r="E13" s="322">
        <f>'EERR Proyectado'!I54</f>
        <v>1303638.4976833942</v>
      </c>
      <c r="F13" s="322">
        <f>'EERR Proyectado'!J54</f>
        <v>1353439.6067074584</v>
      </c>
      <c r="G13" s="322">
        <f>'EERR Proyectado'!K54</f>
        <v>1407728.3786388235</v>
      </c>
    </row>
    <row r="14" spans="2:7" x14ac:dyDescent="0.25">
      <c r="B14" s="253" t="s">
        <v>347</v>
      </c>
      <c r="C14" s="319"/>
      <c r="D14" s="319"/>
      <c r="E14" s="319"/>
      <c r="F14" s="319"/>
      <c r="G14" s="319"/>
    </row>
    <row r="15" spans="2:7" x14ac:dyDescent="0.25">
      <c r="B15" s="253" t="s">
        <v>348</v>
      </c>
      <c r="C15" s="323"/>
      <c r="D15" s="323"/>
      <c r="E15" s="323"/>
      <c r="F15" s="323"/>
      <c r="G15" s="323"/>
    </row>
    <row r="16" spans="2:7" x14ac:dyDescent="0.25">
      <c r="B16" s="254" t="s">
        <v>349</v>
      </c>
      <c r="C16" s="321">
        <f>C8+C9-C10-C11-C13</f>
        <v>-967588.27102110791</v>
      </c>
      <c r="D16" s="321">
        <f>D8+D9-D10-D11-D13</f>
        <v>-188020.01903683855</v>
      </c>
      <c r="E16" s="321">
        <f t="shared" ref="E16:G16" si="1">E8+E9-E10-E11-E13</f>
        <v>-194860.65737945167</v>
      </c>
      <c r="F16" s="321">
        <f t="shared" si="1"/>
        <v>-202304.65113990474</v>
      </c>
      <c r="G16" s="321">
        <f t="shared" si="1"/>
        <v>-210419.43587941024</v>
      </c>
    </row>
    <row r="17" spans="2:7" x14ac:dyDescent="0.25">
      <c r="B17" s="253" t="s">
        <v>443</v>
      </c>
      <c r="C17" s="320"/>
      <c r="D17" s="320"/>
      <c r="E17" s="320"/>
      <c r="F17" s="320"/>
      <c r="G17" s="320"/>
    </row>
    <row r="18" spans="2:7" x14ac:dyDescent="0.25">
      <c r="B18" s="254" t="s">
        <v>351</v>
      </c>
      <c r="C18" s="321">
        <f>C16-C17</f>
        <v>-967588.27102110791</v>
      </c>
      <c r="D18" s="321">
        <f t="shared" ref="D18:G18" si="2">D16-D17</f>
        <v>-188020.01903683855</v>
      </c>
      <c r="E18" s="321">
        <f t="shared" si="2"/>
        <v>-194860.65737945167</v>
      </c>
      <c r="F18" s="321">
        <f t="shared" si="2"/>
        <v>-202304.65113990474</v>
      </c>
      <c r="G18" s="321">
        <f t="shared" si="2"/>
        <v>-210419.43587941024</v>
      </c>
    </row>
    <row r="19" spans="2:7" ht="15.75" thickBot="1" x14ac:dyDescent="0.3">
      <c r="B19" s="161"/>
      <c r="C19" s="220"/>
      <c r="D19" s="220"/>
      <c r="E19" s="220"/>
      <c r="F19" s="220"/>
      <c r="G19" s="220"/>
    </row>
    <row r="20" spans="2:7" x14ac:dyDescent="0.25">
      <c r="B20" s="278" t="str">
        <f>'Análisis de Costos de Operación'!A44</f>
        <v>Gasto de Depreciación</v>
      </c>
      <c r="C20" s="324">
        <f>+'Jul - Sep 2017'!C48</f>
        <v>294879.19085073913</v>
      </c>
      <c r="D20" s="324">
        <f>'EERR Proyectado'!H48</f>
        <v>1337764.5111852924</v>
      </c>
      <c r="E20" s="324">
        <f>'EERR Proyectado'!I48</f>
        <v>1386435.7285134911</v>
      </c>
      <c r="F20" s="324">
        <f>'EERR Proyectado'!J48</f>
        <v>1439399.8263007652</v>
      </c>
      <c r="G20" s="325">
        <f>'EERR Proyectado'!K48</f>
        <v>1497136.6093096426</v>
      </c>
    </row>
    <row r="21" spans="2:7" x14ac:dyDescent="0.25">
      <c r="B21" s="279" t="str">
        <f>'Análisis de Costos de Operación'!A45</f>
        <v>Amortización intangibles</v>
      </c>
      <c r="C21" s="201">
        <f>+'Jul - Sep 2017'!C49</f>
        <v>34041.518812339564</v>
      </c>
      <c r="D21" s="201">
        <f>'EERR Proyectado'!H49</f>
        <v>68844.052578948918</v>
      </c>
      <c r="E21" s="201">
        <f>'EERR Proyectado'!I49</f>
        <v>71348.771321902532</v>
      </c>
      <c r="F21" s="201">
        <f>'EERR Proyectado'!J49</f>
        <v>74074.410328152589</v>
      </c>
      <c r="G21" s="326">
        <f>'EERR Proyectado'!K49</f>
        <v>77045.661315877413</v>
      </c>
    </row>
    <row r="22" spans="2:7" ht="15.75" thickBot="1" x14ac:dyDescent="0.3">
      <c r="B22" s="280" t="s">
        <v>354</v>
      </c>
      <c r="C22" s="327">
        <f>'EERR Proyectado'!G50</f>
        <v>1178172.7096630787</v>
      </c>
      <c r="D22" s="327">
        <f>'EERR Proyectado'!H50</f>
        <v>1406608.5637642413</v>
      </c>
      <c r="E22" s="327">
        <f>'EERR Proyectado'!I50</f>
        <v>1457784.4998353936</v>
      </c>
      <c r="F22" s="327">
        <f>'EERR Proyectado'!J50</f>
        <v>1513474.2366289177</v>
      </c>
      <c r="G22" s="328">
        <f>'EERR Proyectado'!K50</f>
        <v>1574182.27062552</v>
      </c>
    </row>
    <row r="23" spans="2:7" ht="15.75" thickBot="1" x14ac:dyDescent="0.3"/>
    <row r="24" spans="2:7" ht="30.75" thickBot="1" x14ac:dyDescent="0.3">
      <c r="B24" s="329" t="s">
        <v>442</v>
      </c>
      <c r="C24" s="330">
        <f>C18-C22</f>
        <v>-2145760.9806841863</v>
      </c>
      <c r="D24" s="330">
        <f t="shared" ref="D24:G24" si="3">D18-D22</f>
        <v>-1594628.5828010798</v>
      </c>
      <c r="E24" s="330">
        <f t="shared" si="3"/>
        <v>-1652645.1572148453</v>
      </c>
      <c r="F24" s="330">
        <f t="shared" si="3"/>
        <v>-1715778.8877688225</v>
      </c>
      <c r="G24" s="331">
        <f t="shared" si="3"/>
        <v>-1784601.7065049303</v>
      </c>
    </row>
    <row r="25" spans="2:7" x14ac:dyDescent="0.25">
      <c r="D25" s="9"/>
      <c r="E25" s="9"/>
      <c r="F25" s="9"/>
      <c r="G25" s="9"/>
    </row>
    <row r="26" spans="2:7" x14ac:dyDescent="0.25">
      <c r="C26" s="10"/>
      <c r="E26" s="9"/>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34F4C-9143-4E30-8F18-DCDC9D1F02AC}">
  <dimension ref="A1:L42"/>
  <sheetViews>
    <sheetView showGridLines="0" zoomScaleNormal="100" workbookViewId="0">
      <selection activeCell="A10" sqref="A10"/>
    </sheetView>
  </sheetViews>
  <sheetFormatPr defaultColWidth="8.85546875" defaultRowHeight="15" x14ac:dyDescent="0.25"/>
  <cols>
    <col min="1" max="1" width="53.28515625" style="6" customWidth="1"/>
    <col min="2" max="2" width="11.42578125" style="6" customWidth="1"/>
    <col min="3" max="3" width="6" style="412" bestFit="1" customWidth="1"/>
    <col min="4" max="4" width="11.42578125" style="6" customWidth="1"/>
    <col min="5" max="5" width="6.28515625" style="412" customWidth="1"/>
    <col min="6" max="6" width="11.42578125" style="6" customWidth="1"/>
    <col min="7" max="7" width="6.28515625" style="412" customWidth="1"/>
    <col min="8" max="8" width="11.42578125" style="6" customWidth="1"/>
    <col min="9" max="9" width="6.28515625" style="412" customWidth="1"/>
    <col min="10" max="10" width="11.5703125" style="6" customWidth="1"/>
    <col min="11" max="11" width="6" style="412" bestFit="1" customWidth="1"/>
    <col min="12" max="16384" width="8.85546875" style="6"/>
  </cols>
  <sheetData>
    <row r="1" spans="1:12" x14ac:dyDescent="0.25">
      <c r="A1" s="5" t="s">
        <v>0</v>
      </c>
    </row>
    <row r="2" spans="1:12" x14ac:dyDescent="0.25">
      <c r="A2" s="5" t="s">
        <v>55</v>
      </c>
    </row>
    <row r="3" spans="1:12" x14ac:dyDescent="0.25">
      <c r="A3" s="1" t="s">
        <v>602</v>
      </c>
    </row>
    <row r="5" spans="1:12" x14ac:dyDescent="0.25">
      <c r="A5" s="7" t="s">
        <v>17</v>
      </c>
      <c r="B5" s="167">
        <v>2013</v>
      </c>
      <c r="C5" s="247" t="s">
        <v>495</v>
      </c>
      <c r="D5" s="167">
        <v>2014</v>
      </c>
      <c r="E5" s="247" t="s">
        <v>495</v>
      </c>
      <c r="F5" s="167">
        <v>2015</v>
      </c>
      <c r="G5" s="247" t="s">
        <v>495</v>
      </c>
      <c r="H5" s="167">
        <v>2016</v>
      </c>
      <c r="I5" s="247" t="s">
        <v>495</v>
      </c>
      <c r="J5" s="3">
        <v>42887</v>
      </c>
      <c r="K5" s="247" t="s">
        <v>495</v>
      </c>
    </row>
    <row r="6" spans="1:12" x14ac:dyDescent="0.25">
      <c r="A6" s="5" t="s">
        <v>18</v>
      </c>
      <c r="B6" s="15"/>
      <c r="C6" s="413"/>
      <c r="D6" s="15"/>
      <c r="E6" s="413"/>
      <c r="F6" s="15"/>
      <c r="G6" s="413"/>
      <c r="H6" s="15"/>
      <c r="I6" s="413"/>
      <c r="J6" s="15"/>
      <c r="K6" s="425" t="s">
        <v>129</v>
      </c>
    </row>
    <row r="7" spans="1:12" x14ac:dyDescent="0.25">
      <c r="A7" s="6" t="s">
        <v>19</v>
      </c>
      <c r="B7" s="15">
        <v>10347205</v>
      </c>
      <c r="C7" s="413">
        <f>B7/B40</f>
        <v>0.19016875502325858</v>
      </c>
      <c r="D7" s="15">
        <v>10464170</v>
      </c>
      <c r="E7" s="413">
        <f>D7/D40</f>
        <v>0.16839260922941293</v>
      </c>
      <c r="F7" s="15">
        <v>5190105</v>
      </c>
      <c r="G7" s="413">
        <f>F7/F40</f>
        <v>8.8732933702418401E-2</v>
      </c>
      <c r="H7" s="15">
        <v>6838068</v>
      </c>
      <c r="I7" s="413">
        <f>H7/H40</f>
        <v>0.11990370485086498</v>
      </c>
      <c r="J7" s="15">
        <v>5867585</v>
      </c>
      <c r="K7" s="413">
        <f>J7/J40</f>
        <v>0.10858182002293407</v>
      </c>
    </row>
    <row r="8" spans="1:12" x14ac:dyDescent="0.25">
      <c r="A8" s="6" t="s">
        <v>20</v>
      </c>
      <c r="B8" s="15">
        <v>20036</v>
      </c>
      <c r="C8" s="415">
        <f>B8/B40</f>
        <v>3.6823675336924408E-4</v>
      </c>
      <c r="D8" s="15">
        <v>59144</v>
      </c>
      <c r="E8" s="415">
        <f>D8/D40</f>
        <v>9.5176325310697342E-4</v>
      </c>
      <c r="F8" s="15">
        <v>134133</v>
      </c>
      <c r="G8" s="415">
        <f>F8/F40</f>
        <v>2.293212679956665E-3</v>
      </c>
      <c r="H8" s="15">
        <v>141264</v>
      </c>
      <c r="I8" s="415">
        <f>H8/H40</f>
        <v>2.4770266926349067E-3</v>
      </c>
      <c r="J8" s="15">
        <v>139788</v>
      </c>
      <c r="K8" s="415">
        <f>J8/J40</f>
        <v>2.5868283897661319E-3</v>
      </c>
    </row>
    <row r="9" spans="1:12" x14ac:dyDescent="0.25">
      <c r="A9" s="6" t="s">
        <v>21</v>
      </c>
      <c r="B9" s="15">
        <v>6000000</v>
      </c>
      <c r="C9" s="413">
        <f>B9/B40</f>
        <v>0.11027253544696868</v>
      </c>
      <c r="D9" s="15">
        <v>6000000</v>
      </c>
      <c r="E9" s="413">
        <f>D9/D40</f>
        <v>9.6553826569759235E-2</v>
      </c>
      <c r="F9" s="15">
        <v>6000000</v>
      </c>
      <c r="G9" s="413">
        <f>F9/F40</f>
        <v>0.10257935094078258</v>
      </c>
      <c r="H9" s="15">
        <v>6000000</v>
      </c>
      <c r="I9" s="413">
        <f>H9/H40</f>
        <v>0.10520840522574357</v>
      </c>
      <c r="J9" s="15">
        <v>6000000</v>
      </c>
      <c r="K9" s="413">
        <f>J9/J40</f>
        <v>0.11103220833402574</v>
      </c>
    </row>
    <row r="10" spans="1:12" x14ac:dyDescent="0.25">
      <c r="A10" s="6" t="s">
        <v>22</v>
      </c>
      <c r="B10" s="16">
        <v>16789274</v>
      </c>
      <c r="C10" s="416">
        <f>B10/B40</f>
        <v>0.30856596871564496</v>
      </c>
      <c r="D10" s="16">
        <v>21916884</v>
      </c>
      <c r="E10" s="416">
        <f>D10/D40</f>
        <v>0.35269316944758855</v>
      </c>
      <c r="F10" s="16">
        <v>18674060</v>
      </c>
      <c r="G10" s="416">
        <f>F10/F40</f>
        <v>0.31926215903820504</v>
      </c>
      <c r="H10" s="16">
        <v>18698376</v>
      </c>
      <c r="I10" s="416">
        <f>H10/H40</f>
        <v>0.32787105321188637</v>
      </c>
      <c r="J10" s="16">
        <v>19990411</v>
      </c>
      <c r="K10" s="416">
        <f>J10/J40</f>
        <v>0.36992991313913332</v>
      </c>
    </row>
    <row r="11" spans="1:12" x14ac:dyDescent="0.25">
      <c r="B11" s="15"/>
      <c r="C11" s="413"/>
      <c r="D11" s="15"/>
      <c r="E11" s="413"/>
      <c r="F11" s="15"/>
      <c r="G11" s="413"/>
      <c r="H11" s="15"/>
      <c r="I11" s="413"/>
      <c r="J11" s="15"/>
      <c r="K11" s="413"/>
    </row>
    <row r="12" spans="1:12" x14ac:dyDescent="0.25">
      <c r="A12" s="5" t="s">
        <v>23</v>
      </c>
      <c r="B12" s="15">
        <f>SUM(B7:B10)</f>
        <v>33156515</v>
      </c>
      <c r="C12" s="413">
        <f>B12/B40</f>
        <v>0.60937549593924145</v>
      </c>
      <c r="D12" s="15">
        <f t="shared" ref="D12:J12" si="0">SUM(D7:D10)</f>
        <v>38440198</v>
      </c>
      <c r="E12" s="413">
        <f>D12/D40</f>
        <v>0.61859136849986762</v>
      </c>
      <c r="F12" s="15">
        <f t="shared" si="0"/>
        <v>29998298</v>
      </c>
      <c r="G12" s="413">
        <f>F12/F40</f>
        <v>0.51286765636136267</v>
      </c>
      <c r="H12" s="15">
        <f t="shared" si="0"/>
        <v>31677708</v>
      </c>
      <c r="I12" s="413">
        <f>H12/H40</f>
        <v>0.55546018998112978</v>
      </c>
      <c r="J12" s="15">
        <f t="shared" si="0"/>
        <v>31997784</v>
      </c>
      <c r="K12" s="413">
        <f>J12/J40</f>
        <v>0.59213076988585922</v>
      </c>
    </row>
    <row r="13" spans="1:12" x14ac:dyDescent="0.25">
      <c r="A13" s="419"/>
      <c r="B13" s="420"/>
      <c r="C13" s="422"/>
      <c r="D13" s="420"/>
      <c r="E13" s="422"/>
      <c r="F13" s="420"/>
      <c r="G13" s="422"/>
      <c r="H13" s="420"/>
      <c r="I13" s="422"/>
      <c r="J13" s="420"/>
      <c r="K13" s="422"/>
      <c r="L13" s="419"/>
    </row>
    <row r="14" spans="1:12" x14ac:dyDescent="0.25">
      <c r="A14" s="419"/>
      <c r="B14" s="420"/>
      <c r="C14" s="422"/>
      <c r="D14" s="420"/>
      <c r="E14" s="422"/>
      <c r="F14" s="420"/>
      <c r="G14" s="422"/>
      <c r="H14" s="420"/>
      <c r="I14" s="422"/>
      <c r="J14" s="420"/>
      <c r="K14" s="422"/>
      <c r="L14" s="419"/>
    </row>
    <row r="15" spans="1:12" x14ac:dyDescent="0.25">
      <c r="A15" s="421" t="s">
        <v>24</v>
      </c>
      <c r="B15" s="420"/>
      <c r="C15" s="422"/>
      <c r="D15" s="420"/>
      <c r="E15" s="422"/>
      <c r="F15" s="420"/>
      <c r="G15" s="422"/>
      <c r="H15" s="420"/>
      <c r="I15" s="422"/>
      <c r="J15" s="420"/>
      <c r="K15" s="422"/>
      <c r="L15" s="419"/>
    </row>
    <row r="16" spans="1:12" x14ac:dyDescent="0.25">
      <c r="A16" s="4" t="s">
        <v>52</v>
      </c>
      <c r="B16" s="15">
        <v>691426</v>
      </c>
      <c r="C16" s="413">
        <f>B16/B40</f>
        <v>1.2707549682325962E-2</v>
      </c>
      <c r="D16" s="15">
        <v>628046</v>
      </c>
      <c r="E16" s="413">
        <f>D16/D40</f>
        <v>1.0106707426971836E-2</v>
      </c>
      <c r="F16" s="15">
        <v>5552274</v>
      </c>
      <c r="G16" s="413">
        <f>F16/F40</f>
        <v>9.4924777194230439E-2</v>
      </c>
      <c r="H16" s="15">
        <v>4743283</v>
      </c>
      <c r="I16" s="413">
        <f>H16/H40</f>
        <v>8.3172206660730108E-2</v>
      </c>
      <c r="J16" s="15">
        <v>4166923</v>
      </c>
      <c r="K16" s="413">
        <f>J16/J40</f>
        <v>7.7110443774640589E-2</v>
      </c>
    </row>
    <row r="17" spans="1:11" x14ac:dyDescent="0.25">
      <c r="A17" s="6" t="s">
        <v>25</v>
      </c>
      <c r="B17" s="15">
        <v>1949540</v>
      </c>
      <c r="C17" s="413">
        <f>B17/B40</f>
        <v>3.5830119792547223E-2</v>
      </c>
      <c r="D17" s="15">
        <v>2167306</v>
      </c>
      <c r="E17" s="413">
        <f>D17/D40</f>
        <v>3.4876947941266438E-2</v>
      </c>
      <c r="F17" s="15">
        <v>1911450</v>
      </c>
      <c r="G17" s="413">
        <f>F17/F40</f>
        <v>3.267921672595981E-2</v>
      </c>
      <c r="H17" s="15">
        <v>1990121</v>
      </c>
      <c r="I17" s="413">
        <f>H17/H40</f>
        <v>3.4896242769377001E-2</v>
      </c>
      <c r="J17" s="15">
        <v>6304589</v>
      </c>
      <c r="K17" s="413">
        <f>J17/J40</f>
        <v>0.1166687398847345</v>
      </c>
    </row>
    <row r="18" spans="1:11" x14ac:dyDescent="0.25">
      <c r="A18" s="6" t="s">
        <v>20</v>
      </c>
      <c r="B18" s="15">
        <v>91234</v>
      </c>
      <c r="C18" s="423">
        <f>B18/B40</f>
        <v>1.6767674164947901E-3</v>
      </c>
      <c r="D18" s="15">
        <v>226174</v>
      </c>
      <c r="E18" s="423">
        <f>D18/D40</f>
        <v>3.6396608617647879E-3</v>
      </c>
      <c r="F18" s="15">
        <v>439585</v>
      </c>
      <c r="G18" s="423">
        <f>F18/F40</f>
        <v>7.5153906638839854E-3</v>
      </c>
      <c r="H18" s="15">
        <v>299424</v>
      </c>
      <c r="I18" s="423">
        <f>H18/H40</f>
        <v>5.2503202543855067E-3</v>
      </c>
      <c r="J18" s="15">
        <v>178063</v>
      </c>
      <c r="K18" s="423">
        <f>J18/J40</f>
        <v>3.2951213520969378E-3</v>
      </c>
    </row>
    <row r="19" spans="1:11" x14ac:dyDescent="0.25">
      <c r="A19" s="6" t="s">
        <v>57</v>
      </c>
      <c r="B19" s="15">
        <v>5000000</v>
      </c>
      <c r="C19" s="413">
        <f>B19/B40</f>
        <v>9.189377953914056E-2</v>
      </c>
      <c r="D19" s="15">
        <v>5000000</v>
      </c>
      <c r="E19" s="413">
        <f>D19/D40</f>
        <v>8.0461522141466027E-2</v>
      </c>
      <c r="F19" s="15">
        <v>5000000</v>
      </c>
      <c r="G19" s="413">
        <f>F19/F40</f>
        <v>8.5482792450652156E-2</v>
      </c>
      <c r="H19" s="15">
        <v>5000000</v>
      </c>
      <c r="I19" s="413">
        <f>H19/H40</f>
        <v>8.7673671021452973E-2</v>
      </c>
      <c r="J19" s="15">
        <v>650000</v>
      </c>
      <c r="K19" s="413">
        <f>J19/J40</f>
        <v>1.2028489236186123E-2</v>
      </c>
    </row>
    <row r="20" spans="1:11" x14ac:dyDescent="0.25">
      <c r="A20" s="6" t="s">
        <v>26</v>
      </c>
      <c r="B20" s="15">
        <v>1064878</v>
      </c>
      <c r="C20" s="413">
        <f>B20/B40</f>
        <v>1.9571132833616185E-2</v>
      </c>
      <c r="D20" s="15">
        <v>1268379</v>
      </c>
      <c r="E20" s="413">
        <f>D20/D40</f>
        <v>2.0411140998454109E-2</v>
      </c>
      <c r="F20" s="15">
        <v>1268379</v>
      </c>
      <c r="G20" s="413">
        <f>F20/F40</f>
        <v>2.1684915761153147E-2</v>
      </c>
      <c r="H20" s="15">
        <v>1438376</v>
      </c>
      <c r="I20" s="413">
        <f>H20/H40</f>
        <v>2.5221540845830687E-2</v>
      </c>
      <c r="J20" s="15">
        <v>1465878</v>
      </c>
      <c r="K20" s="413">
        <f>J20/J40</f>
        <v>2.712661191471083E-2</v>
      </c>
    </row>
    <row r="21" spans="1:11" x14ac:dyDescent="0.25">
      <c r="A21" s="6" t="s">
        <v>27</v>
      </c>
      <c r="B21" s="16">
        <v>952704</v>
      </c>
      <c r="C21" s="416">
        <f>B21/B40</f>
        <v>1.7509514268411474E-2</v>
      </c>
      <c r="D21" s="16">
        <v>935461</v>
      </c>
      <c r="E21" s="416">
        <f>D21/D40</f>
        <v>1.5053723192795592E-2</v>
      </c>
      <c r="F21" s="16">
        <v>1017645</v>
      </c>
      <c r="G21" s="416">
        <f>F21/F40</f>
        <v>1.739822726468878E-2</v>
      </c>
      <c r="H21" s="16">
        <v>1037215</v>
      </c>
      <c r="I21" s="416">
        <f>H21/H40</f>
        <v>1.818728933770327E-2</v>
      </c>
      <c r="J21" s="16">
        <v>1076406</v>
      </c>
      <c r="K21" s="416">
        <f>J21/J40</f>
        <v>1.9919289207332554E-2</v>
      </c>
    </row>
    <row r="22" spans="1:11" x14ac:dyDescent="0.25">
      <c r="B22" s="15"/>
      <c r="C22" s="413"/>
      <c r="D22" s="15"/>
      <c r="E22" s="413"/>
      <c r="F22" s="15"/>
      <c r="G22" s="413"/>
      <c r="H22" s="15"/>
      <c r="I22" s="413"/>
      <c r="J22" s="15"/>
      <c r="K22" s="413"/>
    </row>
    <row r="23" spans="1:11" x14ac:dyDescent="0.25">
      <c r="A23" s="5" t="s">
        <v>28</v>
      </c>
      <c r="B23" s="15">
        <f>SUM(B16:B21)</f>
        <v>9749782</v>
      </c>
      <c r="C23" s="413">
        <f>B23/B40</f>
        <v>0.17918886353253619</v>
      </c>
      <c r="D23" s="15">
        <f>SUM(D16:D21)</f>
        <v>10225366</v>
      </c>
      <c r="E23" s="413">
        <f>D23/D40</f>
        <v>0.16454970256271878</v>
      </c>
      <c r="F23" s="15">
        <f t="shared" ref="F23:J23" si="1">SUM(F16:F21)</f>
        <v>15189333</v>
      </c>
      <c r="G23" s="413">
        <f>F23/F40</f>
        <v>0.25968532006056833</v>
      </c>
      <c r="H23" s="15">
        <f t="shared" si="1"/>
        <v>14508419</v>
      </c>
      <c r="I23" s="413">
        <f>H23/H40</f>
        <v>0.25440127088947956</v>
      </c>
      <c r="J23" s="15">
        <f t="shared" si="1"/>
        <v>13841859</v>
      </c>
      <c r="K23" s="413">
        <f>J23/J40</f>
        <v>0.25614869536970153</v>
      </c>
    </row>
    <row r="24" spans="1:11" x14ac:dyDescent="0.25">
      <c r="A24" s="5"/>
      <c r="B24" s="15"/>
      <c r="C24" s="416"/>
      <c r="D24" s="15"/>
      <c r="E24" s="416"/>
      <c r="F24" s="15"/>
      <c r="G24" s="416"/>
      <c r="H24" s="15"/>
      <c r="I24" s="416"/>
      <c r="J24" s="15"/>
      <c r="K24" s="416"/>
    </row>
    <row r="25" spans="1:11" x14ac:dyDescent="0.25">
      <c r="A25" s="17" t="s">
        <v>29</v>
      </c>
      <c r="B25" s="18">
        <f>B12+B23</f>
        <v>42906297</v>
      </c>
      <c r="C25" s="417">
        <f>B25/B40</f>
        <v>0.78856435947177761</v>
      </c>
      <c r="D25" s="18">
        <f t="shared" ref="D25:J25" si="2">D12+D23</f>
        <v>48665564</v>
      </c>
      <c r="E25" s="417">
        <f>D25/D40</f>
        <v>0.78314107106258646</v>
      </c>
      <c r="F25" s="18">
        <f t="shared" si="2"/>
        <v>45187631</v>
      </c>
      <c r="G25" s="417">
        <f>F25/F40</f>
        <v>0.77255297642193099</v>
      </c>
      <c r="H25" s="18">
        <f t="shared" si="2"/>
        <v>46186127</v>
      </c>
      <c r="I25" s="417">
        <f>H25/H40</f>
        <v>0.8098614608706094</v>
      </c>
      <c r="J25" s="18">
        <f t="shared" si="2"/>
        <v>45839643</v>
      </c>
      <c r="K25" s="417">
        <f>J25/J40</f>
        <v>0.84827946525556075</v>
      </c>
    </row>
    <row r="26" spans="1:11" s="419" customFormat="1" x14ac:dyDescent="0.25">
      <c r="B26" s="420"/>
      <c r="C26" s="422"/>
      <c r="D26" s="420"/>
      <c r="E26" s="422"/>
      <c r="F26" s="420"/>
      <c r="G26" s="422"/>
      <c r="H26" s="420"/>
      <c r="I26" s="422"/>
      <c r="J26" s="420"/>
      <c r="K26" s="422"/>
    </row>
    <row r="27" spans="1:11" s="419" customFormat="1" x14ac:dyDescent="0.25">
      <c r="B27" s="420"/>
      <c r="C27" s="422"/>
      <c r="D27" s="420"/>
      <c r="E27" s="422"/>
      <c r="F27" s="420"/>
      <c r="G27" s="422"/>
      <c r="H27" s="420"/>
      <c r="I27" s="422"/>
      <c r="J27" s="420"/>
      <c r="K27" s="422"/>
    </row>
    <row r="28" spans="1:11" s="419" customFormat="1" x14ac:dyDescent="0.25">
      <c r="A28" s="421" t="s">
        <v>30</v>
      </c>
      <c r="B28" s="420"/>
      <c r="C28" s="422"/>
      <c r="D28" s="420"/>
      <c r="E28" s="422"/>
      <c r="F28" s="420"/>
      <c r="G28" s="422"/>
      <c r="H28" s="420"/>
      <c r="I28" s="422"/>
      <c r="J28" s="420"/>
      <c r="K28" s="422"/>
    </row>
    <row r="29" spans="1:11" x14ac:dyDescent="0.25">
      <c r="A29" s="6" t="s">
        <v>31</v>
      </c>
      <c r="B29" s="15">
        <v>16501603</v>
      </c>
      <c r="C29" s="413">
        <f>B29/B40</f>
        <v>0.30327893362488412</v>
      </c>
      <c r="D29" s="15">
        <v>16501603</v>
      </c>
      <c r="E29" s="413">
        <f>D29/D40</f>
        <v>0.26554881903083644</v>
      </c>
      <c r="F29" s="15">
        <v>16501603</v>
      </c>
      <c r="G29" s="413">
        <f>F29/F40</f>
        <v>0.28212062087041179</v>
      </c>
      <c r="H29" s="15">
        <v>16501603</v>
      </c>
      <c r="I29" s="413">
        <f>H29/H40</f>
        <v>0.28935122254972429</v>
      </c>
      <c r="J29" s="15">
        <v>16501603</v>
      </c>
      <c r="K29" s="413">
        <f>J29/J40</f>
        <v>0.30536823702356403</v>
      </c>
    </row>
    <row r="30" spans="1:11" x14ac:dyDescent="0.25">
      <c r="A30" s="6" t="s">
        <v>32</v>
      </c>
      <c r="B30" s="15"/>
      <c r="C30" s="413"/>
      <c r="D30" s="15"/>
      <c r="E30" s="413"/>
      <c r="G30" s="413"/>
      <c r="H30" s="15"/>
      <c r="I30" s="413"/>
      <c r="J30" s="15"/>
      <c r="K30" s="413"/>
    </row>
    <row r="31" spans="1:11" x14ac:dyDescent="0.25">
      <c r="A31" s="6" t="s">
        <v>33</v>
      </c>
      <c r="B31" s="15">
        <v>9571853</v>
      </c>
      <c r="C31" s="413">
        <f>B31/B40</f>
        <v>0.17591874987261225</v>
      </c>
      <c r="D31" s="15">
        <v>11399324</v>
      </c>
      <c r="E31" s="413">
        <f>D31/D40</f>
        <v>0.18344139208474902</v>
      </c>
      <c r="F31" s="15">
        <v>11399324</v>
      </c>
      <c r="G31" s="413">
        <f>F31/F40</f>
        <v>0.19488920951394759</v>
      </c>
      <c r="H31" s="15">
        <v>12925958</v>
      </c>
      <c r="I31" s="413">
        <f>H31/H40</f>
        <v>0.22665323786582364</v>
      </c>
      <c r="J31" s="15">
        <v>13172913</v>
      </c>
      <c r="K31" s="413">
        <f>J31/J40</f>
        <v>0.24376960343033269</v>
      </c>
    </row>
    <row r="32" spans="1:11" x14ac:dyDescent="0.25">
      <c r="A32" s="6" t="s">
        <v>53</v>
      </c>
      <c r="B32" s="16">
        <v>-14672017</v>
      </c>
      <c r="C32" s="416">
        <f>B32/B40</f>
        <v>-0.26965341911850449</v>
      </c>
      <c r="D32" s="16">
        <v>-14531791</v>
      </c>
      <c r="E32" s="416">
        <f>D32/D40</f>
        <v>-0.23385000466033137</v>
      </c>
      <c r="F32" s="16">
        <v>-14700502</v>
      </c>
      <c r="G32" s="416">
        <f>F32/F40</f>
        <v>-0.25132799227727937</v>
      </c>
      <c r="H32" s="16">
        <v>-18681372</v>
      </c>
      <c r="I32" s="416">
        <f>H32/H40</f>
        <v>-0.32757289259147659</v>
      </c>
      <c r="J32" s="16">
        <v>-21566870</v>
      </c>
      <c r="K32" s="416">
        <f>J32/J40</f>
        <v>-0.39910286715880827</v>
      </c>
    </row>
    <row r="33" spans="1:11" x14ac:dyDescent="0.25">
      <c r="B33" s="15"/>
      <c r="C33" s="413">
        <f>B33/B40</f>
        <v>0</v>
      </c>
      <c r="D33" s="15"/>
      <c r="E33" s="413">
        <f>D33/D40</f>
        <v>0</v>
      </c>
      <c r="F33" s="15"/>
      <c r="G33" s="413">
        <f>F33/F40</f>
        <v>0</v>
      </c>
      <c r="H33" s="15"/>
      <c r="I33" s="413">
        <f>H33/H40</f>
        <v>0</v>
      </c>
      <c r="J33" s="15"/>
      <c r="K33" s="413">
        <f>J33/J40</f>
        <v>0</v>
      </c>
    </row>
    <row r="34" spans="1:11" x14ac:dyDescent="0.25">
      <c r="A34" s="5" t="s">
        <v>34</v>
      </c>
      <c r="B34" s="15">
        <f>SUM(B29:B32)</f>
        <v>11401439</v>
      </c>
      <c r="C34" s="413">
        <f>B34/B40</f>
        <v>0.20954426437899185</v>
      </c>
      <c r="D34" s="15">
        <f t="shared" ref="D34:J34" si="3">SUM(D29:D32)</f>
        <v>13369136</v>
      </c>
      <c r="E34" s="413">
        <f>D34/D40</f>
        <v>0.21514020645525411</v>
      </c>
      <c r="F34" s="15">
        <f t="shared" si="3"/>
        <v>13200425</v>
      </c>
      <c r="G34" s="413">
        <f>F34/F40</f>
        <v>0.22568183810707998</v>
      </c>
      <c r="H34" s="15">
        <f t="shared" si="3"/>
        <v>10746189</v>
      </c>
      <c r="I34" s="413">
        <f>H34/H40</f>
        <v>0.18843156782407133</v>
      </c>
      <c r="J34" s="15">
        <f t="shared" si="3"/>
        <v>8107646</v>
      </c>
      <c r="K34" s="413">
        <f>J34/J40</f>
        <v>0.15003497329508841</v>
      </c>
    </row>
    <row r="35" spans="1:11" x14ac:dyDescent="0.25">
      <c r="B35" s="15"/>
      <c r="C35" s="413"/>
      <c r="D35" s="15"/>
      <c r="E35" s="413"/>
      <c r="F35" s="15"/>
      <c r="G35" s="413"/>
      <c r="H35" s="15"/>
      <c r="I35" s="413"/>
      <c r="J35" s="15"/>
      <c r="K35" s="413"/>
    </row>
    <row r="36" spans="1:11" x14ac:dyDescent="0.25">
      <c r="A36" s="6" t="s">
        <v>35</v>
      </c>
      <c r="B36" s="16">
        <v>102911</v>
      </c>
      <c r="C36" s="414">
        <f>B36/B40</f>
        <v>1.891376149230499E-3</v>
      </c>
      <c r="D36" s="16">
        <v>106804</v>
      </c>
      <c r="E36" s="414">
        <f>D36/D40</f>
        <v>1.7187224821594276E-3</v>
      </c>
      <c r="F36" s="16">
        <v>103248</v>
      </c>
      <c r="G36" s="414">
        <f>F36/F40</f>
        <v>1.7651854709889866E-3</v>
      </c>
      <c r="H36" s="16">
        <v>97348</v>
      </c>
      <c r="I36" s="414">
        <f>H36/H40</f>
        <v>1.7069713053192808E-3</v>
      </c>
      <c r="J36" s="16">
        <v>91085</v>
      </c>
      <c r="K36" s="414">
        <f>J36/J40</f>
        <v>1.6855614493507891E-3</v>
      </c>
    </row>
    <row r="37" spans="1:11" x14ac:dyDescent="0.25">
      <c r="B37" s="15"/>
      <c r="C37" s="417"/>
      <c r="D37" s="15"/>
      <c r="E37" s="417"/>
      <c r="F37" s="15"/>
      <c r="G37" s="417"/>
      <c r="H37" s="15"/>
      <c r="I37" s="417"/>
      <c r="J37" s="15"/>
      <c r="K37" s="417"/>
    </row>
    <row r="38" spans="1:11" x14ac:dyDescent="0.25">
      <c r="A38" s="17" t="s">
        <v>36</v>
      </c>
      <c r="B38" s="18">
        <f>B34+B36</f>
        <v>11504350</v>
      </c>
      <c r="C38" s="417">
        <f>B38/B40</f>
        <v>0.21143564052822236</v>
      </c>
      <c r="D38" s="18">
        <f t="shared" ref="D38:J38" si="4">D34+D36</f>
        <v>13475940</v>
      </c>
      <c r="E38" s="417">
        <f>D38/D40</f>
        <v>0.21685892893741354</v>
      </c>
      <c r="F38" s="18">
        <f t="shared" si="4"/>
        <v>13303673</v>
      </c>
      <c r="G38" s="417">
        <f>F38/F40</f>
        <v>0.22744702357806898</v>
      </c>
      <c r="H38" s="18">
        <f t="shared" si="4"/>
        <v>10843537</v>
      </c>
      <c r="I38" s="417">
        <f>H38/H40</f>
        <v>0.19013853912939063</v>
      </c>
      <c r="J38" s="18">
        <f t="shared" si="4"/>
        <v>8198731</v>
      </c>
      <c r="K38" s="417">
        <f>J38/J40</f>
        <v>0.15172053474443919</v>
      </c>
    </row>
    <row r="39" spans="1:11" x14ac:dyDescent="0.25">
      <c r="B39" s="15"/>
      <c r="C39" s="417"/>
      <c r="D39" s="15"/>
      <c r="E39" s="417"/>
      <c r="F39" s="15"/>
      <c r="G39" s="417"/>
      <c r="H39" s="15"/>
      <c r="I39" s="417"/>
      <c r="J39" s="15"/>
      <c r="K39" s="417"/>
    </row>
    <row r="40" spans="1:11" x14ac:dyDescent="0.25">
      <c r="A40" s="17" t="s">
        <v>37</v>
      </c>
      <c r="B40" s="18">
        <f>B25+B38</f>
        <v>54410647</v>
      </c>
      <c r="C40" s="417">
        <f>B40/B40</f>
        <v>1</v>
      </c>
      <c r="D40" s="18">
        <f t="shared" ref="D40:J40" si="5">D25+D38</f>
        <v>62141504</v>
      </c>
      <c r="E40" s="417">
        <f>D40/D40</f>
        <v>1</v>
      </c>
      <c r="F40" s="18">
        <f t="shared" si="5"/>
        <v>58491304</v>
      </c>
      <c r="G40" s="417">
        <f>F40/F40</f>
        <v>1</v>
      </c>
      <c r="H40" s="18">
        <f t="shared" si="5"/>
        <v>57029664</v>
      </c>
      <c r="I40" s="417">
        <f>H40/H40</f>
        <v>1</v>
      </c>
      <c r="J40" s="18">
        <f t="shared" si="5"/>
        <v>54038374</v>
      </c>
      <c r="K40" s="417">
        <f>J40/J40</f>
        <v>1</v>
      </c>
    </row>
    <row r="42" spans="1:11" x14ac:dyDescent="0.25">
      <c r="A42" s="24" t="s">
        <v>54</v>
      </c>
      <c r="B42" s="25">
        <f>Activos!B24-'Pasivos y Patrimonio'!B40</f>
        <v>0</v>
      </c>
      <c r="C42" s="424"/>
      <c r="D42" s="25">
        <f>Activos!D24-'Pasivos y Patrimonio'!D40</f>
        <v>0</v>
      </c>
      <c r="E42" s="424"/>
      <c r="F42" s="25">
        <f>Activos!F24-'Pasivos y Patrimonio'!F40</f>
        <v>0</v>
      </c>
      <c r="G42" s="424"/>
      <c r="H42" s="25">
        <f>Activos!H24-'Pasivos y Patrimonio'!H40</f>
        <v>0</v>
      </c>
      <c r="I42" s="424"/>
      <c r="J42" s="25">
        <f>Activos!J24-'Pasivos y Patrimonio'!J40</f>
        <v>0</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EABE7-A0B0-4FC1-98F5-74580B860CE8}">
  <dimension ref="A1:H24"/>
  <sheetViews>
    <sheetView showGridLines="0" workbookViewId="0">
      <selection activeCell="H15" sqref="H15"/>
    </sheetView>
  </sheetViews>
  <sheetFormatPr defaultRowHeight="15" x14ac:dyDescent="0.25"/>
  <cols>
    <col min="4" max="4" width="43.7109375" bestFit="1" customWidth="1"/>
    <col min="5" max="5" width="12.5703125" customWidth="1"/>
    <col min="6" max="6" width="9.85546875" bestFit="1" customWidth="1"/>
    <col min="7" max="7" width="16.140625" customWidth="1"/>
    <col min="8" max="8" width="11.5703125" customWidth="1"/>
  </cols>
  <sheetData>
    <row r="1" spans="1:8" x14ac:dyDescent="0.25">
      <c r="A1" s="1" t="s">
        <v>0</v>
      </c>
      <c r="B1" s="4"/>
    </row>
    <row r="2" spans="1:8" x14ac:dyDescent="0.25">
      <c r="A2" s="1" t="s">
        <v>404</v>
      </c>
      <c r="B2" s="4"/>
      <c r="G2" s="1" t="s">
        <v>469</v>
      </c>
    </row>
    <row r="3" spans="1:8" x14ac:dyDescent="0.25">
      <c r="A3" s="1" t="s">
        <v>116</v>
      </c>
      <c r="B3" s="4"/>
      <c r="G3" t="s">
        <v>467</v>
      </c>
      <c r="H3" s="68">
        <f>+'Clasificación de Activos'!I3</f>
        <v>7707448</v>
      </c>
    </row>
    <row r="4" spans="1:8" x14ac:dyDescent="0.25">
      <c r="G4" t="s">
        <v>463</v>
      </c>
      <c r="H4" s="12">
        <v>1697288</v>
      </c>
    </row>
    <row r="5" spans="1:8" x14ac:dyDescent="0.25">
      <c r="D5" s="2" t="s">
        <v>2</v>
      </c>
      <c r="E5" s="241" t="s">
        <v>641</v>
      </c>
      <c r="G5" s="48" t="s">
        <v>468</v>
      </c>
      <c r="H5" s="11">
        <f>H3-H4</f>
        <v>6010160</v>
      </c>
    </row>
    <row r="6" spans="1:8" x14ac:dyDescent="0.25">
      <c r="D6" s="4" t="s">
        <v>295</v>
      </c>
      <c r="E6" s="242">
        <v>970333</v>
      </c>
      <c r="F6" s="11"/>
    </row>
    <row r="7" spans="1:8" x14ac:dyDescent="0.25">
      <c r="D7" s="4" t="s">
        <v>296</v>
      </c>
      <c r="E7" s="242">
        <v>860349</v>
      </c>
      <c r="F7" s="11"/>
    </row>
    <row r="8" spans="1:8" x14ac:dyDescent="0.25">
      <c r="D8" s="4" t="s">
        <v>297</v>
      </c>
      <c r="E8" s="285">
        <v>3000000</v>
      </c>
      <c r="F8" s="11"/>
    </row>
    <row r="9" spans="1:8" x14ac:dyDescent="0.25">
      <c r="D9" t="s">
        <v>299</v>
      </c>
      <c r="E9" s="242">
        <v>1195738</v>
      </c>
      <c r="F9" s="11"/>
    </row>
    <row r="10" spans="1:8" x14ac:dyDescent="0.25">
      <c r="D10" t="s">
        <v>300</v>
      </c>
      <c r="E10" s="285">
        <v>-289051</v>
      </c>
      <c r="F10" s="11"/>
    </row>
    <row r="11" spans="1:8" x14ac:dyDescent="0.25">
      <c r="D11" t="s">
        <v>301</v>
      </c>
      <c r="E11" s="285">
        <v>-189314</v>
      </c>
      <c r="F11" s="11"/>
    </row>
    <row r="12" spans="1:8" x14ac:dyDescent="0.25">
      <c r="D12" t="s">
        <v>302</v>
      </c>
      <c r="E12" s="285">
        <v>16001</v>
      </c>
      <c r="F12" s="11"/>
    </row>
    <row r="13" spans="1:8" x14ac:dyDescent="0.25">
      <c r="D13" s="181" t="s">
        <v>303</v>
      </c>
      <c r="E13" s="285">
        <v>1071574</v>
      </c>
      <c r="F13" s="11"/>
    </row>
    <row r="14" spans="1:8" x14ac:dyDescent="0.25">
      <c r="D14" s="181" t="s">
        <v>304</v>
      </c>
      <c r="E14" s="285">
        <v>91526</v>
      </c>
      <c r="F14" s="11"/>
    </row>
    <row r="15" spans="1:8" x14ac:dyDescent="0.25">
      <c r="D15" s="181" t="s">
        <v>307</v>
      </c>
      <c r="E15" s="284">
        <v>83066</v>
      </c>
      <c r="F15" s="11"/>
    </row>
    <row r="16" spans="1:8" x14ac:dyDescent="0.25">
      <c r="D16" s="181" t="s">
        <v>308</v>
      </c>
      <c r="E16" s="284">
        <v>1034403</v>
      </c>
      <c r="F16" s="11"/>
    </row>
    <row r="17" spans="4:6" x14ac:dyDescent="0.25">
      <c r="D17" s="181" t="s">
        <v>309</v>
      </c>
      <c r="E17" s="284">
        <v>216380</v>
      </c>
      <c r="F17" s="11"/>
    </row>
    <row r="18" spans="4:6" x14ac:dyDescent="0.25">
      <c r="D18" s="181" t="s">
        <v>310</v>
      </c>
      <c r="E18" s="284">
        <v>46984</v>
      </c>
      <c r="F18" s="11"/>
    </row>
    <row r="19" spans="4:6" x14ac:dyDescent="0.25">
      <c r="D19" s="181" t="s">
        <v>311</v>
      </c>
      <c r="E19" s="284">
        <v>5058</v>
      </c>
      <c r="F19" s="11"/>
    </row>
    <row r="20" spans="4:6" x14ac:dyDescent="0.25">
      <c r="D20" s="181" t="s">
        <v>312</v>
      </c>
      <c r="E20" s="284">
        <v>1848815</v>
      </c>
      <c r="F20" s="11"/>
    </row>
    <row r="21" spans="4:6" x14ac:dyDescent="0.25">
      <c r="D21" s="181" t="s">
        <v>314</v>
      </c>
      <c r="E21" s="285">
        <v>1158737</v>
      </c>
      <c r="F21" s="11"/>
    </row>
    <row r="22" spans="4:6" x14ac:dyDescent="0.25">
      <c r="D22" s="181" t="s">
        <v>317</v>
      </c>
      <c r="E22" s="284">
        <v>9275000</v>
      </c>
    </row>
    <row r="23" spans="4:6" x14ac:dyDescent="0.25">
      <c r="D23" s="181" t="s">
        <v>469</v>
      </c>
      <c r="E23" s="284">
        <f>H5</f>
        <v>6010160</v>
      </c>
    </row>
    <row r="24" spans="4:6" x14ac:dyDescent="0.25">
      <c r="D24" s="281" t="s">
        <v>405</v>
      </c>
      <c r="E24" s="286">
        <f>SUM(E6:E23)</f>
        <v>26405759</v>
      </c>
      <c r="F24" s="1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C6BCA-0F8D-4655-8F49-458D46CA3362}">
  <sheetPr>
    <tabColor theme="1" tint="0.14999847407452621"/>
  </sheetPr>
  <dimension ref="A1:K49"/>
  <sheetViews>
    <sheetView showGridLines="0" topLeftCell="A9" zoomScaleNormal="100" workbookViewId="0">
      <selection activeCell="K52" sqref="K52"/>
    </sheetView>
  </sheetViews>
  <sheetFormatPr defaultColWidth="8.85546875" defaultRowHeight="15.75" x14ac:dyDescent="0.25"/>
  <cols>
    <col min="1" max="1" width="3.7109375" style="332" bestFit="1" customWidth="1"/>
    <col min="2" max="2" width="43.28515625" style="332" customWidth="1"/>
    <col min="3" max="3" width="12.28515625" style="332" bestFit="1" customWidth="1"/>
    <col min="4" max="6" width="13.42578125" style="332" bestFit="1" customWidth="1"/>
    <col min="7" max="7" width="15.7109375" style="332" customWidth="1"/>
    <col min="8" max="8" width="12.7109375" style="332" bestFit="1" customWidth="1"/>
    <col min="9" max="16384" width="8.85546875" style="332"/>
  </cols>
  <sheetData>
    <row r="1" spans="1:8" x14ac:dyDescent="0.25">
      <c r="A1" s="350" t="s">
        <v>0</v>
      </c>
    </row>
    <row r="2" spans="1:8" x14ac:dyDescent="0.25">
      <c r="A2" s="350" t="s">
        <v>355</v>
      </c>
    </row>
    <row r="3" spans="1:8" x14ac:dyDescent="0.25">
      <c r="A3" s="350" t="s">
        <v>352</v>
      </c>
    </row>
    <row r="5" spans="1:8" x14ac:dyDescent="0.25">
      <c r="A5" s="477"/>
      <c r="B5" s="4"/>
      <c r="C5" s="475" t="s">
        <v>632</v>
      </c>
      <c r="D5" s="198">
        <v>2018</v>
      </c>
      <c r="E5" s="198">
        <f t="shared" ref="E5:G5" si="0">D5+1</f>
        <v>2019</v>
      </c>
      <c r="F5" s="198">
        <f t="shared" si="0"/>
        <v>2020</v>
      </c>
      <c r="G5" s="198">
        <f t="shared" si="0"/>
        <v>2021</v>
      </c>
      <c r="H5" s="476" t="s">
        <v>507</v>
      </c>
    </row>
    <row r="6" spans="1:8" x14ac:dyDescent="0.25">
      <c r="A6" s="478" t="s">
        <v>356</v>
      </c>
      <c r="B6" s="477" t="s">
        <v>339</v>
      </c>
      <c r="C6" s="479">
        <f>'EERR Ajustado'!C6</f>
        <v>30634332.772999987</v>
      </c>
      <c r="D6" s="479">
        <f>'EERR Ajustado'!D6</f>
        <v>113532350.16048445</v>
      </c>
      <c r="E6" s="479">
        <f>'EERR Ajustado'!E6</f>
        <v>117662940.89019828</v>
      </c>
      <c r="F6" s="479">
        <f>'EERR Ajustado'!F6</f>
        <v>122157856.43448278</v>
      </c>
      <c r="G6" s="479">
        <f>'EERR Ajustado'!G6</f>
        <v>127057816.48791243</v>
      </c>
      <c r="H6" s="480">
        <f>G6</f>
        <v>127057816.48791243</v>
      </c>
    </row>
    <row r="7" spans="1:8" x14ac:dyDescent="0.25">
      <c r="A7" s="478" t="s">
        <v>357</v>
      </c>
      <c r="B7" s="477" t="s">
        <v>340</v>
      </c>
      <c r="C7" s="479">
        <f>-'EERR Ajustado'!C7</f>
        <v>-24974517.498684287</v>
      </c>
      <c r="D7" s="479">
        <f>-'EERR Ajustado'!D7</f>
        <v>-93171971.976665944</v>
      </c>
      <c r="E7" s="479">
        <f>-'EERR Ajustado'!E7</f>
        <v>-96561801.247106999</v>
      </c>
      <c r="F7" s="479">
        <f>-'EERR Ajustado'!F7</f>
        <v>-100250618.9676735</v>
      </c>
      <c r="G7" s="479">
        <f>-'EERR Ajustado'!G7</f>
        <v>-104271842.34708548</v>
      </c>
      <c r="H7" s="480">
        <f t="shared" ref="H7:H21" si="1">G7</f>
        <v>-104271842.34708548</v>
      </c>
    </row>
    <row r="8" spans="1:8" x14ac:dyDescent="0.25">
      <c r="A8" s="481" t="s">
        <v>358</v>
      </c>
      <c r="B8" s="482" t="s">
        <v>341</v>
      </c>
      <c r="C8" s="483">
        <f>C6+C7</f>
        <v>5659815.2743156999</v>
      </c>
      <c r="D8" s="483">
        <f>D6+D7</f>
        <v>20360378.183818504</v>
      </c>
      <c r="E8" s="483">
        <f>E6+E7</f>
        <v>21101139.643091276</v>
      </c>
      <c r="F8" s="483">
        <f>F6+F7</f>
        <v>21907237.466809288</v>
      </c>
      <c r="G8" s="483">
        <f>G6+G7</f>
        <v>22785974.140826955</v>
      </c>
      <c r="H8" s="483">
        <f t="shared" si="1"/>
        <v>22785974.140826955</v>
      </c>
    </row>
    <row r="9" spans="1:8" x14ac:dyDescent="0.25">
      <c r="A9" s="478" t="s">
        <v>357</v>
      </c>
      <c r="B9" s="477" t="s">
        <v>343</v>
      </c>
      <c r="C9" s="479">
        <f>-'EERR Ajustado'!C10</f>
        <v>-586809.4309973591</v>
      </c>
      <c r="D9" s="479">
        <f>-'EERR Ajustado'!D10</f>
        <v>-1780850.9800221575</v>
      </c>
      <c r="E9" s="479">
        <f>-'EERR Ajustado'!E10</f>
        <v>-1845642.7908028136</v>
      </c>
      <c r="F9" s="479">
        <f>-'EERR Ajustado'!F10</f>
        <v>-1916149.3445810159</v>
      </c>
      <c r="G9" s="479">
        <f>-'EERR Ajustado'!G10</f>
        <v>-1993009.3642219796</v>
      </c>
      <c r="H9" s="480">
        <f t="shared" si="1"/>
        <v>-1993009.3642219796</v>
      </c>
    </row>
    <row r="10" spans="1:8" x14ac:dyDescent="0.25">
      <c r="A10" s="478" t="s">
        <v>357</v>
      </c>
      <c r="B10" s="477" t="s">
        <v>344</v>
      </c>
      <c r="C10" s="479">
        <f>-'EERR Ajustado'!C11</f>
        <v>-5695009.4168862998</v>
      </c>
      <c r="D10" s="479">
        <f>-'EERR Ajustado'!D11</f>
        <v>-17935972.268231165</v>
      </c>
      <c r="E10" s="479">
        <f>-'EERR Ajustado'!E11</f>
        <v>-18588527.779280085</v>
      </c>
      <c r="F10" s="479">
        <f>-'EERR Ajustado'!F11</f>
        <v>-19298639.746806223</v>
      </c>
      <c r="G10" s="479">
        <f>-'EERR Ajustado'!G11</f>
        <v>-20072741.11535468</v>
      </c>
      <c r="H10" s="480">
        <f t="shared" si="1"/>
        <v>-20072741.11535468</v>
      </c>
    </row>
    <row r="11" spans="1:8" x14ac:dyDescent="0.25">
      <c r="A11" s="478" t="s">
        <v>356</v>
      </c>
      <c r="B11" s="477" t="s">
        <v>359</v>
      </c>
      <c r="C11" s="479">
        <f>'EERR Ajustado'!C9</f>
        <v>3371.3707500000019</v>
      </c>
      <c r="D11" s="479">
        <f>'EERR Ajustado'!D9</f>
        <v>426298.94589648751</v>
      </c>
      <c r="E11" s="479">
        <f>'EERR Ajustado'!E9</f>
        <v>441808.76729556645</v>
      </c>
      <c r="F11" s="479">
        <f>'EERR Ajustado'!F9</f>
        <v>458686.58014550392</v>
      </c>
      <c r="G11" s="479">
        <f>'EERR Ajustado'!G9</f>
        <v>477085.28150911746</v>
      </c>
      <c r="H11" s="480">
        <f t="shared" si="1"/>
        <v>477085.28150911746</v>
      </c>
    </row>
    <row r="12" spans="1:8" x14ac:dyDescent="0.25">
      <c r="A12" s="478" t="s">
        <v>357</v>
      </c>
      <c r="B12" s="477" t="s">
        <v>360</v>
      </c>
      <c r="C12" s="479"/>
      <c r="D12" s="479"/>
      <c r="E12" s="479"/>
      <c r="F12" s="479"/>
      <c r="G12" s="479"/>
      <c r="H12" s="480"/>
    </row>
    <row r="13" spans="1:8" x14ac:dyDescent="0.25">
      <c r="A13" s="478" t="s">
        <v>356</v>
      </c>
      <c r="B13" s="477" t="s">
        <v>345</v>
      </c>
      <c r="C13" s="479"/>
      <c r="D13" s="479"/>
      <c r="E13" s="479"/>
      <c r="F13" s="479"/>
      <c r="G13" s="479"/>
      <c r="H13" s="480"/>
    </row>
    <row r="14" spans="1:8" x14ac:dyDescent="0.25">
      <c r="A14" s="478" t="s">
        <v>356</v>
      </c>
      <c r="B14" s="477" t="s">
        <v>361</v>
      </c>
      <c r="C14" s="479"/>
      <c r="D14" s="479"/>
      <c r="E14" s="479"/>
      <c r="F14" s="479"/>
      <c r="G14" s="479"/>
      <c r="H14" s="480"/>
    </row>
    <row r="15" spans="1:8" x14ac:dyDescent="0.25">
      <c r="A15" s="478" t="s">
        <v>357</v>
      </c>
      <c r="B15" s="477" t="s">
        <v>346</v>
      </c>
      <c r="C15" s="479">
        <f>-'EERR Ajustado'!C13</f>
        <v>-348956.0682031482</v>
      </c>
      <c r="D15" s="479">
        <f>-'EERR Ajustado'!D13</f>
        <v>-1257873.9004985073</v>
      </c>
      <c r="E15" s="479">
        <f>-'EERR Ajustado'!E13</f>
        <v>-1303638.4976833942</v>
      </c>
      <c r="F15" s="479">
        <f>-'EERR Ajustado'!F13</f>
        <v>-1353439.6067074584</v>
      </c>
      <c r="G15" s="479">
        <f>-'EERR Ajustado'!G13</f>
        <v>-1407728.3786388235</v>
      </c>
      <c r="H15" s="480">
        <f t="shared" si="1"/>
        <v>-1407728.3786388235</v>
      </c>
    </row>
    <row r="16" spans="1:8" x14ac:dyDescent="0.25">
      <c r="A16" s="478" t="s">
        <v>356</v>
      </c>
      <c r="B16" s="477" t="s">
        <v>362</v>
      </c>
      <c r="C16" s="479"/>
      <c r="D16" s="479"/>
      <c r="E16" s="479"/>
      <c r="F16" s="479"/>
      <c r="G16" s="479"/>
      <c r="H16" s="480"/>
    </row>
    <row r="17" spans="1:8" x14ac:dyDescent="0.25">
      <c r="A17" s="478" t="s">
        <v>363</v>
      </c>
      <c r="B17" s="477" t="s">
        <v>347</v>
      </c>
      <c r="C17" s="479"/>
      <c r="D17" s="479"/>
      <c r="E17" s="479"/>
      <c r="F17" s="479"/>
      <c r="G17" s="479"/>
      <c r="H17" s="480"/>
    </row>
    <row r="18" spans="1:8" x14ac:dyDescent="0.25">
      <c r="A18" s="478" t="s">
        <v>363</v>
      </c>
      <c r="B18" s="477" t="s">
        <v>348</v>
      </c>
      <c r="C18" s="479"/>
      <c r="D18" s="479"/>
      <c r="E18" s="479"/>
      <c r="F18" s="479"/>
      <c r="G18" s="479"/>
      <c r="H18" s="480"/>
    </row>
    <row r="19" spans="1:8" x14ac:dyDescent="0.25">
      <c r="A19" s="481" t="s">
        <v>358</v>
      </c>
      <c r="B19" s="482" t="s">
        <v>364</v>
      </c>
      <c r="C19" s="483">
        <f>SUM(C8:C18)</f>
        <v>-967588.27102110675</v>
      </c>
      <c r="D19" s="483">
        <f t="shared" ref="D19:G19" si="2">SUM(D8:D18)</f>
        <v>-188020.01903683878</v>
      </c>
      <c r="E19" s="483">
        <f t="shared" si="2"/>
        <v>-194860.65737945074</v>
      </c>
      <c r="F19" s="483">
        <f t="shared" si="2"/>
        <v>-202304.65113990521</v>
      </c>
      <c r="G19" s="483">
        <f t="shared" si="2"/>
        <v>-210419.43587940908</v>
      </c>
      <c r="H19" s="483">
        <f t="shared" si="1"/>
        <v>-210419.43587940908</v>
      </c>
    </row>
    <row r="20" spans="1:8" x14ac:dyDescent="0.25">
      <c r="A20" s="478" t="s">
        <v>357</v>
      </c>
      <c r="B20" s="477" t="s">
        <v>350</v>
      </c>
      <c r="C20" s="479"/>
      <c r="D20" s="479"/>
      <c r="E20" s="479"/>
      <c r="F20" s="479"/>
      <c r="G20" s="479"/>
      <c r="H20" s="480"/>
    </row>
    <row r="21" spans="1:8" x14ac:dyDescent="0.25">
      <c r="A21" s="481" t="s">
        <v>358</v>
      </c>
      <c r="B21" s="482" t="s">
        <v>351</v>
      </c>
      <c r="C21" s="483">
        <f>C19+C20</f>
        <v>-967588.27102110675</v>
      </c>
      <c r="D21" s="483">
        <f t="shared" ref="D21:G21" si="3">D19+D20</f>
        <v>-188020.01903683878</v>
      </c>
      <c r="E21" s="483">
        <f t="shared" si="3"/>
        <v>-194860.65737945074</v>
      </c>
      <c r="F21" s="483">
        <f t="shared" si="3"/>
        <v>-202304.65113990521</v>
      </c>
      <c r="G21" s="483">
        <f t="shared" si="3"/>
        <v>-210419.43587940908</v>
      </c>
      <c r="H21" s="483">
        <f t="shared" si="1"/>
        <v>-210419.43587940908</v>
      </c>
    </row>
    <row r="22" spans="1:8" x14ac:dyDescent="0.25">
      <c r="A22" s="484"/>
      <c r="B22" s="4"/>
      <c r="C22" s="485"/>
      <c r="D22" s="485"/>
      <c r="E22" s="485"/>
      <c r="F22" s="485"/>
      <c r="G22" s="485"/>
      <c r="H22" s="486"/>
    </row>
    <row r="23" spans="1:8" x14ac:dyDescent="0.25">
      <c r="A23" s="4"/>
      <c r="B23" s="487" t="s">
        <v>365</v>
      </c>
      <c r="C23" s="485"/>
      <c r="D23" s="485"/>
      <c r="E23" s="485"/>
      <c r="F23" s="485"/>
      <c r="G23" s="485"/>
      <c r="H23" s="486"/>
    </row>
    <row r="24" spans="1:8" x14ac:dyDescent="0.25">
      <c r="A24" s="484"/>
      <c r="B24" s="24" t="s">
        <v>506</v>
      </c>
      <c r="C24" s="488">
        <v>0.26</v>
      </c>
      <c r="D24" s="488">
        <v>0.26</v>
      </c>
      <c r="E24" s="488">
        <v>0.26</v>
      </c>
      <c r="F24" s="488">
        <v>0.26</v>
      </c>
      <c r="G24" s="488">
        <v>0.26</v>
      </c>
      <c r="H24" s="489">
        <v>0.26</v>
      </c>
    </row>
    <row r="25" spans="1:8" x14ac:dyDescent="0.25">
      <c r="A25" s="478" t="s">
        <v>356</v>
      </c>
      <c r="B25" s="477" t="s">
        <v>366</v>
      </c>
      <c r="C25" s="490">
        <f>'EERR Ajustado'!C20</f>
        <v>294879.19085073913</v>
      </c>
      <c r="D25" s="490">
        <f>'EERR Ajustado'!D20</f>
        <v>1337764.5111852924</v>
      </c>
      <c r="E25" s="490">
        <f>'EERR Ajustado'!E20</f>
        <v>1386435.7285134911</v>
      </c>
      <c r="F25" s="490">
        <f>'EERR Ajustado'!F20</f>
        <v>1439399.8263007652</v>
      </c>
      <c r="G25" s="490">
        <f>'EERR Ajustado'!G20</f>
        <v>1497136.6093096426</v>
      </c>
      <c r="H25" s="480">
        <f t="shared" ref="H25:H35" si="4">G25</f>
        <v>1497136.6093096426</v>
      </c>
    </row>
    <row r="26" spans="1:8" x14ac:dyDescent="0.25">
      <c r="A26" s="478" t="s">
        <v>356</v>
      </c>
      <c r="B26" s="477" t="s">
        <v>367</v>
      </c>
      <c r="C26" s="490">
        <f>'EERR Ajustado'!C21</f>
        <v>34041.518812339564</v>
      </c>
      <c r="D26" s="490">
        <f>'EERR Ajustado'!D21</f>
        <v>68844.052578948918</v>
      </c>
      <c r="E26" s="490">
        <f>'EERR Ajustado'!E21</f>
        <v>71348.771321902532</v>
      </c>
      <c r="F26" s="490">
        <f>'EERR Ajustado'!F21</f>
        <v>74074.410328152589</v>
      </c>
      <c r="G26" s="490">
        <f>'EERR Ajustado'!G21</f>
        <v>77045.661315877413</v>
      </c>
      <c r="H26" s="480">
        <f t="shared" si="4"/>
        <v>77045.661315877413</v>
      </c>
    </row>
    <row r="27" spans="1:8" x14ac:dyDescent="0.25">
      <c r="A27" s="478" t="s">
        <v>357</v>
      </c>
      <c r="B27" s="477" t="s">
        <v>368</v>
      </c>
      <c r="C27" s="490">
        <f>-C11*(1-C24)</f>
        <v>-2494.8143550000013</v>
      </c>
      <c r="D27" s="490">
        <f t="shared" ref="D27:F27" si="5">-D11*(1-D24)</f>
        <v>-315461.21996340074</v>
      </c>
      <c r="E27" s="490">
        <f t="shared" si="5"/>
        <v>-326938.48779871914</v>
      </c>
      <c r="F27" s="490">
        <f t="shared" si="5"/>
        <v>-339428.06930767291</v>
      </c>
      <c r="G27" s="490">
        <f>-G11*(1-G24)</f>
        <v>-353043.10831674689</v>
      </c>
      <c r="H27" s="480">
        <f t="shared" si="4"/>
        <v>-353043.10831674689</v>
      </c>
    </row>
    <row r="28" spans="1:8" x14ac:dyDescent="0.25">
      <c r="A28" s="478" t="s">
        <v>356</v>
      </c>
      <c r="B28" s="477" t="s">
        <v>369</v>
      </c>
      <c r="C28" s="479"/>
      <c r="D28" s="490"/>
      <c r="E28" s="490"/>
      <c r="F28" s="490"/>
      <c r="G28" s="490"/>
      <c r="H28" s="480"/>
    </row>
    <row r="29" spans="1:8" x14ac:dyDescent="0.25">
      <c r="A29" s="478" t="s">
        <v>357</v>
      </c>
      <c r="B29" s="477" t="s">
        <v>370</v>
      </c>
      <c r="C29" s="490"/>
      <c r="D29" s="490"/>
      <c r="E29" s="490"/>
      <c r="F29" s="490"/>
      <c r="G29" s="490"/>
      <c r="H29" s="480"/>
    </row>
    <row r="30" spans="1:8" x14ac:dyDescent="0.25">
      <c r="A30" s="478" t="s">
        <v>357</v>
      </c>
      <c r="B30" s="477" t="s">
        <v>371</v>
      </c>
      <c r="C30" s="490"/>
      <c r="D30" s="490"/>
      <c r="E30" s="490"/>
      <c r="F30" s="490"/>
      <c r="G30" s="490"/>
      <c r="H30" s="480"/>
    </row>
    <row r="31" spans="1:8" x14ac:dyDescent="0.25">
      <c r="A31" s="478" t="s">
        <v>356</v>
      </c>
      <c r="B31" s="477" t="s">
        <v>372</v>
      </c>
      <c r="C31" s="490">
        <f>-C15*(1-C24)</f>
        <v>258227.49047032968</v>
      </c>
      <c r="D31" s="490">
        <f t="shared" ref="D31:G31" si="6">-D15*(1-D24)</f>
        <v>930826.68636889535</v>
      </c>
      <c r="E31" s="490">
        <f t="shared" si="6"/>
        <v>964692.48828571173</v>
      </c>
      <c r="F31" s="490">
        <f t="shared" si="6"/>
        <v>1001545.3089635192</v>
      </c>
      <c r="G31" s="490">
        <f t="shared" si="6"/>
        <v>1041719.0001927294</v>
      </c>
      <c r="H31" s="480">
        <f t="shared" si="4"/>
        <v>1041719.0001927294</v>
      </c>
    </row>
    <row r="32" spans="1:8" x14ac:dyDescent="0.25">
      <c r="A32" s="478" t="s">
        <v>357</v>
      </c>
      <c r="B32" s="30" t="s">
        <v>373</v>
      </c>
      <c r="C32" s="490"/>
      <c r="D32" s="490"/>
      <c r="E32" s="490"/>
      <c r="F32" s="490"/>
      <c r="G32" s="490"/>
      <c r="H32" s="480"/>
    </row>
    <row r="33" spans="1:11" x14ac:dyDescent="0.25">
      <c r="A33" s="478" t="s">
        <v>374</v>
      </c>
      <c r="B33" s="477" t="s">
        <v>347</v>
      </c>
      <c r="C33" s="490"/>
      <c r="D33" s="490"/>
      <c r="E33" s="490"/>
      <c r="F33" s="490"/>
      <c r="G33" s="490"/>
      <c r="H33" s="480"/>
    </row>
    <row r="34" spans="1:11" x14ac:dyDescent="0.25">
      <c r="A34" s="478" t="s">
        <v>374</v>
      </c>
      <c r="B34" s="477" t="s">
        <v>348</v>
      </c>
      <c r="C34" s="490"/>
      <c r="D34" s="490"/>
      <c r="E34" s="490"/>
      <c r="F34" s="490"/>
      <c r="G34" s="490"/>
      <c r="H34" s="480"/>
    </row>
    <row r="35" spans="1:11" x14ac:dyDescent="0.25">
      <c r="A35" s="481" t="s">
        <v>358</v>
      </c>
      <c r="B35" s="482" t="s">
        <v>375</v>
      </c>
      <c r="C35" s="483">
        <f>C21+SUM(C25:C34)</f>
        <v>-382934.88524269836</v>
      </c>
      <c r="D35" s="483">
        <f t="shared" ref="D35:G35" si="7">D21+SUM(D25:D34)</f>
        <v>1833954.0111328969</v>
      </c>
      <c r="E35" s="483">
        <f t="shared" si="7"/>
        <v>1900677.8429429354</v>
      </c>
      <c r="F35" s="483">
        <f t="shared" si="7"/>
        <v>1973286.8251448586</v>
      </c>
      <c r="G35" s="483">
        <f t="shared" si="7"/>
        <v>2052438.7266220932</v>
      </c>
      <c r="H35" s="483">
        <f t="shared" si="4"/>
        <v>2052438.7266220932</v>
      </c>
    </row>
    <row r="36" spans="1:11" x14ac:dyDescent="0.25">
      <c r="A36" s="491"/>
      <c r="B36" s="4"/>
      <c r="C36" s="490"/>
      <c r="D36" s="490"/>
      <c r="E36" s="490"/>
      <c r="F36" s="490"/>
      <c r="G36" s="490"/>
      <c r="H36" s="486"/>
    </row>
    <row r="37" spans="1:11" x14ac:dyDescent="0.25">
      <c r="A37" s="4"/>
      <c r="B37" s="487" t="s">
        <v>376</v>
      </c>
      <c r="C37" s="490"/>
      <c r="D37" s="490"/>
      <c r="E37" s="490"/>
      <c r="F37" s="490"/>
      <c r="G37" s="490"/>
      <c r="H37" s="486"/>
    </row>
    <row r="38" spans="1:11" x14ac:dyDescent="0.25">
      <c r="A38" s="478" t="s">
        <v>357</v>
      </c>
      <c r="B38" s="477" t="s">
        <v>377</v>
      </c>
      <c r="C38" s="479">
        <f>-C25*Supuestos!C56</f>
        <v>-25131.874354498545</v>
      </c>
      <c r="D38" s="479">
        <f>-D25*Supuestos!D56</f>
        <v>-114014.58853037156</v>
      </c>
      <c r="E38" s="479">
        <f>-E25*Supuestos!E56</f>
        <v>-118162.72429757779</v>
      </c>
      <c r="F38" s="479">
        <f>-F25*Supuestos!F56</f>
        <v>-122676.73238017224</v>
      </c>
      <c r="G38" s="479">
        <f>+-G25</f>
        <v>-1497136.6093096426</v>
      </c>
      <c r="H38" s="480">
        <f>-H25</f>
        <v>-1497136.6093096426</v>
      </c>
    </row>
    <row r="39" spans="1:11" x14ac:dyDescent="0.25">
      <c r="A39" s="478" t="s">
        <v>357</v>
      </c>
      <c r="B39" s="477" t="s">
        <v>409</v>
      </c>
      <c r="C39" s="490">
        <f>-C6*Supuestos!$C$57</f>
        <v>-762551.67681670282</v>
      </c>
      <c r="D39" s="490">
        <f>-D6*Supuestos!$C$57</f>
        <v>-2826054.1735748844</v>
      </c>
      <c r="E39" s="490">
        <f>-E6*Supuestos!$C$57</f>
        <v>-2928873.0895449729</v>
      </c>
      <c r="F39" s="490">
        <f>-F6*Supuestos!$C$57</f>
        <v>-3040760.8009843607</v>
      </c>
      <c r="G39" s="490">
        <f>-G6*Supuestos!$C$57</f>
        <v>-3162730.9050099603</v>
      </c>
      <c r="H39" s="486"/>
      <c r="K39" s="332">
        <v>5478643.7398754656</v>
      </c>
    </row>
    <row r="40" spans="1:11" x14ac:dyDescent="0.25">
      <c r="A40" s="478" t="s">
        <v>357</v>
      </c>
      <c r="B40" s="477" t="s">
        <v>382</v>
      </c>
      <c r="C40" s="645">
        <f>-Supuestos!C58*(D6-C6)</f>
        <v>-8090386.9156184634</v>
      </c>
      <c r="D40" s="645">
        <f>-Supuestos!D58*(E6-D6)</f>
        <v>-403122.75548458379</v>
      </c>
      <c r="E40" s="645">
        <f>-Supuestos!E58*(F6-E6)</f>
        <v>-438678.83759280026</v>
      </c>
      <c r="F40" s="645">
        <f>-Supuestos!F58*(G6-F6)</f>
        <v>-478208.93614405568</v>
      </c>
      <c r="G40" s="645">
        <f>-Supuestos!G58*(H6-G6)</f>
        <v>0</v>
      </c>
      <c r="H40" s="486"/>
    </row>
    <row r="41" spans="1:11" s="648" customFormat="1" ht="21" customHeight="1" x14ac:dyDescent="0.25">
      <c r="A41" s="478"/>
      <c r="B41" s="644" t="s">
        <v>518</v>
      </c>
      <c r="C41" s="646">
        <f>SUM(C38:C40)</f>
        <v>-8878070.4667896647</v>
      </c>
      <c r="D41" s="646">
        <f t="shared" ref="D41:G41" si="8">SUM(D38:D40)</f>
        <v>-3343191.5175898396</v>
      </c>
      <c r="E41" s="646">
        <f t="shared" si="8"/>
        <v>-3485714.651435351</v>
      </c>
      <c r="F41" s="646">
        <f t="shared" si="8"/>
        <v>-3641646.4695085888</v>
      </c>
      <c r="G41" s="646">
        <f t="shared" si="8"/>
        <v>-4659867.5143196024</v>
      </c>
      <c r="H41" s="647"/>
    </row>
    <row r="42" spans="1:11" x14ac:dyDescent="0.25">
      <c r="A42" s="492" t="s">
        <v>358</v>
      </c>
      <c r="B42" s="493" t="s">
        <v>378</v>
      </c>
      <c r="C42" s="494">
        <f>SUM(C35:C40)</f>
        <v>-9261005.3520323634</v>
      </c>
      <c r="D42" s="494">
        <f t="shared" ref="D42:H42" si="9">SUM(D35:D40)</f>
        <v>-1509237.506456943</v>
      </c>
      <c r="E42" s="494">
        <f t="shared" si="9"/>
        <v>-1585036.8084924156</v>
      </c>
      <c r="F42" s="494">
        <f t="shared" si="9"/>
        <v>-1668359.6443637302</v>
      </c>
      <c r="G42" s="494">
        <f t="shared" si="9"/>
        <v>-2607428.7876975099</v>
      </c>
      <c r="H42" s="494">
        <f t="shared" si="9"/>
        <v>555302.11731245066</v>
      </c>
    </row>
    <row r="43" spans="1:11" ht="16.5" thickBot="1" x14ac:dyDescent="0.3">
      <c r="B43" s="746" t="s">
        <v>648</v>
      </c>
      <c r="C43" s="495"/>
      <c r="D43" s="495"/>
      <c r="E43" s="495"/>
      <c r="F43" s="495"/>
      <c r="G43" s="747">
        <f>H42/'Ko TAGA'!B11</f>
        <v>5478643.7398754656</v>
      </c>
    </row>
    <row r="44" spans="1:11" ht="16.5" thickBot="1" x14ac:dyDescent="0.3">
      <c r="B44" s="351" t="s">
        <v>399</v>
      </c>
      <c r="C44" s="352">
        <f>C42+C43</f>
        <v>-9261005.3520323634</v>
      </c>
      <c r="D44" s="352">
        <f>D42+D43</f>
        <v>-1509237.506456943</v>
      </c>
      <c r="E44" s="352">
        <f>E42+E43</f>
        <v>-1585036.8084924156</v>
      </c>
      <c r="F44" s="352">
        <f>F42+F43</f>
        <v>-1668359.6443637302</v>
      </c>
      <c r="G44" s="353">
        <f>G42+G43</f>
        <v>2871214.9521779558</v>
      </c>
    </row>
    <row r="45" spans="1:11" x14ac:dyDescent="0.25">
      <c r="H45" s="354"/>
    </row>
    <row r="46" spans="1:11" x14ac:dyDescent="0.25">
      <c r="B46" s="24" t="s">
        <v>646</v>
      </c>
      <c r="C46" s="751">
        <v>1</v>
      </c>
      <c r="D46" s="751">
        <v>2</v>
      </c>
      <c r="E46" s="751">
        <v>3</v>
      </c>
      <c r="F46" s="751">
        <v>4</v>
      </c>
      <c r="G46" s="751">
        <v>5</v>
      </c>
      <c r="H46" s="354"/>
    </row>
    <row r="47" spans="1:11" x14ac:dyDescent="0.25">
      <c r="B47" s="750" t="s">
        <v>645</v>
      </c>
      <c r="C47" s="752">
        <f>(1+'Ko TAGA'!B14)^C46</f>
        <v>1.0253393971062021</v>
      </c>
      <c r="D47" s="752">
        <f>(1+'Ko TAGA'!$B$11)^D46</f>
        <v>1.2129885375809095</v>
      </c>
      <c r="E47" s="752">
        <f>(1+'Ko TAGA'!$B$11)^E46</f>
        <v>1.3359341305370456</v>
      </c>
      <c r="F47" s="752">
        <f>(1+'Ko TAGA'!$B$11)^F46</f>
        <v>1.4713411923026736</v>
      </c>
      <c r="G47" s="752">
        <f>(1+'Ko TAGA'!$B$11)^G46</f>
        <v>1.6204727873045548</v>
      </c>
    </row>
    <row r="48" spans="1:11" x14ac:dyDescent="0.25">
      <c r="B48" s="748" t="s">
        <v>642</v>
      </c>
      <c r="C48" s="753">
        <f>+C44/C47</f>
        <v>-9032136.4595660139</v>
      </c>
      <c r="D48" s="753">
        <f t="shared" ref="D48:G48" si="10">+D44/D47</f>
        <v>-1244230.6416735393</v>
      </c>
      <c r="E48" s="753">
        <f t="shared" si="10"/>
        <v>-1186463.2935571687</v>
      </c>
      <c r="F48" s="753">
        <f t="shared" si="10"/>
        <v>-1133903.9871185278</v>
      </c>
      <c r="G48" s="753">
        <f t="shared" si="10"/>
        <v>1771837.8084915869</v>
      </c>
      <c r="H48" s="749"/>
    </row>
    <row r="49" spans="3:8" x14ac:dyDescent="0.25">
      <c r="C49" s="754" t="s">
        <v>632</v>
      </c>
      <c r="D49" s="754">
        <v>2018</v>
      </c>
      <c r="E49" s="754">
        <f t="shared" ref="E49" si="11">D49+1</f>
        <v>2019</v>
      </c>
      <c r="F49" s="754">
        <f t="shared" ref="F49" si="12">E49+1</f>
        <v>2020</v>
      </c>
      <c r="G49" s="754" t="s">
        <v>647</v>
      </c>
      <c r="H49" s="749"/>
    </row>
  </sheetData>
  <pageMargins left="0.7" right="0.7" top="0.75" bottom="0.75" header="0.3" footer="0.3"/>
  <pageSetup orientation="portrait" horizontalDpi="4294967293"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4EAF8-829F-45C1-9DEC-77FD2AA93DF8}">
  <dimension ref="B4:G122"/>
  <sheetViews>
    <sheetView showGridLines="0" topLeftCell="A104" workbookViewId="0">
      <selection activeCell="F129" sqref="F129"/>
    </sheetView>
  </sheetViews>
  <sheetFormatPr defaultColWidth="8.85546875" defaultRowHeight="15" x14ac:dyDescent="0.25"/>
  <cols>
    <col min="1" max="1" width="8.85546875" style="631"/>
    <col min="2" max="2" width="80.5703125" style="631" bestFit="1" customWidth="1"/>
    <col min="3" max="3" width="7.5703125" style="658" customWidth="1"/>
    <col min="4" max="5" width="8.85546875" style="631"/>
    <col min="6" max="6" width="42.7109375" style="631" customWidth="1"/>
    <col min="7" max="7" width="8.85546875" style="632"/>
    <col min="8" max="16384" width="8.85546875" style="631"/>
  </cols>
  <sheetData>
    <row r="4" spans="2:3" x14ac:dyDescent="0.25">
      <c r="B4" s="630" t="s">
        <v>525</v>
      </c>
      <c r="C4" s="658">
        <v>1</v>
      </c>
    </row>
    <row r="5" spans="2:3" x14ac:dyDescent="0.25">
      <c r="B5" s="630"/>
    </row>
    <row r="6" spans="2:3" x14ac:dyDescent="0.25">
      <c r="B6" s="630" t="s">
        <v>526</v>
      </c>
      <c r="C6" s="658">
        <v>2</v>
      </c>
    </row>
    <row r="7" spans="2:3" x14ac:dyDescent="0.25">
      <c r="B7" s="630"/>
    </row>
    <row r="8" spans="2:3" x14ac:dyDescent="0.25">
      <c r="B8" s="630" t="s">
        <v>527</v>
      </c>
      <c r="C8" s="658">
        <v>5</v>
      </c>
    </row>
    <row r="9" spans="2:3" x14ac:dyDescent="0.25">
      <c r="B9" s="661" t="s">
        <v>528</v>
      </c>
      <c r="C9" s="658">
        <v>5</v>
      </c>
    </row>
    <row r="10" spans="2:3" x14ac:dyDescent="0.25">
      <c r="B10" s="661" t="s">
        <v>529</v>
      </c>
      <c r="C10" s="658">
        <v>5</v>
      </c>
    </row>
    <row r="11" spans="2:3" x14ac:dyDescent="0.25">
      <c r="B11" s="661" t="s">
        <v>530</v>
      </c>
      <c r="C11" s="658">
        <v>5</v>
      </c>
    </row>
    <row r="12" spans="2:3" x14ac:dyDescent="0.25">
      <c r="B12" s="661" t="s">
        <v>531</v>
      </c>
      <c r="C12" s="658">
        <v>6</v>
      </c>
    </row>
    <row r="13" spans="2:3" x14ac:dyDescent="0.25">
      <c r="B13" s="661" t="s">
        <v>532</v>
      </c>
      <c r="C13" s="658">
        <v>7</v>
      </c>
    </row>
    <row r="14" spans="2:3" x14ac:dyDescent="0.25">
      <c r="B14" s="661" t="s">
        <v>533</v>
      </c>
      <c r="C14" s="658">
        <v>7</v>
      </c>
    </row>
    <row r="15" spans="2:3" x14ac:dyDescent="0.25">
      <c r="B15" s="661"/>
    </row>
    <row r="16" spans="2:3" x14ac:dyDescent="0.25">
      <c r="B16" s="659" t="s">
        <v>534</v>
      </c>
      <c r="C16" s="658">
        <v>9</v>
      </c>
    </row>
    <row r="17" spans="2:3" x14ac:dyDescent="0.25">
      <c r="B17" s="661" t="s">
        <v>535</v>
      </c>
      <c r="C17" s="658">
        <v>9</v>
      </c>
    </row>
    <row r="18" spans="2:3" x14ac:dyDescent="0.25">
      <c r="B18" s="661" t="s">
        <v>536</v>
      </c>
      <c r="C18" s="658">
        <v>9</v>
      </c>
    </row>
    <row r="19" spans="2:3" x14ac:dyDescent="0.25">
      <c r="B19" s="661" t="s">
        <v>537</v>
      </c>
      <c r="C19" s="658">
        <v>10</v>
      </c>
    </row>
    <row r="20" spans="2:3" x14ac:dyDescent="0.25">
      <c r="B20" s="661" t="s">
        <v>538</v>
      </c>
      <c r="C20" s="658">
        <v>11</v>
      </c>
    </row>
    <row r="21" spans="2:3" x14ac:dyDescent="0.25">
      <c r="B21" s="661"/>
    </row>
    <row r="22" spans="2:3" x14ac:dyDescent="0.25">
      <c r="B22" s="661"/>
    </row>
    <row r="23" spans="2:3" x14ac:dyDescent="0.25">
      <c r="B23" s="659" t="s">
        <v>91</v>
      </c>
      <c r="C23" s="658">
        <v>12</v>
      </c>
    </row>
    <row r="24" spans="2:3" x14ac:dyDescent="0.25">
      <c r="B24" s="661" t="s">
        <v>58</v>
      </c>
      <c r="C24" s="658">
        <v>12</v>
      </c>
    </row>
    <row r="25" spans="2:3" x14ac:dyDescent="0.25">
      <c r="B25" s="661" t="s">
        <v>30</v>
      </c>
      <c r="C25" s="658">
        <v>13</v>
      </c>
    </row>
    <row r="26" spans="2:3" x14ac:dyDescent="0.25">
      <c r="B26" s="661" t="s">
        <v>539</v>
      </c>
      <c r="C26" s="658">
        <v>13</v>
      </c>
    </row>
    <row r="27" spans="2:3" x14ac:dyDescent="0.25">
      <c r="B27" s="661"/>
    </row>
    <row r="28" spans="2:3" x14ac:dyDescent="0.25">
      <c r="B28" s="659" t="s">
        <v>540</v>
      </c>
      <c r="C28" s="658">
        <v>15</v>
      </c>
    </row>
    <row r="29" spans="2:3" x14ac:dyDescent="0.25">
      <c r="B29" s="661" t="s">
        <v>541</v>
      </c>
      <c r="C29" s="658">
        <v>15</v>
      </c>
    </row>
    <row r="30" spans="2:3" x14ac:dyDescent="0.25">
      <c r="B30" s="661" t="s">
        <v>423</v>
      </c>
      <c r="C30" s="658">
        <v>15</v>
      </c>
    </row>
    <row r="31" spans="2:3" x14ac:dyDescent="0.25">
      <c r="B31" s="661" t="s">
        <v>542</v>
      </c>
      <c r="C31" s="658">
        <v>16</v>
      </c>
    </row>
    <row r="32" spans="2:3" x14ac:dyDescent="0.25">
      <c r="B32" s="661" t="s">
        <v>543</v>
      </c>
      <c r="C32" s="658">
        <v>17</v>
      </c>
    </row>
    <row r="33" spans="2:3" x14ac:dyDescent="0.25">
      <c r="B33" s="661"/>
    </row>
    <row r="34" spans="2:3" x14ac:dyDescent="0.25">
      <c r="B34" s="659" t="s">
        <v>544</v>
      </c>
      <c r="C34" s="658">
        <v>18</v>
      </c>
    </row>
    <row r="35" spans="2:3" x14ac:dyDescent="0.25">
      <c r="B35" s="661" t="s">
        <v>545</v>
      </c>
      <c r="C35" s="658">
        <v>18</v>
      </c>
    </row>
    <row r="36" spans="2:3" x14ac:dyDescent="0.25">
      <c r="B36" s="661" t="s">
        <v>546</v>
      </c>
      <c r="C36" s="658">
        <v>19</v>
      </c>
    </row>
    <row r="37" spans="2:3" x14ac:dyDescent="0.25">
      <c r="B37" s="661" t="s">
        <v>547</v>
      </c>
      <c r="C37" s="658">
        <v>20</v>
      </c>
    </row>
    <row r="38" spans="2:3" x14ac:dyDescent="0.25">
      <c r="B38" s="661" t="s">
        <v>46</v>
      </c>
      <c r="C38" s="658">
        <v>21</v>
      </c>
    </row>
    <row r="39" spans="2:3" x14ac:dyDescent="0.25">
      <c r="B39" s="661" t="s">
        <v>273</v>
      </c>
      <c r="C39" s="658">
        <v>22</v>
      </c>
    </row>
    <row r="40" spans="2:3" x14ac:dyDescent="0.25">
      <c r="B40" s="661" t="s">
        <v>548</v>
      </c>
      <c r="C40" s="658">
        <v>23</v>
      </c>
    </row>
    <row r="41" spans="2:3" x14ac:dyDescent="0.25">
      <c r="B41" s="661" t="s">
        <v>549</v>
      </c>
      <c r="C41" s="658">
        <v>24</v>
      </c>
    </row>
    <row r="42" spans="2:3" x14ac:dyDescent="0.25">
      <c r="B42" s="661" t="s">
        <v>550</v>
      </c>
      <c r="C42" s="658">
        <v>25</v>
      </c>
    </row>
    <row r="43" spans="2:3" x14ac:dyDescent="0.25">
      <c r="B43" s="661"/>
    </row>
    <row r="44" spans="2:3" x14ac:dyDescent="0.25">
      <c r="B44" s="659" t="s">
        <v>551</v>
      </c>
      <c r="C44" s="658">
        <v>26</v>
      </c>
    </row>
    <row r="45" spans="2:3" x14ac:dyDescent="0.25">
      <c r="B45" s="661" t="s">
        <v>193</v>
      </c>
      <c r="C45" s="658">
        <v>26</v>
      </c>
    </row>
    <row r="46" spans="2:3" x14ac:dyDescent="0.25">
      <c r="B46" s="661" t="s">
        <v>552</v>
      </c>
      <c r="C46" s="658">
        <v>27</v>
      </c>
    </row>
    <row r="47" spans="2:3" x14ac:dyDescent="0.25">
      <c r="B47" s="661" t="s">
        <v>553</v>
      </c>
      <c r="C47" s="658">
        <v>28</v>
      </c>
    </row>
    <row r="48" spans="2:3" x14ac:dyDescent="0.25">
      <c r="B48" s="661" t="s">
        <v>554</v>
      </c>
      <c r="C48" s="658">
        <v>32</v>
      </c>
    </row>
    <row r="49" spans="2:3" x14ac:dyDescent="0.25">
      <c r="B49" s="661"/>
    </row>
    <row r="50" spans="2:3" x14ac:dyDescent="0.25">
      <c r="B50" s="659" t="s">
        <v>555</v>
      </c>
      <c r="C50" s="658">
        <v>33</v>
      </c>
    </row>
    <row r="51" spans="2:3" x14ac:dyDescent="0.25">
      <c r="B51" s="661" t="s">
        <v>556</v>
      </c>
      <c r="C51" s="658">
        <v>33</v>
      </c>
    </row>
    <row r="52" spans="2:3" x14ac:dyDescent="0.25">
      <c r="B52" s="661" t="s">
        <v>377</v>
      </c>
      <c r="C52" s="658">
        <v>33</v>
      </c>
    </row>
    <row r="53" spans="2:3" x14ac:dyDescent="0.25">
      <c r="B53" s="661" t="s">
        <v>557</v>
      </c>
      <c r="C53" s="658">
        <v>35</v>
      </c>
    </row>
    <row r="54" spans="2:3" x14ac:dyDescent="0.25">
      <c r="B54" s="661" t="s">
        <v>382</v>
      </c>
      <c r="C54" s="658">
        <v>38</v>
      </c>
    </row>
    <row r="55" spans="2:3" x14ac:dyDescent="0.25">
      <c r="B55" s="661" t="s">
        <v>558</v>
      </c>
      <c r="C55" s="658">
        <v>40</v>
      </c>
    </row>
    <row r="56" spans="2:3" x14ac:dyDescent="0.25">
      <c r="B56" s="661" t="s">
        <v>559</v>
      </c>
      <c r="C56" s="658">
        <v>42</v>
      </c>
    </row>
    <row r="57" spans="2:3" x14ac:dyDescent="0.25">
      <c r="B57" s="661"/>
    </row>
    <row r="58" spans="2:3" x14ac:dyDescent="0.25">
      <c r="B58" s="660" t="s">
        <v>404</v>
      </c>
      <c r="C58" s="658">
        <v>43</v>
      </c>
    </row>
    <row r="59" spans="2:3" x14ac:dyDescent="0.25">
      <c r="B59" s="660"/>
    </row>
    <row r="60" spans="2:3" x14ac:dyDescent="0.25">
      <c r="B60" s="659" t="s">
        <v>560</v>
      </c>
      <c r="C60" s="658">
        <v>44</v>
      </c>
    </row>
    <row r="61" spans="2:3" x14ac:dyDescent="0.25">
      <c r="B61" s="659"/>
    </row>
    <row r="62" spans="2:3" x14ac:dyDescent="0.25">
      <c r="B62" s="659" t="s">
        <v>561</v>
      </c>
      <c r="C62" s="658">
        <v>45</v>
      </c>
    </row>
    <row r="63" spans="2:3" x14ac:dyDescent="0.25">
      <c r="B63" s="659"/>
    </row>
    <row r="64" spans="2:3" x14ac:dyDescent="0.25">
      <c r="B64" s="659" t="s">
        <v>562</v>
      </c>
      <c r="C64" s="658">
        <v>46</v>
      </c>
    </row>
    <row r="65" spans="2:7" x14ac:dyDescent="0.25">
      <c r="B65" s="659"/>
    </row>
    <row r="66" spans="2:7" x14ac:dyDescent="0.25">
      <c r="B66" s="659" t="s">
        <v>563</v>
      </c>
      <c r="C66" s="658">
        <v>47</v>
      </c>
    </row>
    <row r="70" spans="2:7" s="663" customFormat="1" ht="20.45" customHeight="1" x14ac:dyDescent="0.25">
      <c r="B70" s="662" t="s">
        <v>127</v>
      </c>
      <c r="C70" s="662" t="s">
        <v>564</v>
      </c>
      <c r="G70" s="664"/>
    </row>
    <row r="71" spans="2:7" ht="16.899999999999999" customHeight="1" x14ac:dyDescent="0.25">
      <c r="B71" s="631" t="s">
        <v>565</v>
      </c>
      <c r="C71" s="632">
        <v>7</v>
      </c>
    </row>
    <row r="72" spans="2:7" ht="16.899999999999999" customHeight="1" x14ac:dyDescent="0.25">
      <c r="B72" s="631" t="s">
        <v>535</v>
      </c>
      <c r="C72" s="632">
        <v>9</v>
      </c>
    </row>
    <row r="73" spans="2:7" ht="16.899999999999999" customHeight="1" x14ac:dyDescent="0.25">
      <c r="B73" s="631" t="s">
        <v>537</v>
      </c>
      <c r="C73" s="632">
        <v>10</v>
      </c>
    </row>
    <row r="74" spans="2:7" ht="16.899999999999999" customHeight="1" x14ac:dyDescent="0.25">
      <c r="B74" s="631" t="s">
        <v>566</v>
      </c>
      <c r="C74" s="632">
        <v>10</v>
      </c>
    </row>
    <row r="75" spans="2:7" ht="16.899999999999999" customHeight="1" x14ac:dyDescent="0.25">
      <c r="B75" s="631" t="s">
        <v>567</v>
      </c>
      <c r="C75" s="632">
        <v>11</v>
      </c>
    </row>
    <row r="76" spans="2:7" ht="16.899999999999999" customHeight="1" x14ac:dyDescent="0.25">
      <c r="B76" s="631" t="s">
        <v>58</v>
      </c>
      <c r="C76" s="632">
        <v>12</v>
      </c>
    </row>
    <row r="77" spans="2:7" ht="16.899999999999999" customHeight="1" x14ac:dyDescent="0.25">
      <c r="B77" s="631" t="s">
        <v>568</v>
      </c>
      <c r="C77" s="632">
        <v>13</v>
      </c>
    </row>
    <row r="78" spans="2:7" ht="16.899999999999999" customHeight="1" x14ac:dyDescent="0.25">
      <c r="B78" s="631" t="s">
        <v>91</v>
      </c>
      <c r="C78" s="632">
        <v>14</v>
      </c>
    </row>
    <row r="79" spans="2:7" ht="16.899999999999999" customHeight="1" x14ac:dyDescent="0.25">
      <c r="B79" s="631" t="s">
        <v>569</v>
      </c>
      <c r="C79" s="632">
        <v>15</v>
      </c>
    </row>
    <row r="80" spans="2:7" ht="16.899999999999999" customHeight="1" x14ac:dyDescent="0.25">
      <c r="B80" s="631" t="s">
        <v>570</v>
      </c>
      <c r="C80" s="632">
        <v>18</v>
      </c>
    </row>
    <row r="81" spans="2:3" ht="16.899999999999999" customHeight="1" x14ac:dyDescent="0.25">
      <c r="B81" s="631" t="s">
        <v>571</v>
      </c>
      <c r="C81" s="632">
        <v>19</v>
      </c>
    </row>
    <row r="82" spans="2:3" ht="16.899999999999999" customHeight="1" x14ac:dyDescent="0.25">
      <c r="B82" s="631" t="s">
        <v>572</v>
      </c>
      <c r="C82" s="632">
        <v>20</v>
      </c>
    </row>
    <row r="83" spans="2:3" ht="16.899999999999999" customHeight="1" x14ac:dyDescent="0.25">
      <c r="B83" s="631" t="s">
        <v>573</v>
      </c>
      <c r="C83" s="632">
        <v>20</v>
      </c>
    </row>
    <row r="84" spans="2:3" ht="16.899999999999999" customHeight="1" x14ac:dyDescent="0.25">
      <c r="B84" s="631" t="s">
        <v>574</v>
      </c>
      <c r="C84" s="632">
        <v>21</v>
      </c>
    </row>
    <row r="85" spans="2:3" ht="16.899999999999999" customHeight="1" x14ac:dyDescent="0.25">
      <c r="B85" s="631" t="s">
        <v>273</v>
      </c>
      <c r="C85" s="632">
        <v>22</v>
      </c>
    </row>
    <row r="86" spans="2:3" ht="16.899999999999999" customHeight="1" x14ac:dyDescent="0.25">
      <c r="B86" s="631" t="s">
        <v>575</v>
      </c>
      <c r="C86" s="632">
        <v>23</v>
      </c>
    </row>
    <row r="87" spans="2:3" ht="16.899999999999999" customHeight="1" x14ac:dyDescent="0.25">
      <c r="B87" s="631" t="s">
        <v>549</v>
      </c>
      <c r="C87" s="632">
        <v>24</v>
      </c>
    </row>
    <row r="88" spans="2:3" ht="16.899999999999999" customHeight="1" x14ac:dyDescent="0.25">
      <c r="B88" s="631" t="s">
        <v>576</v>
      </c>
      <c r="C88" s="632">
        <v>25</v>
      </c>
    </row>
    <row r="89" spans="2:3" ht="16.899999999999999" customHeight="1" x14ac:dyDescent="0.25">
      <c r="B89" s="631" t="s">
        <v>193</v>
      </c>
      <c r="C89" s="632">
        <v>26</v>
      </c>
    </row>
    <row r="90" spans="2:3" ht="16.899999999999999" customHeight="1" x14ac:dyDescent="0.25">
      <c r="B90" s="631" t="s">
        <v>577</v>
      </c>
      <c r="C90" s="632">
        <v>28</v>
      </c>
    </row>
    <row r="91" spans="2:3" ht="16.899999999999999" customHeight="1" x14ac:dyDescent="0.25">
      <c r="B91" s="631" t="s">
        <v>551</v>
      </c>
      <c r="C91" s="632" t="s">
        <v>578</v>
      </c>
    </row>
    <row r="92" spans="2:3" ht="16.899999999999999" customHeight="1" x14ac:dyDescent="0.25">
      <c r="B92" s="631" t="s">
        <v>579</v>
      </c>
      <c r="C92" s="632">
        <v>32</v>
      </c>
    </row>
    <row r="93" spans="2:3" ht="16.899999999999999" customHeight="1" x14ac:dyDescent="0.25">
      <c r="B93" s="631" t="s">
        <v>580</v>
      </c>
      <c r="C93" s="632">
        <v>33</v>
      </c>
    </row>
    <row r="94" spans="2:3" ht="16.899999999999999" customHeight="1" x14ac:dyDescent="0.25">
      <c r="B94" s="631" t="s">
        <v>581</v>
      </c>
      <c r="C94" s="632">
        <v>34</v>
      </c>
    </row>
    <row r="95" spans="2:3" ht="16.899999999999999" customHeight="1" x14ac:dyDescent="0.25">
      <c r="B95" s="631" t="s">
        <v>582</v>
      </c>
      <c r="C95" s="632">
        <v>35</v>
      </c>
    </row>
    <row r="96" spans="2:3" ht="16.899999999999999" customHeight="1" x14ac:dyDescent="0.25">
      <c r="B96" s="631" t="s">
        <v>524</v>
      </c>
      <c r="C96" s="632">
        <v>36</v>
      </c>
    </row>
    <row r="97" spans="2:7" ht="16.899999999999999" customHeight="1" x14ac:dyDescent="0.25">
      <c r="B97" s="631" t="s">
        <v>583</v>
      </c>
      <c r="C97" s="632">
        <v>36</v>
      </c>
    </row>
    <row r="98" spans="2:7" ht="16.899999999999999" customHeight="1" x14ac:dyDescent="0.25">
      <c r="B98" s="631" t="s">
        <v>584</v>
      </c>
      <c r="C98" s="632" t="s">
        <v>585</v>
      </c>
    </row>
    <row r="99" spans="2:7" ht="16.899999999999999" customHeight="1" x14ac:dyDescent="0.25">
      <c r="B99" s="631" t="s">
        <v>586</v>
      </c>
      <c r="C99" s="632">
        <v>39</v>
      </c>
    </row>
    <row r="100" spans="2:7" ht="16.899999999999999" customHeight="1" x14ac:dyDescent="0.25">
      <c r="B100" s="631" t="s">
        <v>587</v>
      </c>
      <c r="C100" s="632">
        <v>40</v>
      </c>
    </row>
    <row r="101" spans="2:7" ht="16.899999999999999" customHeight="1" x14ac:dyDescent="0.25">
      <c r="B101" s="631" t="s">
        <v>519</v>
      </c>
      <c r="C101" s="632">
        <v>40</v>
      </c>
    </row>
    <row r="102" spans="2:7" ht="16.899999999999999" customHeight="1" x14ac:dyDescent="0.25">
      <c r="B102" s="631" t="s">
        <v>588</v>
      </c>
      <c r="C102" s="632">
        <v>41</v>
      </c>
    </row>
    <row r="103" spans="2:7" ht="16.899999999999999" customHeight="1" x14ac:dyDescent="0.25">
      <c r="B103" s="631" t="s">
        <v>559</v>
      </c>
      <c r="C103" s="632">
        <v>42</v>
      </c>
    </row>
    <row r="104" spans="2:7" ht="16.899999999999999" customHeight="1" x14ac:dyDescent="0.25">
      <c r="B104" s="631" t="s">
        <v>404</v>
      </c>
      <c r="C104" s="632">
        <v>43</v>
      </c>
    </row>
    <row r="105" spans="2:7" ht="16.899999999999999" customHeight="1" x14ac:dyDescent="0.25">
      <c r="B105" s="631" t="s">
        <v>560</v>
      </c>
      <c r="C105" s="632">
        <v>44</v>
      </c>
    </row>
    <row r="106" spans="2:7" ht="16.899999999999999" customHeight="1" x14ac:dyDescent="0.25">
      <c r="B106" s="631" t="s">
        <v>589</v>
      </c>
      <c r="C106" s="632">
        <v>45</v>
      </c>
    </row>
    <row r="107" spans="2:7" ht="16.899999999999999" customHeight="1" x14ac:dyDescent="0.25"/>
    <row r="110" spans="2:7" s="663" customFormat="1" ht="16.149999999999999" customHeight="1" x14ac:dyDescent="0.25">
      <c r="B110" s="665" t="s">
        <v>596</v>
      </c>
      <c r="C110" s="666"/>
      <c r="G110" s="664"/>
    </row>
    <row r="111" spans="2:7" s="663" customFormat="1" ht="16.149999999999999" customHeight="1" x14ac:dyDescent="0.25">
      <c r="B111" s="666" t="s">
        <v>590</v>
      </c>
      <c r="C111" s="666"/>
      <c r="G111" s="664"/>
    </row>
    <row r="112" spans="2:7" s="663" customFormat="1" ht="16.149999999999999" customHeight="1" x14ac:dyDescent="0.25">
      <c r="B112" s="666" t="s">
        <v>591</v>
      </c>
      <c r="C112" s="666"/>
      <c r="G112" s="664"/>
    </row>
    <row r="113" spans="2:7" s="663" customFormat="1" ht="16.149999999999999" customHeight="1" x14ac:dyDescent="0.25">
      <c r="B113" s="666" t="s">
        <v>592</v>
      </c>
      <c r="C113" s="666"/>
      <c r="G113" s="664"/>
    </row>
    <row r="114" spans="2:7" s="663" customFormat="1" ht="16.149999999999999" customHeight="1" x14ac:dyDescent="0.25">
      <c r="B114" s="666" t="s">
        <v>593</v>
      </c>
      <c r="C114" s="666"/>
      <c r="G114" s="664"/>
    </row>
    <row r="115" spans="2:7" s="663" customFormat="1" ht="16.149999999999999" customHeight="1" x14ac:dyDescent="0.25">
      <c r="B115" s="666" t="s">
        <v>594</v>
      </c>
      <c r="C115" s="666"/>
      <c r="G115" s="664"/>
    </row>
    <row r="116" spans="2:7" s="663" customFormat="1" ht="16.149999999999999" customHeight="1" x14ac:dyDescent="0.25">
      <c r="B116" s="663" t="s">
        <v>129</v>
      </c>
      <c r="C116" s="666"/>
      <c r="G116" s="664"/>
    </row>
    <row r="117" spans="2:7" s="663" customFormat="1" ht="16.149999999999999" customHeight="1" x14ac:dyDescent="0.25">
      <c r="B117" s="665" t="s">
        <v>597</v>
      </c>
      <c r="C117" s="666"/>
      <c r="G117" s="664"/>
    </row>
    <row r="118" spans="2:7" s="663" customFormat="1" ht="16.149999999999999" customHeight="1" x14ac:dyDescent="0.25">
      <c r="B118" s="663" t="s">
        <v>595</v>
      </c>
      <c r="C118" s="666"/>
      <c r="G118" s="664"/>
    </row>
    <row r="119" spans="2:7" s="663" customFormat="1" ht="16.149999999999999" customHeight="1" x14ac:dyDescent="0.25">
      <c r="B119" s="663" t="s">
        <v>599</v>
      </c>
      <c r="C119" s="666"/>
      <c r="G119" s="664"/>
    </row>
    <row r="120" spans="2:7" s="663" customFormat="1" ht="16.149999999999999" customHeight="1" x14ac:dyDescent="0.25">
      <c r="B120" s="663" t="s">
        <v>598</v>
      </c>
      <c r="C120" s="666"/>
      <c r="G120" s="664"/>
    </row>
    <row r="121" spans="2:7" s="663" customFormat="1" ht="16.149999999999999" customHeight="1" x14ac:dyDescent="0.25">
      <c r="B121" s="663" t="s">
        <v>600</v>
      </c>
      <c r="C121" s="666"/>
      <c r="G121" s="664"/>
    </row>
    <row r="122" spans="2:7" s="663" customFormat="1" ht="16.149999999999999" customHeight="1" x14ac:dyDescent="0.25">
      <c r="B122" s="663" t="s">
        <v>601</v>
      </c>
      <c r="C122" s="666"/>
      <c r="G122" s="66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C074B-9BCB-4473-ACE4-7D0A6A42FACF}">
  <sheetPr>
    <tabColor rgb="FF92D050"/>
  </sheetPr>
  <dimension ref="A1:F18"/>
  <sheetViews>
    <sheetView showGridLines="0" tabSelected="1" workbookViewId="0">
      <selection activeCell="C9" sqref="C9"/>
    </sheetView>
  </sheetViews>
  <sheetFormatPr defaultRowHeight="15" x14ac:dyDescent="0.25"/>
  <cols>
    <col min="1" max="1" width="61.5703125" bestFit="1" customWidth="1"/>
    <col min="2" max="2" width="16.7109375" customWidth="1"/>
    <col min="3" max="3" width="68.7109375" style="135" customWidth="1"/>
    <col min="4" max="4" width="64.28515625" bestFit="1" customWidth="1"/>
    <col min="6" max="6" width="11.7109375" bestFit="1" customWidth="1"/>
  </cols>
  <sheetData>
    <row r="1" spans="1:6" x14ac:dyDescent="0.25">
      <c r="A1" s="1" t="s">
        <v>0</v>
      </c>
      <c r="B1" s="4"/>
    </row>
    <row r="2" spans="1:6" x14ac:dyDescent="0.25">
      <c r="A2" s="1" t="s">
        <v>400</v>
      </c>
    </row>
    <row r="4" spans="1:6" s="256" customFormat="1" ht="28.15" customHeight="1" x14ac:dyDescent="0.25">
      <c r="A4" s="618" t="s">
        <v>401</v>
      </c>
      <c r="B4" s="619">
        <f>+SUM('FCL Proyectado'!C48:G48)</f>
        <v>-10824896.573423661</v>
      </c>
      <c r="C4" s="620" t="str">
        <f ca="1">_xlfn.FORMULATEXT(B4)</f>
        <v>=+SUM('FCL Proyectado'!C48:G48)</v>
      </c>
    </row>
    <row r="5" spans="1:6" s="256" customFormat="1" ht="28.15" customHeight="1" x14ac:dyDescent="0.25">
      <c r="A5" s="618" t="s">
        <v>406</v>
      </c>
      <c r="B5" s="619">
        <f>'Activos Prescindibles'!E24</f>
        <v>26405759</v>
      </c>
      <c r="C5" s="620" t="str">
        <f t="shared" ref="C5:C9" ca="1" si="0">_xlfn.FORMULATEXT(B5)</f>
        <v>='Activos Prescindibles'!E24</v>
      </c>
    </row>
    <row r="6" spans="1:6" s="256" customFormat="1" ht="28.15" customHeight="1" x14ac:dyDescent="0.25">
      <c r="A6" s="618" t="s">
        <v>638</v>
      </c>
      <c r="B6" s="621">
        <f>+-'CTON Proyectado'!C18</f>
        <v>3598948.956171379</v>
      </c>
      <c r="C6" s="620" t="str">
        <f ca="1">_xlfn.FORMULATEXT(B6)</f>
        <v>=+-'CTON Proyectado'!C18</v>
      </c>
      <c r="F6" s="622"/>
    </row>
    <row r="7" spans="1:6" s="256" customFormat="1" ht="28.15" customHeight="1" x14ac:dyDescent="0.25">
      <c r="A7" s="623" t="s">
        <v>402</v>
      </c>
      <c r="B7" s="656">
        <f>SUM(B4:B6)</f>
        <v>19179811.382747717</v>
      </c>
      <c r="C7" s="620" t="str">
        <f t="shared" ca="1" si="0"/>
        <v>=SUM(B4:B6)</v>
      </c>
    </row>
    <row r="8" spans="1:6" s="256" customFormat="1" ht="28.15" customHeight="1" x14ac:dyDescent="0.25">
      <c r="A8" s="618" t="s">
        <v>408</v>
      </c>
      <c r="B8" s="657">
        <f>'Deuda Financiera 2013 - 2017'!F16</f>
        <v>16607014</v>
      </c>
      <c r="C8" s="620" t="str">
        <f t="shared" ca="1" si="0"/>
        <v>='Deuda Financiera 2013 - 2017'!F16</v>
      </c>
    </row>
    <row r="9" spans="1:6" s="256" customFormat="1" ht="28.15" customHeight="1" x14ac:dyDescent="0.25">
      <c r="A9" s="623" t="s">
        <v>87</v>
      </c>
      <c r="B9" s="656">
        <f>B7-B8</f>
        <v>2572797.3827477172</v>
      </c>
      <c r="C9" s="620" t="str">
        <f t="shared" ca="1" si="0"/>
        <v>=B7-B8</v>
      </c>
    </row>
    <row r="10" spans="1:6" ht="15.75" thickBot="1" x14ac:dyDescent="0.3"/>
    <row r="11" spans="1:6" ht="15.75" thickBot="1" x14ac:dyDescent="0.3">
      <c r="A11" s="290" t="s">
        <v>403</v>
      </c>
      <c r="B11" s="383">
        <f>'Resumen Financiero'!B11</f>
        <v>3733312</v>
      </c>
    </row>
    <row r="12" spans="1:6" x14ac:dyDescent="0.25">
      <c r="B12" s="256"/>
    </row>
    <row r="13" spans="1:6" x14ac:dyDescent="0.25">
      <c r="A13" s="613" t="s">
        <v>439</v>
      </c>
      <c r="B13" s="614">
        <f>B9/B11</f>
        <v>0.68914609407081895</v>
      </c>
      <c r="C13" s="587" t="s">
        <v>129</v>
      </c>
    </row>
    <row r="14" spans="1:6" x14ac:dyDescent="0.25">
      <c r="B14" s="9"/>
    </row>
    <row r="15" spans="1:6" x14ac:dyDescent="0.25">
      <c r="A15" s="615" t="s">
        <v>441</v>
      </c>
      <c r="B15" s="616">
        <v>1.35</v>
      </c>
    </row>
    <row r="17" spans="1:2" x14ac:dyDescent="0.25">
      <c r="A17" s="611" t="s">
        <v>649</v>
      </c>
      <c r="B17" s="612">
        <f>(B13-B15)</f>
        <v>-0.66085390592918114</v>
      </c>
    </row>
    <row r="18" spans="1:2" x14ac:dyDescent="0.25">
      <c r="A18" s="624" t="s">
        <v>470</v>
      </c>
      <c r="B18" s="625">
        <f>-((B15-B13)/B15)</f>
        <v>-0.4895214117993934</v>
      </c>
    </row>
  </sheetData>
  <pageMargins left="0.7" right="0.7" top="0.75" bottom="0.75" header="0.3" footer="0.3"/>
  <pageSetup orientation="portrait" horizontalDpi="4294967293"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75913-5FA8-4F8E-B23B-849D2137E3FE}">
  <sheetPr>
    <tabColor rgb="FFFF0000"/>
  </sheetPr>
  <dimension ref="A1:L129"/>
  <sheetViews>
    <sheetView showGridLines="0" topLeftCell="A16" workbookViewId="0">
      <selection activeCell="H15" sqref="H15"/>
    </sheetView>
  </sheetViews>
  <sheetFormatPr defaultRowHeight="15" x14ac:dyDescent="0.25"/>
  <cols>
    <col min="1" max="1" width="26" bestFit="1" customWidth="1"/>
    <col min="2" max="2" width="15.7109375" bestFit="1" customWidth="1"/>
    <col min="3" max="3" width="13.7109375" bestFit="1" customWidth="1"/>
    <col min="4" max="4" width="14.5703125" bestFit="1" customWidth="1"/>
    <col min="5" max="6" width="13.7109375" bestFit="1" customWidth="1"/>
    <col min="7" max="7" width="11.85546875" customWidth="1"/>
  </cols>
  <sheetData>
    <row r="1" spans="1:7" x14ac:dyDescent="0.25">
      <c r="A1" s="1" t="s">
        <v>0</v>
      </c>
    </row>
    <row r="2" spans="1:7" x14ac:dyDescent="0.25">
      <c r="A2" s="1" t="s">
        <v>617</v>
      </c>
    </row>
    <row r="3" spans="1:7" x14ac:dyDescent="0.25">
      <c r="A3" s="1" t="s">
        <v>602</v>
      </c>
    </row>
    <row r="8" spans="1:7" x14ac:dyDescent="0.25">
      <c r="A8" s="1"/>
    </row>
    <row r="10" spans="1:7" x14ac:dyDescent="0.25">
      <c r="G10" s="10"/>
    </row>
    <row r="11" spans="1:7" x14ac:dyDescent="0.25">
      <c r="G11" s="10"/>
    </row>
    <row r="22" spans="1:7" ht="15.75" thickBot="1" x14ac:dyDescent="0.3"/>
    <row r="23" spans="1:7" x14ac:dyDescent="0.25">
      <c r="A23" s="278"/>
      <c r="B23" s="696">
        <v>2013</v>
      </c>
      <c r="C23" s="696">
        <v>2014</v>
      </c>
      <c r="D23" s="696">
        <v>2015</v>
      </c>
      <c r="E23" s="696">
        <v>2016</v>
      </c>
      <c r="F23" s="697">
        <v>42887</v>
      </c>
    </row>
    <row r="24" spans="1:7" x14ac:dyDescent="0.25">
      <c r="A24" s="698" t="s">
        <v>8</v>
      </c>
      <c r="B24" s="68">
        <f>+Activos!B12</f>
        <v>33015516</v>
      </c>
      <c r="C24" s="68">
        <f>+Activos!D12</f>
        <v>39897199</v>
      </c>
      <c r="D24" s="68">
        <f>+Activos!F12</f>
        <v>36419513</v>
      </c>
      <c r="E24" s="68">
        <f>+Activos!H12</f>
        <v>34465721</v>
      </c>
      <c r="F24" s="699">
        <f>+Activos!J12</f>
        <v>31640078</v>
      </c>
    </row>
    <row r="25" spans="1:7" ht="15.75" thickBot="1" x14ac:dyDescent="0.3">
      <c r="A25" s="700" t="s">
        <v>23</v>
      </c>
      <c r="B25" s="701">
        <f>+'Pasivos y Patrimonio'!B12</f>
        <v>33156515</v>
      </c>
      <c r="C25" s="701">
        <f>+'Pasivos y Patrimonio'!D12</f>
        <v>38440198</v>
      </c>
      <c r="D25" s="701">
        <f>+'Pasivos y Patrimonio'!F12</f>
        <v>29998298</v>
      </c>
      <c r="E25" s="701">
        <f>+'Pasivos y Patrimonio'!H12</f>
        <v>31677708</v>
      </c>
      <c r="F25" s="702">
        <f>+'Pasivos y Patrimonio'!J12</f>
        <v>31997784</v>
      </c>
    </row>
    <row r="27" spans="1:7" x14ac:dyDescent="0.25">
      <c r="G27" s="161"/>
    </row>
    <row r="28" spans="1:7" x14ac:dyDescent="0.25">
      <c r="G28" s="161"/>
    </row>
    <row r="42" spans="1:6" ht="15.75" thickBot="1" x14ac:dyDescent="0.3"/>
    <row r="43" spans="1:6" x14ac:dyDescent="0.25">
      <c r="A43" s="703"/>
      <c r="B43" s="696">
        <v>2013</v>
      </c>
      <c r="C43" s="696">
        <v>2014</v>
      </c>
      <c r="D43" s="696">
        <v>2015</v>
      </c>
      <c r="E43" s="696">
        <v>2016</v>
      </c>
      <c r="F43" s="697">
        <v>42887</v>
      </c>
    </row>
    <row r="44" spans="1:6" x14ac:dyDescent="0.25">
      <c r="A44" s="698" t="s">
        <v>11</v>
      </c>
      <c r="B44" s="68">
        <f>+Activos!B24</f>
        <v>54410647</v>
      </c>
      <c r="C44" s="68">
        <f>+Activos!D24</f>
        <v>62141504</v>
      </c>
      <c r="D44" s="68">
        <f>+Activos!F24</f>
        <v>58491304</v>
      </c>
      <c r="E44" s="68">
        <f>+Activos!H24</f>
        <v>57029664</v>
      </c>
      <c r="F44" s="699">
        <f>+Activos!J24</f>
        <v>54038374</v>
      </c>
    </row>
    <row r="45" spans="1:6" ht="15.75" thickBot="1" x14ac:dyDescent="0.3">
      <c r="A45" s="700" t="s">
        <v>28</v>
      </c>
      <c r="B45" s="701">
        <f>+'Pasivos y Patrimonio'!B23</f>
        <v>9749782</v>
      </c>
      <c r="C45" s="701">
        <f>+'Pasivos y Patrimonio'!D23</f>
        <v>10225366</v>
      </c>
      <c r="D45" s="701">
        <f>+'Pasivos y Patrimonio'!F23</f>
        <v>15189333</v>
      </c>
      <c r="E45" s="701">
        <f>+'Pasivos y Patrimonio'!H23</f>
        <v>14508419</v>
      </c>
      <c r="F45" s="702">
        <f>+'Pasivos y Patrimonio'!J23</f>
        <v>13841859</v>
      </c>
    </row>
    <row r="46" spans="1:6" x14ac:dyDescent="0.25">
      <c r="A46" s="1"/>
    </row>
    <row r="47" spans="1:6" x14ac:dyDescent="0.25">
      <c r="A47" s="1"/>
    </row>
    <row r="48" spans="1:6" x14ac:dyDescent="0.25">
      <c r="A48" s="1"/>
    </row>
    <row r="49" spans="1:12" x14ac:dyDescent="0.25">
      <c r="A49" s="1"/>
    </row>
    <row r="50" spans="1:12" x14ac:dyDescent="0.25">
      <c r="A50" s="1"/>
    </row>
    <row r="51" spans="1:12" x14ac:dyDescent="0.25">
      <c r="A51" s="1"/>
    </row>
    <row r="52" spans="1:12" x14ac:dyDescent="0.25">
      <c r="A52" s="1"/>
    </row>
    <row r="53" spans="1:12" x14ac:dyDescent="0.25">
      <c r="A53" s="1"/>
    </row>
    <row r="54" spans="1:12" x14ac:dyDescent="0.25">
      <c r="A54" s="1"/>
    </row>
    <row r="55" spans="1:12" x14ac:dyDescent="0.25">
      <c r="A55" s="1"/>
    </row>
    <row r="56" spans="1:12" x14ac:dyDescent="0.25">
      <c r="A56" s="1"/>
    </row>
    <row r="57" spans="1:12" x14ac:dyDescent="0.25">
      <c r="A57" s="1"/>
    </row>
    <row r="58" spans="1:12" x14ac:dyDescent="0.25">
      <c r="A58" s="1"/>
    </row>
    <row r="59" spans="1:12" x14ac:dyDescent="0.25">
      <c r="A59" s="1"/>
    </row>
    <row r="60" spans="1:12" x14ac:dyDescent="0.25">
      <c r="A60" s="1"/>
    </row>
    <row r="61" spans="1:12" x14ac:dyDescent="0.25">
      <c r="A61" s="1"/>
    </row>
    <row r="62" spans="1:12" ht="15.75" thickBot="1" x14ac:dyDescent="0.3">
      <c r="A62" s="1"/>
    </row>
    <row r="63" spans="1:12" x14ac:dyDescent="0.25">
      <c r="A63" s="278"/>
      <c r="B63" s="696">
        <v>2013</v>
      </c>
      <c r="C63" s="696">
        <f>B63+1</f>
        <v>2014</v>
      </c>
      <c r="D63" s="696">
        <f>C63+1</f>
        <v>2015</v>
      </c>
      <c r="E63" s="696">
        <f>D63+1</f>
        <v>2016</v>
      </c>
      <c r="F63" s="697">
        <v>42887</v>
      </c>
    </row>
    <row r="64" spans="1:12" x14ac:dyDescent="0.25">
      <c r="A64" s="706" t="s">
        <v>625</v>
      </c>
      <c r="B64" s="68">
        <f>+'Resumen Financiero'!B18</f>
        <v>33156515</v>
      </c>
      <c r="C64" s="68">
        <f>+'Resumen Financiero'!D18</f>
        <v>38440198</v>
      </c>
      <c r="D64" s="68">
        <f>+'Resumen Financiero'!F18</f>
        <v>29998298</v>
      </c>
      <c r="E64" s="68">
        <f>+'Resumen Financiero'!H18</f>
        <v>31677708</v>
      </c>
      <c r="F64" s="699">
        <f>+'Resumen Financiero'!J18</f>
        <v>31997784</v>
      </c>
      <c r="G64" s="71"/>
      <c r="H64" s="71"/>
      <c r="I64" s="71"/>
      <c r="J64" s="71"/>
      <c r="K64" s="71"/>
      <c r="L64" s="71"/>
    </row>
    <row r="65" spans="1:6" ht="15.75" thickBot="1" x14ac:dyDescent="0.3">
      <c r="A65" s="705" t="s">
        <v>626</v>
      </c>
      <c r="B65" s="701">
        <f>+'Resumen Financiero'!B19</f>
        <v>9749782</v>
      </c>
      <c r="C65" s="701">
        <f>+'Resumen Financiero'!D19</f>
        <v>10225366</v>
      </c>
      <c r="D65" s="701">
        <f>+'Resumen Financiero'!F19</f>
        <v>15189333</v>
      </c>
      <c r="E65" s="701">
        <f>+'Resumen Financiero'!H19</f>
        <v>14508419</v>
      </c>
      <c r="F65" s="702">
        <f>+'Resumen Financiero'!J19</f>
        <v>13841859</v>
      </c>
    </row>
    <row r="66" spans="1:6" x14ac:dyDescent="0.25">
      <c r="A66" s="48" t="s">
        <v>128</v>
      </c>
      <c r="B66" s="10">
        <f>+SUM(B64:B65)</f>
        <v>42906297</v>
      </c>
      <c r="C66" s="10">
        <f t="shared" ref="C66:F66" si="0">+SUM(C64:C65)</f>
        <v>48665564</v>
      </c>
      <c r="D66" s="10">
        <f t="shared" si="0"/>
        <v>45187631</v>
      </c>
      <c r="E66" s="10">
        <f t="shared" si="0"/>
        <v>46186127</v>
      </c>
      <c r="F66" s="10">
        <f t="shared" si="0"/>
        <v>45839643</v>
      </c>
    </row>
    <row r="67" spans="1:6" x14ac:dyDescent="0.25">
      <c r="A67" s="1"/>
    </row>
    <row r="82" spans="1:7" ht="15.75" thickBot="1" x14ac:dyDescent="0.3"/>
    <row r="83" spans="1:7" x14ac:dyDescent="0.25">
      <c r="A83" s="703"/>
      <c r="B83" s="696">
        <v>2013</v>
      </c>
      <c r="C83" s="696">
        <v>2014</v>
      </c>
      <c r="D83" s="696">
        <v>2015</v>
      </c>
      <c r="E83" s="696">
        <v>2016</v>
      </c>
      <c r="F83" s="697">
        <v>42887</v>
      </c>
      <c r="G83" s="2" t="s">
        <v>92</v>
      </c>
    </row>
    <row r="84" spans="1:7" x14ac:dyDescent="0.25">
      <c r="A84" s="704" t="s">
        <v>42</v>
      </c>
      <c r="B84" s="68">
        <f>+-'Estado de Resultados'!B9</f>
        <v>90537704</v>
      </c>
      <c r="C84" s="68">
        <f>+-'Estado de Resultados'!D9</f>
        <v>90891061</v>
      </c>
      <c r="D84" s="68">
        <f>+-'Estado de Resultados'!F9</f>
        <v>101078938</v>
      </c>
      <c r="E84" s="68">
        <f>+-'Estado de Resultados'!H9</f>
        <v>83263356</v>
      </c>
      <c r="F84" s="699">
        <f>+-'Estado de Resultados'!J9</f>
        <v>66110714</v>
      </c>
      <c r="G84" s="10">
        <f>+AVERAGE(B84:F84)</f>
        <v>86376354.599999994</v>
      </c>
    </row>
    <row r="85" spans="1:7" x14ac:dyDescent="0.25">
      <c r="A85" s="698" t="s">
        <v>6</v>
      </c>
      <c r="B85" s="68">
        <f>+Activos!B9</f>
        <v>13196876</v>
      </c>
      <c r="C85" s="68">
        <f>+Activos!D9</f>
        <v>17427496</v>
      </c>
      <c r="D85" s="68">
        <f>+Activos!F9</f>
        <v>16032065</v>
      </c>
      <c r="E85" s="68">
        <f>+Activos!H9</f>
        <v>17009482</v>
      </c>
      <c r="F85" s="699">
        <f>+Activos!J9</f>
        <v>14338108</v>
      </c>
      <c r="G85" s="10">
        <f t="shared" ref="G85:G86" si="1">+AVERAGE(B85:F85)</f>
        <v>15600805.4</v>
      </c>
    </row>
    <row r="86" spans="1:7" ht="15.75" thickBot="1" x14ac:dyDescent="0.3">
      <c r="A86" s="705" t="s">
        <v>40</v>
      </c>
      <c r="B86" s="701">
        <f>+'Estado de Resultados'!B6</f>
        <v>109918725</v>
      </c>
      <c r="C86" s="701">
        <f>+'Estado de Resultados'!D6</f>
        <v>119938060</v>
      </c>
      <c r="D86" s="701">
        <f>+'Estado de Resultados'!F6</f>
        <v>125429816</v>
      </c>
      <c r="E86" s="701">
        <f>+'Estado de Resultados'!H6</f>
        <v>106224781</v>
      </c>
      <c r="F86" s="702">
        <f>+'Estado de Resultados'!J6</f>
        <v>79095866</v>
      </c>
      <c r="G86" s="10">
        <f t="shared" si="1"/>
        <v>108121449.59999999</v>
      </c>
    </row>
    <row r="87" spans="1:7" x14ac:dyDescent="0.25">
      <c r="G87" s="27"/>
    </row>
    <row r="88" spans="1:7" x14ac:dyDescent="0.25">
      <c r="G88" s="27"/>
    </row>
    <row r="89" spans="1:7" x14ac:dyDescent="0.25">
      <c r="G89" s="27"/>
    </row>
    <row r="90" spans="1:7" x14ac:dyDescent="0.25">
      <c r="G90" s="27"/>
    </row>
    <row r="91" spans="1:7" x14ac:dyDescent="0.25">
      <c r="G91" s="27"/>
    </row>
    <row r="92" spans="1:7" x14ac:dyDescent="0.25">
      <c r="G92" s="27"/>
    </row>
    <row r="93" spans="1:7" x14ac:dyDescent="0.25">
      <c r="G93" s="27"/>
    </row>
    <row r="94" spans="1:7" x14ac:dyDescent="0.25">
      <c r="G94" s="27"/>
    </row>
    <row r="95" spans="1:7" x14ac:dyDescent="0.25">
      <c r="G95" s="27"/>
    </row>
    <row r="96" spans="1:7" x14ac:dyDescent="0.25">
      <c r="G96" s="27"/>
    </row>
    <row r="97" spans="1:7" x14ac:dyDescent="0.25">
      <c r="G97" s="27"/>
    </row>
    <row r="98" spans="1:7" x14ac:dyDescent="0.25">
      <c r="G98" s="27"/>
    </row>
    <row r="99" spans="1:7" x14ac:dyDescent="0.25">
      <c r="G99" s="27"/>
    </row>
    <row r="100" spans="1:7" x14ac:dyDescent="0.25">
      <c r="G100" s="27"/>
    </row>
    <row r="101" spans="1:7" x14ac:dyDescent="0.25">
      <c r="G101" s="27"/>
    </row>
    <row r="102" spans="1:7" x14ac:dyDescent="0.25">
      <c r="G102" s="27"/>
    </row>
    <row r="103" spans="1:7" ht="15.75" thickBot="1" x14ac:dyDescent="0.3">
      <c r="G103" s="27"/>
    </row>
    <row r="104" spans="1:7" x14ac:dyDescent="0.25">
      <c r="A104" s="278"/>
      <c r="B104" s="696">
        <v>2013</v>
      </c>
      <c r="C104" s="696">
        <v>2014</v>
      </c>
      <c r="D104" s="696">
        <v>2015</v>
      </c>
      <c r="E104" s="696">
        <v>2016</v>
      </c>
      <c r="F104" s="697">
        <v>42887</v>
      </c>
      <c r="G104" s="2" t="s">
        <v>92</v>
      </c>
    </row>
    <row r="105" spans="1:7" x14ac:dyDescent="0.25">
      <c r="A105" s="706" t="s">
        <v>627</v>
      </c>
      <c r="B105" s="68">
        <f>+'Resumen Financiero'!B7</f>
        <v>110316468</v>
      </c>
      <c r="C105" s="68">
        <f>+'Resumen Financiero'!D7</f>
        <v>120402931</v>
      </c>
      <c r="D105" s="68">
        <f>+'Resumen Financiero'!F7</f>
        <v>125594519</v>
      </c>
      <c r="E105" s="68">
        <f>+'Resumen Financiero'!H7</f>
        <v>106401223</v>
      </c>
      <c r="F105" s="699">
        <f>+'Resumen Financiero'!J7</f>
        <v>79504517</v>
      </c>
      <c r="G105" s="10">
        <f>+AVERAGE(B105:F105)</f>
        <v>108443931.59999999</v>
      </c>
    </row>
    <row r="106" spans="1:7" ht="15.75" thickBot="1" x14ac:dyDescent="0.3">
      <c r="A106" s="705" t="s">
        <v>275</v>
      </c>
      <c r="B106" s="701">
        <f>+'Resumen Financiero'!B8</f>
        <v>22011530</v>
      </c>
      <c r="C106" s="701">
        <f>+'Resumen Financiero'!D8</f>
        <v>24816379</v>
      </c>
      <c r="D106" s="701">
        <f>+'Resumen Financiero'!F8</f>
        <v>25746309</v>
      </c>
      <c r="E106" s="701">
        <f>+'Resumen Financiero'!H8</f>
        <v>21984007</v>
      </c>
      <c r="F106" s="702">
        <f>+'Resumen Financiero'!J8</f>
        <v>15656527</v>
      </c>
      <c r="G106" s="10">
        <f>+AVERAGE(B106:F106)</f>
        <v>22042950.399999999</v>
      </c>
    </row>
    <row r="124" spans="1:6" ht="15.75" thickBot="1" x14ac:dyDescent="0.3"/>
    <row r="125" spans="1:6" x14ac:dyDescent="0.25">
      <c r="A125" s="278"/>
      <c r="B125" s="696">
        <v>2013</v>
      </c>
      <c r="C125" s="696">
        <f>B125+1</f>
        <v>2014</v>
      </c>
      <c r="D125" s="696">
        <f>C125+1</f>
        <v>2015</v>
      </c>
      <c r="E125" s="696">
        <f>D125+1</f>
        <v>2016</v>
      </c>
      <c r="F125" s="697">
        <v>42887</v>
      </c>
    </row>
    <row r="126" spans="1:6" x14ac:dyDescent="0.25">
      <c r="A126" s="698" t="s">
        <v>187</v>
      </c>
      <c r="B126" s="68">
        <v>15686756</v>
      </c>
      <c r="C126" s="68">
        <v>17595690</v>
      </c>
      <c r="D126" s="68">
        <v>18111071</v>
      </c>
      <c r="E126" s="68">
        <v>15076545</v>
      </c>
      <c r="F126" s="699">
        <v>10868991</v>
      </c>
    </row>
    <row r="127" spans="1:6" x14ac:dyDescent="0.25">
      <c r="A127" s="698" t="s">
        <v>188</v>
      </c>
      <c r="B127" s="68">
        <v>2489245</v>
      </c>
      <c r="C127" s="68">
        <v>2794767</v>
      </c>
      <c r="D127" s="68">
        <v>3109672</v>
      </c>
      <c r="E127" s="68">
        <v>2937319</v>
      </c>
      <c r="F127" s="699">
        <v>1999159</v>
      </c>
    </row>
    <row r="128" spans="1:6" x14ac:dyDescent="0.25">
      <c r="A128" s="698" t="s">
        <v>189</v>
      </c>
      <c r="B128" s="68">
        <v>1249201</v>
      </c>
      <c r="C128" s="68">
        <v>1313030</v>
      </c>
      <c r="D128" s="68">
        <v>1394559</v>
      </c>
      <c r="E128" s="68">
        <v>1198777</v>
      </c>
      <c r="F128" s="699">
        <v>852593</v>
      </c>
    </row>
    <row r="129" spans="1:6" ht="15.75" thickBot="1" x14ac:dyDescent="0.3">
      <c r="A129" s="700" t="s">
        <v>190</v>
      </c>
      <c r="B129" s="701">
        <v>2837947</v>
      </c>
      <c r="C129" s="701">
        <v>3112892</v>
      </c>
      <c r="D129" s="701">
        <v>3131007</v>
      </c>
      <c r="E129" s="701">
        <v>2771366</v>
      </c>
      <c r="F129" s="702">
        <v>1935784</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1D1E3-FD24-4344-B351-5FE97A622F9E}">
  <sheetPr>
    <tabColor rgb="FF92D050"/>
  </sheetPr>
  <dimension ref="A1:F18"/>
  <sheetViews>
    <sheetView showGridLines="0" workbookViewId="0">
      <selection activeCell="D21" sqref="D21"/>
    </sheetView>
  </sheetViews>
  <sheetFormatPr defaultRowHeight="15" x14ac:dyDescent="0.25"/>
  <cols>
    <col min="1" max="1" width="56.140625" bestFit="1" customWidth="1"/>
    <col min="2" max="2" width="16.7109375" customWidth="1"/>
    <col min="3" max="3" width="68.7109375" style="135" customWidth="1"/>
    <col min="4" max="4" width="64.28515625" bestFit="1" customWidth="1"/>
    <col min="6" max="6" width="11.7109375" bestFit="1" customWidth="1"/>
  </cols>
  <sheetData>
    <row r="1" spans="1:6" x14ac:dyDescent="0.25">
      <c r="A1" s="1" t="s">
        <v>0</v>
      </c>
      <c r="B1" s="4"/>
    </row>
    <row r="2" spans="1:6" x14ac:dyDescent="0.25">
      <c r="A2" s="1" t="s">
        <v>400</v>
      </c>
    </row>
    <row r="4" spans="1:6" x14ac:dyDescent="0.25">
      <c r="A4" s="282" t="s">
        <v>401</v>
      </c>
      <c r="B4" s="287">
        <f>NPV('Ko TAGA'!B11,'FCL Proyectado'!C44:G44)</f>
        <v>-10201478.090076169</v>
      </c>
      <c r="C4" s="135" t="str">
        <f ca="1">_xlfn.FORMULATEXT(B4)</f>
        <v>=NPV('Ko TAGA'!B11,'FCL Proyectado'!C44:G44)</v>
      </c>
    </row>
    <row r="5" spans="1:6" x14ac:dyDescent="0.25">
      <c r="A5" s="282" t="s">
        <v>406</v>
      </c>
      <c r="B5" s="287">
        <f>'Activos Prescindibles'!E24</f>
        <v>26405759</v>
      </c>
      <c r="C5" s="135" t="str">
        <f t="shared" ref="C5:C9" ca="1" si="0">_xlfn.FORMULATEXT(B5)</f>
        <v>='Activos Prescindibles'!E24</v>
      </c>
    </row>
    <row r="6" spans="1:6" x14ac:dyDescent="0.25">
      <c r="A6" s="282" t="s">
        <v>407</v>
      </c>
      <c r="B6" s="347">
        <f>Supuestos!C58*('FCL Proyectado'!C6-'Inversión en Capital de Trabajo'!E12)</f>
        <v>-7377208.6782594826</v>
      </c>
      <c r="C6" s="356" t="e">
        <f>+'FCL Proyectado'!C40-'Inversión en Capital de Trabajo'!#REF!</f>
        <v>#REF!</v>
      </c>
      <c r="D6" s="135" t="str">
        <f ca="1">_xlfn.FORMULATEXT(B6)</f>
        <v>=Supuestos!C58*('FCL Proyectado'!C6-'Inversión en Capital de Trabajo'!E12)</v>
      </c>
      <c r="F6" s="336"/>
    </row>
    <row r="7" spans="1:6" x14ac:dyDescent="0.25">
      <c r="A7" s="283" t="s">
        <v>402</v>
      </c>
      <c r="B7" s="288">
        <f>SUM(B4:B6)</f>
        <v>8827072.2316643484</v>
      </c>
      <c r="C7" s="135" t="str">
        <f t="shared" ca="1" si="0"/>
        <v>=SUM(B4:B6)</v>
      </c>
    </row>
    <row r="8" spans="1:6" x14ac:dyDescent="0.25">
      <c r="A8" s="282" t="s">
        <v>408</v>
      </c>
      <c r="B8" s="289">
        <f>'Deuda Financiera 2013 - 2017'!F16</f>
        <v>16607014</v>
      </c>
      <c r="C8" s="135" t="str">
        <f t="shared" ca="1" si="0"/>
        <v>='Deuda Financiera 2013 - 2017'!F16</v>
      </c>
    </row>
    <row r="9" spans="1:6" x14ac:dyDescent="0.25">
      <c r="A9" s="283" t="s">
        <v>87</v>
      </c>
      <c r="B9" s="288">
        <f>B7-B8</f>
        <v>-7779941.7683356516</v>
      </c>
      <c r="C9" s="135" t="str">
        <f t="shared" ca="1" si="0"/>
        <v>=B7-B8</v>
      </c>
    </row>
    <row r="10" spans="1:6" ht="15.75" thickBot="1" x14ac:dyDescent="0.3"/>
    <row r="11" spans="1:6" ht="15.75" thickBot="1" x14ac:dyDescent="0.3">
      <c r="A11" s="290" t="s">
        <v>403</v>
      </c>
      <c r="B11" s="291">
        <f>'Resumen Financiero'!B11</f>
        <v>3733312</v>
      </c>
    </row>
    <row r="12" spans="1:6" x14ac:dyDescent="0.25">
      <c r="B12" s="256"/>
    </row>
    <row r="13" spans="1:6" x14ac:dyDescent="0.25">
      <c r="A13" s="133" t="s">
        <v>439</v>
      </c>
      <c r="B13" s="314">
        <f>B9/B11</f>
        <v>-2.083924881803517</v>
      </c>
    </row>
    <row r="14" spans="1:6" x14ac:dyDescent="0.25">
      <c r="B14" s="9"/>
    </row>
    <row r="15" spans="1:6" x14ac:dyDescent="0.25">
      <c r="A15" s="133" t="s">
        <v>441</v>
      </c>
      <c r="B15" s="315">
        <v>1.35</v>
      </c>
    </row>
    <row r="17" spans="1:2" x14ac:dyDescent="0.25">
      <c r="A17" s="316" t="s">
        <v>440</v>
      </c>
      <c r="B17" s="317">
        <f>ABS(B13-B15)</f>
        <v>3.4339248818035171</v>
      </c>
    </row>
    <row r="18" spans="1:2" x14ac:dyDescent="0.25">
      <c r="A18" s="316" t="s">
        <v>470</v>
      </c>
      <c r="B18" s="318">
        <f>ABS((B15-B13)/B15)</f>
        <v>2.5436480605951979</v>
      </c>
    </row>
  </sheetData>
  <pageMargins left="0.7" right="0.7" top="0.75" bottom="0.75" header="0.3" footer="0.3"/>
  <pageSetup orientation="portrait" horizontalDpi="4294967293" verticalDpi="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379FC-9395-47B3-B27B-E99A08801B79}">
  <dimension ref="A1:F59"/>
  <sheetViews>
    <sheetView showGridLines="0" workbookViewId="0">
      <selection activeCell="H19" sqref="H19"/>
    </sheetView>
  </sheetViews>
  <sheetFormatPr defaultRowHeight="15" x14ac:dyDescent="0.25"/>
  <cols>
    <col min="1" max="1" width="41.7109375" customWidth="1"/>
    <col min="2" max="2" width="17.7109375" customWidth="1"/>
    <col min="3" max="6" width="16.7109375" customWidth="1"/>
  </cols>
  <sheetData>
    <row r="1" spans="1:6" x14ac:dyDescent="0.25">
      <c r="A1" s="5" t="s">
        <v>0</v>
      </c>
    </row>
    <row r="2" spans="1:6" x14ac:dyDescent="0.25">
      <c r="A2" s="1" t="s">
        <v>193</v>
      </c>
    </row>
    <row r="3" spans="1:6" x14ac:dyDescent="0.25">
      <c r="A3" s="5" t="s">
        <v>1</v>
      </c>
    </row>
    <row r="5" spans="1:6" x14ac:dyDescent="0.25">
      <c r="B5" s="244" t="s">
        <v>334</v>
      </c>
      <c r="C5" s="245">
        <v>0.05</v>
      </c>
      <c r="D5" s="245">
        <v>0.05</v>
      </c>
      <c r="E5" s="245">
        <v>0.05</v>
      </c>
      <c r="F5" s="245">
        <v>0.05</v>
      </c>
    </row>
    <row r="6" spans="1:6" s="27" customFormat="1" x14ac:dyDescent="0.25">
      <c r="A6" s="74" t="s">
        <v>39</v>
      </c>
      <c r="B6" s="188">
        <v>2017</v>
      </c>
      <c r="C6" s="188">
        <f>B6+1</f>
        <v>2018</v>
      </c>
      <c r="D6" s="188">
        <f t="shared" ref="D6:F6" si="0">C6+1</f>
        <v>2019</v>
      </c>
      <c r="E6" s="188">
        <f t="shared" si="0"/>
        <v>2020</v>
      </c>
      <c r="F6" s="188">
        <f t="shared" si="0"/>
        <v>2021</v>
      </c>
    </row>
    <row r="7" spans="1:6" x14ac:dyDescent="0.25">
      <c r="A7" s="184" t="s">
        <v>320</v>
      </c>
      <c r="B7" s="72">
        <v>3.3000000000000002E-2</v>
      </c>
      <c r="C7" s="72">
        <f>B7*(1+$C$5)</f>
        <v>3.465E-2</v>
      </c>
      <c r="D7" s="72">
        <f>C7*(1+$D$5)</f>
        <v>3.6382500000000005E-2</v>
      </c>
      <c r="E7" s="72">
        <f>D7*(1+$E$5)</f>
        <v>3.820162500000001E-2</v>
      </c>
      <c r="F7" s="72">
        <f>E7*(1+$F$5)</f>
        <v>4.0111706250000011E-2</v>
      </c>
    </row>
    <row r="8" spans="1:6" x14ac:dyDescent="0.25">
      <c r="A8" s="184" t="s">
        <v>321</v>
      </c>
      <c r="B8" s="72">
        <v>3.3000000000000002E-2</v>
      </c>
      <c r="C8" s="72">
        <f>B8*(1+$C$5)</f>
        <v>3.465E-2</v>
      </c>
      <c r="D8" s="72">
        <f>C8*(1+$D$5)</f>
        <v>3.6382500000000005E-2</v>
      </c>
      <c r="E8" s="72">
        <f>D8*(1+$E$5)</f>
        <v>3.820162500000001E-2</v>
      </c>
      <c r="F8" s="72">
        <f>E8*(1+$F$5)</f>
        <v>4.0111706250000011E-2</v>
      </c>
    </row>
    <row r="9" spans="1:6" x14ac:dyDescent="0.25">
      <c r="A9" s="186" t="s">
        <v>323</v>
      </c>
    </row>
    <row r="10" spans="1:6" x14ac:dyDescent="0.25">
      <c r="A10" s="184"/>
      <c r="B10" s="1"/>
    </row>
    <row r="11" spans="1:6" x14ac:dyDescent="0.25">
      <c r="A11" s="185" t="str">
        <f>'Análisis de Costos de Operación'!A7</f>
        <v>Costo de Venta</v>
      </c>
    </row>
    <row r="12" spans="1:6" x14ac:dyDescent="0.25">
      <c r="A12" s="184" t="str">
        <f>'Análisis de Costos de Operación'!A8</f>
        <v>Compra de mercancía</v>
      </c>
      <c r="C12" s="136">
        <f>'Costos de Operación II'!$K8</f>
        <v>-2.0087466109340989E-2</v>
      </c>
      <c r="D12" s="136">
        <f>'Costos de Operación II'!$K8</f>
        <v>-2.0087466109340989E-2</v>
      </c>
      <c r="E12" s="136">
        <f>'Costos de Operación II'!$K8</f>
        <v>-2.0087466109340989E-2</v>
      </c>
      <c r="F12" s="136">
        <f>'Costos de Operación II'!$K8</f>
        <v>-2.0087466109340989E-2</v>
      </c>
    </row>
    <row r="13" spans="1:6" x14ac:dyDescent="0.25">
      <c r="A13" s="184" t="str">
        <f>'Análisis de Costos de Operación'!A9</f>
        <v>Cambios en el Inventario de Mercancía</v>
      </c>
      <c r="B13" s="136">
        <f>'Costos de Operación II'!$K9</f>
        <v>-1.0021457730943044</v>
      </c>
      <c r="C13" s="136">
        <f>'Costos de Operación II'!$K9</f>
        <v>-1.0021457730943044</v>
      </c>
      <c r="D13" s="136">
        <f>'Costos de Operación II'!$K9</f>
        <v>-1.0021457730943044</v>
      </c>
      <c r="E13" s="136">
        <f>'Costos de Operación II'!$K9</f>
        <v>-1.0021457730943044</v>
      </c>
      <c r="F13" s="136">
        <f>'Costos de Operación II'!$K9</f>
        <v>-1.0021457730943044</v>
      </c>
    </row>
    <row r="14" spans="1:6" x14ac:dyDescent="0.25">
      <c r="A14" s="184" t="str">
        <f>'Análisis de Costos de Operación'!A10</f>
        <v>Mercancía dañada</v>
      </c>
      <c r="C14" s="136">
        <f>'Costos de Operación II'!$K10</f>
        <v>0.21145467703619794</v>
      </c>
      <c r="D14" s="136">
        <f>'Costos de Operación II'!$K10</f>
        <v>0.21145467703619794</v>
      </c>
      <c r="E14" s="136">
        <f>'Costos de Operación II'!$K10</f>
        <v>0.21145467703619794</v>
      </c>
      <c r="F14" s="136">
        <f>'Costos de Operación II'!$K10</f>
        <v>0.21145467703619794</v>
      </c>
    </row>
    <row r="15" spans="1:6" x14ac:dyDescent="0.25">
      <c r="A15" s="184" t="str">
        <f>'Análisis de Costos de Operación'!A11</f>
        <v>Faltantes en Inventario</v>
      </c>
      <c r="C15" s="136">
        <f>'Costos de Operación II'!$K11</f>
        <v>4.1339247891036469E-2</v>
      </c>
      <c r="D15" s="136">
        <f>'Costos de Operación II'!$K11</f>
        <v>4.1339247891036469E-2</v>
      </c>
      <c r="E15" s="136">
        <f>'Costos de Operación II'!$K11</f>
        <v>4.1339247891036469E-2</v>
      </c>
      <c r="F15" s="136">
        <f>'Costos de Operación II'!$K11</f>
        <v>4.1339247891036469E-2</v>
      </c>
    </row>
    <row r="16" spans="1:6" x14ac:dyDescent="0.25">
      <c r="A16" s="186" t="str">
        <f>'Análisis de Costos de Operación'!A12</f>
        <v>Total Costo de Venta</v>
      </c>
      <c r="C16" s="136">
        <f>'Costos de Operación II'!$K12</f>
        <v>-6.6008070150871496E-3</v>
      </c>
      <c r="D16" s="136">
        <f>'Costos de Operación II'!$K12</f>
        <v>-6.6008070150871496E-3</v>
      </c>
      <c r="E16" s="136">
        <f>'Costos de Operación II'!$K12</f>
        <v>-6.6008070150871496E-3</v>
      </c>
      <c r="F16" s="136">
        <f>'Costos de Operación II'!$K12</f>
        <v>-6.6008070150871496E-3</v>
      </c>
    </row>
    <row r="17" spans="1:6" x14ac:dyDescent="0.25">
      <c r="A17" s="186"/>
      <c r="C17" s="136"/>
      <c r="D17" s="136"/>
      <c r="E17" s="136"/>
      <c r="F17" s="136"/>
    </row>
    <row r="18" spans="1:6" x14ac:dyDescent="0.25">
      <c r="A18" s="185" t="str">
        <f>'Análisis de Costos de Operación'!A14</f>
        <v>Costo de Distribución</v>
      </c>
      <c r="C18" s="136"/>
      <c r="D18" s="136"/>
      <c r="E18" s="136"/>
      <c r="F18" s="136"/>
    </row>
    <row r="19" spans="1:6" x14ac:dyDescent="0.25">
      <c r="A19" s="184" t="str">
        <f>'Análisis de Costos de Operación'!A15</f>
        <v>Fletes y almacenajes</v>
      </c>
      <c r="C19" s="136">
        <f>'Costos de Operación II'!$K15</f>
        <v>5.7165433546561562E-2</v>
      </c>
      <c r="D19" s="136">
        <f>'Costos de Operación II'!$K15</f>
        <v>5.7165433546561562E-2</v>
      </c>
      <c r="E19" s="136">
        <f>'Costos de Operación II'!$K15</f>
        <v>5.7165433546561562E-2</v>
      </c>
      <c r="F19" s="136">
        <f>'Costos de Operación II'!$K15</f>
        <v>5.7165433546561562E-2</v>
      </c>
    </row>
    <row r="20" spans="1:6" x14ac:dyDescent="0.25">
      <c r="A20" s="184" t="str">
        <f>'Análisis de Costos de Operación'!A16</f>
        <v>Combustible</v>
      </c>
      <c r="C20" s="136">
        <f>'Costos de Operación II'!$K16</f>
        <v>8.9931617412976805E-4</v>
      </c>
      <c r="D20" s="136">
        <f>'Costos de Operación II'!$K16</f>
        <v>8.9931617412976805E-4</v>
      </c>
      <c r="E20" s="136">
        <f>'Costos de Operación II'!$K16</f>
        <v>8.9931617412976805E-4</v>
      </c>
      <c r="F20" s="136">
        <f>'Costos de Operación II'!$K16</f>
        <v>8.9931617412976805E-4</v>
      </c>
    </row>
    <row r="21" spans="1:6" x14ac:dyDescent="0.25">
      <c r="A21" s="184" t="str">
        <f>'Análisis de Costos de Operación'!A17</f>
        <v>Partes y Repuestos</v>
      </c>
      <c r="C21" s="136">
        <f>'Costos de Operación II'!$K17</f>
        <v>0.27704714400954594</v>
      </c>
      <c r="D21" s="136">
        <f>'Costos de Operación II'!$K17</f>
        <v>0.27704714400954594</v>
      </c>
      <c r="E21" s="136">
        <f>'Costos de Operación II'!$K17</f>
        <v>0.27704714400954594</v>
      </c>
      <c r="F21" s="136">
        <f>'Costos de Operación II'!$K17</f>
        <v>0.27704714400954594</v>
      </c>
    </row>
    <row r="22" spans="1:6" x14ac:dyDescent="0.25">
      <c r="A22" s="186" t="str">
        <f>'Análisis de Costos de Operación'!A18</f>
        <v>Total Costo de Distribución</v>
      </c>
      <c r="C22" s="136">
        <f>'Costos de Operación II'!$K18</f>
        <v>4.6644874011683206E-2</v>
      </c>
      <c r="D22" s="136">
        <f>'Costos de Operación II'!$K18</f>
        <v>4.6644874011683206E-2</v>
      </c>
      <c r="E22" s="136">
        <f>'Costos de Operación II'!$K18</f>
        <v>4.6644874011683206E-2</v>
      </c>
      <c r="F22" s="136">
        <f>'Costos de Operación II'!$K18</f>
        <v>4.6644874011683206E-2</v>
      </c>
    </row>
    <row r="23" spans="1:6" x14ac:dyDescent="0.25">
      <c r="A23" s="186"/>
      <c r="C23" s="136"/>
      <c r="D23" s="136"/>
      <c r="E23" s="136"/>
      <c r="F23" s="136"/>
    </row>
    <row r="24" spans="1:6" x14ac:dyDescent="0.25">
      <c r="A24" s="185" t="str">
        <f>'Análisis de Costos de Operación'!A20</f>
        <v>Gasto de Administración</v>
      </c>
      <c r="C24" s="136"/>
      <c r="D24" s="136"/>
      <c r="E24" s="136"/>
      <c r="F24" s="136"/>
    </row>
    <row r="25" spans="1:6" x14ac:dyDescent="0.25">
      <c r="A25" s="184" t="str">
        <f>'Análisis de Costos de Operación'!A21</f>
        <v>Gastos de Salarios y Beneficios a Empleados</v>
      </c>
      <c r="B25" s="136">
        <f>'Costos de Operación II'!$K21</f>
        <v>6.8123457323103515E-2</v>
      </c>
      <c r="C25" s="136">
        <f>'Costos de Operación II'!$K21</f>
        <v>6.8123457323103515E-2</v>
      </c>
      <c r="D25" s="136">
        <f>'Costos de Operación II'!$K21</f>
        <v>6.8123457323103515E-2</v>
      </c>
      <c r="E25" s="136">
        <f>'Costos de Operación II'!$K21</f>
        <v>6.8123457323103515E-2</v>
      </c>
      <c r="F25" s="136">
        <f>'Costos de Operación II'!$K21</f>
        <v>6.8123457323103515E-2</v>
      </c>
    </row>
    <row r="26" spans="1:6" x14ac:dyDescent="0.25">
      <c r="A26" s="184" t="str">
        <f>'Análisis de Costos de Operación'!A22</f>
        <v>Alquileres</v>
      </c>
      <c r="C26" s="136">
        <f>'Costos de Operación II'!$K22</f>
        <v>7.0243068049635926E-2</v>
      </c>
      <c r="D26" s="136">
        <f>'Costos de Operación II'!$K22</f>
        <v>7.0243068049635926E-2</v>
      </c>
      <c r="E26" s="136">
        <f>'Costos de Operación II'!$K22</f>
        <v>7.0243068049635926E-2</v>
      </c>
      <c r="F26" s="136">
        <f>'Costos de Operación II'!$K22</f>
        <v>7.0243068049635926E-2</v>
      </c>
    </row>
    <row r="27" spans="1:6" x14ac:dyDescent="0.25">
      <c r="A27" s="184" t="str">
        <f>'Análisis de Costos de Operación'!A23</f>
        <v>Viajes</v>
      </c>
      <c r="C27" s="136">
        <f>'Costos de Operación II'!$K23</f>
        <v>3.7799593670899044E-2</v>
      </c>
      <c r="D27" s="136">
        <f>'Costos de Operación II'!$K23</f>
        <v>3.7799593670899044E-2</v>
      </c>
      <c r="E27" s="136">
        <f>'Costos de Operación II'!$K23</f>
        <v>3.7799593670899044E-2</v>
      </c>
      <c r="F27" s="136">
        <f>'Costos de Operación II'!$K23</f>
        <v>3.7799593670899044E-2</v>
      </c>
    </row>
    <row r="28" spans="1:6" x14ac:dyDescent="0.25">
      <c r="A28" s="184" t="str">
        <f>'Análisis de Costos de Operación'!A24</f>
        <v>Agua, luz y energía</v>
      </c>
      <c r="C28" s="136">
        <f>'Costos de Operación II'!$K24</f>
        <v>1.683211075856994E-2</v>
      </c>
      <c r="D28" s="136">
        <f>'Costos de Operación II'!$K24</f>
        <v>1.683211075856994E-2</v>
      </c>
      <c r="E28" s="136">
        <f>'Costos de Operación II'!$K24</f>
        <v>1.683211075856994E-2</v>
      </c>
      <c r="F28" s="136">
        <f>'Costos de Operación II'!$K24</f>
        <v>1.683211075856994E-2</v>
      </c>
    </row>
    <row r="29" spans="1:6" x14ac:dyDescent="0.25">
      <c r="A29" s="184" t="str">
        <f>'Análisis de Costos de Operación'!A25</f>
        <v>Seguridad</v>
      </c>
      <c r="C29" s="136">
        <f>'Costos de Operación II'!$K25</f>
        <v>4.8421537154818124E-2</v>
      </c>
      <c r="D29" s="136">
        <f>'Costos de Operación II'!$K25</f>
        <v>4.8421537154818124E-2</v>
      </c>
      <c r="E29" s="136">
        <f>'Costos de Operación II'!$K25</f>
        <v>4.8421537154818124E-2</v>
      </c>
      <c r="F29" s="136">
        <f>'Costos de Operación II'!$K25</f>
        <v>4.8421537154818124E-2</v>
      </c>
    </row>
    <row r="30" spans="1:6" x14ac:dyDescent="0.25">
      <c r="A30" s="184" t="str">
        <f>'Análisis de Costos de Operación'!A26</f>
        <v>Mantenimiento</v>
      </c>
      <c r="C30" s="136">
        <f>'Costos de Operación II'!$K26</f>
        <v>-5.3595709962654019E-3</v>
      </c>
      <c r="D30" s="136">
        <f>'Costos de Operación II'!$K26</f>
        <v>-5.3595709962654019E-3</v>
      </c>
      <c r="E30" s="136">
        <f>'Costos de Operación II'!$K26</f>
        <v>-5.3595709962654019E-3</v>
      </c>
      <c r="F30" s="136">
        <f>'Costos de Operación II'!$K26</f>
        <v>-5.3595709962654019E-3</v>
      </c>
    </row>
    <row r="31" spans="1:6" x14ac:dyDescent="0.25">
      <c r="A31" s="184" t="str">
        <f>'Análisis de Costos de Operación'!A27</f>
        <v>Útiles de oficina</v>
      </c>
      <c r="C31" s="136">
        <f>'Costos de Operación II'!$K27</f>
        <v>6.8784130977263255E-2</v>
      </c>
      <c r="D31" s="136">
        <f>'Costos de Operación II'!$K27</f>
        <v>6.8784130977263255E-2</v>
      </c>
      <c r="E31" s="136">
        <f>'Costos de Operación II'!$K27</f>
        <v>6.8784130977263255E-2</v>
      </c>
      <c r="F31" s="136">
        <f>'Costos de Operación II'!$K27</f>
        <v>6.8784130977263255E-2</v>
      </c>
    </row>
    <row r="32" spans="1:6" x14ac:dyDescent="0.25">
      <c r="A32" s="184" t="str">
        <f>'Análisis de Costos de Operación'!A28</f>
        <v>Provisión para cuentas malas</v>
      </c>
      <c r="C32" s="136">
        <f>'Costos de Operación II'!$K28</f>
        <v>-0.10169278243560349</v>
      </c>
      <c r="D32" s="136">
        <f>'Costos de Operación II'!$K28</f>
        <v>-0.10169278243560349</v>
      </c>
      <c r="E32" s="136">
        <f>'Costos de Operación II'!$K28</f>
        <v>-0.10169278243560349</v>
      </c>
      <c r="F32" s="136">
        <f>'Costos de Operación II'!$K28</f>
        <v>-0.10169278243560349</v>
      </c>
    </row>
    <row r="33" spans="1:6" x14ac:dyDescent="0.25">
      <c r="A33" s="184" t="str">
        <f>'Análisis de Costos de Operación'!A29</f>
        <v>Anuncios y propagandas</v>
      </c>
      <c r="C33" s="136">
        <f>'Costos de Operación II'!$K29</f>
        <v>8.1350840168969249E-2</v>
      </c>
      <c r="D33" s="136">
        <f>'Costos de Operación II'!$K29</f>
        <v>8.1350840168969249E-2</v>
      </c>
      <c r="E33" s="136">
        <f>'Costos de Operación II'!$K29</f>
        <v>8.1350840168969249E-2</v>
      </c>
      <c r="F33" s="136">
        <f>'Costos de Operación II'!$K29</f>
        <v>8.1350840168969249E-2</v>
      </c>
    </row>
    <row r="34" spans="1:6" x14ac:dyDescent="0.25">
      <c r="A34" s="184" t="str">
        <f>'Análisis de Costos de Operación'!A30</f>
        <v>Honorarios profesionales</v>
      </c>
      <c r="C34" s="136">
        <f>'Costos de Operación II'!$K30</f>
        <v>8.7759284400442061E-2</v>
      </c>
      <c r="D34" s="136">
        <f>'Costos de Operación II'!$K30</f>
        <v>8.7759284400442061E-2</v>
      </c>
      <c r="E34" s="136">
        <f>'Costos de Operación II'!$K30</f>
        <v>8.7759284400442061E-2</v>
      </c>
      <c r="F34" s="136">
        <f>'Costos de Operación II'!$K30</f>
        <v>8.7759284400442061E-2</v>
      </c>
    </row>
    <row r="35" spans="1:6" x14ac:dyDescent="0.25">
      <c r="A35" s="184" t="str">
        <f>'Análisis de Costos de Operación'!A31</f>
        <v>Telecomunicaciones</v>
      </c>
      <c r="C35" s="136">
        <f>'Costos de Operación II'!$K31</f>
        <v>9.0517018497098724E-3</v>
      </c>
      <c r="D35" s="136">
        <f>'Costos de Operación II'!$K31</f>
        <v>9.0517018497098724E-3</v>
      </c>
      <c r="E35" s="136">
        <f>'Costos de Operación II'!$K31</f>
        <v>9.0517018497098724E-3</v>
      </c>
      <c r="F35" s="136">
        <f>'Costos de Operación II'!$K31</f>
        <v>9.0517018497098724E-3</v>
      </c>
    </row>
    <row r="36" spans="1:6" x14ac:dyDescent="0.25">
      <c r="A36" s="184" t="str">
        <f>'Análisis de Costos de Operación'!A32</f>
        <v>Impuestos generales</v>
      </c>
      <c r="C36" s="136">
        <f>'Costos de Operación II'!$K32</f>
        <v>2.7441110393612897E-2</v>
      </c>
      <c r="D36" s="136">
        <f>'Costos de Operación II'!$K32</f>
        <v>2.7441110393612897E-2</v>
      </c>
      <c r="E36" s="136">
        <f>'Costos de Operación II'!$K32</f>
        <v>2.7441110393612897E-2</v>
      </c>
      <c r="F36" s="136">
        <f>'Costos de Operación II'!$K32</f>
        <v>2.7441110393612897E-2</v>
      </c>
    </row>
    <row r="37" spans="1:6" x14ac:dyDescent="0.25">
      <c r="A37" s="184" t="str">
        <f>'Análisis de Costos de Operación'!A33</f>
        <v>Misceláneos</v>
      </c>
      <c r="C37" s="136">
        <f>'Costos de Operación II'!$K33</f>
        <v>1.6732462178032523E-2</v>
      </c>
      <c r="D37" s="136">
        <f>'Costos de Operación II'!$K33</f>
        <v>1.6732462178032523E-2</v>
      </c>
      <c r="E37" s="136">
        <f>'Costos de Operación II'!$K33</f>
        <v>1.6732462178032523E-2</v>
      </c>
      <c r="F37" s="136">
        <f>'Costos de Operación II'!$K33</f>
        <v>1.6732462178032523E-2</v>
      </c>
    </row>
    <row r="38" spans="1:6" x14ac:dyDescent="0.25">
      <c r="A38" s="184" t="str">
        <f>'Análisis de Costos de Operación'!A34</f>
        <v>Aseo y limpieza</v>
      </c>
      <c r="C38" s="136">
        <f>'Costos de Operación II'!$K34</f>
        <v>3.4007685159184176E-3</v>
      </c>
      <c r="D38" s="136">
        <f>'Costos de Operación II'!$K34</f>
        <v>3.4007685159184176E-3</v>
      </c>
      <c r="E38" s="136">
        <f>'Costos de Operación II'!$K34</f>
        <v>3.4007685159184176E-3</v>
      </c>
      <c r="F38" s="136">
        <f>'Costos de Operación II'!$K34</f>
        <v>3.4007685159184176E-3</v>
      </c>
    </row>
    <row r="39" spans="1:6" x14ac:dyDescent="0.25">
      <c r="A39" s="184" t="str">
        <f>'Análisis de Costos de Operación'!A35</f>
        <v>Seguros</v>
      </c>
      <c r="C39" s="136">
        <f>'Costos de Operación II'!$K35</f>
        <v>-1.8429890981858748E-3</v>
      </c>
      <c r="D39" s="136">
        <f>'Costos de Operación II'!$K35</f>
        <v>-1.8429890981858748E-3</v>
      </c>
      <c r="E39" s="136">
        <f>'Costos de Operación II'!$K35</f>
        <v>-1.8429890981858748E-3</v>
      </c>
      <c r="F39" s="136">
        <f>'Costos de Operación II'!$K35</f>
        <v>-1.8429890981858748E-3</v>
      </c>
    </row>
    <row r="40" spans="1:6" x14ac:dyDescent="0.25">
      <c r="A40" s="184" t="str">
        <f>'Análisis de Costos de Operación'!A36</f>
        <v>Provisión para productos obsoletos</v>
      </c>
      <c r="C40" s="136">
        <f>'Costos de Operación II'!$K36</f>
        <v>-0.29820527916214462</v>
      </c>
      <c r="D40" s="136">
        <f>'Costos de Operación II'!$K36</f>
        <v>-0.29820527916214462</v>
      </c>
      <c r="E40" s="136">
        <f>'Costos de Operación II'!$K36</f>
        <v>-0.29820527916214462</v>
      </c>
      <c r="F40" s="136">
        <f>'Costos de Operación II'!$K36</f>
        <v>-0.29820527916214462</v>
      </c>
    </row>
    <row r="41" spans="1:6" x14ac:dyDescent="0.25">
      <c r="A41" s="184" t="str">
        <f>'Análisis de Costos de Operación'!A37</f>
        <v>Uniformes</v>
      </c>
      <c r="C41" s="136">
        <f>'Costos de Operación II'!$K37</f>
        <v>2.4439792704691776E-2</v>
      </c>
      <c r="D41" s="136">
        <f>'Costos de Operación II'!$K37</f>
        <v>2.4439792704691776E-2</v>
      </c>
      <c r="E41" s="136">
        <f>'Costos de Operación II'!$K37</f>
        <v>2.4439792704691776E-2</v>
      </c>
      <c r="F41" s="136">
        <f>'Costos de Operación II'!$K37</f>
        <v>2.4439792704691776E-2</v>
      </c>
    </row>
    <row r="42" spans="1:6" x14ac:dyDescent="0.25">
      <c r="A42" s="184" t="str">
        <f>'Análisis de Costos de Operación'!A38</f>
        <v>Gastos no deducibles</v>
      </c>
      <c r="C42" s="136">
        <f>'Costos de Operación II'!$K38</f>
        <v>1.4272796083142565</v>
      </c>
      <c r="D42" s="136">
        <f>'Costos de Operación II'!$K38</f>
        <v>1.4272796083142565</v>
      </c>
      <c r="E42" s="136">
        <f>'Costos de Operación II'!$K38</f>
        <v>1.4272796083142565</v>
      </c>
      <c r="F42" s="136">
        <f>'Costos de Operación II'!$K38</f>
        <v>1.4272796083142565</v>
      </c>
    </row>
    <row r="43" spans="1:6" x14ac:dyDescent="0.25">
      <c r="A43" s="184" t="str">
        <f>'Análisis de Costos de Operación'!A39</f>
        <v>Dietas</v>
      </c>
      <c r="C43" s="136">
        <f>'Costos de Operación II'!$K39</f>
        <v>-1.8879552049939879E-2</v>
      </c>
      <c r="D43" s="136">
        <f>'Costos de Operación II'!$K39</f>
        <v>-1.8879552049939879E-2</v>
      </c>
      <c r="E43" s="136">
        <f>'Costos de Operación II'!$K39</f>
        <v>-1.8879552049939879E-2</v>
      </c>
      <c r="F43" s="136">
        <f>'Costos de Operación II'!$K39</f>
        <v>-1.8879552049939879E-2</v>
      </c>
    </row>
    <row r="44" spans="1:6" x14ac:dyDescent="0.25">
      <c r="A44" s="184" t="str">
        <f>'Análisis de Costos de Operación'!A40</f>
        <v>Donaciones</v>
      </c>
      <c r="C44" s="136">
        <f>'Costos de Operación II'!$K40</f>
        <v>8.2551927323641777E-2</v>
      </c>
      <c r="D44" s="136">
        <f>'Costos de Operación II'!$K40</f>
        <v>8.2551927323641777E-2</v>
      </c>
      <c r="E44" s="136">
        <f>'Costos de Operación II'!$K40</f>
        <v>8.2551927323641777E-2</v>
      </c>
      <c r="F44" s="136">
        <f>'Costos de Operación II'!$K40</f>
        <v>8.2551927323641777E-2</v>
      </c>
    </row>
    <row r="45" spans="1:6" x14ac:dyDescent="0.25">
      <c r="A45" s="186" t="str">
        <f>'Análisis de Costos de Operación'!A41</f>
        <v>Total Gasto de  Administración</v>
      </c>
      <c r="C45" s="136">
        <f>'Costos de Operación II'!$K41</f>
        <v>4.4779793592829041E-2</v>
      </c>
      <c r="D45" s="136">
        <f>'Costos de Operación II'!$K41</f>
        <v>4.4779793592829041E-2</v>
      </c>
      <c r="E45" s="136">
        <f>'Costos de Operación II'!$K41</f>
        <v>4.4779793592829041E-2</v>
      </c>
      <c r="F45" s="136">
        <f>'Costos de Operación II'!$K41</f>
        <v>4.4779793592829041E-2</v>
      </c>
    </row>
    <row r="46" spans="1:6" x14ac:dyDescent="0.25">
      <c r="A46" s="184"/>
      <c r="C46" s="136"/>
      <c r="D46" s="136"/>
      <c r="E46" s="136"/>
      <c r="F46" s="136"/>
    </row>
    <row r="47" spans="1:6" x14ac:dyDescent="0.25">
      <c r="A47" s="185" t="str">
        <f>'Análisis de Costos de Operación'!A43</f>
        <v>Gasto de Depreciación y Amortización</v>
      </c>
      <c r="C47" s="136"/>
      <c r="D47" s="136"/>
      <c r="E47" s="136"/>
      <c r="F47" s="136"/>
    </row>
    <row r="48" spans="1:6" x14ac:dyDescent="0.25">
      <c r="A48" s="184" t="str">
        <f>'Análisis de Costos de Operación'!A44</f>
        <v>Gasto de Depreciación</v>
      </c>
      <c r="C48" s="136">
        <f>'Costos de Operación II'!$K44</f>
        <v>5.0743479881596443E-3</v>
      </c>
      <c r="D48" s="136">
        <f>'Costos de Operación II'!$K44</f>
        <v>5.0743479881596443E-3</v>
      </c>
      <c r="E48" s="136">
        <f>'Costos de Operación II'!$K44</f>
        <v>5.0743479881596443E-3</v>
      </c>
      <c r="F48" s="136">
        <f>'Costos de Operación II'!$K44</f>
        <v>5.0743479881596443E-3</v>
      </c>
    </row>
    <row r="49" spans="1:6" x14ac:dyDescent="0.25">
      <c r="A49" s="184" t="str">
        <f>'Análisis de Costos de Operación'!A45</f>
        <v>Amortización intangibles</v>
      </c>
      <c r="C49" s="136">
        <f>'Costos de Operación II'!$K45</f>
        <v>-1.711279412614904E-2</v>
      </c>
      <c r="D49" s="136">
        <f>'Costos de Operación II'!$K45</f>
        <v>-1.711279412614904E-2</v>
      </c>
      <c r="E49" s="136">
        <f>'Costos de Operación II'!$K45</f>
        <v>-1.711279412614904E-2</v>
      </c>
      <c r="F49" s="136">
        <f>'Costos de Operación II'!$K45</f>
        <v>-1.711279412614904E-2</v>
      </c>
    </row>
    <row r="50" spans="1:6" x14ac:dyDescent="0.25">
      <c r="A50" s="186" t="str">
        <f>'Análisis de Costos de Operación'!A46</f>
        <v>Total Gasto de Depreciación y Amortización</v>
      </c>
      <c r="C50" s="136">
        <f>'Costos de Operación II'!$K46</f>
        <v>1.1098814689648712E-2</v>
      </c>
      <c r="D50" s="136">
        <f>'Costos de Operación II'!$K46</f>
        <v>1.1098814689648712E-2</v>
      </c>
      <c r="E50" s="136">
        <f>'Costos de Operación II'!$K46</f>
        <v>1.1098814689648712E-2</v>
      </c>
      <c r="F50" s="136">
        <f>'Costos de Operación II'!$K46</f>
        <v>1.1098814689648712E-2</v>
      </c>
    </row>
    <row r="51" spans="1:6" x14ac:dyDescent="0.25">
      <c r="A51" s="184"/>
      <c r="C51" s="136"/>
      <c r="D51" s="136"/>
      <c r="E51" s="136"/>
      <c r="F51" s="136"/>
    </row>
    <row r="52" spans="1:6" x14ac:dyDescent="0.25">
      <c r="A52" s="185" t="str">
        <f>'Análisis de Costos de Operación'!A48</f>
        <v>Gasto Financiero</v>
      </c>
      <c r="C52" s="136"/>
      <c r="D52" s="136"/>
      <c r="E52" s="136"/>
      <c r="F52" s="136"/>
    </row>
    <row r="53" spans="1:6" x14ac:dyDescent="0.25">
      <c r="A53" s="184" t="str">
        <f>'Análisis de Costos de Operación'!A49</f>
        <v>Costos Financieros</v>
      </c>
      <c r="C53" s="136">
        <f>'Costos de Operación II'!$K49</f>
        <v>-6.2668190589089019E-3</v>
      </c>
      <c r="D53" s="136">
        <f>'Costos de Operación II'!$K49</f>
        <v>-6.2668190589089019E-3</v>
      </c>
      <c r="E53" s="136">
        <f>'Costos de Operación II'!$K49</f>
        <v>-6.2668190589089019E-3</v>
      </c>
      <c r="F53" s="136">
        <f>'Costos de Operación II'!$K49</f>
        <v>-6.2668190589089019E-3</v>
      </c>
    </row>
    <row r="54" spans="1:6" x14ac:dyDescent="0.25">
      <c r="A54" s="187" t="str">
        <f>'Análisis de Costos de Operación'!A50</f>
        <v>Total Gasto Financiero</v>
      </c>
      <c r="C54" s="136">
        <f>'Costos de Operación II'!$K50</f>
        <v>-6.2668190589089019E-3</v>
      </c>
      <c r="D54" s="136">
        <f>'Costos de Operación II'!$K50</f>
        <v>-6.2668190589089019E-3</v>
      </c>
      <c r="E54" s="136">
        <f>'Costos de Operación II'!$K50</f>
        <v>-6.2668190589089019E-3</v>
      </c>
      <c r="F54" s="136">
        <f>'Costos de Operación II'!$K50</f>
        <v>-6.2668190589089019E-3</v>
      </c>
    </row>
    <row r="59" spans="1:6" x14ac:dyDescent="0.25">
      <c r="A59" s="48" t="s">
        <v>48</v>
      </c>
      <c r="C59" s="136">
        <f>'Costos de Operación II'!$K$57</f>
        <v>-0.62523660346716592</v>
      </c>
      <c r="D59" s="136">
        <f>'Costos de Operación II'!$K$57</f>
        <v>-0.62523660346716592</v>
      </c>
      <c r="E59" s="136">
        <f>'Costos de Operación II'!$K$57</f>
        <v>-0.62523660346716592</v>
      </c>
      <c r="F59" s="136">
        <f>'Costos de Operación II'!$K$57</f>
        <v>-0.62523660346716592</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900EC-0F7B-496C-8A75-3F1BF183DB0F}">
  <dimension ref="A1:L63"/>
  <sheetViews>
    <sheetView showGridLines="0" zoomScale="90" zoomScaleNormal="90" workbookViewId="0">
      <pane xSplit="1" ySplit="6" topLeftCell="F7" activePane="bottomRight" state="frozen"/>
      <selection pane="topRight" activeCell="B1" sqref="B1"/>
      <selection pane="bottomLeft" activeCell="A7" sqref="A7"/>
      <selection pane="bottomRight" activeCell="H8" sqref="H8"/>
    </sheetView>
  </sheetViews>
  <sheetFormatPr defaultRowHeight="15" x14ac:dyDescent="0.25"/>
  <cols>
    <col min="1" max="1" width="41.7109375" customWidth="1"/>
    <col min="2" max="5" width="15.5703125" customWidth="1"/>
    <col min="6" max="10" width="16.7109375" style="27" customWidth="1"/>
    <col min="11" max="11" width="15.85546875" customWidth="1"/>
    <col min="12" max="12" width="12.85546875" customWidth="1"/>
  </cols>
  <sheetData>
    <row r="1" spans="1:12" x14ac:dyDescent="0.25">
      <c r="A1" s="5" t="s">
        <v>0</v>
      </c>
      <c r="B1" s="5"/>
      <c r="C1" s="5"/>
      <c r="D1" s="5"/>
      <c r="E1" s="5"/>
    </row>
    <row r="2" spans="1:12" x14ac:dyDescent="0.25">
      <c r="A2" s="1" t="s">
        <v>335</v>
      </c>
      <c r="B2" s="1"/>
      <c r="C2" s="1"/>
      <c r="D2" s="1"/>
      <c r="E2" s="1"/>
    </row>
    <row r="3" spans="1:12" x14ac:dyDescent="0.25">
      <c r="A3" s="5" t="s">
        <v>1</v>
      </c>
      <c r="B3" s="238"/>
      <c r="C3" s="238"/>
      <c r="D3" s="238"/>
      <c r="E3" s="238"/>
      <c r="F3" s="238"/>
      <c r="G3" s="238"/>
      <c r="H3" s="238"/>
      <c r="I3" s="238"/>
      <c r="J3" s="238"/>
    </row>
    <row r="4" spans="1:12" x14ac:dyDescent="0.25">
      <c r="B4" s="71"/>
      <c r="C4" s="71"/>
      <c r="D4" s="71"/>
      <c r="E4" s="71"/>
      <c r="F4" s="71"/>
      <c r="G4" s="71"/>
      <c r="H4" s="71"/>
      <c r="I4" s="195"/>
      <c r="J4" s="71"/>
    </row>
    <row r="5" spans="1:12" x14ac:dyDescent="0.25">
      <c r="B5" s="809" t="s">
        <v>328</v>
      </c>
      <c r="C5" s="809"/>
      <c r="D5" s="809"/>
      <c r="E5" s="809"/>
      <c r="F5" s="810" t="s">
        <v>329</v>
      </c>
      <c r="G5" s="810"/>
      <c r="H5" s="810"/>
      <c r="I5" s="810"/>
      <c r="J5" s="810"/>
    </row>
    <row r="6" spans="1:12" s="27" customFormat="1" x14ac:dyDescent="0.25">
      <c r="A6" s="183"/>
      <c r="B6" s="204">
        <f>C6-1</f>
        <v>2013</v>
      </c>
      <c r="C6" s="205">
        <f>D6-1</f>
        <v>2014</v>
      </c>
      <c r="D6" s="205">
        <v>2015</v>
      </c>
      <c r="E6" s="224">
        <f>D6+1</f>
        <v>2016</v>
      </c>
      <c r="F6" s="198">
        <f>E6+1</f>
        <v>2017</v>
      </c>
      <c r="G6" s="198">
        <f>F6+1</f>
        <v>2018</v>
      </c>
      <c r="H6" s="198">
        <f t="shared" ref="H6:J6" si="0">G6+1</f>
        <v>2019</v>
      </c>
      <c r="I6" s="198">
        <f t="shared" si="0"/>
        <v>2020</v>
      </c>
      <c r="J6" s="215">
        <f t="shared" si="0"/>
        <v>2021</v>
      </c>
      <c r="K6" s="813" t="s">
        <v>327</v>
      </c>
      <c r="L6" s="814"/>
    </row>
    <row r="7" spans="1:12" x14ac:dyDescent="0.25">
      <c r="A7" s="184" t="s">
        <v>320</v>
      </c>
      <c r="B7" s="225">
        <f>'Estado de Resultados'!B6</f>
        <v>109918725</v>
      </c>
      <c r="C7" s="206">
        <f>'Estado de Resultados'!D6</f>
        <v>119938060</v>
      </c>
      <c r="D7" s="206">
        <f>'Estado de Resultados'!F6</f>
        <v>125429816</v>
      </c>
      <c r="E7" s="207">
        <f>'Estado de Resultados'!H6</f>
        <v>106224781</v>
      </c>
      <c r="F7" s="216">
        <f>'Estado de Resultados'!H6*(1+Supuestos!C7)</f>
        <v>109730198.77299999</v>
      </c>
      <c r="G7" s="216">
        <f>F7*(1+Supuestos!D7)</f>
        <v>113532350.16048445</v>
      </c>
      <c r="H7" s="216">
        <f>G7*(1+Supuestos!E7)</f>
        <v>117662940.89019828</v>
      </c>
      <c r="I7" s="216">
        <f>H7*(1+Supuestos!F7)</f>
        <v>122157856.43448278</v>
      </c>
      <c r="J7" s="216">
        <f>I7*(1+Supuestos!G7)</f>
        <v>127057816.48791243</v>
      </c>
      <c r="K7" s="139"/>
      <c r="L7" s="196"/>
    </row>
    <row r="8" spans="1:12" x14ac:dyDescent="0.25">
      <c r="A8" s="184" t="s">
        <v>321</v>
      </c>
      <c r="B8" s="208">
        <f>'Estado de Resultados'!B7</f>
        <v>397743</v>
      </c>
      <c r="C8" s="209">
        <f>'Estado de Resultados'!D7</f>
        <v>464871</v>
      </c>
      <c r="D8" s="209">
        <f>'Estado de Resultados'!F7</f>
        <v>164703</v>
      </c>
      <c r="E8" s="210">
        <f>'Estado de Resultados'!H7</f>
        <v>176442</v>
      </c>
      <c r="F8" s="217">
        <f>'Estado de Resultados'!H7*(1+Supuestos!C9)</f>
        <v>176442</v>
      </c>
      <c r="G8" s="217">
        <f>F8*(1+Supuestos!D7)</f>
        <v>182555.71530000001</v>
      </c>
      <c r="H8" s="217">
        <f>G8*(1+Supuestos!E7)</f>
        <v>189197.54861190225</v>
      </c>
      <c r="I8" s="217">
        <f>H8*(1+Supuestos!F7)</f>
        <v>196425.2024148934</v>
      </c>
      <c r="J8" s="217">
        <f>I8*(1+Supuestos!G7)</f>
        <v>204304.15243425639</v>
      </c>
      <c r="K8" s="139"/>
      <c r="L8" s="196"/>
    </row>
    <row r="9" spans="1:12" x14ac:dyDescent="0.25">
      <c r="A9" s="186" t="s">
        <v>323</v>
      </c>
      <c r="B9" s="225">
        <f t="shared" ref="B9:E9" si="1">SUM(B7:B8)</f>
        <v>110316468</v>
      </c>
      <c r="C9" s="206">
        <f t="shared" si="1"/>
        <v>120402931</v>
      </c>
      <c r="D9" s="206">
        <f t="shared" si="1"/>
        <v>125594519</v>
      </c>
      <c r="E9" s="213">
        <f t="shared" si="1"/>
        <v>106401223</v>
      </c>
      <c r="F9" s="203">
        <f>SUM(F7:F8)</f>
        <v>109906640.77299999</v>
      </c>
      <c r="G9" s="218">
        <f t="shared" ref="G9:J9" si="2">SUM(G7:G8)</f>
        <v>113714905.87578444</v>
      </c>
      <c r="H9" s="218">
        <f t="shared" si="2"/>
        <v>117852138.43881018</v>
      </c>
      <c r="I9" s="218">
        <f t="shared" si="2"/>
        <v>122354281.63689768</v>
      </c>
      <c r="J9" s="218">
        <f t="shared" si="2"/>
        <v>127262120.64034669</v>
      </c>
      <c r="K9" s="139"/>
      <c r="L9" s="196"/>
    </row>
    <row r="10" spans="1:12" x14ac:dyDescent="0.25">
      <c r="A10" s="184"/>
      <c r="B10" s="225"/>
      <c r="C10" s="206"/>
      <c r="D10" s="206"/>
      <c r="E10" s="213"/>
      <c r="F10" s="219"/>
      <c r="G10" s="203"/>
      <c r="H10" s="203"/>
      <c r="I10" s="203"/>
      <c r="J10" s="203"/>
      <c r="K10" s="139"/>
      <c r="L10" s="196"/>
    </row>
    <row r="11" spans="1:12" x14ac:dyDescent="0.25">
      <c r="A11" s="185" t="str">
        <f>'Análisis de Costos de Operación'!A7</f>
        <v>Costo de Venta</v>
      </c>
      <c r="B11" s="226"/>
      <c r="C11" s="212"/>
      <c r="D11" s="212"/>
      <c r="E11" s="227"/>
      <c r="F11" s="220"/>
      <c r="G11" s="203"/>
      <c r="H11" s="203"/>
      <c r="I11" s="203"/>
      <c r="J11" s="203"/>
      <c r="K11" s="139"/>
      <c r="L11" s="196"/>
    </row>
    <row r="12" spans="1:12" x14ac:dyDescent="0.25">
      <c r="A12" s="184" t="str">
        <f>'Análisis de Costos de Operación'!A8</f>
        <v>Compra de mercancía</v>
      </c>
      <c r="B12" s="225">
        <f>'Análisis de Costos de Operación'!B8</f>
        <v>90537704</v>
      </c>
      <c r="C12" s="206">
        <f>'Análisis de Costos de Operación'!D8</f>
        <v>90891061</v>
      </c>
      <c r="D12" s="206">
        <f>'Análisis de Costos de Operación'!F8</f>
        <v>101078938</v>
      </c>
      <c r="E12" s="213">
        <f>'Análisis de Costos de Operación'!H8</f>
        <v>83263356</v>
      </c>
      <c r="F12" s="203">
        <f>F7*'Análisis de Costos de Operación'!$L$8</f>
        <v>87938378.03315407</v>
      </c>
      <c r="G12" s="203">
        <f>G7*'Análisis de Costos de Operación'!$L$8</f>
        <v>90985442.832002863</v>
      </c>
      <c r="H12" s="203">
        <f>H7*'Análisis de Costos de Operación'!$L$8</f>
        <v>94295720.705838218</v>
      </c>
      <c r="I12" s="203">
        <f>I7*'Análisis de Costos de Operación'!$L$8</f>
        <v>97897970.467347369</v>
      </c>
      <c r="J12" s="203">
        <f>J7*'Análisis de Costos de Operación'!$L$8</f>
        <v>101824825.10120478</v>
      </c>
      <c r="K12" s="139"/>
      <c r="L12" s="196"/>
    </row>
    <row r="13" spans="1:12" x14ac:dyDescent="0.25">
      <c r="A13" s="184" t="str">
        <f>'Estado de Resultados'!A8</f>
        <v>Cambios en el Inventario de Mercancía</v>
      </c>
      <c r="B13" s="225">
        <f>-'Estado de Resultados'!B8</f>
        <v>-2630509</v>
      </c>
      <c r="C13" s="206">
        <f>Activos!D9-Activos!B9</f>
        <v>4230620</v>
      </c>
      <c r="D13" s="206">
        <f>Activos!F9-Activos!D9</f>
        <v>-1395431</v>
      </c>
      <c r="E13" s="213">
        <f>Activos!H9-Activos!F9</f>
        <v>977417</v>
      </c>
      <c r="F13" s="203">
        <f>E13*('Supuestos II'!B13)</f>
        <v>-979514.31510051573</v>
      </c>
      <c r="G13" s="203">
        <f>F13*('Supuestos II'!C13)</f>
        <v>981616.13056334446</v>
      </c>
      <c r="H13" s="203">
        <f>G13*('Supuestos II'!D13)</f>
        <v>-983722.45604524249</v>
      </c>
      <c r="I13" s="203">
        <f>H13*('Supuestos II'!E13)</f>
        <v>985833.30122368748</v>
      </c>
      <c r="J13" s="203">
        <f>I13*('Supuestos II'!F13)</f>
        <v>-987948.67579692253</v>
      </c>
      <c r="K13" s="139"/>
      <c r="L13" s="196"/>
    </row>
    <row r="14" spans="1:12" x14ac:dyDescent="0.25">
      <c r="A14" s="184" t="str">
        <f>'Análisis de Costos de Operación'!A10</f>
        <v>Mercancía dañada</v>
      </c>
      <c r="B14" s="225">
        <f>'Análisis de Costos de Operación'!B10</f>
        <v>1013294.8697581631</v>
      </c>
      <c r="C14" s="206">
        <f>'Análisis de Costos de Operación'!D10</f>
        <v>1125275</v>
      </c>
      <c r="D14" s="206">
        <f>'Análisis de Costos de Operación'!F10</f>
        <v>823878</v>
      </c>
      <c r="E14" s="213">
        <f>'Análisis de Costos de Operación'!H10</f>
        <v>1476139</v>
      </c>
      <c r="F14" s="203">
        <f>$F$9*'Análisis de Costos de Operación'!L10</f>
        <v>1071941.0794109961</v>
      </c>
      <c r="G14" s="203">
        <f>F14*(1+Supuestos!D13)</f>
        <v>1078982.0581893034</v>
      </c>
      <c r="H14" s="203">
        <f>G14*(1+Supuestos!E13)</f>
        <v>1086069.2852018734</v>
      </c>
      <c r="I14" s="203">
        <f>H14*(1+Supuestos!F13)</f>
        <v>1093203.0642273768</v>
      </c>
      <c r="J14" s="203">
        <f>I14*(1+Supuestos!G13)</f>
        <v>1100383.7010398356</v>
      </c>
      <c r="K14" s="139"/>
      <c r="L14" s="196"/>
    </row>
    <row r="15" spans="1:12" x14ac:dyDescent="0.25">
      <c r="A15" s="184" t="str">
        <f>'Análisis de Costos de Operación'!A11</f>
        <v>Faltantes en Inventario</v>
      </c>
      <c r="B15" s="208">
        <f>'Análisis de Costos de Operación'!B11</f>
        <v>472614.36173010041</v>
      </c>
      <c r="C15" s="209">
        <f>'Análisis de Costos de Operación'!D11</f>
        <v>604248</v>
      </c>
      <c r="D15" s="209">
        <f>'Análisis de Costos de Operación'!F11</f>
        <v>578398</v>
      </c>
      <c r="E15" s="210">
        <f>'Análisis de Costos de Operación'!H11</f>
        <v>513777</v>
      </c>
      <c r="F15" s="200">
        <f>F9*'Análisis de Costos de Operación'!$L$11</f>
        <v>489632.54106642283</v>
      </c>
      <c r="G15" s="201">
        <f>F15*(1+Supuestos!D14)</f>
        <v>491340.98366965156</v>
      </c>
      <c r="H15" s="201">
        <f>G15*(1+Supuestos!E14)</f>
        <v>493055.38742922456</v>
      </c>
      <c r="I15" s="201">
        <f>H15*(1+Supuestos!F14)</f>
        <v>494775.77314501232</v>
      </c>
      <c r="J15" s="201">
        <f>I15*(1+Supuestos!G14)</f>
        <v>496502.16168946103</v>
      </c>
      <c r="K15" s="139"/>
      <c r="L15" s="196"/>
    </row>
    <row r="16" spans="1:12" x14ac:dyDescent="0.25">
      <c r="A16" s="186" t="str">
        <f>'Análisis de Costos de Operación'!A12</f>
        <v>Total Costo de Venta</v>
      </c>
      <c r="B16" s="225">
        <f t="shared" ref="B16:J16" si="3">SUM(B12:B15)</f>
        <v>89393104.231488258</v>
      </c>
      <c r="C16" s="206">
        <f t="shared" si="3"/>
        <v>96851204</v>
      </c>
      <c r="D16" s="206">
        <f t="shared" si="3"/>
        <v>101085783</v>
      </c>
      <c r="E16" s="213">
        <f t="shared" si="3"/>
        <v>86230689</v>
      </c>
      <c r="F16" s="203">
        <f t="shared" si="3"/>
        <v>88520437.338530973</v>
      </c>
      <c r="G16" s="218">
        <f t="shared" si="3"/>
        <v>93537382.004425168</v>
      </c>
      <c r="H16" s="218">
        <f t="shared" si="3"/>
        <v>94891122.922424078</v>
      </c>
      <c r="I16" s="218">
        <f t="shared" si="3"/>
        <v>100471782.60594343</v>
      </c>
      <c r="J16" s="218">
        <f t="shared" si="3"/>
        <v>102433762.28813715</v>
      </c>
      <c r="K16" s="139"/>
      <c r="L16" s="196"/>
    </row>
    <row r="17" spans="1:12" x14ac:dyDescent="0.25">
      <c r="A17" s="186"/>
      <c r="B17" s="225"/>
      <c r="C17" s="206"/>
      <c r="D17" s="206"/>
      <c r="E17" s="213"/>
      <c r="F17" s="220"/>
      <c r="G17" s="203"/>
      <c r="H17" s="203"/>
      <c r="I17" s="203"/>
      <c r="J17" s="203"/>
      <c r="K17" s="139"/>
      <c r="L17" s="196"/>
    </row>
    <row r="18" spans="1:12" x14ac:dyDescent="0.25">
      <c r="A18" s="185" t="str">
        <f>'Análisis de Costos de Operación'!A14</f>
        <v>Costo de Distribución</v>
      </c>
      <c r="B18" s="225"/>
      <c r="C18" s="206"/>
      <c r="D18" s="206"/>
      <c r="E18" s="213"/>
      <c r="F18" s="220"/>
      <c r="G18" s="203"/>
      <c r="H18" s="203"/>
      <c r="I18" s="203"/>
      <c r="J18" s="203"/>
      <c r="K18" s="139"/>
      <c r="L18" s="196"/>
    </row>
    <row r="19" spans="1:12" x14ac:dyDescent="0.25">
      <c r="A19" s="184" t="str">
        <f>'Análisis de Costos de Operación'!A15</f>
        <v>Fletes y almacenajes</v>
      </c>
      <c r="B19" s="225">
        <f>'Análisis de Costos de Operación'!B15</f>
        <v>1045944.0499023503</v>
      </c>
      <c r="C19" s="206">
        <f>'Análisis de Costos de Operación'!D15</f>
        <v>1200163</v>
      </c>
      <c r="D19" s="206">
        <f>'Análisis de Costos de Operación'!F15</f>
        <v>1148752</v>
      </c>
      <c r="E19" s="213">
        <f>'Análisis de Costos de Operación'!H15</f>
        <v>1225590</v>
      </c>
      <c r="F19" s="203">
        <f>F9*'Análisis de Costos de Operación'!$L$15</f>
        <v>1093959.8622439026</v>
      </c>
      <c r="G19" s="203">
        <f>F19*(1+Supuestos!D17)</f>
        <v>1103978.9200704119</v>
      </c>
      <c r="H19" s="203">
        <f>G19*(1+Supuestos!E17)</f>
        <v>1114089.737680068</v>
      </c>
      <c r="I19" s="203">
        <f>H19*(1+Supuestos!F17)</f>
        <v>1124293.1554570617</v>
      </c>
      <c r="J19" s="203">
        <f>I19*(1+Supuestos!G17)</f>
        <v>1134590.0214822628</v>
      </c>
      <c r="K19" s="139"/>
      <c r="L19" s="196"/>
    </row>
    <row r="20" spans="1:12" x14ac:dyDescent="0.25">
      <c r="A20" s="184" t="str">
        <f>'Análisis de Costos de Operación'!A16</f>
        <v>Combustible</v>
      </c>
      <c r="B20" s="225">
        <f>'Análisis de Costos de Operación'!B16</f>
        <v>611175.01946623379</v>
      </c>
      <c r="C20" s="206">
        <f>'Análisis de Costos de Operación'!D16</f>
        <v>899156</v>
      </c>
      <c r="D20" s="206">
        <f>'Análisis de Costos de Operación'!F16</f>
        <v>686262</v>
      </c>
      <c r="E20" s="213">
        <f>'Análisis de Costos de Operación'!H16</f>
        <v>527239</v>
      </c>
      <c r="F20" s="203">
        <f>F9*'Análisis de Costos de Operación'!$L$16</f>
        <v>634134.31948924088</v>
      </c>
      <c r="G20" s="203">
        <f>G9*'Análisis de Costos de Operación'!$L$16</f>
        <v>656107.07365954306</v>
      </c>
      <c r="H20" s="203">
        <f>H9*'Análisis de Costos de Operación'!$L$16</f>
        <v>679977.88926696149</v>
      </c>
      <c r="I20" s="203">
        <f>I9*'Análisis de Costos de Operación'!$L$16</f>
        <v>705954.14960102946</v>
      </c>
      <c r="J20" s="203">
        <f>J9*'Análisis de Costos de Operación'!$L$16</f>
        <v>734271.17507579445</v>
      </c>
      <c r="K20" s="139"/>
      <c r="L20" s="196"/>
    </row>
    <row r="21" spans="1:12" x14ac:dyDescent="0.25">
      <c r="A21" s="184" t="str">
        <f>'Análisis de Costos de Operación'!A17</f>
        <v>Partes y Repuestos</v>
      </c>
      <c r="B21" s="208">
        <f>'Análisis de Costos de Operación'!B17</f>
        <v>293988.45141898631</v>
      </c>
      <c r="C21" s="209">
        <f>'Análisis de Costos de Operación'!D17</f>
        <v>224603</v>
      </c>
      <c r="D21" s="209">
        <f>'Análisis de Costos de Operación'!F17</f>
        <v>196159</v>
      </c>
      <c r="E21" s="210">
        <f>'Análisis de Costos de Operación'!H17</f>
        <v>430333</v>
      </c>
      <c r="F21" s="200">
        <f>$F$9*'Análisis de Costos de Operación'!L17</f>
        <v>316779.26945430448</v>
      </c>
      <c r="G21" s="201">
        <f>F21*(1+Supuestos!D19)</f>
        <v>317274.67881308793</v>
      </c>
      <c r="H21" s="201">
        <f>G21*(1+Supuestos!E19)</f>
        <v>317770.8629398453</v>
      </c>
      <c r="I21" s="201">
        <f>H21*(1+Supuestos!F19)</f>
        <v>318267.82304623193</v>
      </c>
      <c r="J21" s="201">
        <f>I21*(1+Supuestos!G19)</f>
        <v>318765.56034579815</v>
      </c>
      <c r="K21" s="139"/>
      <c r="L21" s="196"/>
    </row>
    <row r="22" spans="1:12" x14ac:dyDescent="0.25">
      <c r="A22" s="186" t="str">
        <f>'Análisis de Costos de Operación'!A18</f>
        <v>Total Costo de Distribución</v>
      </c>
      <c r="B22" s="225">
        <f t="shared" ref="B22:E22" si="4">SUM(B19:B21)</f>
        <v>1951107.5207875704</v>
      </c>
      <c r="C22" s="206">
        <f t="shared" si="4"/>
        <v>2323922</v>
      </c>
      <c r="D22" s="206">
        <f t="shared" si="4"/>
        <v>2031173</v>
      </c>
      <c r="E22" s="213">
        <f t="shared" si="4"/>
        <v>2183162</v>
      </c>
      <c r="F22" s="203">
        <f>SUM(F19:F21)</f>
        <v>2044873.4511874481</v>
      </c>
      <c r="G22" s="218">
        <f t="shared" ref="G22:J22" si="5">SUM(G19:G21)</f>
        <v>2077360.672543043</v>
      </c>
      <c r="H22" s="218">
        <f t="shared" si="5"/>
        <v>2111838.4898868748</v>
      </c>
      <c r="I22" s="218">
        <f t="shared" si="5"/>
        <v>2148515.1281043231</v>
      </c>
      <c r="J22" s="218">
        <f t="shared" si="5"/>
        <v>2187626.7569038556</v>
      </c>
      <c r="K22" s="139"/>
      <c r="L22" s="196"/>
    </row>
    <row r="23" spans="1:12" x14ac:dyDescent="0.25">
      <c r="A23" s="186"/>
      <c r="B23" s="225"/>
      <c r="C23" s="206"/>
      <c r="D23" s="206"/>
      <c r="E23" s="213"/>
      <c r="F23" s="220"/>
      <c r="G23" s="203"/>
      <c r="H23" s="203"/>
      <c r="I23" s="203"/>
      <c r="J23" s="203"/>
      <c r="K23" s="139"/>
      <c r="L23" s="196"/>
    </row>
    <row r="24" spans="1:12" x14ac:dyDescent="0.25">
      <c r="A24" s="185" t="str">
        <f>'Análisis de Costos de Operación'!A20</f>
        <v>Gasto de Administración</v>
      </c>
      <c r="B24" s="225"/>
      <c r="C24" s="206"/>
      <c r="D24" s="206"/>
      <c r="E24" s="213"/>
      <c r="F24" s="220"/>
      <c r="G24" s="203"/>
      <c r="H24" s="203"/>
      <c r="I24" s="203"/>
      <c r="J24" s="203"/>
      <c r="K24" s="139"/>
      <c r="L24" s="196"/>
    </row>
    <row r="25" spans="1:12" x14ac:dyDescent="0.25">
      <c r="A25" s="184" t="str">
        <f>'Análisis de Costos de Operación'!A21</f>
        <v>Gastos de Salarios y Beneficios a Empleados</v>
      </c>
      <c r="B25" s="225">
        <f>'Análisis de Costos de Operación'!B21</f>
        <v>10402945</v>
      </c>
      <c r="C25" s="206">
        <f>'Análisis de Costos de Operación'!D21</f>
        <v>11335326</v>
      </c>
      <c r="D25" s="206">
        <f>'Análisis de Costos de Operación'!F21</f>
        <v>12683648</v>
      </c>
      <c r="E25" s="213">
        <f>'Análisis de Costos de Operación'!H21</f>
        <v>12630314</v>
      </c>
      <c r="F25" s="203">
        <f>E25*(1+Supuestos!C22)</f>
        <v>14014818.388424775</v>
      </c>
      <c r="G25" s="203">
        <f>F25*(1+Supuestos!D22)</f>
        <v>15551088.790075148</v>
      </c>
      <c r="H25" s="203">
        <f>G25*(1+Supuestos!E22)</f>
        <v>17255761.427243341</v>
      </c>
      <c r="I25" s="203">
        <f>H25*(1+Supuestos!F22)</f>
        <v>19147296.144561481</v>
      </c>
      <c r="J25" s="203">
        <f>I25*(1+Supuestos!G22)</f>
        <v>21246176.310059674</v>
      </c>
      <c r="K25" s="139"/>
      <c r="L25" s="196"/>
    </row>
    <row r="26" spans="1:12" x14ac:dyDescent="0.25">
      <c r="A26" s="184" t="str">
        <f>'Análisis de Costos de Operación'!A22</f>
        <v>Alquileres</v>
      </c>
      <c r="B26" s="225">
        <f>'Análisis de Costos de Operación'!B22</f>
        <v>1004453.7278927838</v>
      </c>
      <c r="C26" s="206">
        <f>'Análisis de Costos de Operación'!D22</f>
        <v>904701</v>
      </c>
      <c r="D26" s="206">
        <f>'Análisis de Costos de Operación'!F22</f>
        <v>1093996</v>
      </c>
      <c r="E26" s="213">
        <f>'Análisis de Costos de Operación'!H22</f>
        <v>1204276</v>
      </c>
      <c r="F26" s="199">
        <f>F9*'Análisis de Costos de Operación'!$L$22</f>
        <v>1059405.8118027053</v>
      </c>
      <c r="G26" s="203">
        <f>F26*(1+Supuestos!D23)</f>
        <v>1067396.9823897877</v>
      </c>
      <c r="H26" s="203">
        <f>G26*(1+Supuestos!E23)</f>
        <v>1075448.4309238479</v>
      </c>
      <c r="I26" s="203">
        <f>H26*(1+Supuestos!F23)</f>
        <v>1083560.6120855678</v>
      </c>
      <c r="J26" s="203">
        <f>I26*(1+Supuestos!G23)</f>
        <v>1091733.9839853169</v>
      </c>
      <c r="K26" s="139"/>
      <c r="L26" s="196"/>
    </row>
    <row r="27" spans="1:12" x14ac:dyDescent="0.25">
      <c r="A27" s="184" t="str">
        <f>'Análisis de Costos de Operación'!A23</f>
        <v>Viajes</v>
      </c>
      <c r="B27" s="225">
        <f>'Análisis de Costos de Operación'!B23</f>
        <v>832961.66567069711</v>
      </c>
      <c r="C27" s="206">
        <f>'Análisis de Costos de Operación'!D23</f>
        <v>897430</v>
      </c>
      <c r="D27" s="206">
        <f>'Análisis de Costos de Operación'!F23</f>
        <v>923889</v>
      </c>
      <c r="E27" s="213">
        <f>'Análisis de Costos de Operación'!H23</f>
        <v>929912</v>
      </c>
      <c r="F27" s="199">
        <f>$F$9*'Análisis de Costos de Operación'!L23</f>
        <v>873444.58314683917</v>
      </c>
      <c r="G27" s="203">
        <f>F27*(1+Supuestos!D24)</f>
        <v>879878.18775707751</v>
      </c>
      <c r="H27" s="203">
        <f>G27*(1+Supuestos!E24)</f>
        <v>886359.18091271364</v>
      </c>
      <c r="I27" s="203">
        <f>H27*(1+Supuestos!F24)</f>
        <v>892887.91166756267</v>
      </c>
      <c r="J27" s="203">
        <f>I27*(1+Supuestos!G24)</f>
        <v>899464.73164649517</v>
      </c>
      <c r="K27" s="139"/>
      <c r="L27" s="196"/>
    </row>
    <row r="28" spans="1:12" x14ac:dyDescent="0.25">
      <c r="A28" s="184" t="str">
        <f>'Análisis de Costos de Operación'!A24</f>
        <v>Agua, luz y energía</v>
      </c>
      <c r="B28" s="225">
        <f>'Análisis de Costos de Operación'!B24</f>
        <v>632025.10543385101</v>
      </c>
      <c r="C28" s="206">
        <f>'Análisis de Costos de Operación'!D24</f>
        <v>720217</v>
      </c>
      <c r="D28" s="206">
        <f>'Análisis de Costos de Operación'!F24</f>
        <v>742551</v>
      </c>
      <c r="E28" s="213">
        <f>'Análisis de Costos de Operación'!H24</f>
        <v>653406</v>
      </c>
      <c r="F28" s="199">
        <f>F9*'Análisis de Costos de Operación'!$L$24</f>
        <v>659952.70083390176</v>
      </c>
      <c r="G28" s="203">
        <f>F28*(1+Supuestos!D25)</f>
        <v>663747.38345350011</v>
      </c>
      <c r="H28" s="203">
        <f>G28*(1+Supuestos!E25)</f>
        <v>667563.8852370556</v>
      </c>
      <c r="I28" s="203">
        <f>H28*(1+Supuestos!F25)</f>
        <v>671402.33164325973</v>
      </c>
      <c r="J28" s="203">
        <f>I28*(1+Supuestos!G25)</f>
        <v>675262.84885218274</v>
      </c>
      <c r="K28" s="139"/>
      <c r="L28" s="196"/>
    </row>
    <row r="29" spans="1:12" x14ac:dyDescent="0.25">
      <c r="A29" s="184" t="str">
        <f>'Análisis de Costos de Operación'!A25</f>
        <v>Seguridad</v>
      </c>
      <c r="B29" s="225">
        <f>'Análisis de Costos de Operación'!B25</f>
        <v>638027.03489884746</v>
      </c>
      <c r="C29" s="206">
        <f>'Análisis de Costos de Operación'!D25</f>
        <v>649351</v>
      </c>
      <c r="D29" s="206">
        <f>'Análisis de Costos de Operación'!F25</f>
        <v>676395</v>
      </c>
      <c r="E29" s="213">
        <f>'Análisis de Costos de Operación'!H25</f>
        <v>734476</v>
      </c>
      <c r="F29" s="199">
        <f>$F$9*'Análisis de Costos de Operación'!L25</f>
        <v>671677.40253109997</v>
      </c>
      <c r="G29" s="203">
        <f>F29*(1+Supuestos!D26)</f>
        <v>675299.5017350486</v>
      </c>
      <c r="H29" s="203">
        <f>G29*(1+Supuestos!E26)</f>
        <v>678941.1335339509</v>
      </c>
      <c r="I29" s="203">
        <f>H29*(1+Supuestos!F26)</f>
        <v>682602.40325961716</v>
      </c>
      <c r="J29" s="203">
        <f>I29*(1+Supuestos!G26)</f>
        <v>686283.41681187158</v>
      </c>
      <c r="K29" s="139"/>
      <c r="L29" s="196"/>
    </row>
    <row r="30" spans="1:12" x14ac:dyDescent="0.25">
      <c r="A30" s="184" t="str">
        <f>'Análisis de Costos de Operación'!A26</f>
        <v>Mantenimiento</v>
      </c>
      <c r="B30" s="225">
        <f>'Análisis de Costos de Operación'!B26</f>
        <v>504541.4687993158</v>
      </c>
      <c r="C30" s="206">
        <f>'Análisis de Costos de Operación'!D26</f>
        <v>719489</v>
      </c>
      <c r="D30" s="206">
        <f>'Análisis de Costos de Operación'!F26</f>
        <v>674546</v>
      </c>
      <c r="E30" s="213">
        <f>'Análisis de Costos de Operación'!H26</f>
        <v>418462</v>
      </c>
      <c r="F30" s="199">
        <f>$F$9*'Análisis de Costos de Operación'!L26</f>
        <v>518975.6722855398</v>
      </c>
      <c r="G30" s="203">
        <f>F30*(1+Supuestos!D27)</f>
        <v>520897.74763728643</v>
      </c>
      <c r="H30" s="203">
        <f>G30*(1+Supuestos!E27)</f>
        <v>522826.94157638709</v>
      </c>
      <c r="I30" s="203">
        <f>H30*(1+Supuestos!F27)</f>
        <v>524763.28046720149</v>
      </c>
      <c r="J30" s="203">
        <f>I30*(1+Supuestos!G27)</f>
        <v>526706.79077173222</v>
      </c>
      <c r="K30" s="139"/>
      <c r="L30" s="196"/>
    </row>
    <row r="31" spans="1:12" x14ac:dyDescent="0.25">
      <c r="A31" s="184" t="str">
        <f>'Análisis de Costos de Operación'!A27</f>
        <v>Útiles de oficina</v>
      </c>
      <c r="B31" s="225">
        <f>'Análisis de Costos de Operación'!B27</f>
        <v>367781.91597015597</v>
      </c>
      <c r="C31" s="206">
        <f>'Análisis de Costos de Operación'!D27</f>
        <v>340409</v>
      </c>
      <c r="D31" s="206">
        <f>'Análisis de Costos de Operación'!F27</f>
        <v>511418</v>
      </c>
      <c r="E31" s="213">
        <f>'Análisis de Costos de Operación'!H27</f>
        <v>398096</v>
      </c>
      <c r="F31" s="199">
        <f>$F$9*'Análisis de Costos de Operación'!L27</f>
        <v>382477.00002473698</v>
      </c>
      <c r="G31" s="203">
        <f>F31*(1+Supuestos!D28)</f>
        <v>383562.54879133712</v>
      </c>
      <c r="H31" s="203">
        <f>G31*(1+Supuestos!E28)</f>
        <v>384651.17856967024</v>
      </c>
      <c r="I31" s="203">
        <f>H31*(1+Supuestos!F28)</f>
        <v>385742.89810428437</v>
      </c>
      <c r="J31" s="203">
        <f>I31*(1+Supuestos!G28)</f>
        <v>386837.71616454626</v>
      </c>
      <c r="K31" s="139"/>
      <c r="L31" s="196"/>
    </row>
    <row r="32" spans="1:12" x14ac:dyDescent="0.25">
      <c r="A32" s="184" t="str">
        <f>'Análisis de Costos de Operación'!A28</f>
        <v>Provisión para cuentas malas</v>
      </c>
      <c r="B32" s="225">
        <f>'Análisis de Costos de Operación'!B28</f>
        <v>265590.12179989181</v>
      </c>
      <c r="C32" s="206">
        <f>'Análisis de Costos de Operación'!D28</f>
        <v>372765</v>
      </c>
      <c r="D32" s="206">
        <f>'Análisis de Costos de Operación'!F28</f>
        <v>454868</v>
      </c>
      <c r="E32" s="213">
        <f>'Análisis de Costos de Operación'!H28</f>
        <v>32356</v>
      </c>
      <c r="F32" s="199">
        <f>F9*'Análisis de Costos de Operación'!$L$28</f>
        <v>270911.00473327364</v>
      </c>
      <c r="G32" s="203">
        <f>F32*(1+Supuestos!D29)</f>
        <v>270993.52405114495</v>
      </c>
      <c r="H32" s="203">
        <f>G32*(1+Supuestos!E29)</f>
        <v>271076.06850434747</v>
      </c>
      <c r="I32" s="203">
        <f>H32*(1+Supuestos!F29)</f>
        <v>271158.63810053736</v>
      </c>
      <c r="J32" s="203">
        <f>I32*(1+Supuestos!G29)</f>
        <v>271241.23284737318</v>
      </c>
      <c r="K32" s="139"/>
      <c r="L32" s="196"/>
    </row>
    <row r="33" spans="1:12" x14ac:dyDescent="0.25">
      <c r="A33" s="184" t="str">
        <f>'Análisis de Costos de Operación'!A29</f>
        <v>Anuncios y propagandas</v>
      </c>
      <c r="B33" s="225">
        <f>'Análisis de Costos de Operación'!B29</f>
        <v>565881.45324113488</v>
      </c>
      <c r="C33" s="206">
        <f>'Análisis de Costos de Operación'!D29</f>
        <v>327883</v>
      </c>
      <c r="D33" s="206">
        <f>'Análisis de Costos de Operación'!F29</f>
        <v>409453</v>
      </c>
      <c r="E33" s="213">
        <f>'Análisis de Costos de Operación'!H29</f>
        <v>579726</v>
      </c>
      <c r="F33" s="199">
        <f>F9*'Análisis de Costos de Operación'!$L$29</f>
        <v>615301.4854029282</v>
      </c>
      <c r="G33" s="203">
        <f>F33*(1+Supuestos!D30)</f>
        <v>616983.5777840988</v>
      </c>
      <c r="H33" s="203">
        <f>G33*(1+Supuestos!E30)</f>
        <v>618670.2686179725</v>
      </c>
      <c r="I33" s="203">
        <f>H33*(1+Supuestos!F30)</f>
        <v>620361.57047565863</v>
      </c>
      <c r="J33" s="203">
        <f>I33*(1+Supuestos!G30)</f>
        <v>622057.49596263317</v>
      </c>
      <c r="K33" s="139"/>
      <c r="L33" s="196"/>
    </row>
    <row r="34" spans="1:12" x14ac:dyDescent="0.25">
      <c r="A34" s="184" t="str">
        <f>'Análisis de Costos de Operación'!A30</f>
        <v>Honorarios profesionales</v>
      </c>
      <c r="B34" s="225">
        <f>'Análisis de Costos de Operación'!B30</f>
        <v>326482.57591262186</v>
      </c>
      <c r="C34" s="206">
        <f>'Análisis de Costos de Operación'!D30</f>
        <v>503627</v>
      </c>
      <c r="D34" s="206">
        <f>'Análisis de Costos de Operación'!F30</f>
        <v>322452</v>
      </c>
      <c r="E34" s="213">
        <f>'Análisis de Costos de Operación'!H30</f>
        <v>348388</v>
      </c>
      <c r="F34" s="199">
        <f>$F$9*'Análisis de Costos de Operación'!L30</f>
        <v>339255.65003264759</v>
      </c>
      <c r="G34" s="203">
        <f>F34*(1+Supuestos!D31)</f>
        <v>340074.62423563865</v>
      </c>
      <c r="H34" s="203">
        <f>G34*(1+Supuestos!E31)</f>
        <v>340895.57546906412</v>
      </c>
      <c r="I34" s="203">
        <f>H34*(1+Supuestos!F31)</f>
        <v>341718.50850553997</v>
      </c>
      <c r="J34" s="203">
        <f>I34*(1+Supuestos!G31)</f>
        <v>342543.42812920338</v>
      </c>
      <c r="K34" s="139"/>
      <c r="L34" s="196"/>
    </row>
    <row r="35" spans="1:12" x14ac:dyDescent="0.25">
      <c r="A35" s="184" t="str">
        <f>'Análisis de Costos de Operación'!A31</f>
        <v>Telecomunicaciones</v>
      </c>
      <c r="B35" s="225">
        <f>'Análisis de Costos de Operación'!B31</f>
        <v>251748.7569503843</v>
      </c>
      <c r="C35" s="206">
        <f>'Análisis de Costos de Operación'!D31</f>
        <v>328606</v>
      </c>
      <c r="D35" s="206">
        <f>'Análisis de Costos de Operación'!F31</f>
        <v>284925</v>
      </c>
      <c r="E35" s="213">
        <f>'Análisis de Costos de Operación'!H31</f>
        <v>243551</v>
      </c>
      <c r="F35" s="199">
        <f>$F$9*'Análisis de Costos de Operación'!L31</f>
        <v>262193.34558067075</v>
      </c>
      <c r="G35" s="203">
        <f>F35*(1+Supuestos!D32)</f>
        <v>262788.94112064643</v>
      </c>
      <c r="H35" s="203">
        <f>G35*(1+Supuestos!E32)</f>
        <v>263385.88960894523</v>
      </c>
      <c r="I35" s="203">
        <f>H35*(1+Supuestos!F32)</f>
        <v>263984.19411890983</v>
      </c>
      <c r="J35" s="203">
        <f>I35*(1+Supuestos!G32)</f>
        <v>264583.8577308642</v>
      </c>
      <c r="K35" s="139"/>
      <c r="L35" s="196"/>
    </row>
    <row r="36" spans="1:12" x14ac:dyDescent="0.25">
      <c r="A36" s="184" t="str">
        <f>'Análisis de Costos de Operación'!A32</f>
        <v>Impuestos generales</v>
      </c>
      <c r="B36" s="225">
        <f>'Análisis de Costos de Operación'!B32</f>
        <v>263668.53856289381</v>
      </c>
      <c r="C36" s="206">
        <f>'Análisis de Costos de Operación'!D32</f>
        <v>301821</v>
      </c>
      <c r="D36" s="206">
        <f>'Análisis de Costos de Operación'!F32</f>
        <v>281050</v>
      </c>
      <c r="E36" s="213">
        <f>'Análisis de Costos de Operación'!H32</f>
        <v>282861</v>
      </c>
      <c r="F36" s="199">
        <f>F9*'Análisis de Costos de Operación'!$L$32</f>
        <v>276605.43252630759</v>
      </c>
      <c r="G36" s="203">
        <f>F36*(1+Supuestos!D33)</f>
        <v>277225.22102070769</v>
      </c>
      <c r="H36" s="203">
        <f>G36*(1+Supuestos!E33)</f>
        <v>277846.39827227814</v>
      </c>
      <c r="I36" s="203">
        <f>H36*(1+Supuestos!F33)</f>
        <v>278468.96739280067</v>
      </c>
      <c r="J36" s="203">
        <f>I36*(1+Supuestos!G33)</f>
        <v>279092.93150102952</v>
      </c>
      <c r="K36" s="139"/>
      <c r="L36" s="196"/>
    </row>
    <row r="37" spans="1:12" x14ac:dyDescent="0.25">
      <c r="A37" s="184" t="str">
        <f>'Análisis de Costos de Operación'!A33</f>
        <v>Misceláneos</v>
      </c>
      <c r="B37" s="225">
        <f>'Análisis de Costos de Operación'!B33</f>
        <v>199982.21992044934</v>
      </c>
      <c r="C37" s="206">
        <f>'Análisis de Costos de Operación'!D33</f>
        <v>198221</v>
      </c>
      <c r="D37" s="206">
        <f>'Análisis de Costos de Operación'!F33</f>
        <v>196802</v>
      </c>
      <c r="E37" s="213">
        <f>'Análisis de Costos de Operación'!H33</f>
        <v>209823</v>
      </c>
      <c r="F37" s="199">
        <f>F9*'Análisis de Costos de Operación'!$L$33</f>
        <v>211787.28860969181</v>
      </c>
      <c r="G37" s="203">
        <f>F37*(1+Supuestos!D34)</f>
        <v>212119.58728716866</v>
      </c>
      <c r="H37" s="203">
        <f>G37*(1+Supuestos!E34)</f>
        <v>212452.40734820813</v>
      </c>
      <c r="I37" s="203">
        <f>H37*(1+Supuestos!F34)</f>
        <v>212785.74961087192</v>
      </c>
      <c r="J37" s="203">
        <f>I37*(1+Supuestos!G34)</f>
        <v>213119.61489450527</v>
      </c>
      <c r="K37" s="139"/>
      <c r="L37" s="196"/>
    </row>
    <row r="38" spans="1:12" x14ac:dyDescent="0.25">
      <c r="A38" s="184" t="str">
        <f>'Análisis de Costos de Operación'!A34</f>
        <v>Aseo y limpieza</v>
      </c>
      <c r="B38" s="225">
        <f>'Análisis de Costos de Operación'!B34</f>
        <v>143384.91516122076</v>
      </c>
      <c r="C38" s="206">
        <f>'Análisis de Costos de Operación'!D34</f>
        <v>161828</v>
      </c>
      <c r="D38" s="206">
        <f>'Análisis de Costos de Operación'!F34</f>
        <v>174615</v>
      </c>
      <c r="E38" s="213">
        <f>'Análisis de Costos de Operación'!H34</f>
        <v>140139</v>
      </c>
      <c r="F38" s="199">
        <f>$F$9*'Análisis de Costos de Operación'!L34</f>
        <v>149573.22622600128</v>
      </c>
      <c r="G38" s="203">
        <f>F38*(1+Supuestos!D35)</f>
        <v>149768.33897274031</v>
      </c>
      <c r="H38" s="203">
        <f>G38*(1+Supuestos!E35)</f>
        <v>149963.70623684788</v>
      </c>
      <c r="I38" s="203">
        <f>H38*(1+Supuestos!F35)</f>
        <v>150159.32835033248</v>
      </c>
      <c r="J38" s="203">
        <f>I38*(1+Supuestos!G35)</f>
        <v>150355.20564563569</v>
      </c>
      <c r="K38" s="139"/>
      <c r="L38" s="196"/>
    </row>
    <row r="39" spans="1:12" x14ac:dyDescent="0.25">
      <c r="A39" s="184" t="str">
        <f>'Análisis de Costos de Operación'!A35</f>
        <v>Seguros</v>
      </c>
      <c r="B39" s="225">
        <f>'Análisis de Costos de Operación'!B35</f>
        <v>136957.10058445725</v>
      </c>
      <c r="C39" s="206">
        <f>'Análisis de Costos de Operación'!D35</f>
        <v>149406</v>
      </c>
      <c r="D39" s="206">
        <f>'Análisis de Costos de Operación'!F35</f>
        <v>158836</v>
      </c>
      <c r="E39" s="213">
        <f>'Análisis de Costos de Operación'!H35</f>
        <v>133495</v>
      </c>
      <c r="F39" s="199">
        <f>F9*'Análisis de Costos de Operación'!$L$35</f>
        <v>143464.8985397862</v>
      </c>
      <c r="G39" s="203">
        <f>F39*(1+Supuestos!D36)</f>
        <v>143643.61175751904</v>
      </c>
      <c r="H39" s="203">
        <f>G39*(1+Supuestos!E36)</f>
        <v>143822.54759705358</v>
      </c>
      <c r="I39" s="203">
        <f>H39*(1+Supuestos!F36)</f>
        <v>144001.70633570821</v>
      </c>
      <c r="J39" s="203">
        <f>I39*(1+Supuestos!G36)</f>
        <v>144181.08825114684</v>
      </c>
      <c r="K39" s="139"/>
      <c r="L39" s="196"/>
    </row>
    <row r="40" spans="1:12" x14ac:dyDescent="0.25">
      <c r="A40" s="184" t="str">
        <f>'Análisis de Costos de Operación'!A36</f>
        <v>Provisión para productos obsoletos</v>
      </c>
      <c r="B40" s="225">
        <f>'Análisis de Costos de Operación'!B36</f>
        <v>256562.30457816401</v>
      </c>
      <c r="C40" s="206">
        <f>'Análisis de Costos de Operación'!D36</f>
        <v>157170</v>
      </c>
      <c r="D40" s="206">
        <f>'Análisis de Costos de Operación'!F36</f>
        <v>122256</v>
      </c>
      <c r="E40" s="213">
        <f>'Análisis de Costos de Operación'!H36</f>
        <v>87404</v>
      </c>
      <c r="F40" s="199">
        <f>F9*'Análisis de Costos de Operación'!$L$36</f>
        <v>284403.7611361189</v>
      </c>
      <c r="G40" s="199">
        <f>G9*'Análisis de Costos de Operación'!$L$36</f>
        <v>294258.35145948542</v>
      </c>
      <c r="H40" s="199">
        <f>H9*'Análisis de Costos de Operación'!$L$36</f>
        <v>304964.20593146019</v>
      </c>
      <c r="I40" s="199">
        <f>I9*'Análisis de Costos de Operación'!$L$36</f>
        <v>316614.33416487655</v>
      </c>
      <c r="J40" s="199">
        <f>J9*'Análisis de Costos de Operación'!$L$36</f>
        <v>329314.27533143741</v>
      </c>
      <c r="K40" s="139"/>
      <c r="L40" s="196"/>
    </row>
    <row r="41" spans="1:12" x14ac:dyDescent="0.25">
      <c r="A41" s="184" t="str">
        <f>'Análisis de Costos de Operación'!A37</f>
        <v>Uniformes</v>
      </c>
      <c r="B41" s="225">
        <f>'Análisis de Costos de Operación'!B37</f>
        <v>58440.613508044145</v>
      </c>
      <c r="C41" s="206">
        <f>'Análisis de Costos de Operación'!D37</f>
        <v>77087</v>
      </c>
      <c r="D41" s="206">
        <f>'Análisis de Costos de Operación'!F37</f>
        <v>69058</v>
      </c>
      <c r="E41" s="213">
        <f>'Análisis de Costos de Operación'!H37</f>
        <v>59280</v>
      </c>
      <c r="F41" s="199">
        <f>$F$9*'Análisis de Costos de Operación'!L37</f>
        <v>60648.01982047224</v>
      </c>
      <c r="G41" s="203">
        <f>F41*(1+Supuestos!D38)</f>
        <v>60676.890860209009</v>
      </c>
      <c r="H41" s="203">
        <f>G41*(1+Supuestos!E38)</f>
        <v>60705.775643789973</v>
      </c>
      <c r="I41" s="203">
        <f>H41*(1+Supuestos!F38)</f>
        <v>60734.674177757799</v>
      </c>
      <c r="J41" s="203">
        <f>I41*(1+Supuestos!G38)</f>
        <v>60763.58646865825</v>
      </c>
      <c r="K41" s="139"/>
      <c r="L41" s="196"/>
    </row>
    <row r="42" spans="1:12" x14ac:dyDescent="0.25">
      <c r="A42" s="184" t="str">
        <f>'Análisis de Costos de Operación'!A38</f>
        <v>Gastos no deducibles</v>
      </c>
      <c r="B42" s="225">
        <f>'Análisis de Costos de Operación'!B38</f>
        <v>88218.057034609054</v>
      </c>
      <c r="C42" s="206">
        <f>'Análisis de Costos de Operación'!D38</f>
        <v>143669</v>
      </c>
      <c r="D42" s="206">
        <f>'Análisis de Costos de Operación'!F38</f>
        <v>30035</v>
      </c>
      <c r="E42" s="213">
        <f>'Análisis de Costos de Operación'!H38</f>
        <v>163517</v>
      </c>
      <c r="F42" s="199">
        <f>F9*'Análisis de Costos de Operación'!$L$38</f>
        <v>93362.810643749996</v>
      </c>
      <c r="G42" s="199">
        <f>G9*'Análisis de Costos de Operación'!$L$38</f>
        <v>96597.832032555933</v>
      </c>
      <c r="H42" s="199">
        <f>H9*'Análisis de Costos de Operación'!$L$38</f>
        <v>100112.30265648042</v>
      </c>
      <c r="I42" s="199">
        <f>I9*'Análisis de Costos de Operación'!$L$38</f>
        <v>103936.75530044977</v>
      </c>
      <c r="J42" s="199">
        <f>J9*'Análisis de Costos de Operación'!$L$38</f>
        <v>108105.83589763954</v>
      </c>
      <c r="K42" s="139"/>
      <c r="L42" s="196"/>
    </row>
    <row r="43" spans="1:12" x14ac:dyDescent="0.25">
      <c r="A43" s="184" t="str">
        <f>'Análisis de Costos de Operación'!A39</f>
        <v>Dietas</v>
      </c>
      <c r="B43" s="225">
        <f>'Análisis de Costos de Operación'!B39</f>
        <v>14911.434448148817</v>
      </c>
      <c r="C43" s="206">
        <f>'Análisis de Costos de Operación'!D39</f>
        <v>18500</v>
      </c>
      <c r="D43" s="206">
        <f>'Análisis de Costos de Operación'!F39</f>
        <v>18500</v>
      </c>
      <c r="E43" s="213">
        <f>'Análisis de Costos de Operación'!H39</f>
        <v>13000</v>
      </c>
      <c r="F43" s="199">
        <f>$F$9*'Análisis de Costos de Operación'!L39</f>
        <v>15500.639760750726</v>
      </c>
      <c r="G43" s="203">
        <f>F43*(1+Supuestos!D40)</f>
        <v>15502.536759878358</v>
      </c>
      <c r="H43" s="203">
        <f>G43*(1+Supuestos!E40)</f>
        <v>15504.433991164517</v>
      </c>
      <c r="I43" s="203">
        <f>H43*(1+Supuestos!F40)</f>
        <v>15506.331454637613</v>
      </c>
      <c r="J43" s="203">
        <f>I43*(1+Supuestos!G40)</f>
        <v>15508.229150326064</v>
      </c>
      <c r="K43" s="139"/>
      <c r="L43" s="196"/>
    </row>
    <row r="44" spans="1:12" x14ac:dyDescent="0.25">
      <c r="A44" s="184" t="str">
        <f>'Análisis de Costos de Operación'!A40</f>
        <v>Donaciones</v>
      </c>
      <c r="B44" s="208">
        <f>'Análisis de Costos de Operación'!B40</f>
        <v>6628.5201571679327</v>
      </c>
      <c r="C44" s="209">
        <f>'Análisis de Costos de Operación'!D40</f>
        <v>10100</v>
      </c>
      <c r="D44" s="209">
        <f>'Análisis de Costos de Operación'!F40</f>
        <v>8500</v>
      </c>
      <c r="E44" s="210">
        <f>'Análisis de Costos de Operación'!H40</f>
        <v>7500</v>
      </c>
      <c r="F44" s="200">
        <f>$F$9*'Análisis de Costos de Operación'!L40</f>
        <v>6785.6956030314041</v>
      </c>
      <c r="G44" s="201">
        <f>F44*(1+Supuestos!D41)</f>
        <v>6785.8707877929101</v>
      </c>
      <c r="H44" s="201">
        <f>G44*(1+Supuestos!E41)</f>
        <v>6786.0459770771213</v>
      </c>
      <c r="I44" s="201">
        <f>H44*(1+Supuestos!F41)</f>
        <v>6786.2211708841542</v>
      </c>
      <c r="J44" s="202">
        <f>I44*(1+Supuestos!G41)</f>
        <v>6786.396369214126</v>
      </c>
      <c r="K44" s="139"/>
      <c r="L44" s="196"/>
    </row>
    <row r="45" spans="1:12" x14ac:dyDescent="0.25">
      <c r="A45" s="186" t="str">
        <f>'Análisis de Costos de Operación'!A41</f>
        <v>Total Gasto de  Administración</v>
      </c>
      <c r="B45" s="225">
        <f t="shared" ref="B45:E45" si="6">SUM(B25:B44)</f>
        <v>16961192.530524839</v>
      </c>
      <c r="C45" s="206">
        <f t="shared" si="6"/>
        <v>18317606</v>
      </c>
      <c r="D45" s="206">
        <f t="shared" si="6"/>
        <v>19837793</v>
      </c>
      <c r="E45" s="213">
        <f t="shared" si="6"/>
        <v>19269982</v>
      </c>
      <c r="F45" s="203">
        <f>SUM(F25:F44)</f>
        <v>20910544.817665026</v>
      </c>
      <c r="G45" s="218">
        <f t="shared" ref="G45:J45" si="7">SUM(G25:G44)</f>
        <v>22489290.049968772</v>
      </c>
      <c r="H45" s="218">
        <f t="shared" si="7"/>
        <v>24237737.80385166</v>
      </c>
      <c r="I45" s="218">
        <f t="shared" si="7"/>
        <v>26174472.560947943</v>
      </c>
      <c r="J45" s="218">
        <f t="shared" si="7"/>
        <v>28320118.976471499</v>
      </c>
      <c r="K45" s="139"/>
      <c r="L45" s="196"/>
    </row>
    <row r="46" spans="1:12" x14ac:dyDescent="0.25">
      <c r="A46" s="184"/>
      <c r="B46" s="225"/>
      <c r="C46" s="206"/>
      <c r="D46" s="206"/>
      <c r="E46" s="213"/>
      <c r="F46" s="220"/>
      <c r="G46" s="203"/>
      <c r="H46" s="203"/>
      <c r="I46" s="203"/>
      <c r="J46" s="203"/>
      <c r="K46" s="139"/>
      <c r="L46" s="196"/>
    </row>
    <row r="47" spans="1:12" x14ac:dyDescent="0.25">
      <c r="A47" s="185" t="str">
        <f>'Análisis de Costos de Operación'!A43</f>
        <v>Gasto de Depreciación y Amortización</v>
      </c>
      <c r="B47" s="225"/>
      <c r="C47" s="206"/>
      <c r="D47" s="206"/>
      <c r="E47" s="213"/>
      <c r="F47" s="220"/>
      <c r="G47" s="203"/>
      <c r="H47" s="203"/>
      <c r="I47" s="203"/>
      <c r="J47" s="203"/>
      <c r="K47" s="139"/>
      <c r="L47" s="196"/>
    </row>
    <row r="48" spans="1:12" x14ac:dyDescent="0.25">
      <c r="A48" s="184" t="str">
        <f>'Análisis de Costos de Operación'!A44</f>
        <v>Gasto de Depreciación</v>
      </c>
      <c r="B48" s="225">
        <f>'Análisis de Costos de Operación'!B44</f>
        <v>1326140</v>
      </c>
      <c r="C48" s="206">
        <f>'Análisis de Costos de Operación'!D44</f>
        <v>1545672</v>
      </c>
      <c r="D48" s="206">
        <f>'Análisis de Costos de Operación'!F44</f>
        <v>1494868</v>
      </c>
      <c r="E48" s="213">
        <f>'Análisis de Costos de Operación'!H44</f>
        <v>1319295</v>
      </c>
      <c r="F48" s="199">
        <f>$F$9*'Análisis de Costos de Operación'!L44</f>
        <v>1295042.3677645682</v>
      </c>
      <c r="G48" s="203">
        <f>F48*(1+Supuestos!D44)</f>
        <v>1310301.9983247377</v>
      </c>
      <c r="H48" s="203">
        <f>G48*(1+Supuestos!E44)</f>
        <v>1325741.4348361478</v>
      </c>
      <c r="I48" s="203">
        <f>H48*(1+Supuestos!F44)</f>
        <v>1341362.7959726404</v>
      </c>
      <c r="J48" s="203">
        <f>I48*(1+Supuestos!G44)</f>
        <v>1357168.2253726302</v>
      </c>
      <c r="K48" s="139"/>
      <c r="L48" s="196"/>
    </row>
    <row r="49" spans="1:12" x14ac:dyDescent="0.25">
      <c r="A49" s="184" t="str">
        <f>'Análisis de Costos de Operación'!A45</f>
        <v>Amortización intangibles</v>
      </c>
      <c r="B49" s="208">
        <f>'Análisis de Costos de Operación'!B45</f>
        <v>61011.717199327279</v>
      </c>
      <c r="C49" s="209">
        <f>'Análisis de Costos de Operación'!D45</f>
        <v>0</v>
      </c>
      <c r="D49" s="209">
        <f>'Análisis de Costos de Operación'!F45</f>
        <v>51891</v>
      </c>
      <c r="E49" s="210">
        <f>'Análisis de Costos de Operación'!H45</f>
        <v>101118</v>
      </c>
      <c r="F49" s="201">
        <f>$F$9*'Análisis de Costos de Operación'!L45</f>
        <v>66645.485145480547</v>
      </c>
      <c r="G49" s="201">
        <f>F49*(1+Supuestos!D45)</f>
        <v>66685.897814442462</v>
      </c>
      <c r="H49" s="201">
        <f>G49*(1+Supuestos!E45)</f>
        <v>66726.334988947536</v>
      </c>
      <c r="I49" s="201">
        <f>H49*(1+Supuestos!F45)</f>
        <v>66766.796683855515</v>
      </c>
      <c r="J49" s="201">
        <f>I49*(1+Supuestos!G45)</f>
        <v>66807.282914035139</v>
      </c>
      <c r="K49" s="139"/>
      <c r="L49" s="196"/>
    </row>
    <row r="50" spans="1:12" x14ac:dyDescent="0.25">
      <c r="A50" s="186" t="str">
        <f>'Análisis de Costos de Operación'!A46</f>
        <v>Total Gasto de Depreciación y Amortización</v>
      </c>
      <c r="B50" s="225">
        <f t="shared" ref="B50:E50" si="8">SUM(B48:B49)</f>
        <v>1387151.7171993272</v>
      </c>
      <c r="C50" s="206">
        <f t="shared" si="8"/>
        <v>1545672</v>
      </c>
      <c r="D50" s="206">
        <f t="shared" si="8"/>
        <v>1546759</v>
      </c>
      <c r="E50" s="213">
        <f t="shared" si="8"/>
        <v>1420413</v>
      </c>
      <c r="F50" s="203">
        <f>SUM(F48:F49)</f>
        <v>1361687.8529100488</v>
      </c>
      <c r="G50" s="218">
        <f t="shared" ref="G50:J50" si="9">SUM(G48:G49)</f>
        <v>1376987.8961391801</v>
      </c>
      <c r="H50" s="218">
        <f t="shared" si="9"/>
        <v>1392467.7698250953</v>
      </c>
      <c r="I50" s="218">
        <f t="shared" si="9"/>
        <v>1408129.592656496</v>
      </c>
      <c r="J50" s="218">
        <f t="shared" si="9"/>
        <v>1423975.5082866652</v>
      </c>
      <c r="K50" s="139"/>
      <c r="L50" s="196"/>
    </row>
    <row r="51" spans="1:12" x14ac:dyDescent="0.25">
      <c r="A51" s="184"/>
      <c r="B51" s="225"/>
      <c r="C51" s="206"/>
      <c r="D51" s="206"/>
      <c r="E51" s="213"/>
      <c r="F51" s="203"/>
      <c r="G51" s="203"/>
      <c r="H51" s="203"/>
      <c r="I51" s="203"/>
      <c r="J51" s="203"/>
      <c r="K51" s="139"/>
      <c r="L51" s="196"/>
    </row>
    <row r="52" spans="1:12" x14ac:dyDescent="0.25">
      <c r="A52" s="185" t="str">
        <f>'Análisis de Costos de Operación'!A48</f>
        <v>Gasto Financiero</v>
      </c>
      <c r="B52" s="225"/>
      <c r="C52" s="206"/>
      <c r="D52" s="206"/>
      <c r="E52" s="213"/>
      <c r="F52" s="203"/>
      <c r="G52" s="203"/>
      <c r="H52" s="203"/>
      <c r="I52" s="203"/>
      <c r="J52" s="203"/>
      <c r="K52" s="139"/>
      <c r="L52" s="196"/>
    </row>
    <row r="53" spans="1:12" x14ac:dyDescent="0.25">
      <c r="A53" s="184" t="str">
        <f>'Análisis de Costos de Operación'!A49</f>
        <v>Costos Financieros</v>
      </c>
      <c r="B53" s="208">
        <f>'Análisis de Costos de Operación'!B49</f>
        <v>1309205</v>
      </c>
      <c r="C53" s="209">
        <f>'Análisis de Costos de Operación'!D49</f>
        <v>1211298</v>
      </c>
      <c r="D53" s="209">
        <f>'Análisis de Costos de Operación'!F49</f>
        <v>1247485</v>
      </c>
      <c r="E53" s="210">
        <f>'Análisis de Costos de Operación'!H49</f>
        <v>1280055</v>
      </c>
      <c r="F53" s="201">
        <f>$F$9*'Análisis de Costos de Operación'!L49</f>
        <v>1217703.1015776503</v>
      </c>
      <c r="G53" s="201">
        <f>F53*(1+Supuestos!D48)</f>
        <v>1231194.5597203332</v>
      </c>
      <c r="H53" s="201">
        <f>G53*(1+Supuestos!E48)</f>
        <v>1244835.495549802</v>
      </c>
      <c r="I53" s="201">
        <f>H53*(1+Supuestos!F48)</f>
        <v>1258627.5651938533</v>
      </c>
      <c r="J53" s="201">
        <f>I53*(1+Supuestos!G48)</f>
        <v>1272572.4431292382</v>
      </c>
      <c r="K53" s="139"/>
      <c r="L53" s="196"/>
    </row>
    <row r="54" spans="1:12" x14ac:dyDescent="0.25">
      <c r="A54" s="187" t="str">
        <f>'Análisis de Costos de Operación'!A50</f>
        <v>Total Gasto Financiero</v>
      </c>
      <c r="B54" s="228">
        <f t="shared" ref="B54:E54" si="10">SUM(B53)</f>
        <v>1309205</v>
      </c>
      <c r="C54" s="229">
        <f t="shared" si="10"/>
        <v>1211298</v>
      </c>
      <c r="D54" s="229">
        <f t="shared" si="10"/>
        <v>1247485</v>
      </c>
      <c r="E54" s="230">
        <f t="shared" si="10"/>
        <v>1280055</v>
      </c>
      <c r="F54" s="231">
        <f>SUM(F53)</f>
        <v>1217703.1015776503</v>
      </c>
      <c r="G54" s="232">
        <f t="shared" ref="G54:J54" si="11">SUM(G53)</f>
        <v>1231194.5597203332</v>
      </c>
      <c r="H54" s="232">
        <f t="shared" si="11"/>
        <v>1244835.495549802</v>
      </c>
      <c r="I54" s="232">
        <f t="shared" si="11"/>
        <v>1258627.5651938533</v>
      </c>
      <c r="J54" s="233">
        <f t="shared" si="11"/>
        <v>1272572.4431292382</v>
      </c>
      <c r="K54" s="139"/>
      <c r="L54" s="196"/>
    </row>
    <row r="55" spans="1:12" x14ac:dyDescent="0.25">
      <c r="B55" s="214"/>
      <c r="C55" s="214"/>
      <c r="D55" s="214"/>
      <c r="E55" s="214"/>
      <c r="F55" s="203"/>
      <c r="G55" s="220"/>
      <c r="H55" s="220"/>
      <c r="I55" s="220"/>
      <c r="J55" s="220"/>
      <c r="K55" s="139"/>
      <c r="L55" s="196"/>
    </row>
    <row r="56" spans="1:12" ht="15.75" thickBot="1" x14ac:dyDescent="0.3">
      <c r="B56" s="214"/>
      <c r="C56" s="214"/>
      <c r="D56" s="214"/>
      <c r="E56" s="214"/>
      <c r="F56" s="203"/>
      <c r="G56" s="220"/>
      <c r="H56" s="220"/>
      <c r="I56" s="218"/>
      <c r="J56" s="220"/>
      <c r="K56" s="139"/>
      <c r="L56" s="196"/>
    </row>
    <row r="57" spans="1:12" ht="15.75" thickBot="1" x14ac:dyDescent="0.3">
      <c r="A57" s="158" t="s">
        <v>325</v>
      </c>
      <c r="B57" s="235">
        <f t="shared" ref="B57:J57" si="12">B9-B16-B22-B45-B50-B54</f>
        <v>-685292.99999999418</v>
      </c>
      <c r="C57" s="235">
        <f t="shared" si="12"/>
        <v>153229</v>
      </c>
      <c r="D57" s="235">
        <f t="shared" si="12"/>
        <v>-154474</v>
      </c>
      <c r="E57" s="235">
        <f t="shared" si="12"/>
        <v>-3983078</v>
      </c>
      <c r="F57" s="221">
        <f t="shared" si="12"/>
        <v>-4148605.788871157</v>
      </c>
      <c r="G57" s="222">
        <f t="shared" si="12"/>
        <v>-6997309.3070120532</v>
      </c>
      <c r="H57" s="222">
        <f t="shared" si="12"/>
        <v>-6025864.042727327</v>
      </c>
      <c r="I57" s="222">
        <f t="shared" si="12"/>
        <v>-9107245.8159483578</v>
      </c>
      <c r="J57" s="222">
        <f t="shared" si="12"/>
        <v>-8375935.3325817212</v>
      </c>
      <c r="K57" s="139"/>
      <c r="L57" s="196"/>
    </row>
    <row r="58" spans="1:12" s="27" customFormat="1" ht="15.75" thickBot="1" x14ac:dyDescent="0.3">
      <c r="B58" s="211"/>
      <c r="C58" s="211"/>
      <c r="D58" s="211"/>
      <c r="E58" s="211"/>
      <c r="F58" s="220"/>
      <c r="G58" s="220"/>
      <c r="H58" s="220"/>
      <c r="I58" s="220"/>
      <c r="J58" s="220"/>
      <c r="K58" s="197"/>
      <c r="L58" s="234"/>
    </row>
    <row r="59" spans="1:12" ht="15.75" thickBot="1" x14ac:dyDescent="0.3">
      <c r="A59" s="158" t="s">
        <v>330</v>
      </c>
      <c r="B59" s="235">
        <f>'Estado de Resultados'!B19</f>
        <v>17308</v>
      </c>
      <c r="C59" s="235">
        <f>'Estado de Resultados'!D19</f>
        <v>-11855</v>
      </c>
      <c r="D59" s="235">
        <f>'Estado de Resultados'!F19</f>
        <v>-3759</v>
      </c>
      <c r="E59" s="235">
        <f>'Estado de Resultados'!H19</f>
        <v>-5609</v>
      </c>
      <c r="F59" s="223">
        <f>F9*'Análisis de Costos de Operación'!$L$57</f>
        <v>23224.599195539362</v>
      </c>
      <c r="G59" s="223">
        <f>G9*'Análisis de Costos de Operación'!$L$57</f>
        <v>24029.331557664802</v>
      </c>
      <c r="H59" s="223">
        <f>H9*'Análisis de Costos de Operación'!$L$57</f>
        <v>24903.578713061546</v>
      </c>
      <c r="I59" s="223">
        <f>I9*'Análisis de Costos de Operación'!$L$57</f>
        <v>25854.935888215903</v>
      </c>
      <c r="J59" s="223">
        <f>J9*'Análisis de Costos de Operación'!$L$57</f>
        <v>26892.021481676602</v>
      </c>
      <c r="K59" s="139"/>
      <c r="L59" s="196"/>
    </row>
    <row r="60" spans="1:12" ht="15.75" thickBot="1" x14ac:dyDescent="0.3">
      <c r="B60" s="214"/>
      <c r="C60" s="214"/>
      <c r="D60" s="214"/>
      <c r="E60" s="214"/>
      <c r="F60" s="220"/>
      <c r="G60" s="220"/>
      <c r="H60" s="220"/>
      <c r="I60" s="220"/>
      <c r="J60" s="220"/>
      <c r="K60" s="139"/>
      <c r="L60" s="196"/>
    </row>
    <row r="61" spans="1:12" ht="15.75" thickBot="1" x14ac:dyDescent="0.3">
      <c r="A61" s="158" t="s">
        <v>326</v>
      </c>
      <c r="B61" s="235">
        <f>B57+B59</f>
        <v>-667984.99999999418</v>
      </c>
      <c r="C61" s="235">
        <f t="shared" ref="C61:D61" si="13">C57+C59</f>
        <v>141374</v>
      </c>
      <c r="D61" s="235">
        <f t="shared" si="13"/>
        <v>-158233</v>
      </c>
      <c r="E61" s="235">
        <f>E57+E59</f>
        <v>-3988687</v>
      </c>
      <c r="F61" s="221">
        <f>F57+F59</f>
        <v>-4125381.1896756175</v>
      </c>
      <c r="G61" s="221">
        <f t="shared" ref="G61:J61" si="14">G57+G59</f>
        <v>-6973279.9754543882</v>
      </c>
      <c r="H61" s="221">
        <f t="shared" si="14"/>
        <v>-6000960.4640142657</v>
      </c>
      <c r="I61" s="221">
        <f t="shared" si="14"/>
        <v>-9081390.8800601419</v>
      </c>
      <c r="J61" s="221">
        <f t="shared" si="14"/>
        <v>-8349043.3111000443</v>
      </c>
      <c r="K61" s="139"/>
      <c r="L61" s="196"/>
    </row>
    <row r="63" spans="1:12" x14ac:dyDescent="0.25">
      <c r="B63" s="72"/>
      <c r="C63" s="72"/>
      <c r="D63" s="72"/>
      <c r="E63" s="72"/>
      <c r="F63" s="72"/>
      <c r="G63" s="72"/>
      <c r="H63" s="72"/>
      <c r="I63" s="72"/>
      <c r="J63" s="72"/>
    </row>
  </sheetData>
  <scenarios current="0" show="0">
    <scenario name="Test" locked="1" count="5" user="rodbl" comment="Created by rodbl on 12/6/2017">
      <inputCells r="F7" val="109730198.773"/>
      <inputCells r="G7" val="113532350.160484"/>
      <inputCells r="H7" val="117662940.890198"/>
      <inputCells r="I7" val="122157856.434483"/>
      <inputCells r="J7" val="127057816.487912"/>
    </scenario>
  </scenarios>
  <mergeCells count="3">
    <mergeCell ref="B5:E5"/>
    <mergeCell ref="F5:J5"/>
    <mergeCell ref="K6:L6"/>
  </mergeCells>
  <conditionalFormatting sqref="M7">
    <cfRule type="dataBar" priority="1">
      <dataBar>
        <cfvo type="min"/>
        <cfvo type="max"/>
        <color rgb="FF638EC6"/>
      </dataBar>
      <extLst>
        <ext xmlns:x14="http://schemas.microsoft.com/office/spreadsheetml/2009/9/main" uri="{B025F937-C7B1-47D3-B67F-A62EFF666E3E}">
          <x14:id>{817C7330-747B-467B-9C38-4A4D271AC19C}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17C7330-747B-467B-9C38-4A4D271AC19C}">
            <x14:dataBar minLength="0" maxLength="100" border="1" negativeBarBorderColorSameAsPositive="0">
              <x14:cfvo type="autoMin"/>
              <x14:cfvo type="autoMax"/>
              <x14:borderColor rgb="FF638EC6"/>
              <x14:negativeFillColor rgb="FFFF0000"/>
              <x14:negativeBorderColor rgb="FFFF0000"/>
              <x14:axisColor rgb="FF000000"/>
            </x14:dataBar>
          </x14:cfRule>
          <xm:sqref>M7</xm:sqref>
        </x14:conditionalFormatting>
      </x14:conditionalFormattings>
    </ext>
    <ext xmlns:x14="http://schemas.microsoft.com/office/spreadsheetml/2009/9/main" uri="{05C60535-1F16-4fd2-B633-F4F36F0B64E0}">
      <x14:sparklineGroups xmlns:xm="http://schemas.microsoft.com/office/excel/2006/main">
        <x14:sparklineGroup displayEmptyCellsAs="gap" xr2:uid="{D4DF5C6E-26A0-421A-9789-0859416FC1E2}">
          <x14:colorSeries rgb="FF376092"/>
          <x14:colorNegative rgb="FFD00000"/>
          <x14:colorAxis rgb="FF000000"/>
          <x14:colorMarkers rgb="FFD00000"/>
          <x14:colorFirst rgb="FFD00000"/>
          <x14:colorLast rgb="FFD00000"/>
          <x14:colorHigh rgb="FFD00000"/>
          <x14:colorLow rgb="FFD00000"/>
          <x14:sparklines>
            <x14:sparkline>
              <xm:f>'EERR Proyectado -destruir valor'!B7:J7</xm:f>
              <xm:sqref>K7</xm:sqref>
            </x14:sparkline>
            <x14:sparkline>
              <xm:f>'EERR Proyectado -destruir valor'!B8:J8</xm:f>
              <xm:sqref>K8</xm:sqref>
            </x14:sparkline>
            <x14:sparkline>
              <xm:f>'EERR Proyectado -destruir valor'!B9:J9</xm:f>
              <xm:sqref>K9</xm:sqref>
            </x14:sparkline>
            <x14:sparkline>
              <xm:f>'EERR Proyectado -destruir valor'!B10:J10</xm:f>
              <xm:sqref>K10</xm:sqref>
            </x14:sparkline>
            <x14:sparkline>
              <xm:f>'EERR Proyectado -destruir valor'!B11:J11</xm:f>
              <xm:sqref>K11</xm:sqref>
            </x14:sparkline>
            <x14:sparkline>
              <xm:f>'EERR Proyectado -destruir valor'!B12:J12</xm:f>
              <xm:sqref>K12</xm:sqref>
            </x14:sparkline>
            <x14:sparkline>
              <xm:f>'EERR Proyectado -destruir valor'!B13:J13</xm:f>
              <xm:sqref>K13</xm:sqref>
            </x14:sparkline>
            <x14:sparkline>
              <xm:f>'EERR Proyectado -destruir valor'!B14:J14</xm:f>
              <xm:sqref>K14</xm:sqref>
            </x14:sparkline>
            <x14:sparkline>
              <xm:f>'EERR Proyectado -destruir valor'!B15:J15</xm:f>
              <xm:sqref>K15</xm:sqref>
            </x14:sparkline>
            <x14:sparkline>
              <xm:f>'EERR Proyectado -destruir valor'!B16:J16</xm:f>
              <xm:sqref>K16</xm:sqref>
            </x14:sparkline>
            <x14:sparkline>
              <xm:f>'EERR Proyectado -destruir valor'!B17:J17</xm:f>
              <xm:sqref>K17</xm:sqref>
            </x14:sparkline>
            <x14:sparkline>
              <xm:f>'EERR Proyectado -destruir valor'!B18:J18</xm:f>
              <xm:sqref>K18</xm:sqref>
            </x14:sparkline>
            <x14:sparkline>
              <xm:f>'EERR Proyectado -destruir valor'!B19:J19</xm:f>
              <xm:sqref>K19</xm:sqref>
            </x14:sparkline>
            <x14:sparkline>
              <xm:f>'EERR Proyectado -destruir valor'!B20:J20</xm:f>
              <xm:sqref>K20</xm:sqref>
            </x14:sparkline>
            <x14:sparkline>
              <xm:f>'EERR Proyectado -destruir valor'!B21:J21</xm:f>
              <xm:sqref>K21</xm:sqref>
            </x14:sparkline>
            <x14:sparkline>
              <xm:f>'EERR Proyectado -destruir valor'!B22:J22</xm:f>
              <xm:sqref>K22</xm:sqref>
            </x14:sparkline>
            <x14:sparkline>
              <xm:f>'EERR Proyectado -destruir valor'!B23:J23</xm:f>
              <xm:sqref>K23</xm:sqref>
            </x14:sparkline>
            <x14:sparkline>
              <xm:f>'EERR Proyectado -destruir valor'!B24:J24</xm:f>
              <xm:sqref>K24</xm:sqref>
            </x14:sparkline>
            <x14:sparkline>
              <xm:f>'EERR Proyectado -destruir valor'!B25:J25</xm:f>
              <xm:sqref>K25</xm:sqref>
            </x14:sparkline>
            <x14:sparkline>
              <xm:f>'EERR Proyectado -destruir valor'!B26:J26</xm:f>
              <xm:sqref>K26</xm:sqref>
            </x14:sparkline>
            <x14:sparkline>
              <xm:f>'EERR Proyectado -destruir valor'!B27:J27</xm:f>
              <xm:sqref>K27</xm:sqref>
            </x14:sparkline>
            <x14:sparkline>
              <xm:f>'EERR Proyectado -destruir valor'!B28:J28</xm:f>
              <xm:sqref>K28</xm:sqref>
            </x14:sparkline>
            <x14:sparkline>
              <xm:f>'EERR Proyectado -destruir valor'!B29:J29</xm:f>
              <xm:sqref>K29</xm:sqref>
            </x14:sparkline>
            <x14:sparkline>
              <xm:f>'EERR Proyectado -destruir valor'!B30:J30</xm:f>
              <xm:sqref>K30</xm:sqref>
            </x14:sparkline>
            <x14:sparkline>
              <xm:f>'EERR Proyectado -destruir valor'!B31:J31</xm:f>
              <xm:sqref>K31</xm:sqref>
            </x14:sparkline>
            <x14:sparkline>
              <xm:f>'EERR Proyectado -destruir valor'!B32:J32</xm:f>
              <xm:sqref>K32</xm:sqref>
            </x14:sparkline>
            <x14:sparkline>
              <xm:f>'EERR Proyectado -destruir valor'!B33:J33</xm:f>
              <xm:sqref>K33</xm:sqref>
            </x14:sparkline>
            <x14:sparkline>
              <xm:f>'EERR Proyectado -destruir valor'!B34:J34</xm:f>
              <xm:sqref>K34</xm:sqref>
            </x14:sparkline>
            <x14:sparkline>
              <xm:f>'EERR Proyectado -destruir valor'!B35:J35</xm:f>
              <xm:sqref>K35</xm:sqref>
            </x14:sparkline>
            <x14:sparkline>
              <xm:f>'EERR Proyectado -destruir valor'!B36:J36</xm:f>
              <xm:sqref>K36</xm:sqref>
            </x14:sparkline>
            <x14:sparkline>
              <xm:f>'EERR Proyectado -destruir valor'!B37:J37</xm:f>
              <xm:sqref>K37</xm:sqref>
            </x14:sparkline>
            <x14:sparkline>
              <xm:f>'EERR Proyectado -destruir valor'!B38:J38</xm:f>
              <xm:sqref>K38</xm:sqref>
            </x14:sparkline>
            <x14:sparkline>
              <xm:f>'EERR Proyectado -destruir valor'!B39:J39</xm:f>
              <xm:sqref>K39</xm:sqref>
            </x14:sparkline>
            <x14:sparkline>
              <xm:f>'EERR Proyectado -destruir valor'!B40:J40</xm:f>
              <xm:sqref>K40</xm:sqref>
            </x14:sparkline>
            <x14:sparkline>
              <xm:f>'EERR Proyectado -destruir valor'!B41:J41</xm:f>
              <xm:sqref>K41</xm:sqref>
            </x14:sparkline>
            <x14:sparkline>
              <xm:f>'EERR Proyectado -destruir valor'!B42:J42</xm:f>
              <xm:sqref>K42</xm:sqref>
            </x14:sparkline>
            <x14:sparkline>
              <xm:f>'EERR Proyectado -destruir valor'!B43:J43</xm:f>
              <xm:sqref>K43</xm:sqref>
            </x14:sparkline>
            <x14:sparkline>
              <xm:f>'EERR Proyectado -destruir valor'!B44:J44</xm:f>
              <xm:sqref>K44</xm:sqref>
            </x14:sparkline>
            <x14:sparkline>
              <xm:f>'EERR Proyectado -destruir valor'!B45:J45</xm:f>
              <xm:sqref>K45</xm:sqref>
            </x14:sparkline>
            <x14:sparkline>
              <xm:f>'EERR Proyectado -destruir valor'!B46:J46</xm:f>
              <xm:sqref>K46</xm:sqref>
            </x14:sparkline>
            <x14:sparkline>
              <xm:f>'EERR Proyectado -destruir valor'!B47:J47</xm:f>
              <xm:sqref>K47</xm:sqref>
            </x14:sparkline>
            <x14:sparkline>
              <xm:f>'EERR Proyectado -destruir valor'!B48:J48</xm:f>
              <xm:sqref>K48</xm:sqref>
            </x14:sparkline>
            <x14:sparkline>
              <xm:f>'EERR Proyectado -destruir valor'!B49:J49</xm:f>
              <xm:sqref>K49</xm:sqref>
            </x14:sparkline>
            <x14:sparkline>
              <xm:f>'EERR Proyectado -destruir valor'!B50:J50</xm:f>
              <xm:sqref>K50</xm:sqref>
            </x14:sparkline>
            <x14:sparkline>
              <xm:f>'EERR Proyectado -destruir valor'!B51:J51</xm:f>
              <xm:sqref>K51</xm:sqref>
            </x14:sparkline>
            <x14:sparkline>
              <xm:f>'EERR Proyectado -destruir valor'!B52:J52</xm:f>
              <xm:sqref>K52</xm:sqref>
            </x14:sparkline>
            <x14:sparkline>
              <xm:f>'EERR Proyectado -destruir valor'!B53:J53</xm:f>
              <xm:sqref>K53</xm:sqref>
            </x14:sparkline>
            <x14:sparkline>
              <xm:f>'EERR Proyectado -destruir valor'!B54:J54</xm:f>
              <xm:sqref>K54</xm:sqref>
            </x14:sparkline>
            <x14:sparkline>
              <xm:f>'EERR Proyectado -destruir valor'!B55:J55</xm:f>
              <xm:sqref>K55</xm:sqref>
            </x14:sparkline>
            <x14:sparkline>
              <xm:f>'EERR Proyectado -destruir valor'!B56:J56</xm:f>
              <xm:sqref>K56</xm:sqref>
            </x14:sparkline>
            <x14:sparkline>
              <xm:f>'EERR Proyectado -destruir valor'!B57:J57</xm:f>
              <xm:sqref>K57</xm:sqref>
            </x14:sparkline>
            <x14:sparkline>
              <xm:f>'EERR Proyectado -destruir valor'!B58:J58</xm:f>
              <xm:sqref>K58</xm:sqref>
            </x14:sparkline>
            <x14:sparkline>
              <xm:f>'EERR Proyectado -destruir valor'!B59:J59</xm:f>
              <xm:sqref>K59</xm:sqref>
            </x14:sparkline>
            <x14:sparkline>
              <xm:f>'EERR Proyectado -destruir valor'!B60:J60</xm:f>
              <xm:sqref>K60</xm:sqref>
            </x14:sparkline>
            <x14:sparkline>
              <xm:f>'EERR Proyectado -destruir valor'!B61:J61</xm:f>
              <xm:sqref>K61</xm:sqref>
            </x14:sparkline>
          </x14:sparklines>
        </x14:sparklineGroup>
        <x14:sparklineGroup type="column" displayEmptyCellsAs="gap" high="1" low="1" xr2:uid="{E514B835-9B19-4E8A-B3E0-C2C9121EC995}">
          <x14:colorSeries rgb="FF00B050"/>
          <x14:colorNegative rgb="FFFF0000"/>
          <x14:colorAxis rgb="FF000000"/>
          <x14:colorMarkers rgb="FF0070C0"/>
          <x14:colorFirst rgb="FFFFC000"/>
          <x14:colorLast rgb="FFFFC000"/>
          <x14:colorHigh rgb="FF00B050"/>
          <x14:colorLow rgb="FFFF0000"/>
          <x14:sparklines>
            <x14:sparkline>
              <xm:f>'EERR Proyectado -destruir valor'!B7:J7</xm:f>
              <xm:sqref>L7</xm:sqref>
            </x14:sparkline>
            <x14:sparkline>
              <xm:f>'EERR Proyectado -destruir valor'!B8:J8</xm:f>
              <xm:sqref>L8</xm:sqref>
            </x14:sparkline>
            <x14:sparkline>
              <xm:f>'EERR Proyectado -destruir valor'!B9:J9</xm:f>
              <xm:sqref>L9</xm:sqref>
            </x14:sparkline>
            <x14:sparkline>
              <xm:f>'EERR Proyectado -destruir valor'!B10:J10</xm:f>
              <xm:sqref>L10</xm:sqref>
            </x14:sparkline>
            <x14:sparkline>
              <xm:f>'EERR Proyectado -destruir valor'!B11:J11</xm:f>
              <xm:sqref>L11</xm:sqref>
            </x14:sparkline>
            <x14:sparkline>
              <xm:f>'EERR Proyectado -destruir valor'!B12:J12</xm:f>
              <xm:sqref>L12</xm:sqref>
            </x14:sparkline>
            <x14:sparkline>
              <xm:f>'EERR Proyectado -destruir valor'!B13:J13</xm:f>
              <xm:sqref>L13</xm:sqref>
            </x14:sparkline>
            <x14:sparkline>
              <xm:f>'EERR Proyectado -destruir valor'!B14:J14</xm:f>
              <xm:sqref>L14</xm:sqref>
            </x14:sparkline>
            <x14:sparkline>
              <xm:f>'EERR Proyectado -destruir valor'!B15:J15</xm:f>
              <xm:sqref>L15</xm:sqref>
            </x14:sparkline>
            <x14:sparkline>
              <xm:f>'EERR Proyectado -destruir valor'!B16:J16</xm:f>
              <xm:sqref>L16</xm:sqref>
            </x14:sparkline>
            <x14:sparkline>
              <xm:f>'EERR Proyectado -destruir valor'!B17:J17</xm:f>
              <xm:sqref>L17</xm:sqref>
            </x14:sparkline>
            <x14:sparkline>
              <xm:f>'EERR Proyectado -destruir valor'!B18:J18</xm:f>
              <xm:sqref>L18</xm:sqref>
            </x14:sparkline>
            <x14:sparkline>
              <xm:f>'EERR Proyectado -destruir valor'!B19:J19</xm:f>
              <xm:sqref>L19</xm:sqref>
            </x14:sparkline>
            <x14:sparkline>
              <xm:f>'EERR Proyectado -destruir valor'!B20:J20</xm:f>
              <xm:sqref>L20</xm:sqref>
            </x14:sparkline>
            <x14:sparkline>
              <xm:f>'EERR Proyectado -destruir valor'!B21:J21</xm:f>
              <xm:sqref>L21</xm:sqref>
            </x14:sparkline>
            <x14:sparkline>
              <xm:f>'EERR Proyectado -destruir valor'!B22:J22</xm:f>
              <xm:sqref>L22</xm:sqref>
            </x14:sparkline>
            <x14:sparkline>
              <xm:f>'EERR Proyectado -destruir valor'!B23:J23</xm:f>
              <xm:sqref>L23</xm:sqref>
            </x14:sparkline>
            <x14:sparkline>
              <xm:f>'EERR Proyectado -destruir valor'!B24:J24</xm:f>
              <xm:sqref>L24</xm:sqref>
            </x14:sparkline>
            <x14:sparkline>
              <xm:f>'EERR Proyectado -destruir valor'!B25:J25</xm:f>
              <xm:sqref>L25</xm:sqref>
            </x14:sparkline>
            <x14:sparkline>
              <xm:f>'EERR Proyectado -destruir valor'!B26:J26</xm:f>
              <xm:sqref>L26</xm:sqref>
            </x14:sparkline>
            <x14:sparkline>
              <xm:f>'EERR Proyectado -destruir valor'!B27:J27</xm:f>
              <xm:sqref>L27</xm:sqref>
            </x14:sparkline>
            <x14:sparkline>
              <xm:f>'EERR Proyectado -destruir valor'!B28:J28</xm:f>
              <xm:sqref>L28</xm:sqref>
            </x14:sparkline>
            <x14:sparkline>
              <xm:f>'EERR Proyectado -destruir valor'!B29:J29</xm:f>
              <xm:sqref>L29</xm:sqref>
            </x14:sparkline>
            <x14:sparkline>
              <xm:f>'EERR Proyectado -destruir valor'!B30:J30</xm:f>
              <xm:sqref>L30</xm:sqref>
            </x14:sparkline>
            <x14:sparkline>
              <xm:f>'EERR Proyectado -destruir valor'!B31:J31</xm:f>
              <xm:sqref>L31</xm:sqref>
            </x14:sparkline>
            <x14:sparkline>
              <xm:f>'EERR Proyectado -destruir valor'!B32:J32</xm:f>
              <xm:sqref>L32</xm:sqref>
            </x14:sparkline>
            <x14:sparkline>
              <xm:f>'EERR Proyectado -destruir valor'!B33:J33</xm:f>
              <xm:sqref>L33</xm:sqref>
            </x14:sparkline>
            <x14:sparkline>
              <xm:f>'EERR Proyectado -destruir valor'!B34:J34</xm:f>
              <xm:sqref>L34</xm:sqref>
            </x14:sparkline>
            <x14:sparkline>
              <xm:f>'EERR Proyectado -destruir valor'!B35:J35</xm:f>
              <xm:sqref>L35</xm:sqref>
            </x14:sparkline>
            <x14:sparkline>
              <xm:f>'EERR Proyectado -destruir valor'!B36:J36</xm:f>
              <xm:sqref>L36</xm:sqref>
            </x14:sparkline>
            <x14:sparkline>
              <xm:f>'EERR Proyectado -destruir valor'!B37:J37</xm:f>
              <xm:sqref>L37</xm:sqref>
            </x14:sparkline>
            <x14:sparkline>
              <xm:f>'EERR Proyectado -destruir valor'!B38:J38</xm:f>
              <xm:sqref>L38</xm:sqref>
            </x14:sparkline>
            <x14:sparkline>
              <xm:f>'EERR Proyectado -destruir valor'!B39:J39</xm:f>
              <xm:sqref>L39</xm:sqref>
            </x14:sparkline>
            <x14:sparkline>
              <xm:f>'EERR Proyectado -destruir valor'!B40:J40</xm:f>
              <xm:sqref>L40</xm:sqref>
            </x14:sparkline>
            <x14:sparkline>
              <xm:f>'EERR Proyectado -destruir valor'!B41:J41</xm:f>
              <xm:sqref>L41</xm:sqref>
            </x14:sparkline>
            <x14:sparkline>
              <xm:f>'EERR Proyectado -destruir valor'!B42:J42</xm:f>
              <xm:sqref>L42</xm:sqref>
            </x14:sparkline>
            <x14:sparkline>
              <xm:f>'EERR Proyectado -destruir valor'!B43:J43</xm:f>
              <xm:sqref>L43</xm:sqref>
            </x14:sparkline>
            <x14:sparkline>
              <xm:f>'EERR Proyectado -destruir valor'!B44:J44</xm:f>
              <xm:sqref>L44</xm:sqref>
            </x14:sparkline>
            <x14:sparkline>
              <xm:f>'EERR Proyectado -destruir valor'!B45:J45</xm:f>
              <xm:sqref>L45</xm:sqref>
            </x14:sparkline>
            <x14:sparkline>
              <xm:f>'EERR Proyectado -destruir valor'!B46:J46</xm:f>
              <xm:sqref>L46</xm:sqref>
            </x14:sparkline>
            <x14:sparkline>
              <xm:f>'EERR Proyectado -destruir valor'!B47:J47</xm:f>
              <xm:sqref>L47</xm:sqref>
            </x14:sparkline>
            <x14:sparkline>
              <xm:f>'EERR Proyectado -destruir valor'!B48:J48</xm:f>
              <xm:sqref>L48</xm:sqref>
            </x14:sparkline>
            <x14:sparkline>
              <xm:f>'EERR Proyectado -destruir valor'!B49:J49</xm:f>
              <xm:sqref>L49</xm:sqref>
            </x14:sparkline>
            <x14:sparkline>
              <xm:f>'EERR Proyectado -destruir valor'!B50:J50</xm:f>
              <xm:sqref>L50</xm:sqref>
            </x14:sparkline>
            <x14:sparkline>
              <xm:f>'EERR Proyectado -destruir valor'!B51:J51</xm:f>
              <xm:sqref>L51</xm:sqref>
            </x14:sparkline>
            <x14:sparkline>
              <xm:f>'EERR Proyectado -destruir valor'!B52:J52</xm:f>
              <xm:sqref>L52</xm:sqref>
            </x14:sparkline>
            <x14:sparkline>
              <xm:f>'EERR Proyectado -destruir valor'!B53:J53</xm:f>
              <xm:sqref>L53</xm:sqref>
            </x14:sparkline>
            <x14:sparkline>
              <xm:f>'EERR Proyectado -destruir valor'!B54:J54</xm:f>
              <xm:sqref>L54</xm:sqref>
            </x14:sparkline>
            <x14:sparkline>
              <xm:f>'EERR Proyectado -destruir valor'!B55:J55</xm:f>
              <xm:sqref>L55</xm:sqref>
            </x14:sparkline>
            <x14:sparkline>
              <xm:f>'EERR Proyectado -destruir valor'!B56:J56</xm:f>
              <xm:sqref>L56</xm:sqref>
            </x14:sparkline>
            <x14:sparkline>
              <xm:f>'EERR Proyectado -destruir valor'!B57:J57</xm:f>
              <xm:sqref>L57</xm:sqref>
            </x14:sparkline>
            <x14:sparkline>
              <xm:f>'EERR Proyectado -destruir valor'!B58:J58</xm:f>
              <xm:sqref>L58</xm:sqref>
            </x14:sparkline>
            <x14:sparkline>
              <xm:f>'EERR Proyectado -destruir valor'!B59:J59</xm:f>
              <xm:sqref>L59</xm:sqref>
            </x14:sparkline>
            <x14:sparkline>
              <xm:f>'EERR Proyectado -destruir valor'!B60:J60</xm:f>
              <xm:sqref>L60</xm:sqref>
            </x14:sparkline>
            <x14:sparkline>
              <xm:f>'EERR Proyectado -destruir valor'!B61:J61</xm:f>
              <xm:sqref>L61</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688EC-42B6-4126-B79B-CEC466EB8107}">
  <sheetPr filterMode="1"/>
  <dimension ref="A1:I33"/>
  <sheetViews>
    <sheetView showGridLines="0" zoomScale="110" zoomScaleNormal="110" workbookViewId="0">
      <selection activeCell="F22" sqref="F22"/>
    </sheetView>
  </sheetViews>
  <sheetFormatPr defaultRowHeight="15" x14ac:dyDescent="0.25"/>
  <cols>
    <col min="1" max="1" width="56.7109375" bestFit="1" customWidth="1"/>
    <col min="2" max="2" width="15.28515625" customWidth="1"/>
    <col min="3" max="3" width="16" style="27" customWidth="1"/>
    <col min="4" max="4" width="12.7109375" customWidth="1"/>
    <col min="8" max="8" width="19.42578125" bestFit="1" customWidth="1"/>
    <col min="9" max="9" width="12.5703125" customWidth="1"/>
  </cols>
  <sheetData>
    <row r="1" spans="1:9" x14ac:dyDescent="0.25">
      <c r="A1" s="1" t="s">
        <v>0</v>
      </c>
      <c r="C1" s="458">
        <f>C3/$B$3</f>
        <v>0.51135171091565412</v>
      </c>
      <c r="D1" s="458">
        <f>D3/$B$3</f>
        <v>0.48864828908434588</v>
      </c>
    </row>
    <row r="2" spans="1:9" x14ac:dyDescent="0.25">
      <c r="A2" s="1" t="s">
        <v>319</v>
      </c>
      <c r="B2" s="264" t="s">
        <v>435</v>
      </c>
      <c r="C2" s="311" t="s">
        <v>436</v>
      </c>
      <c r="D2" s="312" t="s">
        <v>437</v>
      </c>
      <c r="H2" s="1" t="s">
        <v>486</v>
      </c>
    </row>
    <row r="3" spans="1:9" x14ac:dyDescent="0.25">
      <c r="A3" s="1" t="s">
        <v>116</v>
      </c>
      <c r="B3" s="286">
        <f>SUM(B7:B33)</f>
        <v>54038374</v>
      </c>
      <c r="C3" s="313">
        <f>SUMIF($C$7:$C$33,C2,$B$7:$B$33)</f>
        <v>27632615</v>
      </c>
      <c r="D3" s="313">
        <f>SUMIF($C$7:$C$33,D2,$B$7:$B$33)</f>
        <v>26405759</v>
      </c>
      <c r="H3" t="s">
        <v>467</v>
      </c>
      <c r="I3" s="68">
        <v>7707448</v>
      </c>
    </row>
    <row r="4" spans="1:9" x14ac:dyDescent="0.25">
      <c r="B4" s="11"/>
      <c r="H4" t="s">
        <v>463</v>
      </c>
      <c r="I4" s="12">
        <v>1697288</v>
      </c>
    </row>
    <row r="5" spans="1:9" x14ac:dyDescent="0.25">
      <c r="H5" s="48" t="s">
        <v>468</v>
      </c>
      <c r="I5" s="11">
        <v>6010160</v>
      </c>
    </row>
    <row r="6" spans="1:9" x14ac:dyDescent="0.25">
      <c r="A6" s="2" t="s">
        <v>2</v>
      </c>
      <c r="B6" s="241">
        <v>42887</v>
      </c>
      <c r="C6" s="2" t="s">
        <v>292</v>
      </c>
    </row>
    <row r="7" spans="1:9" hidden="1" x14ac:dyDescent="0.25">
      <c r="A7" s="4" t="s">
        <v>294</v>
      </c>
      <c r="B7" s="242">
        <v>7950</v>
      </c>
      <c r="C7" s="27" t="s">
        <v>293</v>
      </c>
    </row>
    <row r="8" spans="1:9" x14ac:dyDescent="0.25">
      <c r="A8" s="4" t="s">
        <v>295</v>
      </c>
      <c r="B8" s="242">
        <v>970333</v>
      </c>
      <c r="C8" s="27" t="s">
        <v>438</v>
      </c>
    </row>
    <row r="9" spans="1:9" x14ac:dyDescent="0.25">
      <c r="A9" s="4" t="s">
        <v>296</v>
      </c>
      <c r="B9" s="242">
        <v>860349</v>
      </c>
      <c r="C9" s="27" t="s">
        <v>438</v>
      </c>
    </row>
    <row r="10" spans="1:9" x14ac:dyDescent="0.25">
      <c r="A10" s="4" t="s">
        <v>297</v>
      </c>
      <c r="B10" s="285">
        <v>3000000</v>
      </c>
      <c r="C10" s="27" t="s">
        <v>438</v>
      </c>
    </row>
    <row r="11" spans="1:9" hidden="1" x14ac:dyDescent="0.25">
      <c r="A11" t="s">
        <v>298</v>
      </c>
      <c r="B11" s="242">
        <v>10344519</v>
      </c>
      <c r="C11" s="10" t="s">
        <v>293</v>
      </c>
    </row>
    <row r="12" spans="1:9" x14ac:dyDescent="0.25">
      <c r="A12" t="s">
        <v>299</v>
      </c>
      <c r="B12" s="242">
        <v>1195738</v>
      </c>
      <c r="C12" s="10" t="s">
        <v>438</v>
      </c>
    </row>
    <row r="13" spans="1:9" x14ac:dyDescent="0.25">
      <c r="A13" t="s">
        <v>300</v>
      </c>
      <c r="B13" s="285">
        <v>-289051</v>
      </c>
      <c r="C13" s="10" t="s">
        <v>438</v>
      </c>
    </row>
    <row r="14" spans="1:9" x14ac:dyDescent="0.25">
      <c r="A14" t="s">
        <v>301</v>
      </c>
      <c r="B14" s="285">
        <v>-189314</v>
      </c>
      <c r="C14" s="10" t="s">
        <v>438</v>
      </c>
    </row>
    <row r="15" spans="1:9" x14ac:dyDescent="0.25">
      <c r="A15" t="s">
        <v>302</v>
      </c>
      <c r="B15" s="285">
        <v>16001</v>
      </c>
      <c r="C15" s="27" t="s">
        <v>438</v>
      </c>
    </row>
    <row r="16" spans="1:9" x14ac:dyDescent="0.25">
      <c r="A16" s="181" t="s">
        <v>303</v>
      </c>
      <c r="B16" s="285">
        <v>1071574</v>
      </c>
      <c r="C16" s="27" t="s">
        <v>438</v>
      </c>
    </row>
    <row r="17" spans="1:3" x14ac:dyDescent="0.25">
      <c r="A17" s="181" t="s">
        <v>304</v>
      </c>
      <c r="B17" s="285">
        <v>91526</v>
      </c>
      <c r="C17" s="27" t="s">
        <v>438</v>
      </c>
    </row>
    <row r="18" spans="1:3" hidden="1" x14ac:dyDescent="0.25">
      <c r="A18" s="181" t="s">
        <v>305</v>
      </c>
      <c r="B18" s="243">
        <v>12514598</v>
      </c>
      <c r="C18" s="182" t="s">
        <v>293</v>
      </c>
    </row>
    <row r="19" spans="1:3" hidden="1" x14ac:dyDescent="0.25">
      <c r="A19" s="181" t="s">
        <v>306</v>
      </c>
      <c r="B19" s="284">
        <v>1823510</v>
      </c>
      <c r="C19" s="182" t="s">
        <v>293</v>
      </c>
    </row>
    <row r="20" spans="1:3" x14ac:dyDescent="0.25">
      <c r="A20" s="181" t="s">
        <v>307</v>
      </c>
      <c r="B20" s="284">
        <v>83066</v>
      </c>
      <c r="C20" s="54" t="s">
        <v>438</v>
      </c>
    </row>
    <row r="21" spans="1:3" x14ac:dyDescent="0.25">
      <c r="A21" s="181" t="s">
        <v>308</v>
      </c>
      <c r="B21" s="284">
        <v>1034403</v>
      </c>
      <c r="C21" s="182" t="s">
        <v>438</v>
      </c>
    </row>
    <row r="22" spans="1:3" x14ac:dyDescent="0.25">
      <c r="A22" s="181" t="s">
        <v>309</v>
      </c>
      <c r="B22" s="284">
        <v>216380</v>
      </c>
      <c r="C22" s="54" t="s">
        <v>438</v>
      </c>
    </row>
    <row r="23" spans="1:3" x14ac:dyDescent="0.25">
      <c r="A23" s="181" t="s">
        <v>310</v>
      </c>
      <c r="B23" s="284">
        <v>46984</v>
      </c>
      <c r="C23" s="182" t="s">
        <v>438</v>
      </c>
    </row>
    <row r="24" spans="1:3" x14ac:dyDescent="0.25">
      <c r="A24" s="181" t="s">
        <v>311</v>
      </c>
      <c r="B24" s="284">
        <v>5058</v>
      </c>
      <c r="C24" s="182" t="s">
        <v>438</v>
      </c>
    </row>
    <row r="25" spans="1:3" x14ac:dyDescent="0.25">
      <c r="A25" s="181" t="s">
        <v>312</v>
      </c>
      <c r="B25" s="284">
        <v>1848815</v>
      </c>
      <c r="C25" s="54" t="s">
        <v>438</v>
      </c>
    </row>
    <row r="26" spans="1:3" hidden="1" x14ac:dyDescent="0.25">
      <c r="A26" s="181" t="s">
        <v>313</v>
      </c>
      <c r="B26" s="284">
        <v>5326</v>
      </c>
      <c r="C26" s="54" t="s">
        <v>293</v>
      </c>
    </row>
    <row r="27" spans="1:3" hidden="1" x14ac:dyDescent="0.25">
      <c r="A27" s="181" t="s">
        <v>484</v>
      </c>
      <c r="B27" s="242">
        <v>1697288</v>
      </c>
      <c r="C27" s="27" t="s">
        <v>293</v>
      </c>
    </row>
    <row r="28" spans="1:3" x14ac:dyDescent="0.25">
      <c r="A28" s="181" t="s">
        <v>485</v>
      </c>
      <c r="B28" s="242">
        <v>6010160</v>
      </c>
      <c r="C28" s="54" t="s">
        <v>438</v>
      </c>
    </row>
    <row r="29" spans="1:3" x14ac:dyDescent="0.25">
      <c r="A29" s="181" t="s">
        <v>314</v>
      </c>
      <c r="B29" s="285">
        <v>1158737</v>
      </c>
      <c r="C29" s="27" t="s">
        <v>438</v>
      </c>
    </row>
    <row r="30" spans="1:3" hidden="1" x14ac:dyDescent="0.25">
      <c r="A30" s="181" t="s">
        <v>315</v>
      </c>
      <c r="B30" s="242">
        <v>639559</v>
      </c>
      <c r="C30" s="27" t="s">
        <v>293</v>
      </c>
    </row>
    <row r="31" spans="1:3" hidden="1" x14ac:dyDescent="0.25">
      <c r="A31" s="181" t="s">
        <v>316</v>
      </c>
      <c r="B31" s="285">
        <v>435180</v>
      </c>
      <c r="C31" s="27" t="s">
        <v>293</v>
      </c>
    </row>
    <row r="32" spans="1:3" x14ac:dyDescent="0.25">
      <c r="A32" s="181" t="s">
        <v>317</v>
      </c>
      <c r="B32" s="284">
        <v>9275000</v>
      </c>
      <c r="C32" s="27" t="s">
        <v>438</v>
      </c>
    </row>
    <row r="33" spans="1:3" hidden="1" x14ac:dyDescent="0.25">
      <c r="A33" s="181" t="s">
        <v>318</v>
      </c>
      <c r="B33" s="284">
        <v>164685</v>
      </c>
      <c r="C33" s="27" t="s">
        <v>293</v>
      </c>
    </row>
  </sheetData>
  <autoFilter ref="A6:C33" xr:uid="{9EC054C4-464A-4B0C-9A6E-FCA630F3911F}">
    <filterColumn colId="2">
      <filters>
        <filter val="Prescindible"/>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FE77E-7600-4A4A-91B5-CF9D985B07C5}">
  <dimension ref="B2:C35"/>
  <sheetViews>
    <sheetView showGridLines="0" workbookViewId="0">
      <selection activeCell="K27" sqref="K27"/>
    </sheetView>
  </sheetViews>
  <sheetFormatPr defaultRowHeight="15" x14ac:dyDescent="0.25"/>
  <cols>
    <col min="2" max="2" width="43.7109375" bestFit="1" customWidth="1"/>
    <col min="3" max="3" width="11.140625" bestFit="1" customWidth="1"/>
  </cols>
  <sheetData>
    <row r="2" spans="2:3" x14ac:dyDescent="0.25">
      <c r="B2" s="249" t="s">
        <v>2</v>
      </c>
    </row>
    <row r="3" spans="2:3" x14ac:dyDescent="0.25">
      <c r="B3" s="249" t="s">
        <v>498</v>
      </c>
      <c r="C3" s="241">
        <v>42887</v>
      </c>
    </row>
    <row r="4" spans="2:3" x14ac:dyDescent="0.25">
      <c r="B4" s="4" t="s">
        <v>294</v>
      </c>
      <c r="C4" s="242">
        <v>7950</v>
      </c>
    </row>
    <row r="5" spans="2:3" x14ac:dyDescent="0.25">
      <c r="B5" t="s">
        <v>298</v>
      </c>
      <c r="C5" s="242">
        <v>10344519</v>
      </c>
    </row>
    <row r="6" spans="2:3" x14ac:dyDescent="0.25">
      <c r="B6" s="181" t="s">
        <v>305</v>
      </c>
      <c r="C6" s="243">
        <v>12514598</v>
      </c>
    </row>
    <row r="7" spans="2:3" x14ac:dyDescent="0.25">
      <c r="B7" s="181" t="s">
        <v>306</v>
      </c>
      <c r="C7" s="284">
        <v>1823510</v>
      </c>
    </row>
    <row r="8" spans="2:3" x14ac:dyDescent="0.25">
      <c r="B8" s="181" t="s">
        <v>484</v>
      </c>
      <c r="C8" s="242">
        <v>1697288</v>
      </c>
    </row>
    <row r="9" spans="2:3" x14ac:dyDescent="0.25">
      <c r="B9" s="181" t="s">
        <v>315</v>
      </c>
      <c r="C9" s="242">
        <v>639559</v>
      </c>
    </row>
    <row r="10" spans="2:3" x14ac:dyDescent="0.25">
      <c r="B10" s="181" t="s">
        <v>316</v>
      </c>
      <c r="C10" s="285">
        <v>435180</v>
      </c>
    </row>
    <row r="11" spans="2:3" x14ac:dyDescent="0.25">
      <c r="B11" s="181" t="s">
        <v>313</v>
      </c>
      <c r="C11" s="284">
        <v>5326</v>
      </c>
    </row>
    <row r="12" spans="2:3" x14ac:dyDescent="0.25">
      <c r="B12" s="181" t="s">
        <v>318</v>
      </c>
      <c r="C12" s="455">
        <v>164685</v>
      </c>
    </row>
    <row r="13" spans="2:3" x14ac:dyDescent="0.25">
      <c r="B13" s="457" t="s">
        <v>500</v>
      </c>
      <c r="C13" s="73">
        <f>SUM(C4:C12)</f>
        <v>27632615</v>
      </c>
    </row>
    <row r="15" spans="2:3" x14ac:dyDescent="0.25">
      <c r="B15" s="249" t="s">
        <v>2</v>
      </c>
    </row>
    <row r="16" spans="2:3" x14ac:dyDescent="0.25">
      <c r="B16" s="249" t="s">
        <v>501</v>
      </c>
      <c r="C16" s="241">
        <v>42887</v>
      </c>
    </row>
    <row r="17" spans="2:3" x14ac:dyDescent="0.25">
      <c r="B17" s="4" t="s">
        <v>295</v>
      </c>
      <c r="C17" s="242">
        <v>970333</v>
      </c>
    </row>
    <row r="18" spans="2:3" x14ac:dyDescent="0.25">
      <c r="B18" s="4" t="s">
        <v>296</v>
      </c>
      <c r="C18" s="242">
        <v>860349</v>
      </c>
    </row>
    <row r="19" spans="2:3" x14ac:dyDescent="0.25">
      <c r="B19" s="4" t="s">
        <v>297</v>
      </c>
      <c r="C19" s="285">
        <v>3000000</v>
      </c>
    </row>
    <row r="20" spans="2:3" x14ac:dyDescent="0.25">
      <c r="B20" t="s">
        <v>299</v>
      </c>
      <c r="C20" s="242">
        <v>1195738</v>
      </c>
    </row>
    <row r="21" spans="2:3" x14ac:dyDescent="0.25">
      <c r="B21" t="s">
        <v>300</v>
      </c>
      <c r="C21" s="285">
        <v>-289051</v>
      </c>
    </row>
    <row r="22" spans="2:3" x14ac:dyDescent="0.25">
      <c r="B22" t="s">
        <v>301</v>
      </c>
      <c r="C22" s="285">
        <v>-189314</v>
      </c>
    </row>
    <row r="23" spans="2:3" x14ac:dyDescent="0.25">
      <c r="B23" t="s">
        <v>302</v>
      </c>
      <c r="C23" s="285">
        <v>16001</v>
      </c>
    </row>
    <row r="24" spans="2:3" x14ac:dyDescent="0.25">
      <c r="B24" s="181" t="s">
        <v>303</v>
      </c>
      <c r="C24" s="285">
        <v>1071574</v>
      </c>
    </row>
    <row r="25" spans="2:3" x14ac:dyDescent="0.25">
      <c r="B25" s="181" t="s">
        <v>304</v>
      </c>
      <c r="C25" s="285">
        <v>91526</v>
      </c>
    </row>
    <row r="26" spans="2:3" x14ac:dyDescent="0.25">
      <c r="B26" s="181" t="s">
        <v>307</v>
      </c>
      <c r="C26" s="284">
        <v>83066</v>
      </c>
    </row>
    <row r="27" spans="2:3" x14ac:dyDescent="0.25">
      <c r="B27" s="181" t="s">
        <v>308</v>
      </c>
      <c r="C27" s="284">
        <v>1034403</v>
      </c>
    </row>
    <row r="28" spans="2:3" x14ac:dyDescent="0.25">
      <c r="B28" s="181" t="s">
        <v>309</v>
      </c>
      <c r="C28" s="284">
        <v>216380</v>
      </c>
    </row>
    <row r="29" spans="2:3" x14ac:dyDescent="0.25">
      <c r="B29" s="181" t="s">
        <v>310</v>
      </c>
      <c r="C29" s="284">
        <v>46984</v>
      </c>
    </row>
    <row r="30" spans="2:3" x14ac:dyDescent="0.25">
      <c r="B30" s="181" t="s">
        <v>311</v>
      </c>
      <c r="C30" s="284">
        <v>5058</v>
      </c>
    </row>
    <row r="31" spans="2:3" x14ac:dyDescent="0.25">
      <c r="B31" s="181" t="s">
        <v>312</v>
      </c>
      <c r="C31" s="284">
        <v>1848815</v>
      </c>
    </row>
    <row r="32" spans="2:3" x14ac:dyDescent="0.25">
      <c r="B32" s="181" t="s">
        <v>485</v>
      </c>
      <c r="C32" s="242">
        <v>6010160</v>
      </c>
    </row>
    <row r="33" spans="2:3" x14ac:dyDescent="0.25">
      <c r="B33" s="181" t="s">
        <v>314</v>
      </c>
      <c r="C33" s="285">
        <v>1158737</v>
      </c>
    </row>
    <row r="34" spans="2:3" x14ac:dyDescent="0.25">
      <c r="B34" s="181" t="s">
        <v>317</v>
      </c>
      <c r="C34" s="284">
        <v>9275000</v>
      </c>
    </row>
    <row r="35" spans="2:3" x14ac:dyDescent="0.25">
      <c r="B35" s="457" t="s">
        <v>499</v>
      </c>
      <c r="C35" s="456">
        <f>SUM(C17:C34)</f>
        <v>26405759</v>
      </c>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140A0-218D-4079-A467-0488BE85B8F0}">
  <dimension ref="A1:XFD13"/>
  <sheetViews>
    <sheetView showGridLines="0" workbookViewId="0">
      <selection activeCell="C25" sqref="C25"/>
    </sheetView>
  </sheetViews>
  <sheetFormatPr defaultRowHeight="15" x14ac:dyDescent="0.25"/>
  <cols>
    <col min="1" max="1" width="42.42578125" bestFit="1" customWidth="1"/>
    <col min="2" max="6" width="14.28515625" customWidth="1"/>
  </cols>
  <sheetData>
    <row r="1" spans="1:16384" x14ac:dyDescent="0.25">
      <c r="A1" s="5" t="s">
        <v>0</v>
      </c>
    </row>
    <row r="2" spans="1:16384" x14ac:dyDescent="0.25">
      <c r="A2" s="1" t="s">
        <v>30</v>
      </c>
    </row>
    <row r="3" spans="1:16384" x14ac:dyDescent="0.25">
      <c r="A3" s="1" t="s">
        <v>602</v>
      </c>
    </row>
    <row r="5" spans="1:16384" x14ac:dyDescent="0.25">
      <c r="B5" s="7" t="s">
        <v>13</v>
      </c>
      <c r="C5" s="7" t="s">
        <v>14</v>
      </c>
      <c r="D5" s="7" t="s">
        <v>15</v>
      </c>
      <c r="E5" s="7" t="s">
        <v>16</v>
      </c>
      <c r="F5" s="8">
        <v>42887</v>
      </c>
    </row>
    <row r="7" spans="1:16384" x14ac:dyDescent="0.25">
      <c r="A7" s="48" t="s">
        <v>89</v>
      </c>
      <c r="B7" s="9">
        <v>1.35</v>
      </c>
      <c r="C7" s="9">
        <v>1.35</v>
      </c>
      <c r="D7" s="9">
        <v>1.35</v>
      </c>
      <c r="E7" s="9">
        <v>1.35</v>
      </c>
      <c r="F7" s="9">
        <v>1.35</v>
      </c>
      <c r="G7" t="s">
        <v>90</v>
      </c>
    </row>
    <row r="9" spans="1:16384" x14ac:dyDescent="0.25">
      <c r="A9" s="48" t="s">
        <v>88</v>
      </c>
      <c r="B9" s="49">
        <v>3733312</v>
      </c>
      <c r="C9" s="50">
        <v>3733312</v>
      </c>
      <c r="D9" s="50">
        <v>3733312</v>
      </c>
      <c r="E9" s="50">
        <v>3733312</v>
      </c>
      <c r="F9" s="50">
        <v>3733312</v>
      </c>
    </row>
    <row r="10" spans="1:16384"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c r="HX10" s="9"/>
      <c r="HY10" s="9"/>
      <c r="HZ10" s="9"/>
      <c r="IA10" s="9"/>
      <c r="IB10" s="9"/>
      <c r="IC10" s="9"/>
      <c r="ID10" s="9"/>
      <c r="IE10" s="9"/>
      <c r="IF10" s="9"/>
      <c r="IG10" s="9"/>
      <c r="IH10" s="9"/>
      <c r="II10" s="9"/>
      <c r="IJ10" s="9"/>
      <c r="IK10" s="9"/>
      <c r="IL10" s="9"/>
      <c r="IM10" s="9"/>
      <c r="IN10" s="9"/>
      <c r="IO10" s="9"/>
      <c r="IP10" s="9"/>
      <c r="IQ10" s="9"/>
      <c r="IR10" s="9"/>
      <c r="IS10" s="9"/>
      <c r="IT10" s="9"/>
      <c r="IU10" s="9"/>
      <c r="IV10" s="9"/>
      <c r="IW10" s="9"/>
      <c r="IX10" s="9"/>
      <c r="IY10" s="9"/>
      <c r="IZ10" s="9"/>
      <c r="JA10" s="9"/>
      <c r="JB10" s="9"/>
      <c r="JC10" s="9"/>
      <c r="JD10" s="9"/>
      <c r="JE10" s="9"/>
      <c r="JF10" s="9"/>
      <c r="JG10" s="9"/>
      <c r="JH10" s="9"/>
      <c r="JI10" s="9"/>
      <c r="JJ10" s="9"/>
      <c r="JK10" s="9"/>
      <c r="JL10" s="9"/>
      <c r="JM10" s="9"/>
      <c r="JN10" s="9"/>
      <c r="JO10" s="9"/>
      <c r="JP10" s="9"/>
      <c r="JQ10" s="9"/>
      <c r="JR10" s="9"/>
      <c r="JS10" s="9"/>
      <c r="JT10" s="9"/>
      <c r="JU10" s="9"/>
      <c r="JV10" s="9"/>
      <c r="JW10" s="9"/>
      <c r="JX10" s="9"/>
      <c r="JY10" s="9"/>
      <c r="JZ10" s="9"/>
      <c r="KA10" s="9"/>
      <c r="KB10" s="9"/>
      <c r="KC10" s="9"/>
      <c r="KD10" s="9"/>
      <c r="KE10" s="9"/>
      <c r="KF10" s="9"/>
      <c r="KG10" s="9"/>
      <c r="KH10" s="9"/>
      <c r="KI10" s="9"/>
      <c r="KJ10" s="9"/>
      <c r="KK10" s="9"/>
      <c r="KL10" s="9"/>
      <c r="KM10" s="9"/>
      <c r="KN10" s="9"/>
      <c r="KO10" s="9"/>
      <c r="KP10" s="9"/>
      <c r="KQ10" s="9"/>
      <c r="KR10" s="9"/>
      <c r="KS10" s="9"/>
      <c r="KT10" s="9"/>
      <c r="KU10" s="9"/>
      <c r="KV10" s="9"/>
      <c r="KW10" s="9"/>
      <c r="KX10" s="9"/>
      <c r="KY10" s="9"/>
      <c r="KZ10" s="9"/>
      <c r="LA10" s="9"/>
      <c r="LB10" s="9"/>
      <c r="LC10" s="9"/>
      <c r="LD10" s="9"/>
      <c r="LE10" s="9"/>
      <c r="LF10" s="9"/>
      <c r="LG10" s="9"/>
      <c r="LH10" s="9"/>
      <c r="LI10" s="9"/>
      <c r="LJ10" s="9"/>
      <c r="LK10" s="9"/>
      <c r="LL10" s="9"/>
      <c r="LM10" s="9"/>
      <c r="LN10" s="9"/>
      <c r="LO10" s="9"/>
      <c r="LP10" s="9"/>
      <c r="LQ10" s="9"/>
      <c r="LR10" s="9"/>
      <c r="LS10" s="9"/>
      <c r="LT10" s="9"/>
      <c r="LU10" s="9"/>
      <c r="LV10" s="9"/>
      <c r="LW10" s="9"/>
      <c r="LX10" s="9"/>
      <c r="LY10" s="9"/>
      <c r="LZ10" s="9"/>
      <c r="MA10" s="9"/>
      <c r="MB10" s="9"/>
      <c r="MC10" s="9"/>
      <c r="MD10" s="9"/>
      <c r="ME10" s="9"/>
      <c r="MF10" s="9"/>
      <c r="MG10" s="9"/>
      <c r="MH10" s="9"/>
      <c r="MI10" s="9"/>
      <c r="MJ10" s="9"/>
      <c r="MK10" s="9"/>
      <c r="ML10" s="9"/>
      <c r="MM10" s="9"/>
      <c r="MN10" s="9"/>
      <c r="MO10" s="9"/>
      <c r="MP10" s="9"/>
      <c r="MQ10" s="9"/>
      <c r="MR10" s="9"/>
      <c r="MS10" s="9"/>
      <c r="MT10" s="9"/>
      <c r="MU10" s="9"/>
      <c r="MV10" s="9"/>
      <c r="MW10" s="9"/>
      <c r="MX10" s="9"/>
      <c r="MY10" s="9"/>
      <c r="MZ10" s="9"/>
      <c r="NA10" s="9"/>
      <c r="NB10" s="9"/>
      <c r="NC10" s="9"/>
      <c r="ND10" s="9"/>
      <c r="NE10" s="9"/>
      <c r="NF10" s="9"/>
      <c r="NG10" s="9"/>
      <c r="NH10" s="9"/>
      <c r="NI10" s="9"/>
      <c r="NJ10" s="9"/>
      <c r="NK10" s="9"/>
      <c r="NL10" s="9"/>
      <c r="NM10" s="9"/>
      <c r="NN10" s="9"/>
      <c r="NO10" s="9"/>
      <c r="NP10" s="9"/>
      <c r="NQ10" s="9"/>
      <c r="NR10" s="9"/>
      <c r="NS10" s="9"/>
      <c r="NT10" s="9"/>
      <c r="NU10" s="9"/>
      <c r="NV10" s="9"/>
      <c r="NW10" s="9"/>
      <c r="NX10" s="9"/>
      <c r="NY10" s="9"/>
      <c r="NZ10" s="9"/>
      <c r="OA10" s="9"/>
      <c r="OB10" s="9"/>
      <c r="OC10" s="9"/>
      <c r="OD10" s="9"/>
      <c r="OE10" s="9"/>
      <c r="OF10" s="9"/>
      <c r="OG10" s="9"/>
      <c r="OH10" s="9"/>
      <c r="OI10" s="9"/>
      <c r="OJ10" s="9"/>
      <c r="OK10" s="9"/>
      <c r="OL10" s="9"/>
      <c r="OM10" s="9"/>
      <c r="ON10" s="9"/>
      <c r="OO10" s="9"/>
      <c r="OP10" s="9"/>
      <c r="OQ10" s="9"/>
      <c r="OR10" s="9"/>
      <c r="OS10" s="9"/>
      <c r="OT10" s="9"/>
      <c r="OU10" s="9"/>
      <c r="OV10" s="9"/>
      <c r="OW10" s="9"/>
      <c r="OX10" s="9"/>
      <c r="OY10" s="9"/>
      <c r="OZ10" s="9"/>
      <c r="PA10" s="9"/>
      <c r="PB10" s="9"/>
      <c r="PC10" s="9"/>
      <c r="PD10" s="9"/>
      <c r="PE10" s="9"/>
      <c r="PF10" s="9"/>
      <c r="PG10" s="9"/>
      <c r="PH10" s="9"/>
      <c r="PI10" s="9"/>
      <c r="PJ10" s="9"/>
      <c r="PK10" s="9"/>
      <c r="PL10" s="9"/>
      <c r="PM10" s="9"/>
      <c r="PN10" s="9"/>
      <c r="PO10" s="9"/>
      <c r="PP10" s="9"/>
      <c r="PQ10" s="9"/>
      <c r="PR10" s="9"/>
      <c r="PS10" s="9"/>
      <c r="PT10" s="9"/>
      <c r="PU10" s="9"/>
      <c r="PV10" s="9"/>
      <c r="PW10" s="9"/>
      <c r="PX10" s="9"/>
      <c r="PY10" s="9"/>
      <c r="PZ10" s="9"/>
      <c r="QA10" s="9"/>
      <c r="QB10" s="9"/>
      <c r="QC10" s="9"/>
      <c r="QD10" s="9"/>
      <c r="QE10" s="9"/>
      <c r="QF10" s="9"/>
      <c r="QG10" s="9"/>
      <c r="QH10" s="9"/>
      <c r="QI10" s="9"/>
      <c r="QJ10" s="9"/>
      <c r="QK10" s="9"/>
      <c r="QL10" s="9"/>
      <c r="QM10" s="9"/>
      <c r="QN10" s="9"/>
      <c r="QO10" s="9"/>
      <c r="QP10" s="9"/>
      <c r="QQ10" s="9"/>
      <c r="QR10" s="9"/>
      <c r="QS10" s="9"/>
      <c r="QT10" s="9"/>
      <c r="QU10" s="9"/>
      <c r="QV10" s="9"/>
      <c r="QW10" s="9"/>
      <c r="QX10" s="9"/>
      <c r="QY10" s="9"/>
      <c r="QZ10" s="9"/>
      <c r="RA10" s="9"/>
      <c r="RB10" s="9"/>
      <c r="RC10" s="9"/>
      <c r="RD10" s="9"/>
      <c r="RE10" s="9"/>
      <c r="RF10" s="9"/>
      <c r="RG10" s="9"/>
      <c r="RH10" s="9"/>
      <c r="RI10" s="9"/>
      <c r="RJ10" s="9"/>
      <c r="RK10" s="9"/>
      <c r="RL10" s="9"/>
      <c r="RM10" s="9"/>
      <c r="RN10" s="9"/>
      <c r="RO10" s="9"/>
      <c r="RP10" s="9"/>
      <c r="RQ10" s="9"/>
      <c r="RR10" s="9"/>
      <c r="RS10" s="9"/>
      <c r="RT10" s="9"/>
      <c r="RU10" s="9"/>
      <c r="RV10" s="9"/>
      <c r="RW10" s="9"/>
      <c r="RX10" s="9"/>
      <c r="RY10" s="9"/>
      <c r="RZ10" s="9"/>
      <c r="SA10" s="9"/>
      <c r="SB10" s="9"/>
      <c r="SC10" s="9"/>
      <c r="SD10" s="9"/>
      <c r="SE10" s="9"/>
      <c r="SF10" s="9"/>
      <c r="SG10" s="9"/>
      <c r="SH10" s="9"/>
      <c r="SI10" s="9"/>
      <c r="SJ10" s="9"/>
      <c r="SK10" s="9"/>
      <c r="SL10" s="9"/>
      <c r="SM10" s="9"/>
      <c r="SN10" s="9"/>
      <c r="SO10" s="9"/>
      <c r="SP10" s="9"/>
      <c r="SQ10" s="9"/>
      <c r="SR10" s="9"/>
      <c r="SS10" s="9"/>
      <c r="ST10" s="9"/>
      <c r="SU10" s="9"/>
      <c r="SV10" s="9"/>
      <c r="SW10" s="9"/>
      <c r="SX10" s="9"/>
      <c r="SY10" s="9"/>
      <c r="SZ10" s="9"/>
      <c r="TA10" s="9"/>
      <c r="TB10" s="9"/>
      <c r="TC10" s="9"/>
      <c r="TD10" s="9"/>
      <c r="TE10" s="9"/>
      <c r="TF10" s="9"/>
      <c r="TG10" s="9"/>
      <c r="TH10" s="9"/>
      <c r="TI10" s="9"/>
      <c r="TJ10" s="9"/>
      <c r="TK10" s="9"/>
      <c r="TL10" s="9"/>
      <c r="TM10" s="9"/>
      <c r="TN10" s="9"/>
      <c r="TO10" s="9"/>
      <c r="TP10" s="9"/>
      <c r="TQ10" s="9"/>
      <c r="TR10" s="9"/>
      <c r="TS10" s="9"/>
      <c r="TT10" s="9"/>
      <c r="TU10" s="9"/>
      <c r="TV10" s="9"/>
      <c r="TW10" s="9"/>
      <c r="TX10" s="9"/>
      <c r="TY10" s="9"/>
      <c r="TZ10" s="9"/>
      <c r="UA10" s="9"/>
      <c r="UB10" s="9"/>
      <c r="UC10" s="9"/>
      <c r="UD10" s="9"/>
      <c r="UE10" s="9"/>
      <c r="UF10" s="9"/>
      <c r="UG10" s="9"/>
      <c r="UH10" s="9"/>
      <c r="UI10" s="9"/>
      <c r="UJ10" s="9"/>
      <c r="UK10" s="9"/>
      <c r="UL10" s="9"/>
      <c r="UM10" s="9"/>
      <c r="UN10" s="9"/>
      <c r="UO10" s="9"/>
      <c r="UP10" s="9"/>
      <c r="UQ10" s="9"/>
      <c r="UR10" s="9"/>
      <c r="US10" s="9"/>
      <c r="UT10" s="9"/>
      <c r="UU10" s="9"/>
      <c r="UV10" s="9"/>
      <c r="UW10" s="9"/>
      <c r="UX10" s="9"/>
      <c r="UY10" s="9"/>
      <c r="UZ10" s="9"/>
      <c r="VA10" s="9"/>
      <c r="VB10" s="9"/>
      <c r="VC10" s="9"/>
      <c r="VD10" s="9"/>
      <c r="VE10" s="9"/>
      <c r="VF10" s="9"/>
      <c r="VG10" s="9"/>
      <c r="VH10" s="9"/>
      <c r="VI10" s="9"/>
      <c r="VJ10" s="9"/>
      <c r="VK10" s="9"/>
      <c r="VL10" s="9"/>
      <c r="VM10" s="9"/>
      <c r="VN10" s="9"/>
      <c r="VO10" s="9"/>
      <c r="VP10" s="9"/>
      <c r="VQ10" s="9"/>
      <c r="VR10" s="9"/>
      <c r="VS10" s="9"/>
      <c r="VT10" s="9"/>
      <c r="VU10" s="9"/>
      <c r="VV10" s="9"/>
      <c r="VW10" s="9"/>
      <c r="VX10" s="9"/>
      <c r="VY10" s="9"/>
      <c r="VZ10" s="9"/>
      <c r="WA10" s="9"/>
      <c r="WB10" s="9"/>
      <c r="WC10" s="9"/>
      <c r="WD10" s="9"/>
      <c r="WE10" s="9"/>
      <c r="WF10" s="9"/>
      <c r="WG10" s="9"/>
      <c r="WH10" s="9"/>
      <c r="WI10" s="9"/>
      <c r="WJ10" s="9"/>
      <c r="WK10" s="9"/>
      <c r="WL10" s="9"/>
      <c r="WM10" s="9"/>
      <c r="WN10" s="9"/>
      <c r="WO10" s="9"/>
      <c r="WP10" s="9"/>
      <c r="WQ10" s="9"/>
      <c r="WR10" s="9"/>
      <c r="WS10" s="9"/>
      <c r="WT10" s="9"/>
      <c r="WU10" s="9"/>
      <c r="WV10" s="9"/>
      <c r="WW10" s="9"/>
      <c r="WX10" s="9"/>
      <c r="WY10" s="9"/>
      <c r="WZ10" s="9"/>
      <c r="XA10" s="9"/>
      <c r="XB10" s="9"/>
      <c r="XC10" s="9"/>
      <c r="XD10" s="9"/>
      <c r="XE10" s="9"/>
      <c r="XF10" s="9"/>
      <c r="XG10" s="9"/>
      <c r="XH10" s="9"/>
      <c r="XI10" s="9"/>
      <c r="XJ10" s="9"/>
      <c r="XK10" s="9"/>
      <c r="XL10" s="9"/>
      <c r="XM10" s="9"/>
      <c r="XN10" s="9"/>
      <c r="XO10" s="9"/>
      <c r="XP10" s="9"/>
      <c r="XQ10" s="9"/>
      <c r="XR10" s="9"/>
      <c r="XS10" s="9"/>
      <c r="XT10" s="9"/>
      <c r="XU10" s="9"/>
      <c r="XV10" s="9"/>
      <c r="XW10" s="9"/>
      <c r="XX10" s="9"/>
      <c r="XY10" s="9"/>
      <c r="XZ10" s="9"/>
      <c r="YA10" s="9"/>
      <c r="YB10" s="9"/>
      <c r="YC10" s="9"/>
      <c r="YD10" s="9"/>
      <c r="YE10" s="9"/>
      <c r="YF10" s="9"/>
      <c r="YG10" s="9"/>
      <c r="YH10" s="9"/>
      <c r="YI10" s="9"/>
      <c r="YJ10" s="9"/>
      <c r="YK10" s="9"/>
      <c r="YL10" s="9"/>
      <c r="YM10" s="9"/>
      <c r="YN10" s="9"/>
      <c r="YO10" s="9"/>
      <c r="YP10" s="9"/>
      <c r="YQ10" s="9"/>
      <c r="YR10" s="9"/>
      <c r="YS10" s="9"/>
      <c r="YT10" s="9"/>
      <c r="YU10" s="9"/>
      <c r="YV10" s="9"/>
      <c r="YW10" s="9"/>
      <c r="YX10" s="9"/>
      <c r="YY10" s="9"/>
      <c r="YZ10" s="9"/>
      <c r="ZA10" s="9"/>
      <c r="ZB10" s="9"/>
      <c r="ZC10" s="9"/>
      <c r="ZD10" s="9"/>
      <c r="ZE10" s="9"/>
      <c r="ZF10" s="9"/>
      <c r="ZG10" s="9"/>
      <c r="ZH10" s="9"/>
      <c r="ZI10" s="9"/>
      <c r="ZJ10" s="9"/>
      <c r="ZK10" s="9"/>
      <c r="ZL10" s="9"/>
      <c r="ZM10" s="9"/>
      <c r="ZN10" s="9"/>
      <c r="ZO10" s="9"/>
      <c r="ZP10" s="9"/>
      <c r="ZQ10" s="9"/>
      <c r="ZR10" s="9"/>
      <c r="ZS10" s="9"/>
      <c r="ZT10" s="9"/>
      <c r="ZU10" s="9"/>
      <c r="ZV10" s="9"/>
      <c r="ZW10" s="9"/>
      <c r="ZX10" s="9"/>
      <c r="ZY10" s="9"/>
      <c r="ZZ10" s="9"/>
      <c r="AAA10" s="9"/>
      <c r="AAB10" s="9"/>
      <c r="AAC10" s="9"/>
      <c r="AAD10" s="9"/>
      <c r="AAE10" s="9"/>
      <c r="AAF10" s="9"/>
      <c r="AAG10" s="9"/>
      <c r="AAH10" s="9"/>
      <c r="AAI10" s="9"/>
      <c r="AAJ10" s="9"/>
      <c r="AAK10" s="9"/>
      <c r="AAL10" s="9"/>
      <c r="AAM10" s="9"/>
      <c r="AAN10" s="9"/>
      <c r="AAO10" s="9"/>
      <c r="AAP10" s="9"/>
      <c r="AAQ10" s="9"/>
      <c r="AAR10" s="9"/>
      <c r="AAS10" s="9"/>
      <c r="AAT10" s="9"/>
      <c r="AAU10" s="9"/>
      <c r="AAV10" s="9"/>
      <c r="AAW10" s="9"/>
      <c r="AAX10" s="9"/>
      <c r="AAY10" s="9"/>
      <c r="AAZ10" s="9"/>
      <c r="ABA10" s="9"/>
      <c r="ABB10" s="9"/>
      <c r="ABC10" s="9"/>
      <c r="ABD10" s="9"/>
      <c r="ABE10" s="9"/>
      <c r="ABF10" s="9"/>
      <c r="ABG10" s="9"/>
      <c r="ABH10" s="9"/>
      <c r="ABI10" s="9"/>
      <c r="ABJ10" s="9"/>
      <c r="ABK10" s="9"/>
      <c r="ABL10" s="9"/>
      <c r="ABM10" s="9"/>
      <c r="ABN10" s="9"/>
      <c r="ABO10" s="9"/>
      <c r="ABP10" s="9"/>
      <c r="ABQ10" s="9"/>
      <c r="ABR10" s="9"/>
      <c r="ABS10" s="9"/>
      <c r="ABT10" s="9"/>
      <c r="ABU10" s="9"/>
      <c r="ABV10" s="9"/>
      <c r="ABW10" s="9"/>
      <c r="ABX10" s="9"/>
      <c r="ABY10" s="9"/>
      <c r="ABZ10" s="9"/>
      <c r="ACA10" s="9"/>
      <c r="ACB10" s="9"/>
      <c r="ACC10" s="9"/>
      <c r="ACD10" s="9"/>
      <c r="ACE10" s="9"/>
      <c r="ACF10" s="9"/>
      <c r="ACG10" s="9"/>
      <c r="ACH10" s="9"/>
      <c r="ACI10" s="9"/>
      <c r="ACJ10" s="9"/>
      <c r="ACK10" s="9"/>
      <c r="ACL10" s="9"/>
      <c r="ACM10" s="9"/>
      <c r="ACN10" s="9"/>
      <c r="ACO10" s="9"/>
      <c r="ACP10" s="9"/>
      <c r="ACQ10" s="9"/>
      <c r="ACR10" s="9"/>
      <c r="ACS10" s="9"/>
      <c r="ACT10" s="9"/>
      <c r="ACU10" s="9"/>
      <c r="ACV10" s="9"/>
      <c r="ACW10" s="9"/>
      <c r="ACX10" s="9"/>
      <c r="ACY10" s="9"/>
      <c r="ACZ10" s="9"/>
      <c r="ADA10" s="9"/>
      <c r="ADB10" s="9"/>
      <c r="ADC10" s="9"/>
      <c r="ADD10" s="9"/>
      <c r="ADE10" s="9"/>
      <c r="ADF10" s="9"/>
      <c r="ADG10" s="9"/>
      <c r="ADH10" s="9"/>
      <c r="ADI10" s="9"/>
      <c r="ADJ10" s="9"/>
      <c r="ADK10" s="9"/>
      <c r="ADL10" s="9"/>
      <c r="ADM10" s="9"/>
      <c r="ADN10" s="9"/>
      <c r="ADO10" s="9"/>
      <c r="ADP10" s="9"/>
      <c r="ADQ10" s="9"/>
      <c r="ADR10" s="9"/>
      <c r="ADS10" s="9"/>
      <c r="ADT10" s="9"/>
      <c r="ADU10" s="9"/>
      <c r="ADV10" s="9"/>
      <c r="ADW10" s="9"/>
      <c r="ADX10" s="9"/>
      <c r="ADY10" s="9"/>
      <c r="ADZ10" s="9"/>
      <c r="AEA10" s="9"/>
      <c r="AEB10" s="9"/>
      <c r="AEC10" s="9"/>
      <c r="AED10" s="9"/>
      <c r="AEE10" s="9"/>
      <c r="AEF10" s="9"/>
      <c r="AEG10" s="9"/>
      <c r="AEH10" s="9"/>
      <c r="AEI10" s="9"/>
      <c r="AEJ10" s="9"/>
      <c r="AEK10" s="9"/>
      <c r="AEL10" s="9"/>
      <c r="AEM10" s="9"/>
      <c r="AEN10" s="9"/>
      <c r="AEO10" s="9"/>
      <c r="AEP10" s="9"/>
      <c r="AEQ10" s="9"/>
      <c r="AER10" s="9"/>
      <c r="AES10" s="9"/>
      <c r="AET10" s="9"/>
      <c r="AEU10" s="9"/>
      <c r="AEV10" s="9"/>
      <c r="AEW10" s="9"/>
      <c r="AEX10" s="9"/>
      <c r="AEY10" s="9"/>
      <c r="AEZ10" s="9"/>
      <c r="AFA10" s="9"/>
      <c r="AFB10" s="9"/>
      <c r="AFC10" s="9"/>
      <c r="AFD10" s="9"/>
      <c r="AFE10" s="9"/>
      <c r="AFF10" s="9"/>
      <c r="AFG10" s="9"/>
      <c r="AFH10" s="9"/>
      <c r="AFI10" s="9"/>
      <c r="AFJ10" s="9"/>
      <c r="AFK10" s="9"/>
      <c r="AFL10" s="9"/>
      <c r="AFM10" s="9"/>
      <c r="AFN10" s="9"/>
      <c r="AFO10" s="9"/>
      <c r="AFP10" s="9"/>
      <c r="AFQ10" s="9"/>
      <c r="AFR10" s="9"/>
      <c r="AFS10" s="9"/>
      <c r="AFT10" s="9"/>
      <c r="AFU10" s="9"/>
      <c r="AFV10" s="9"/>
      <c r="AFW10" s="9"/>
      <c r="AFX10" s="9"/>
      <c r="AFY10" s="9"/>
      <c r="AFZ10" s="9"/>
      <c r="AGA10" s="9"/>
      <c r="AGB10" s="9"/>
      <c r="AGC10" s="9"/>
      <c r="AGD10" s="9"/>
      <c r="AGE10" s="9"/>
      <c r="AGF10" s="9"/>
      <c r="AGG10" s="9"/>
      <c r="AGH10" s="9"/>
      <c r="AGI10" s="9"/>
      <c r="AGJ10" s="9"/>
      <c r="AGK10" s="9"/>
      <c r="AGL10" s="9"/>
      <c r="AGM10" s="9"/>
      <c r="AGN10" s="9"/>
      <c r="AGO10" s="9"/>
      <c r="AGP10" s="9"/>
      <c r="AGQ10" s="9"/>
      <c r="AGR10" s="9"/>
      <c r="AGS10" s="9"/>
      <c r="AGT10" s="9"/>
      <c r="AGU10" s="9"/>
      <c r="AGV10" s="9"/>
      <c r="AGW10" s="9"/>
      <c r="AGX10" s="9"/>
      <c r="AGY10" s="9"/>
      <c r="AGZ10" s="9"/>
      <c r="AHA10" s="9"/>
      <c r="AHB10" s="9"/>
      <c r="AHC10" s="9"/>
      <c r="AHD10" s="9"/>
      <c r="AHE10" s="9"/>
      <c r="AHF10" s="9"/>
      <c r="AHG10" s="9"/>
      <c r="AHH10" s="9"/>
      <c r="AHI10" s="9"/>
      <c r="AHJ10" s="9"/>
      <c r="AHK10" s="9"/>
      <c r="AHL10" s="9"/>
      <c r="AHM10" s="9"/>
      <c r="AHN10" s="9"/>
      <c r="AHO10" s="9"/>
      <c r="AHP10" s="9"/>
      <c r="AHQ10" s="9"/>
      <c r="AHR10" s="9"/>
      <c r="AHS10" s="9"/>
      <c r="AHT10" s="9"/>
      <c r="AHU10" s="9"/>
      <c r="AHV10" s="9"/>
      <c r="AHW10" s="9"/>
      <c r="AHX10" s="9"/>
      <c r="AHY10" s="9"/>
      <c r="AHZ10" s="9"/>
      <c r="AIA10" s="9"/>
      <c r="AIB10" s="9"/>
      <c r="AIC10" s="9"/>
      <c r="AID10" s="9"/>
      <c r="AIE10" s="9"/>
      <c r="AIF10" s="9"/>
      <c r="AIG10" s="9"/>
      <c r="AIH10" s="9"/>
      <c r="AII10" s="9"/>
      <c r="AIJ10" s="9"/>
      <c r="AIK10" s="9"/>
      <c r="AIL10" s="9"/>
      <c r="AIM10" s="9"/>
      <c r="AIN10" s="9"/>
      <c r="AIO10" s="9"/>
      <c r="AIP10" s="9"/>
      <c r="AIQ10" s="9"/>
      <c r="AIR10" s="9"/>
      <c r="AIS10" s="9"/>
      <c r="AIT10" s="9"/>
      <c r="AIU10" s="9"/>
      <c r="AIV10" s="9"/>
      <c r="AIW10" s="9"/>
      <c r="AIX10" s="9"/>
      <c r="AIY10" s="9"/>
      <c r="AIZ10" s="9"/>
      <c r="AJA10" s="9"/>
      <c r="AJB10" s="9"/>
      <c r="AJC10" s="9"/>
      <c r="AJD10" s="9"/>
      <c r="AJE10" s="9"/>
      <c r="AJF10" s="9"/>
      <c r="AJG10" s="9"/>
      <c r="AJH10" s="9"/>
      <c r="AJI10" s="9"/>
      <c r="AJJ10" s="9"/>
      <c r="AJK10" s="9"/>
      <c r="AJL10" s="9"/>
      <c r="AJM10" s="9"/>
      <c r="AJN10" s="9"/>
      <c r="AJO10" s="9"/>
      <c r="AJP10" s="9"/>
      <c r="AJQ10" s="9"/>
      <c r="AJR10" s="9"/>
      <c r="AJS10" s="9"/>
      <c r="AJT10" s="9"/>
      <c r="AJU10" s="9"/>
      <c r="AJV10" s="9"/>
      <c r="AJW10" s="9"/>
      <c r="AJX10" s="9"/>
      <c r="AJY10" s="9"/>
      <c r="AJZ10" s="9"/>
      <c r="AKA10" s="9"/>
      <c r="AKB10" s="9"/>
      <c r="AKC10" s="9"/>
      <c r="AKD10" s="9"/>
      <c r="AKE10" s="9"/>
      <c r="AKF10" s="9"/>
      <c r="AKG10" s="9"/>
      <c r="AKH10" s="9"/>
      <c r="AKI10" s="9"/>
      <c r="AKJ10" s="9"/>
      <c r="AKK10" s="9"/>
      <c r="AKL10" s="9"/>
      <c r="AKM10" s="9"/>
      <c r="AKN10" s="9"/>
      <c r="AKO10" s="9"/>
      <c r="AKP10" s="9"/>
      <c r="AKQ10" s="9"/>
      <c r="AKR10" s="9"/>
      <c r="AKS10" s="9"/>
      <c r="AKT10" s="9"/>
      <c r="AKU10" s="9"/>
      <c r="AKV10" s="9"/>
      <c r="AKW10" s="9"/>
      <c r="AKX10" s="9"/>
      <c r="AKY10" s="9"/>
      <c r="AKZ10" s="9"/>
      <c r="ALA10" s="9"/>
      <c r="ALB10" s="9"/>
      <c r="ALC10" s="9"/>
      <c r="ALD10" s="9"/>
      <c r="ALE10" s="9"/>
      <c r="ALF10" s="9"/>
      <c r="ALG10" s="9"/>
      <c r="ALH10" s="9"/>
      <c r="ALI10" s="9"/>
      <c r="ALJ10" s="9"/>
      <c r="ALK10" s="9"/>
      <c r="ALL10" s="9"/>
      <c r="ALM10" s="9"/>
      <c r="ALN10" s="9"/>
      <c r="ALO10" s="9"/>
      <c r="ALP10" s="9"/>
      <c r="ALQ10" s="9"/>
      <c r="ALR10" s="9"/>
      <c r="ALS10" s="9"/>
      <c r="ALT10" s="9"/>
      <c r="ALU10" s="9"/>
      <c r="ALV10" s="9"/>
      <c r="ALW10" s="9"/>
      <c r="ALX10" s="9"/>
      <c r="ALY10" s="9"/>
      <c r="ALZ10" s="9"/>
      <c r="AMA10" s="9"/>
      <c r="AMB10" s="9"/>
      <c r="AMC10" s="9"/>
      <c r="AMD10" s="9"/>
      <c r="AME10" s="9"/>
      <c r="AMF10" s="9"/>
      <c r="AMG10" s="9"/>
      <c r="AMH10" s="9"/>
      <c r="AMI10" s="9"/>
      <c r="AMJ10" s="9"/>
      <c r="AMK10" s="9"/>
      <c r="AML10" s="9"/>
      <c r="AMM10" s="9"/>
      <c r="AMN10" s="9"/>
      <c r="AMO10" s="9"/>
      <c r="AMP10" s="9"/>
      <c r="AMQ10" s="9"/>
      <c r="AMR10" s="9"/>
      <c r="AMS10" s="9"/>
      <c r="AMT10" s="9"/>
      <c r="AMU10" s="9"/>
      <c r="AMV10" s="9"/>
      <c r="AMW10" s="9"/>
      <c r="AMX10" s="9"/>
      <c r="AMY10" s="9"/>
      <c r="AMZ10" s="9"/>
      <c r="ANA10" s="9"/>
      <c r="ANB10" s="9"/>
      <c r="ANC10" s="9"/>
      <c r="AND10" s="9"/>
      <c r="ANE10" s="9"/>
      <c r="ANF10" s="9"/>
      <c r="ANG10" s="9"/>
      <c r="ANH10" s="9"/>
      <c r="ANI10" s="9"/>
      <c r="ANJ10" s="9"/>
      <c r="ANK10" s="9"/>
      <c r="ANL10" s="9"/>
      <c r="ANM10" s="9"/>
      <c r="ANN10" s="9"/>
      <c r="ANO10" s="9"/>
      <c r="ANP10" s="9"/>
      <c r="ANQ10" s="9"/>
      <c r="ANR10" s="9"/>
      <c r="ANS10" s="9"/>
      <c r="ANT10" s="9"/>
      <c r="ANU10" s="9"/>
      <c r="ANV10" s="9"/>
      <c r="ANW10" s="9"/>
      <c r="ANX10" s="9"/>
      <c r="ANY10" s="9"/>
      <c r="ANZ10" s="9"/>
      <c r="AOA10" s="9"/>
      <c r="AOB10" s="9"/>
      <c r="AOC10" s="9"/>
      <c r="AOD10" s="9"/>
      <c r="AOE10" s="9"/>
      <c r="AOF10" s="9"/>
      <c r="AOG10" s="9"/>
      <c r="AOH10" s="9"/>
      <c r="AOI10" s="9"/>
      <c r="AOJ10" s="9"/>
      <c r="AOK10" s="9"/>
      <c r="AOL10" s="9"/>
      <c r="AOM10" s="9"/>
      <c r="AON10" s="9"/>
      <c r="AOO10" s="9"/>
      <c r="AOP10" s="9"/>
      <c r="AOQ10" s="9"/>
      <c r="AOR10" s="9"/>
      <c r="AOS10" s="9"/>
      <c r="AOT10" s="9"/>
      <c r="AOU10" s="9"/>
      <c r="AOV10" s="9"/>
      <c r="AOW10" s="9"/>
      <c r="AOX10" s="9"/>
      <c r="AOY10" s="9"/>
      <c r="AOZ10" s="9"/>
      <c r="APA10" s="9"/>
      <c r="APB10" s="9"/>
      <c r="APC10" s="9"/>
      <c r="APD10" s="9"/>
      <c r="APE10" s="9"/>
      <c r="APF10" s="9"/>
      <c r="APG10" s="9"/>
      <c r="APH10" s="9"/>
      <c r="API10" s="9"/>
      <c r="APJ10" s="9"/>
      <c r="APK10" s="9"/>
      <c r="APL10" s="9"/>
      <c r="APM10" s="9"/>
      <c r="APN10" s="9"/>
      <c r="APO10" s="9"/>
      <c r="APP10" s="9"/>
      <c r="APQ10" s="9"/>
      <c r="APR10" s="9"/>
      <c r="APS10" s="9"/>
      <c r="APT10" s="9"/>
      <c r="APU10" s="9"/>
      <c r="APV10" s="9"/>
      <c r="APW10" s="9"/>
      <c r="APX10" s="9"/>
      <c r="APY10" s="9"/>
      <c r="APZ10" s="9"/>
      <c r="AQA10" s="9"/>
      <c r="AQB10" s="9"/>
      <c r="AQC10" s="9"/>
      <c r="AQD10" s="9"/>
      <c r="AQE10" s="9"/>
      <c r="AQF10" s="9"/>
      <c r="AQG10" s="9"/>
      <c r="AQH10" s="9"/>
      <c r="AQI10" s="9"/>
      <c r="AQJ10" s="9"/>
      <c r="AQK10" s="9"/>
      <c r="AQL10" s="9"/>
      <c r="AQM10" s="9"/>
      <c r="AQN10" s="9"/>
      <c r="AQO10" s="9"/>
      <c r="AQP10" s="9"/>
      <c r="AQQ10" s="9"/>
      <c r="AQR10" s="9"/>
      <c r="AQS10" s="9"/>
      <c r="AQT10" s="9"/>
      <c r="AQU10" s="9"/>
      <c r="AQV10" s="9"/>
      <c r="AQW10" s="9"/>
      <c r="AQX10" s="9"/>
      <c r="AQY10" s="9"/>
      <c r="AQZ10" s="9"/>
      <c r="ARA10" s="9"/>
      <c r="ARB10" s="9"/>
      <c r="ARC10" s="9"/>
      <c r="ARD10" s="9"/>
      <c r="ARE10" s="9"/>
      <c r="ARF10" s="9"/>
      <c r="ARG10" s="9"/>
      <c r="ARH10" s="9"/>
      <c r="ARI10" s="9"/>
      <c r="ARJ10" s="9"/>
      <c r="ARK10" s="9"/>
      <c r="ARL10" s="9"/>
      <c r="ARM10" s="9"/>
      <c r="ARN10" s="9"/>
      <c r="ARO10" s="9"/>
      <c r="ARP10" s="9"/>
      <c r="ARQ10" s="9"/>
      <c r="ARR10" s="9"/>
      <c r="ARS10" s="9"/>
      <c r="ART10" s="9"/>
      <c r="ARU10" s="9"/>
      <c r="ARV10" s="9"/>
      <c r="ARW10" s="9"/>
      <c r="ARX10" s="9"/>
      <c r="ARY10" s="9"/>
      <c r="ARZ10" s="9"/>
      <c r="ASA10" s="9"/>
      <c r="ASB10" s="9"/>
      <c r="ASC10" s="9"/>
      <c r="ASD10" s="9"/>
      <c r="ASE10" s="9"/>
      <c r="ASF10" s="9"/>
      <c r="ASG10" s="9"/>
      <c r="ASH10" s="9"/>
      <c r="ASI10" s="9"/>
      <c r="ASJ10" s="9"/>
      <c r="ASK10" s="9"/>
      <c r="ASL10" s="9"/>
      <c r="ASM10" s="9"/>
      <c r="ASN10" s="9"/>
      <c r="ASO10" s="9"/>
      <c r="ASP10" s="9"/>
      <c r="ASQ10" s="9"/>
      <c r="ASR10" s="9"/>
      <c r="ASS10" s="9"/>
      <c r="AST10" s="9"/>
      <c r="ASU10" s="9"/>
      <c r="ASV10" s="9"/>
      <c r="ASW10" s="9"/>
      <c r="ASX10" s="9"/>
      <c r="ASY10" s="9"/>
      <c r="ASZ10" s="9"/>
      <c r="ATA10" s="9"/>
      <c r="ATB10" s="9"/>
      <c r="ATC10" s="9"/>
      <c r="ATD10" s="9"/>
      <c r="ATE10" s="9"/>
      <c r="ATF10" s="9"/>
      <c r="ATG10" s="9"/>
      <c r="ATH10" s="9"/>
      <c r="ATI10" s="9"/>
      <c r="ATJ10" s="9"/>
      <c r="ATK10" s="9"/>
      <c r="ATL10" s="9"/>
      <c r="ATM10" s="9"/>
      <c r="ATN10" s="9"/>
      <c r="ATO10" s="9"/>
      <c r="ATP10" s="9"/>
      <c r="ATQ10" s="9"/>
      <c r="ATR10" s="9"/>
      <c r="ATS10" s="9"/>
      <c r="ATT10" s="9"/>
      <c r="ATU10" s="9"/>
      <c r="ATV10" s="9"/>
      <c r="ATW10" s="9"/>
      <c r="ATX10" s="9"/>
      <c r="ATY10" s="9"/>
      <c r="ATZ10" s="9"/>
      <c r="AUA10" s="9"/>
      <c r="AUB10" s="9"/>
      <c r="AUC10" s="9"/>
      <c r="AUD10" s="9"/>
      <c r="AUE10" s="9"/>
      <c r="AUF10" s="9"/>
      <c r="AUG10" s="9"/>
      <c r="AUH10" s="9"/>
      <c r="AUI10" s="9"/>
      <c r="AUJ10" s="9"/>
      <c r="AUK10" s="9"/>
      <c r="AUL10" s="9"/>
      <c r="AUM10" s="9"/>
      <c r="AUN10" s="9"/>
      <c r="AUO10" s="9"/>
      <c r="AUP10" s="9"/>
      <c r="AUQ10" s="9"/>
      <c r="AUR10" s="9"/>
      <c r="AUS10" s="9"/>
      <c r="AUT10" s="9"/>
      <c r="AUU10" s="9"/>
      <c r="AUV10" s="9"/>
      <c r="AUW10" s="9"/>
      <c r="AUX10" s="9"/>
      <c r="AUY10" s="9"/>
      <c r="AUZ10" s="9"/>
      <c r="AVA10" s="9"/>
      <c r="AVB10" s="9"/>
      <c r="AVC10" s="9"/>
      <c r="AVD10" s="9"/>
      <c r="AVE10" s="9"/>
      <c r="AVF10" s="9"/>
      <c r="AVG10" s="9"/>
      <c r="AVH10" s="9"/>
      <c r="AVI10" s="9"/>
      <c r="AVJ10" s="9"/>
      <c r="AVK10" s="9"/>
      <c r="AVL10" s="9"/>
      <c r="AVM10" s="9"/>
      <c r="AVN10" s="9"/>
      <c r="AVO10" s="9"/>
      <c r="AVP10" s="9"/>
      <c r="AVQ10" s="9"/>
      <c r="AVR10" s="9"/>
      <c r="AVS10" s="9"/>
      <c r="AVT10" s="9"/>
      <c r="AVU10" s="9"/>
      <c r="AVV10" s="9"/>
      <c r="AVW10" s="9"/>
      <c r="AVX10" s="9"/>
      <c r="AVY10" s="9"/>
      <c r="AVZ10" s="9"/>
      <c r="AWA10" s="9"/>
      <c r="AWB10" s="9"/>
      <c r="AWC10" s="9"/>
      <c r="AWD10" s="9"/>
      <c r="AWE10" s="9"/>
      <c r="AWF10" s="9"/>
      <c r="AWG10" s="9"/>
      <c r="AWH10" s="9"/>
      <c r="AWI10" s="9"/>
      <c r="AWJ10" s="9"/>
      <c r="AWK10" s="9"/>
      <c r="AWL10" s="9"/>
      <c r="AWM10" s="9"/>
      <c r="AWN10" s="9"/>
      <c r="AWO10" s="9"/>
      <c r="AWP10" s="9"/>
      <c r="AWQ10" s="9"/>
      <c r="AWR10" s="9"/>
      <c r="AWS10" s="9"/>
      <c r="AWT10" s="9"/>
      <c r="AWU10" s="9"/>
      <c r="AWV10" s="9"/>
      <c r="AWW10" s="9"/>
      <c r="AWX10" s="9"/>
      <c r="AWY10" s="9"/>
      <c r="AWZ10" s="9"/>
      <c r="AXA10" s="9"/>
      <c r="AXB10" s="9"/>
      <c r="AXC10" s="9"/>
      <c r="AXD10" s="9"/>
      <c r="AXE10" s="9"/>
      <c r="AXF10" s="9"/>
      <c r="AXG10" s="9"/>
      <c r="AXH10" s="9"/>
      <c r="AXI10" s="9"/>
      <c r="AXJ10" s="9"/>
      <c r="AXK10" s="9"/>
      <c r="AXL10" s="9"/>
      <c r="AXM10" s="9"/>
      <c r="AXN10" s="9"/>
      <c r="AXO10" s="9"/>
      <c r="AXP10" s="9"/>
      <c r="AXQ10" s="9"/>
      <c r="AXR10" s="9"/>
      <c r="AXS10" s="9"/>
      <c r="AXT10" s="9"/>
      <c r="AXU10" s="9"/>
      <c r="AXV10" s="9"/>
      <c r="AXW10" s="9"/>
      <c r="AXX10" s="9"/>
      <c r="AXY10" s="9"/>
      <c r="AXZ10" s="9"/>
      <c r="AYA10" s="9"/>
      <c r="AYB10" s="9"/>
      <c r="AYC10" s="9"/>
      <c r="AYD10" s="9"/>
      <c r="AYE10" s="9"/>
      <c r="AYF10" s="9"/>
      <c r="AYG10" s="9"/>
      <c r="AYH10" s="9"/>
      <c r="AYI10" s="9"/>
      <c r="AYJ10" s="9"/>
      <c r="AYK10" s="9"/>
      <c r="AYL10" s="9"/>
      <c r="AYM10" s="9"/>
      <c r="AYN10" s="9"/>
      <c r="AYO10" s="9"/>
      <c r="AYP10" s="9"/>
      <c r="AYQ10" s="9"/>
      <c r="AYR10" s="9"/>
      <c r="AYS10" s="9"/>
      <c r="AYT10" s="9"/>
      <c r="AYU10" s="9"/>
      <c r="AYV10" s="9"/>
      <c r="AYW10" s="9"/>
      <c r="AYX10" s="9"/>
      <c r="AYY10" s="9"/>
      <c r="AYZ10" s="9"/>
      <c r="AZA10" s="9"/>
      <c r="AZB10" s="9"/>
      <c r="AZC10" s="9"/>
      <c r="AZD10" s="9"/>
      <c r="AZE10" s="9"/>
      <c r="AZF10" s="9"/>
      <c r="AZG10" s="9"/>
      <c r="AZH10" s="9"/>
      <c r="AZI10" s="9"/>
      <c r="AZJ10" s="9"/>
      <c r="AZK10" s="9"/>
      <c r="AZL10" s="9"/>
      <c r="AZM10" s="9"/>
      <c r="AZN10" s="9"/>
      <c r="AZO10" s="9"/>
      <c r="AZP10" s="9"/>
      <c r="AZQ10" s="9"/>
      <c r="AZR10" s="9"/>
      <c r="AZS10" s="9"/>
      <c r="AZT10" s="9"/>
      <c r="AZU10" s="9"/>
      <c r="AZV10" s="9"/>
      <c r="AZW10" s="9"/>
      <c r="AZX10" s="9"/>
      <c r="AZY10" s="9"/>
      <c r="AZZ10" s="9"/>
      <c r="BAA10" s="9"/>
      <c r="BAB10" s="9"/>
      <c r="BAC10" s="9"/>
      <c r="BAD10" s="9"/>
      <c r="BAE10" s="9"/>
      <c r="BAF10" s="9"/>
      <c r="BAG10" s="9"/>
      <c r="BAH10" s="9"/>
      <c r="BAI10" s="9"/>
      <c r="BAJ10" s="9"/>
      <c r="BAK10" s="9"/>
      <c r="BAL10" s="9"/>
      <c r="BAM10" s="9"/>
      <c r="BAN10" s="9"/>
      <c r="BAO10" s="9"/>
      <c r="BAP10" s="9"/>
      <c r="BAQ10" s="9"/>
      <c r="BAR10" s="9"/>
      <c r="BAS10" s="9"/>
      <c r="BAT10" s="9"/>
      <c r="BAU10" s="9"/>
      <c r="BAV10" s="9"/>
      <c r="BAW10" s="9"/>
      <c r="BAX10" s="9"/>
      <c r="BAY10" s="9"/>
      <c r="BAZ10" s="9"/>
      <c r="BBA10" s="9"/>
      <c r="BBB10" s="9"/>
      <c r="BBC10" s="9"/>
      <c r="BBD10" s="9"/>
      <c r="BBE10" s="9"/>
      <c r="BBF10" s="9"/>
      <c r="BBG10" s="9"/>
      <c r="BBH10" s="9"/>
      <c r="BBI10" s="9"/>
      <c r="BBJ10" s="9"/>
      <c r="BBK10" s="9"/>
      <c r="BBL10" s="9"/>
      <c r="BBM10" s="9"/>
      <c r="BBN10" s="9"/>
      <c r="BBO10" s="9"/>
      <c r="BBP10" s="9"/>
      <c r="BBQ10" s="9"/>
      <c r="BBR10" s="9"/>
      <c r="BBS10" s="9"/>
      <c r="BBT10" s="9"/>
      <c r="BBU10" s="9"/>
      <c r="BBV10" s="9"/>
      <c r="BBW10" s="9"/>
      <c r="BBX10" s="9"/>
      <c r="BBY10" s="9"/>
      <c r="BBZ10" s="9"/>
      <c r="BCA10" s="9"/>
      <c r="BCB10" s="9"/>
      <c r="BCC10" s="9"/>
      <c r="BCD10" s="9"/>
      <c r="BCE10" s="9"/>
      <c r="BCF10" s="9"/>
      <c r="BCG10" s="9"/>
      <c r="BCH10" s="9"/>
      <c r="BCI10" s="9"/>
      <c r="BCJ10" s="9"/>
      <c r="BCK10" s="9"/>
      <c r="BCL10" s="9"/>
      <c r="BCM10" s="9"/>
      <c r="BCN10" s="9"/>
      <c r="BCO10" s="9"/>
      <c r="BCP10" s="9"/>
      <c r="BCQ10" s="9"/>
      <c r="BCR10" s="9"/>
      <c r="BCS10" s="9"/>
      <c r="BCT10" s="9"/>
      <c r="BCU10" s="9"/>
      <c r="BCV10" s="9"/>
      <c r="BCW10" s="9"/>
      <c r="BCX10" s="9"/>
      <c r="BCY10" s="9"/>
      <c r="BCZ10" s="9"/>
      <c r="BDA10" s="9"/>
      <c r="BDB10" s="9"/>
      <c r="BDC10" s="9"/>
      <c r="BDD10" s="9"/>
      <c r="BDE10" s="9"/>
      <c r="BDF10" s="9"/>
      <c r="BDG10" s="9"/>
      <c r="BDH10" s="9"/>
      <c r="BDI10" s="9"/>
      <c r="BDJ10" s="9"/>
      <c r="BDK10" s="9"/>
      <c r="BDL10" s="9"/>
      <c r="BDM10" s="9"/>
      <c r="BDN10" s="9"/>
      <c r="BDO10" s="9"/>
      <c r="BDP10" s="9"/>
      <c r="BDQ10" s="9"/>
      <c r="BDR10" s="9"/>
      <c r="BDS10" s="9"/>
      <c r="BDT10" s="9"/>
      <c r="BDU10" s="9"/>
      <c r="BDV10" s="9"/>
      <c r="BDW10" s="9"/>
      <c r="BDX10" s="9"/>
      <c r="BDY10" s="9"/>
      <c r="BDZ10" s="9"/>
      <c r="BEA10" s="9"/>
      <c r="BEB10" s="9"/>
      <c r="BEC10" s="9"/>
      <c r="BED10" s="9"/>
      <c r="BEE10" s="9"/>
      <c r="BEF10" s="9"/>
      <c r="BEG10" s="9"/>
      <c r="BEH10" s="9"/>
      <c r="BEI10" s="9"/>
      <c r="BEJ10" s="9"/>
      <c r="BEK10" s="9"/>
      <c r="BEL10" s="9"/>
      <c r="BEM10" s="9"/>
      <c r="BEN10" s="9"/>
      <c r="BEO10" s="9"/>
      <c r="BEP10" s="9"/>
      <c r="BEQ10" s="9"/>
      <c r="BER10" s="9"/>
      <c r="BES10" s="9"/>
      <c r="BET10" s="9"/>
      <c r="BEU10" s="9"/>
      <c r="BEV10" s="9"/>
      <c r="BEW10" s="9"/>
      <c r="BEX10" s="9"/>
      <c r="BEY10" s="9"/>
      <c r="BEZ10" s="9"/>
      <c r="BFA10" s="9"/>
      <c r="BFB10" s="9"/>
      <c r="BFC10" s="9"/>
      <c r="BFD10" s="9"/>
      <c r="BFE10" s="9"/>
      <c r="BFF10" s="9"/>
      <c r="BFG10" s="9"/>
      <c r="BFH10" s="9"/>
      <c r="BFI10" s="9"/>
      <c r="BFJ10" s="9"/>
      <c r="BFK10" s="9"/>
      <c r="BFL10" s="9"/>
      <c r="BFM10" s="9"/>
      <c r="BFN10" s="9"/>
      <c r="BFO10" s="9"/>
      <c r="BFP10" s="9"/>
      <c r="BFQ10" s="9"/>
      <c r="BFR10" s="9"/>
      <c r="BFS10" s="9"/>
      <c r="BFT10" s="9"/>
      <c r="BFU10" s="9"/>
      <c r="BFV10" s="9"/>
      <c r="BFW10" s="9"/>
      <c r="BFX10" s="9"/>
      <c r="BFY10" s="9"/>
      <c r="BFZ10" s="9"/>
      <c r="BGA10" s="9"/>
      <c r="BGB10" s="9"/>
      <c r="BGC10" s="9"/>
      <c r="BGD10" s="9"/>
      <c r="BGE10" s="9"/>
      <c r="BGF10" s="9"/>
      <c r="BGG10" s="9"/>
      <c r="BGH10" s="9"/>
      <c r="BGI10" s="9"/>
      <c r="BGJ10" s="9"/>
      <c r="BGK10" s="9"/>
      <c r="BGL10" s="9"/>
      <c r="BGM10" s="9"/>
      <c r="BGN10" s="9"/>
      <c r="BGO10" s="9"/>
      <c r="BGP10" s="9"/>
      <c r="BGQ10" s="9"/>
      <c r="BGR10" s="9"/>
      <c r="BGS10" s="9"/>
      <c r="BGT10" s="9"/>
      <c r="BGU10" s="9"/>
      <c r="BGV10" s="9"/>
      <c r="BGW10" s="9"/>
      <c r="BGX10" s="9"/>
      <c r="BGY10" s="9"/>
      <c r="BGZ10" s="9"/>
      <c r="BHA10" s="9"/>
      <c r="BHB10" s="9"/>
      <c r="BHC10" s="9"/>
      <c r="BHD10" s="9"/>
      <c r="BHE10" s="9"/>
      <c r="BHF10" s="9"/>
      <c r="BHG10" s="9"/>
      <c r="BHH10" s="9"/>
      <c r="BHI10" s="9"/>
      <c r="BHJ10" s="9"/>
      <c r="BHK10" s="9"/>
      <c r="BHL10" s="9"/>
      <c r="BHM10" s="9"/>
      <c r="BHN10" s="9"/>
      <c r="BHO10" s="9"/>
      <c r="BHP10" s="9"/>
      <c r="BHQ10" s="9"/>
      <c r="BHR10" s="9"/>
      <c r="BHS10" s="9"/>
      <c r="BHT10" s="9"/>
      <c r="BHU10" s="9"/>
      <c r="BHV10" s="9"/>
      <c r="BHW10" s="9"/>
      <c r="BHX10" s="9"/>
      <c r="BHY10" s="9"/>
      <c r="BHZ10" s="9"/>
      <c r="BIA10" s="9"/>
      <c r="BIB10" s="9"/>
      <c r="BIC10" s="9"/>
      <c r="BID10" s="9"/>
      <c r="BIE10" s="9"/>
      <c r="BIF10" s="9"/>
      <c r="BIG10" s="9"/>
      <c r="BIH10" s="9"/>
      <c r="BII10" s="9"/>
      <c r="BIJ10" s="9"/>
      <c r="BIK10" s="9"/>
      <c r="BIL10" s="9"/>
      <c r="BIM10" s="9"/>
      <c r="BIN10" s="9"/>
      <c r="BIO10" s="9"/>
      <c r="BIP10" s="9"/>
      <c r="BIQ10" s="9"/>
      <c r="BIR10" s="9"/>
      <c r="BIS10" s="9"/>
      <c r="BIT10" s="9"/>
      <c r="BIU10" s="9"/>
      <c r="BIV10" s="9"/>
      <c r="BIW10" s="9"/>
      <c r="BIX10" s="9"/>
      <c r="BIY10" s="9"/>
      <c r="BIZ10" s="9"/>
      <c r="BJA10" s="9"/>
      <c r="BJB10" s="9"/>
      <c r="BJC10" s="9"/>
      <c r="BJD10" s="9"/>
      <c r="BJE10" s="9"/>
      <c r="BJF10" s="9"/>
      <c r="BJG10" s="9"/>
      <c r="BJH10" s="9"/>
      <c r="BJI10" s="9"/>
      <c r="BJJ10" s="9"/>
      <c r="BJK10" s="9"/>
      <c r="BJL10" s="9"/>
      <c r="BJM10" s="9"/>
      <c r="BJN10" s="9"/>
      <c r="BJO10" s="9"/>
      <c r="BJP10" s="9"/>
      <c r="BJQ10" s="9"/>
      <c r="BJR10" s="9"/>
      <c r="BJS10" s="9"/>
      <c r="BJT10" s="9"/>
      <c r="BJU10" s="9"/>
      <c r="BJV10" s="9"/>
      <c r="BJW10" s="9"/>
      <c r="BJX10" s="9"/>
      <c r="BJY10" s="9"/>
      <c r="BJZ10" s="9"/>
      <c r="BKA10" s="9"/>
      <c r="BKB10" s="9"/>
      <c r="BKC10" s="9"/>
      <c r="BKD10" s="9"/>
      <c r="BKE10" s="9"/>
      <c r="BKF10" s="9"/>
      <c r="BKG10" s="9"/>
      <c r="BKH10" s="9"/>
      <c r="BKI10" s="9"/>
      <c r="BKJ10" s="9"/>
      <c r="BKK10" s="9"/>
      <c r="BKL10" s="9"/>
      <c r="BKM10" s="9"/>
      <c r="BKN10" s="9"/>
      <c r="BKO10" s="9"/>
      <c r="BKP10" s="9"/>
      <c r="BKQ10" s="9"/>
      <c r="BKR10" s="9"/>
      <c r="BKS10" s="9"/>
      <c r="BKT10" s="9"/>
      <c r="BKU10" s="9"/>
      <c r="BKV10" s="9"/>
      <c r="BKW10" s="9"/>
      <c r="BKX10" s="9"/>
      <c r="BKY10" s="9"/>
      <c r="BKZ10" s="9"/>
      <c r="BLA10" s="9"/>
      <c r="BLB10" s="9"/>
      <c r="BLC10" s="9"/>
      <c r="BLD10" s="9"/>
      <c r="BLE10" s="9"/>
      <c r="BLF10" s="9"/>
      <c r="BLG10" s="9"/>
      <c r="BLH10" s="9"/>
      <c r="BLI10" s="9"/>
      <c r="BLJ10" s="9"/>
      <c r="BLK10" s="9"/>
      <c r="BLL10" s="9"/>
      <c r="BLM10" s="9"/>
      <c r="BLN10" s="9"/>
      <c r="BLO10" s="9"/>
      <c r="BLP10" s="9"/>
      <c r="BLQ10" s="9"/>
      <c r="BLR10" s="9"/>
      <c r="BLS10" s="9"/>
      <c r="BLT10" s="9"/>
      <c r="BLU10" s="9"/>
      <c r="BLV10" s="9"/>
      <c r="BLW10" s="9"/>
      <c r="BLX10" s="9"/>
      <c r="BLY10" s="9"/>
      <c r="BLZ10" s="9"/>
      <c r="BMA10" s="9"/>
      <c r="BMB10" s="9"/>
      <c r="BMC10" s="9"/>
      <c r="BMD10" s="9"/>
      <c r="BME10" s="9"/>
      <c r="BMF10" s="9"/>
      <c r="BMG10" s="9"/>
      <c r="BMH10" s="9"/>
      <c r="BMI10" s="9"/>
      <c r="BMJ10" s="9"/>
      <c r="BMK10" s="9"/>
      <c r="BML10" s="9"/>
      <c r="BMM10" s="9"/>
      <c r="BMN10" s="9"/>
      <c r="BMO10" s="9"/>
      <c r="BMP10" s="9"/>
      <c r="BMQ10" s="9"/>
      <c r="BMR10" s="9"/>
      <c r="BMS10" s="9"/>
      <c r="BMT10" s="9"/>
      <c r="BMU10" s="9"/>
      <c r="BMV10" s="9"/>
      <c r="BMW10" s="9"/>
      <c r="BMX10" s="9"/>
      <c r="BMY10" s="9"/>
      <c r="BMZ10" s="9"/>
      <c r="BNA10" s="9"/>
      <c r="BNB10" s="9"/>
      <c r="BNC10" s="9"/>
      <c r="BND10" s="9"/>
      <c r="BNE10" s="9"/>
      <c r="BNF10" s="9"/>
      <c r="BNG10" s="9"/>
      <c r="BNH10" s="9"/>
      <c r="BNI10" s="9"/>
      <c r="BNJ10" s="9"/>
      <c r="BNK10" s="9"/>
      <c r="BNL10" s="9"/>
      <c r="BNM10" s="9"/>
      <c r="BNN10" s="9"/>
      <c r="BNO10" s="9"/>
      <c r="BNP10" s="9"/>
      <c r="BNQ10" s="9"/>
      <c r="BNR10" s="9"/>
      <c r="BNS10" s="9"/>
      <c r="BNT10" s="9"/>
      <c r="BNU10" s="9"/>
      <c r="BNV10" s="9"/>
      <c r="BNW10" s="9"/>
      <c r="BNX10" s="9"/>
      <c r="BNY10" s="9"/>
      <c r="BNZ10" s="9"/>
      <c r="BOA10" s="9"/>
      <c r="BOB10" s="9"/>
      <c r="BOC10" s="9"/>
      <c r="BOD10" s="9"/>
      <c r="BOE10" s="9"/>
      <c r="BOF10" s="9"/>
      <c r="BOG10" s="9"/>
      <c r="BOH10" s="9"/>
      <c r="BOI10" s="9"/>
      <c r="BOJ10" s="9"/>
      <c r="BOK10" s="9"/>
      <c r="BOL10" s="9"/>
      <c r="BOM10" s="9"/>
      <c r="BON10" s="9"/>
      <c r="BOO10" s="9"/>
      <c r="BOP10" s="9"/>
      <c r="BOQ10" s="9"/>
      <c r="BOR10" s="9"/>
      <c r="BOS10" s="9"/>
      <c r="BOT10" s="9"/>
      <c r="BOU10" s="9"/>
      <c r="BOV10" s="9"/>
      <c r="BOW10" s="9"/>
      <c r="BOX10" s="9"/>
      <c r="BOY10" s="9"/>
      <c r="BOZ10" s="9"/>
      <c r="BPA10" s="9"/>
      <c r="BPB10" s="9"/>
      <c r="BPC10" s="9"/>
      <c r="BPD10" s="9"/>
      <c r="BPE10" s="9"/>
      <c r="BPF10" s="9"/>
      <c r="BPG10" s="9"/>
      <c r="BPH10" s="9"/>
      <c r="BPI10" s="9"/>
      <c r="BPJ10" s="9"/>
      <c r="BPK10" s="9"/>
      <c r="BPL10" s="9"/>
      <c r="BPM10" s="9"/>
      <c r="BPN10" s="9"/>
      <c r="BPO10" s="9"/>
      <c r="BPP10" s="9"/>
      <c r="BPQ10" s="9"/>
      <c r="BPR10" s="9"/>
      <c r="BPS10" s="9"/>
      <c r="BPT10" s="9"/>
      <c r="BPU10" s="9"/>
      <c r="BPV10" s="9"/>
      <c r="BPW10" s="9"/>
      <c r="BPX10" s="9"/>
      <c r="BPY10" s="9"/>
      <c r="BPZ10" s="9"/>
      <c r="BQA10" s="9"/>
      <c r="BQB10" s="9"/>
      <c r="BQC10" s="9"/>
      <c r="BQD10" s="9"/>
      <c r="BQE10" s="9"/>
      <c r="BQF10" s="9"/>
      <c r="BQG10" s="9"/>
      <c r="BQH10" s="9"/>
      <c r="BQI10" s="9"/>
      <c r="BQJ10" s="9"/>
      <c r="BQK10" s="9"/>
      <c r="BQL10" s="9"/>
      <c r="BQM10" s="9"/>
      <c r="BQN10" s="9"/>
      <c r="BQO10" s="9"/>
      <c r="BQP10" s="9"/>
      <c r="BQQ10" s="9"/>
      <c r="BQR10" s="9"/>
      <c r="BQS10" s="9"/>
      <c r="BQT10" s="9"/>
      <c r="BQU10" s="9"/>
      <c r="BQV10" s="9"/>
      <c r="BQW10" s="9"/>
      <c r="BQX10" s="9"/>
      <c r="BQY10" s="9"/>
      <c r="BQZ10" s="9"/>
      <c r="BRA10" s="9"/>
      <c r="BRB10" s="9"/>
      <c r="BRC10" s="9"/>
      <c r="BRD10" s="9"/>
      <c r="BRE10" s="9"/>
      <c r="BRF10" s="9"/>
      <c r="BRG10" s="9"/>
      <c r="BRH10" s="9"/>
      <c r="BRI10" s="9"/>
      <c r="BRJ10" s="9"/>
      <c r="BRK10" s="9"/>
      <c r="BRL10" s="9"/>
      <c r="BRM10" s="9"/>
      <c r="BRN10" s="9"/>
      <c r="BRO10" s="9"/>
      <c r="BRP10" s="9"/>
      <c r="BRQ10" s="9"/>
      <c r="BRR10" s="9"/>
      <c r="BRS10" s="9"/>
      <c r="BRT10" s="9"/>
      <c r="BRU10" s="9"/>
      <c r="BRV10" s="9"/>
      <c r="BRW10" s="9"/>
      <c r="BRX10" s="9"/>
      <c r="BRY10" s="9"/>
      <c r="BRZ10" s="9"/>
      <c r="BSA10" s="9"/>
      <c r="BSB10" s="9"/>
      <c r="BSC10" s="9"/>
      <c r="BSD10" s="9"/>
      <c r="BSE10" s="9"/>
      <c r="BSF10" s="9"/>
      <c r="BSG10" s="9"/>
      <c r="BSH10" s="9"/>
      <c r="BSI10" s="9"/>
      <c r="BSJ10" s="9"/>
      <c r="BSK10" s="9"/>
      <c r="BSL10" s="9"/>
      <c r="BSM10" s="9"/>
      <c r="BSN10" s="9"/>
      <c r="BSO10" s="9"/>
      <c r="BSP10" s="9"/>
      <c r="BSQ10" s="9"/>
      <c r="BSR10" s="9"/>
      <c r="BSS10" s="9"/>
      <c r="BST10" s="9"/>
      <c r="BSU10" s="9"/>
      <c r="BSV10" s="9"/>
      <c r="BSW10" s="9"/>
      <c r="BSX10" s="9"/>
      <c r="BSY10" s="9"/>
      <c r="BSZ10" s="9"/>
      <c r="BTA10" s="9"/>
      <c r="BTB10" s="9"/>
      <c r="BTC10" s="9"/>
      <c r="BTD10" s="9"/>
      <c r="BTE10" s="9"/>
      <c r="BTF10" s="9"/>
      <c r="BTG10" s="9"/>
      <c r="BTH10" s="9"/>
      <c r="BTI10" s="9"/>
      <c r="BTJ10" s="9"/>
      <c r="BTK10" s="9"/>
      <c r="BTL10" s="9"/>
      <c r="BTM10" s="9"/>
      <c r="BTN10" s="9"/>
      <c r="BTO10" s="9"/>
      <c r="BTP10" s="9"/>
      <c r="BTQ10" s="9"/>
      <c r="BTR10" s="9"/>
      <c r="BTS10" s="9"/>
      <c r="BTT10" s="9"/>
      <c r="BTU10" s="9"/>
      <c r="BTV10" s="9"/>
      <c r="BTW10" s="9"/>
      <c r="BTX10" s="9"/>
      <c r="BTY10" s="9"/>
      <c r="BTZ10" s="9"/>
      <c r="BUA10" s="9"/>
      <c r="BUB10" s="9"/>
      <c r="BUC10" s="9"/>
      <c r="BUD10" s="9"/>
      <c r="BUE10" s="9"/>
      <c r="BUF10" s="9"/>
      <c r="BUG10" s="9"/>
      <c r="BUH10" s="9"/>
      <c r="BUI10" s="9"/>
      <c r="BUJ10" s="9"/>
      <c r="BUK10" s="9"/>
      <c r="BUL10" s="9"/>
      <c r="BUM10" s="9"/>
      <c r="BUN10" s="9"/>
      <c r="BUO10" s="9"/>
      <c r="BUP10" s="9"/>
      <c r="BUQ10" s="9"/>
      <c r="BUR10" s="9"/>
      <c r="BUS10" s="9"/>
      <c r="BUT10" s="9"/>
      <c r="BUU10" s="9"/>
      <c r="BUV10" s="9"/>
      <c r="BUW10" s="9"/>
      <c r="BUX10" s="9"/>
      <c r="BUY10" s="9"/>
      <c r="BUZ10" s="9"/>
      <c r="BVA10" s="9"/>
      <c r="BVB10" s="9"/>
      <c r="BVC10" s="9"/>
      <c r="BVD10" s="9"/>
      <c r="BVE10" s="9"/>
      <c r="BVF10" s="9"/>
      <c r="BVG10" s="9"/>
      <c r="BVH10" s="9"/>
      <c r="BVI10" s="9"/>
      <c r="BVJ10" s="9"/>
      <c r="BVK10" s="9"/>
      <c r="BVL10" s="9"/>
      <c r="BVM10" s="9"/>
      <c r="BVN10" s="9"/>
      <c r="BVO10" s="9"/>
      <c r="BVP10" s="9"/>
      <c r="BVQ10" s="9"/>
      <c r="BVR10" s="9"/>
      <c r="BVS10" s="9"/>
      <c r="BVT10" s="9"/>
      <c r="BVU10" s="9"/>
      <c r="BVV10" s="9"/>
      <c r="BVW10" s="9"/>
      <c r="BVX10" s="9"/>
      <c r="BVY10" s="9"/>
      <c r="BVZ10" s="9"/>
      <c r="BWA10" s="9"/>
      <c r="BWB10" s="9"/>
      <c r="BWC10" s="9"/>
      <c r="BWD10" s="9"/>
      <c r="BWE10" s="9"/>
      <c r="BWF10" s="9"/>
      <c r="BWG10" s="9"/>
      <c r="BWH10" s="9"/>
      <c r="BWI10" s="9"/>
      <c r="BWJ10" s="9"/>
      <c r="BWK10" s="9"/>
      <c r="BWL10" s="9"/>
      <c r="BWM10" s="9"/>
      <c r="BWN10" s="9"/>
      <c r="BWO10" s="9"/>
      <c r="BWP10" s="9"/>
      <c r="BWQ10" s="9"/>
      <c r="BWR10" s="9"/>
      <c r="BWS10" s="9"/>
      <c r="BWT10" s="9"/>
      <c r="BWU10" s="9"/>
      <c r="BWV10" s="9"/>
      <c r="BWW10" s="9"/>
      <c r="BWX10" s="9"/>
      <c r="BWY10" s="9"/>
      <c r="BWZ10" s="9"/>
      <c r="BXA10" s="9"/>
      <c r="BXB10" s="9"/>
      <c r="BXC10" s="9"/>
      <c r="BXD10" s="9"/>
      <c r="BXE10" s="9"/>
      <c r="BXF10" s="9"/>
      <c r="BXG10" s="9"/>
      <c r="BXH10" s="9"/>
      <c r="BXI10" s="9"/>
      <c r="BXJ10" s="9"/>
      <c r="BXK10" s="9"/>
      <c r="BXL10" s="9"/>
      <c r="BXM10" s="9"/>
      <c r="BXN10" s="9"/>
      <c r="BXO10" s="9"/>
      <c r="BXP10" s="9"/>
      <c r="BXQ10" s="9"/>
      <c r="BXR10" s="9"/>
      <c r="BXS10" s="9"/>
      <c r="BXT10" s="9"/>
      <c r="BXU10" s="9"/>
      <c r="BXV10" s="9"/>
      <c r="BXW10" s="9"/>
      <c r="BXX10" s="9"/>
      <c r="BXY10" s="9"/>
      <c r="BXZ10" s="9"/>
      <c r="BYA10" s="9"/>
      <c r="BYB10" s="9"/>
      <c r="BYC10" s="9"/>
      <c r="BYD10" s="9"/>
      <c r="BYE10" s="9"/>
      <c r="BYF10" s="9"/>
      <c r="BYG10" s="9"/>
      <c r="BYH10" s="9"/>
      <c r="BYI10" s="9"/>
      <c r="BYJ10" s="9"/>
      <c r="BYK10" s="9"/>
      <c r="BYL10" s="9"/>
      <c r="BYM10" s="9"/>
      <c r="BYN10" s="9"/>
      <c r="BYO10" s="9"/>
      <c r="BYP10" s="9"/>
      <c r="BYQ10" s="9"/>
      <c r="BYR10" s="9"/>
      <c r="BYS10" s="9"/>
      <c r="BYT10" s="9"/>
      <c r="BYU10" s="9"/>
      <c r="BYV10" s="9"/>
      <c r="BYW10" s="9"/>
      <c r="BYX10" s="9"/>
      <c r="BYY10" s="9"/>
      <c r="BYZ10" s="9"/>
      <c r="BZA10" s="9"/>
      <c r="BZB10" s="9"/>
      <c r="BZC10" s="9"/>
      <c r="BZD10" s="9"/>
      <c r="BZE10" s="9"/>
      <c r="BZF10" s="9"/>
      <c r="BZG10" s="9"/>
      <c r="BZH10" s="9"/>
      <c r="BZI10" s="9"/>
      <c r="BZJ10" s="9"/>
      <c r="BZK10" s="9"/>
      <c r="BZL10" s="9"/>
      <c r="BZM10" s="9"/>
      <c r="BZN10" s="9"/>
      <c r="BZO10" s="9"/>
      <c r="BZP10" s="9"/>
      <c r="BZQ10" s="9"/>
      <c r="BZR10" s="9"/>
      <c r="BZS10" s="9"/>
      <c r="BZT10" s="9"/>
      <c r="BZU10" s="9"/>
      <c r="BZV10" s="9"/>
      <c r="BZW10" s="9"/>
      <c r="BZX10" s="9"/>
      <c r="BZY10" s="9"/>
      <c r="BZZ10" s="9"/>
      <c r="CAA10" s="9"/>
      <c r="CAB10" s="9"/>
      <c r="CAC10" s="9"/>
      <c r="CAD10" s="9"/>
      <c r="CAE10" s="9"/>
      <c r="CAF10" s="9"/>
      <c r="CAG10" s="9"/>
      <c r="CAH10" s="9"/>
      <c r="CAI10" s="9"/>
      <c r="CAJ10" s="9"/>
      <c r="CAK10" s="9"/>
      <c r="CAL10" s="9"/>
      <c r="CAM10" s="9"/>
      <c r="CAN10" s="9"/>
      <c r="CAO10" s="9"/>
      <c r="CAP10" s="9"/>
      <c r="CAQ10" s="9"/>
      <c r="CAR10" s="9"/>
      <c r="CAS10" s="9"/>
      <c r="CAT10" s="9"/>
      <c r="CAU10" s="9"/>
      <c r="CAV10" s="9"/>
      <c r="CAW10" s="9"/>
      <c r="CAX10" s="9"/>
      <c r="CAY10" s="9"/>
      <c r="CAZ10" s="9"/>
      <c r="CBA10" s="9"/>
      <c r="CBB10" s="9"/>
      <c r="CBC10" s="9"/>
      <c r="CBD10" s="9"/>
      <c r="CBE10" s="9"/>
      <c r="CBF10" s="9"/>
      <c r="CBG10" s="9"/>
      <c r="CBH10" s="9"/>
      <c r="CBI10" s="9"/>
      <c r="CBJ10" s="9"/>
      <c r="CBK10" s="9"/>
      <c r="CBL10" s="9"/>
      <c r="CBM10" s="9"/>
      <c r="CBN10" s="9"/>
      <c r="CBO10" s="9"/>
      <c r="CBP10" s="9"/>
      <c r="CBQ10" s="9"/>
      <c r="CBR10" s="9"/>
      <c r="CBS10" s="9"/>
      <c r="CBT10" s="9"/>
      <c r="CBU10" s="9"/>
      <c r="CBV10" s="9"/>
      <c r="CBW10" s="9"/>
      <c r="CBX10" s="9"/>
      <c r="CBY10" s="9"/>
      <c r="CBZ10" s="9"/>
      <c r="CCA10" s="9"/>
      <c r="CCB10" s="9"/>
      <c r="CCC10" s="9"/>
      <c r="CCD10" s="9"/>
      <c r="CCE10" s="9"/>
      <c r="CCF10" s="9"/>
      <c r="CCG10" s="9"/>
      <c r="CCH10" s="9"/>
      <c r="CCI10" s="9"/>
      <c r="CCJ10" s="9"/>
      <c r="CCK10" s="9"/>
      <c r="CCL10" s="9"/>
      <c r="CCM10" s="9"/>
      <c r="CCN10" s="9"/>
      <c r="CCO10" s="9"/>
      <c r="CCP10" s="9"/>
      <c r="CCQ10" s="9"/>
      <c r="CCR10" s="9"/>
      <c r="CCS10" s="9"/>
      <c r="CCT10" s="9"/>
      <c r="CCU10" s="9"/>
      <c r="CCV10" s="9"/>
      <c r="CCW10" s="9"/>
      <c r="CCX10" s="9"/>
      <c r="CCY10" s="9"/>
      <c r="CCZ10" s="9"/>
      <c r="CDA10" s="9"/>
      <c r="CDB10" s="9"/>
      <c r="CDC10" s="9"/>
      <c r="CDD10" s="9"/>
      <c r="CDE10" s="9"/>
      <c r="CDF10" s="9"/>
      <c r="CDG10" s="9"/>
      <c r="CDH10" s="9"/>
      <c r="CDI10" s="9"/>
      <c r="CDJ10" s="9"/>
      <c r="CDK10" s="9"/>
      <c r="CDL10" s="9"/>
      <c r="CDM10" s="9"/>
      <c r="CDN10" s="9"/>
      <c r="CDO10" s="9"/>
      <c r="CDP10" s="9"/>
      <c r="CDQ10" s="9"/>
      <c r="CDR10" s="9"/>
      <c r="CDS10" s="9"/>
      <c r="CDT10" s="9"/>
      <c r="CDU10" s="9"/>
      <c r="CDV10" s="9"/>
      <c r="CDW10" s="9"/>
      <c r="CDX10" s="9"/>
      <c r="CDY10" s="9"/>
      <c r="CDZ10" s="9"/>
      <c r="CEA10" s="9"/>
      <c r="CEB10" s="9"/>
      <c r="CEC10" s="9"/>
      <c r="CED10" s="9"/>
      <c r="CEE10" s="9"/>
      <c r="CEF10" s="9"/>
      <c r="CEG10" s="9"/>
      <c r="CEH10" s="9"/>
      <c r="CEI10" s="9"/>
      <c r="CEJ10" s="9"/>
      <c r="CEK10" s="9"/>
      <c r="CEL10" s="9"/>
      <c r="CEM10" s="9"/>
      <c r="CEN10" s="9"/>
      <c r="CEO10" s="9"/>
      <c r="CEP10" s="9"/>
      <c r="CEQ10" s="9"/>
      <c r="CER10" s="9"/>
      <c r="CES10" s="9"/>
      <c r="CET10" s="9"/>
      <c r="CEU10" s="9"/>
      <c r="CEV10" s="9"/>
      <c r="CEW10" s="9"/>
      <c r="CEX10" s="9"/>
      <c r="CEY10" s="9"/>
      <c r="CEZ10" s="9"/>
      <c r="CFA10" s="9"/>
      <c r="CFB10" s="9"/>
      <c r="CFC10" s="9"/>
      <c r="CFD10" s="9"/>
      <c r="CFE10" s="9"/>
      <c r="CFF10" s="9"/>
      <c r="CFG10" s="9"/>
      <c r="CFH10" s="9"/>
      <c r="CFI10" s="9"/>
      <c r="CFJ10" s="9"/>
      <c r="CFK10" s="9"/>
      <c r="CFL10" s="9"/>
      <c r="CFM10" s="9"/>
      <c r="CFN10" s="9"/>
      <c r="CFO10" s="9"/>
      <c r="CFP10" s="9"/>
      <c r="CFQ10" s="9"/>
      <c r="CFR10" s="9"/>
      <c r="CFS10" s="9"/>
      <c r="CFT10" s="9"/>
      <c r="CFU10" s="9"/>
      <c r="CFV10" s="9"/>
      <c r="CFW10" s="9"/>
      <c r="CFX10" s="9"/>
      <c r="CFY10" s="9"/>
      <c r="CFZ10" s="9"/>
      <c r="CGA10" s="9"/>
      <c r="CGB10" s="9"/>
      <c r="CGC10" s="9"/>
      <c r="CGD10" s="9"/>
      <c r="CGE10" s="9"/>
      <c r="CGF10" s="9"/>
      <c r="CGG10" s="9"/>
      <c r="CGH10" s="9"/>
      <c r="CGI10" s="9"/>
      <c r="CGJ10" s="9"/>
      <c r="CGK10" s="9"/>
      <c r="CGL10" s="9"/>
      <c r="CGM10" s="9"/>
      <c r="CGN10" s="9"/>
      <c r="CGO10" s="9"/>
      <c r="CGP10" s="9"/>
      <c r="CGQ10" s="9"/>
      <c r="CGR10" s="9"/>
      <c r="CGS10" s="9"/>
      <c r="CGT10" s="9"/>
      <c r="CGU10" s="9"/>
      <c r="CGV10" s="9"/>
      <c r="CGW10" s="9"/>
      <c r="CGX10" s="9"/>
      <c r="CGY10" s="9"/>
      <c r="CGZ10" s="9"/>
      <c r="CHA10" s="9"/>
      <c r="CHB10" s="9"/>
      <c r="CHC10" s="9"/>
      <c r="CHD10" s="9"/>
      <c r="CHE10" s="9"/>
      <c r="CHF10" s="9"/>
      <c r="CHG10" s="9"/>
      <c r="CHH10" s="9"/>
      <c r="CHI10" s="9"/>
      <c r="CHJ10" s="9"/>
      <c r="CHK10" s="9"/>
      <c r="CHL10" s="9"/>
      <c r="CHM10" s="9"/>
      <c r="CHN10" s="9"/>
      <c r="CHO10" s="9"/>
      <c r="CHP10" s="9"/>
      <c r="CHQ10" s="9"/>
      <c r="CHR10" s="9"/>
      <c r="CHS10" s="9"/>
      <c r="CHT10" s="9"/>
      <c r="CHU10" s="9"/>
      <c r="CHV10" s="9"/>
      <c r="CHW10" s="9"/>
      <c r="CHX10" s="9"/>
      <c r="CHY10" s="9"/>
      <c r="CHZ10" s="9"/>
      <c r="CIA10" s="9"/>
      <c r="CIB10" s="9"/>
      <c r="CIC10" s="9"/>
      <c r="CID10" s="9"/>
      <c r="CIE10" s="9"/>
      <c r="CIF10" s="9"/>
      <c r="CIG10" s="9"/>
      <c r="CIH10" s="9"/>
      <c r="CII10" s="9"/>
      <c r="CIJ10" s="9"/>
      <c r="CIK10" s="9"/>
      <c r="CIL10" s="9"/>
      <c r="CIM10" s="9"/>
      <c r="CIN10" s="9"/>
      <c r="CIO10" s="9"/>
      <c r="CIP10" s="9"/>
      <c r="CIQ10" s="9"/>
      <c r="CIR10" s="9"/>
      <c r="CIS10" s="9"/>
      <c r="CIT10" s="9"/>
      <c r="CIU10" s="9"/>
      <c r="CIV10" s="9"/>
      <c r="CIW10" s="9"/>
      <c r="CIX10" s="9"/>
      <c r="CIY10" s="9"/>
      <c r="CIZ10" s="9"/>
      <c r="CJA10" s="9"/>
      <c r="CJB10" s="9"/>
      <c r="CJC10" s="9"/>
      <c r="CJD10" s="9"/>
      <c r="CJE10" s="9"/>
      <c r="CJF10" s="9"/>
      <c r="CJG10" s="9"/>
      <c r="CJH10" s="9"/>
      <c r="CJI10" s="9"/>
      <c r="CJJ10" s="9"/>
      <c r="CJK10" s="9"/>
      <c r="CJL10" s="9"/>
      <c r="CJM10" s="9"/>
      <c r="CJN10" s="9"/>
      <c r="CJO10" s="9"/>
      <c r="CJP10" s="9"/>
      <c r="CJQ10" s="9"/>
      <c r="CJR10" s="9"/>
      <c r="CJS10" s="9"/>
      <c r="CJT10" s="9"/>
      <c r="CJU10" s="9"/>
      <c r="CJV10" s="9"/>
      <c r="CJW10" s="9"/>
      <c r="CJX10" s="9"/>
      <c r="CJY10" s="9"/>
      <c r="CJZ10" s="9"/>
      <c r="CKA10" s="9"/>
      <c r="CKB10" s="9"/>
      <c r="CKC10" s="9"/>
      <c r="CKD10" s="9"/>
      <c r="CKE10" s="9"/>
      <c r="CKF10" s="9"/>
      <c r="CKG10" s="9"/>
      <c r="CKH10" s="9"/>
      <c r="CKI10" s="9"/>
      <c r="CKJ10" s="9"/>
      <c r="CKK10" s="9"/>
      <c r="CKL10" s="9"/>
      <c r="CKM10" s="9"/>
      <c r="CKN10" s="9"/>
      <c r="CKO10" s="9"/>
      <c r="CKP10" s="9"/>
      <c r="CKQ10" s="9"/>
      <c r="CKR10" s="9"/>
      <c r="CKS10" s="9"/>
      <c r="CKT10" s="9"/>
      <c r="CKU10" s="9"/>
      <c r="CKV10" s="9"/>
      <c r="CKW10" s="9"/>
      <c r="CKX10" s="9"/>
      <c r="CKY10" s="9"/>
      <c r="CKZ10" s="9"/>
      <c r="CLA10" s="9"/>
      <c r="CLB10" s="9"/>
      <c r="CLC10" s="9"/>
      <c r="CLD10" s="9"/>
      <c r="CLE10" s="9"/>
      <c r="CLF10" s="9"/>
      <c r="CLG10" s="9"/>
      <c r="CLH10" s="9"/>
      <c r="CLI10" s="9"/>
      <c r="CLJ10" s="9"/>
      <c r="CLK10" s="9"/>
      <c r="CLL10" s="9"/>
      <c r="CLM10" s="9"/>
      <c r="CLN10" s="9"/>
      <c r="CLO10" s="9"/>
      <c r="CLP10" s="9"/>
      <c r="CLQ10" s="9"/>
      <c r="CLR10" s="9"/>
      <c r="CLS10" s="9"/>
      <c r="CLT10" s="9"/>
      <c r="CLU10" s="9"/>
      <c r="CLV10" s="9"/>
      <c r="CLW10" s="9"/>
      <c r="CLX10" s="9"/>
      <c r="CLY10" s="9"/>
      <c r="CLZ10" s="9"/>
      <c r="CMA10" s="9"/>
      <c r="CMB10" s="9"/>
      <c r="CMC10" s="9"/>
      <c r="CMD10" s="9"/>
      <c r="CME10" s="9"/>
      <c r="CMF10" s="9"/>
      <c r="CMG10" s="9"/>
      <c r="CMH10" s="9"/>
      <c r="CMI10" s="9"/>
      <c r="CMJ10" s="9"/>
      <c r="CMK10" s="9"/>
      <c r="CML10" s="9"/>
      <c r="CMM10" s="9"/>
      <c r="CMN10" s="9"/>
      <c r="CMO10" s="9"/>
      <c r="CMP10" s="9"/>
      <c r="CMQ10" s="9"/>
      <c r="CMR10" s="9"/>
      <c r="CMS10" s="9"/>
      <c r="CMT10" s="9"/>
      <c r="CMU10" s="9"/>
      <c r="CMV10" s="9"/>
      <c r="CMW10" s="9"/>
      <c r="CMX10" s="9"/>
      <c r="CMY10" s="9"/>
      <c r="CMZ10" s="9"/>
      <c r="CNA10" s="9"/>
      <c r="CNB10" s="9"/>
      <c r="CNC10" s="9"/>
      <c r="CND10" s="9"/>
      <c r="CNE10" s="9"/>
      <c r="CNF10" s="9"/>
      <c r="CNG10" s="9"/>
      <c r="CNH10" s="9"/>
      <c r="CNI10" s="9"/>
      <c r="CNJ10" s="9"/>
      <c r="CNK10" s="9"/>
      <c r="CNL10" s="9"/>
      <c r="CNM10" s="9"/>
      <c r="CNN10" s="9"/>
      <c r="CNO10" s="9"/>
      <c r="CNP10" s="9"/>
      <c r="CNQ10" s="9"/>
      <c r="CNR10" s="9"/>
      <c r="CNS10" s="9"/>
      <c r="CNT10" s="9"/>
      <c r="CNU10" s="9"/>
      <c r="CNV10" s="9"/>
      <c r="CNW10" s="9"/>
      <c r="CNX10" s="9"/>
      <c r="CNY10" s="9"/>
      <c r="CNZ10" s="9"/>
      <c r="COA10" s="9"/>
      <c r="COB10" s="9"/>
      <c r="COC10" s="9"/>
      <c r="COD10" s="9"/>
      <c r="COE10" s="9"/>
      <c r="COF10" s="9"/>
      <c r="COG10" s="9"/>
      <c r="COH10" s="9"/>
      <c r="COI10" s="9"/>
      <c r="COJ10" s="9"/>
      <c r="COK10" s="9"/>
      <c r="COL10" s="9"/>
      <c r="COM10" s="9"/>
      <c r="CON10" s="9"/>
      <c r="COO10" s="9"/>
      <c r="COP10" s="9"/>
      <c r="COQ10" s="9"/>
      <c r="COR10" s="9"/>
      <c r="COS10" s="9"/>
      <c r="COT10" s="9"/>
      <c r="COU10" s="9"/>
      <c r="COV10" s="9"/>
      <c r="COW10" s="9"/>
      <c r="COX10" s="9"/>
      <c r="COY10" s="9"/>
      <c r="COZ10" s="9"/>
      <c r="CPA10" s="9"/>
      <c r="CPB10" s="9"/>
      <c r="CPC10" s="9"/>
      <c r="CPD10" s="9"/>
      <c r="CPE10" s="9"/>
      <c r="CPF10" s="9"/>
      <c r="CPG10" s="9"/>
      <c r="CPH10" s="9"/>
      <c r="CPI10" s="9"/>
      <c r="CPJ10" s="9"/>
      <c r="CPK10" s="9"/>
      <c r="CPL10" s="9"/>
      <c r="CPM10" s="9"/>
      <c r="CPN10" s="9"/>
      <c r="CPO10" s="9"/>
      <c r="CPP10" s="9"/>
      <c r="CPQ10" s="9"/>
      <c r="CPR10" s="9"/>
      <c r="CPS10" s="9"/>
      <c r="CPT10" s="9"/>
      <c r="CPU10" s="9"/>
      <c r="CPV10" s="9"/>
      <c r="CPW10" s="9"/>
      <c r="CPX10" s="9"/>
      <c r="CPY10" s="9"/>
      <c r="CPZ10" s="9"/>
      <c r="CQA10" s="9"/>
      <c r="CQB10" s="9"/>
      <c r="CQC10" s="9"/>
      <c r="CQD10" s="9"/>
      <c r="CQE10" s="9"/>
      <c r="CQF10" s="9"/>
      <c r="CQG10" s="9"/>
      <c r="CQH10" s="9"/>
      <c r="CQI10" s="9"/>
      <c r="CQJ10" s="9"/>
      <c r="CQK10" s="9"/>
      <c r="CQL10" s="9"/>
      <c r="CQM10" s="9"/>
      <c r="CQN10" s="9"/>
      <c r="CQO10" s="9"/>
      <c r="CQP10" s="9"/>
      <c r="CQQ10" s="9"/>
      <c r="CQR10" s="9"/>
      <c r="CQS10" s="9"/>
      <c r="CQT10" s="9"/>
      <c r="CQU10" s="9"/>
      <c r="CQV10" s="9"/>
      <c r="CQW10" s="9"/>
      <c r="CQX10" s="9"/>
      <c r="CQY10" s="9"/>
      <c r="CQZ10" s="9"/>
      <c r="CRA10" s="9"/>
      <c r="CRB10" s="9"/>
      <c r="CRC10" s="9"/>
      <c r="CRD10" s="9"/>
      <c r="CRE10" s="9"/>
      <c r="CRF10" s="9"/>
      <c r="CRG10" s="9"/>
      <c r="CRH10" s="9"/>
      <c r="CRI10" s="9"/>
      <c r="CRJ10" s="9"/>
      <c r="CRK10" s="9"/>
      <c r="CRL10" s="9"/>
      <c r="CRM10" s="9"/>
      <c r="CRN10" s="9"/>
      <c r="CRO10" s="9"/>
      <c r="CRP10" s="9"/>
      <c r="CRQ10" s="9"/>
      <c r="CRR10" s="9"/>
      <c r="CRS10" s="9"/>
      <c r="CRT10" s="9"/>
      <c r="CRU10" s="9"/>
      <c r="CRV10" s="9"/>
      <c r="CRW10" s="9"/>
      <c r="CRX10" s="9"/>
      <c r="CRY10" s="9"/>
      <c r="CRZ10" s="9"/>
      <c r="CSA10" s="9"/>
      <c r="CSB10" s="9"/>
      <c r="CSC10" s="9"/>
      <c r="CSD10" s="9"/>
      <c r="CSE10" s="9"/>
      <c r="CSF10" s="9"/>
      <c r="CSG10" s="9"/>
      <c r="CSH10" s="9"/>
      <c r="CSI10" s="9"/>
      <c r="CSJ10" s="9"/>
      <c r="CSK10" s="9"/>
      <c r="CSL10" s="9"/>
      <c r="CSM10" s="9"/>
      <c r="CSN10" s="9"/>
      <c r="CSO10" s="9"/>
      <c r="CSP10" s="9"/>
      <c r="CSQ10" s="9"/>
      <c r="CSR10" s="9"/>
      <c r="CSS10" s="9"/>
      <c r="CST10" s="9"/>
      <c r="CSU10" s="9"/>
      <c r="CSV10" s="9"/>
      <c r="CSW10" s="9"/>
      <c r="CSX10" s="9"/>
      <c r="CSY10" s="9"/>
      <c r="CSZ10" s="9"/>
      <c r="CTA10" s="9"/>
      <c r="CTB10" s="9"/>
      <c r="CTC10" s="9"/>
      <c r="CTD10" s="9"/>
      <c r="CTE10" s="9"/>
      <c r="CTF10" s="9"/>
      <c r="CTG10" s="9"/>
      <c r="CTH10" s="9"/>
      <c r="CTI10" s="9"/>
      <c r="CTJ10" s="9"/>
      <c r="CTK10" s="9"/>
      <c r="CTL10" s="9"/>
      <c r="CTM10" s="9"/>
      <c r="CTN10" s="9"/>
      <c r="CTO10" s="9"/>
      <c r="CTP10" s="9"/>
      <c r="CTQ10" s="9"/>
      <c r="CTR10" s="9"/>
      <c r="CTS10" s="9"/>
      <c r="CTT10" s="9"/>
      <c r="CTU10" s="9"/>
      <c r="CTV10" s="9"/>
      <c r="CTW10" s="9"/>
      <c r="CTX10" s="9"/>
      <c r="CTY10" s="9"/>
      <c r="CTZ10" s="9"/>
      <c r="CUA10" s="9"/>
      <c r="CUB10" s="9"/>
      <c r="CUC10" s="9"/>
      <c r="CUD10" s="9"/>
      <c r="CUE10" s="9"/>
      <c r="CUF10" s="9"/>
      <c r="CUG10" s="9"/>
      <c r="CUH10" s="9"/>
      <c r="CUI10" s="9"/>
      <c r="CUJ10" s="9"/>
      <c r="CUK10" s="9"/>
      <c r="CUL10" s="9"/>
      <c r="CUM10" s="9"/>
      <c r="CUN10" s="9"/>
      <c r="CUO10" s="9"/>
      <c r="CUP10" s="9"/>
      <c r="CUQ10" s="9"/>
      <c r="CUR10" s="9"/>
      <c r="CUS10" s="9"/>
      <c r="CUT10" s="9"/>
      <c r="CUU10" s="9"/>
      <c r="CUV10" s="9"/>
      <c r="CUW10" s="9"/>
      <c r="CUX10" s="9"/>
      <c r="CUY10" s="9"/>
      <c r="CUZ10" s="9"/>
      <c r="CVA10" s="9"/>
      <c r="CVB10" s="9"/>
      <c r="CVC10" s="9"/>
      <c r="CVD10" s="9"/>
      <c r="CVE10" s="9"/>
      <c r="CVF10" s="9"/>
      <c r="CVG10" s="9"/>
      <c r="CVH10" s="9"/>
      <c r="CVI10" s="9"/>
      <c r="CVJ10" s="9"/>
      <c r="CVK10" s="9"/>
      <c r="CVL10" s="9"/>
      <c r="CVM10" s="9"/>
      <c r="CVN10" s="9"/>
      <c r="CVO10" s="9"/>
      <c r="CVP10" s="9"/>
      <c r="CVQ10" s="9"/>
      <c r="CVR10" s="9"/>
      <c r="CVS10" s="9"/>
      <c r="CVT10" s="9"/>
      <c r="CVU10" s="9"/>
      <c r="CVV10" s="9"/>
      <c r="CVW10" s="9"/>
      <c r="CVX10" s="9"/>
      <c r="CVY10" s="9"/>
      <c r="CVZ10" s="9"/>
      <c r="CWA10" s="9"/>
      <c r="CWB10" s="9"/>
      <c r="CWC10" s="9"/>
      <c r="CWD10" s="9"/>
      <c r="CWE10" s="9"/>
      <c r="CWF10" s="9"/>
      <c r="CWG10" s="9"/>
      <c r="CWH10" s="9"/>
      <c r="CWI10" s="9"/>
      <c r="CWJ10" s="9"/>
      <c r="CWK10" s="9"/>
      <c r="CWL10" s="9"/>
      <c r="CWM10" s="9"/>
      <c r="CWN10" s="9"/>
      <c r="CWO10" s="9"/>
      <c r="CWP10" s="9"/>
      <c r="CWQ10" s="9"/>
      <c r="CWR10" s="9"/>
      <c r="CWS10" s="9"/>
      <c r="CWT10" s="9"/>
      <c r="CWU10" s="9"/>
      <c r="CWV10" s="9"/>
      <c r="CWW10" s="9"/>
      <c r="CWX10" s="9"/>
      <c r="CWY10" s="9"/>
      <c r="CWZ10" s="9"/>
      <c r="CXA10" s="9"/>
      <c r="CXB10" s="9"/>
      <c r="CXC10" s="9"/>
      <c r="CXD10" s="9"/>
      <c r="CXE10" s="9"/>
      <c r="CXF10" s="9"/>
      <c r="CXG10" s="9"/>
      <c r="CXH10" s="9"/>
      <c r="CXI10" s="9"/>
      <c r="CXJ10" s="9"/>
      <c r="CXK10" s="9"/>
      <c r="CXL10" s="9"/>
      <c r="CXM10" s="9"/>
      <c r="CXN10" s="9"/>
      <c r="CXO10" s="9"/>
      <c r="CXP10" s="9"/>
      <c r="CXQ10" s="9"/>
      <c r="CXR10" s="9"/>
      <c r="CXS10" s="9"/>
      <c r="CXT10" s="9"/>
      <c r="CXU10" s="9"/>
      <c r="CXV10" s="9"/>
      <c r="CXW10" s="9"/>
      <c r="CXX10" s="9"/>
      <c r="CXY10" s="9"/>
      <c r="CXZ10" s="9"/>
      <c r="CYA10" s="9"/>
      <c r="CYB10" s="9"/>
      <c r="CYC10" s="9"/>
      <c r="CYD10" s="9"/>
      <c r="CYE10" s="9"/>
      <c r="CYF10" s="9"/>
      <c r="CYG10" s="9"/>
      <c r="CYH10" s="9"/>
      <c r="CYI10" s="9"/>
      <c r="CYJ10" s="9"/>
      <c r="CYK10" s="9"/>
      <c r="CYL10" s="9"/>
      <c r="CYM10" s="9"/>
      <c r="CYN10" s="9"/>
      <c r="CYO10" s="9"/>
      <c r="CYP10" s="9"/>
      <c r="CYQ10" s="9"/>
      <c r="CYR10" s="9"/>
      <c r="CYS10" s="9"/>
      <c r="CYT10" s="9"/>
      <c r="CYU10" s="9"/>
      <c r="CYV10" s="9"/>
      <c r="CYW10" s="9"/>
      <c r="CYX10" s="9"/>
      <c r="CYY10" s="9"/>
      <c r="CYZ10" s="9"/>
      <c r="CZA10" s="9"/>
      <c r="CZB10" s="9"/>
      <c r="CZC10" s="9"/>
      <c r="CZD10" s="9"/>
      <c r="CZE10" s="9"/>
      <c r="CZF10" s="9"/>
      <c r="CZG10" s="9"/>
      <c r="CZH10" s="9"/>
      <c r="CZI10" s="9"/>
      <c r="CZJ10" s="9"/>
      <c r="CZK10" s="9"/>
      <c r="CZL10" s="9"/>
      <c r="CZM10" s="9"/>
      <c r="CZN10" s="9"/>
      <c r="CZO10" s="9"/>
      <c r="CZP10" s="9"/>
      <c r="CZQ10" s="9"/>
      <c r="CZR10" s="9"/>
      <c r="CZS10" s="9"/>
      <c r="CZT10" s="9"/>
      <c r="CZU10" s="9"/>
      <c r="CZV10" s="9"/>
      <c r="CZW10" s="9"/>
      <c r="CZX10" s="9"/>
      <c r="CZY10" s="9"/>
      <c r="CZZ10" s="9"/>
      <c r="DAA10" s="9"/>
      <c r="DAB10" s="9"/>
      <c r="DAC10" s="9"/>
      <c r="DAD10" s="9"/>
      <c r="DAE10" s="9"/>
      <c r="DAF10" s="9"/>
      <c r="DAG10" s="9"/>
      <c r="DAH10" s="9"/>
      <c r="DAI10" s="9"/>
      <c r="DAJ10" s="9"/>
      <c r="DAK10" s="9"/>
      <c r="DAL10" s="9"/>
      <c r="DAM10" s="9"/>
      <c r="DAN10" s="9"/>
      <c r="DAO10" s="9"/>
      <c r="DAP10" s="9"/>
      <c r="DAQ10" s="9"/>
      <c r="DAR10" s="9"/>
      <c r="DAS10" s="9"/>
      <c r="DAT10" s="9"/>
      <c r="DAU10" s="9"/>
      <c r="DAV10" s="9"/>
      <c r="DAW10" s="9"/>
      <c r="DAX10" s="9"/>
      <c r="DAY10" s="9"/>
      <c r="DAZ10" s="9"/>
      <c r="DBA10" s="9"/>
      <c r="DBB10" s="9"/>
      <c r="DBC10" s="9"/>
      <c r="DBD10" s="9"/>
      <c r="DBE10" s="9"/>
      <c r="DBF10" s="9"/>
      <c r="DBG10" s="9"/>
      <c r="DBH10" s="9"/>
      <c r="DBI10" s="9"/>
      <c r="DBJ10" s="9"/>
      <c r="DBK10" s="9"/>
      <c r="DBL10" s="9"/>
      <c r="DBM10" s="9"/>
      <c r="DBN10" s="9"/>
      <c r="DBO10" s="9"/>
      <c r="DBP10" s="9"/>
      <c r="DBQ10" s="9"/>
      <c r="DBR10" s="9"/>
      <c r="DBS10" s="9"/>
      <c r="DBT10" s="9"/>
      <c r="DBU10" s="9"/>
      <c r="DBV10" s="9"/>
      <c r="DBW10" s="9"/>
      <c r="DBX10" s="9"/>
      <c r="DBY10" s="9"/>
      <c r="DBZ10" s="9"/>
      <c r="DCA10" s="9"/>
      <c r="DCB10" s="9"/>
      <c r="DCC10" s="9"/>
      <c r="DCD10" s="9"/>
      <c r="DCE10" s="9"/>
      <c r="DCF10" s="9"/>
      <c r="DCG10" s="9"/>
      <c r="DCH10" s="9"/>
      <c r="DCI10" s="9"/>
      <c r="DCJ10" s="9"/>
      <c r="DCK10" s="9"/>
      <c r="DCL10" s="9"/>
      <c r="DCM10" s="9"/>
      <c r="DCN10" s="9"/>
      <c r="DCO10" s="9"/>
      <c r="DCP10" s="9"/>
      <c r="DCQ10" s="9"/>
      <c r="DCR10" s="9"/>
      <c r="DCS10" s="9"/>
      <c r="DCT10" s="9"/>
      <c r="DCU10" s="9"/>
      <c r="DCV10" s="9"/>
      <c r="DCW10" s="9"/>
      <c r="DCX10" s="9"/>
      <c r="DCY10" s="9"/>
      <c r="DCZ10" s="9"/>
      <c r="DDA10" s="9"/>
      <c r="DDB10" s="9"/>
      <c r="DDC10" s="9"/>
      <c r="DDD10" s="9"/>
      <c r="DDE10" s="9"/>
      <c r="DDF10" s="9"/>
      <c r="DDG10" s="9"/>
      <c r="DDH10" s="9"/>
      <c r="DDI10" s="9"/>
      <c r="DDJ10" s="9"/>
      <c r="DDK10" s="9"/>
      <c r="DDL10" s="9"/>
      <c r="DDM10" s="9"/>
      <c r="DDN10" s="9"/>
      <c r="DDO10" s="9"/>
      <c r="DDP10" s="9"/>
      <c r="DDQ10" s="9"/>
      <c r="DDR10" s="9"/>
      <c r="DDS10" s="9"/>
      <c r="DDT10" s="9"/>
      <c r="DDU10" s="9"/>
      <c r="DDV10" s="9"/>
      <c r="DDW10" s="9"/>
      <c r="DDX10" s="9"/>
      <c r="DDY10" s="9"/>
      <c r="DDZ10" s="9"/>
      <c r="DEA10" s="9"/>
      <c r="DEB10" s="9"/>
      <c r="DEC10" s="9"/>
      <c r="DED10" s="9"/>
      <c r="DEE10" s="9"/>
      <c r="DEF10" s="9"/>
      <c r="DEG10" s="9"/>
      <c r="DEH10" s="9"/>
      <c r="DEI10" s="9"/>
      <c r="DEJ10" s="9"/>
      <c r="DEK10" s="9"/>
      <c r="DEL10" s="9"/>
      <c r="DEM10" s="9"/>
      <c r="DEN10" s="9"/>
      <c r="DEO10" s="9"/>
      <c r="DEP10" s="9"/>
      <c r="DEQ10" s="9"/>
      <c r="DER10" s="9"/>
      <c r="DES10" s="9"/>
      <c r="DET10" s="9"/>
      <c r="DEU10" s="9"/>
      <c r="DEV10" s="9"/>
      <c r="DEW10" s="9"/>
      <c r="DEX10" s="9"/>
      <c r="DEY10" s="9"/>
      <c r="DEZ10" s="9"/>
      <c r="DFA10" s="9"/>
      <c r="DFB10" s="9"/>
      <c r="DFC10" s="9"/>
      <c r="DFD10" s="9"/>
      <c r="DFE10" s="9"/>
      <c r="DFF10" s="9"/>
      <c r="DFG10" s="9"/>
      <c r="DFH10" s="9"/>
      <c r="DFI10" s="9"/>
      <c r="DFJ10" s="9"/>
      <c r="DFK10" s="9"/>
      <c r="DFL10" s="9"/>
      <c r="DFM10" s="9"/>
      <c r="DFN10" s="9"/>
      <c r="DFO10" s="9"/>
      <c r="DFP10" s="9"/>
      <c r="DFQ10" s="9"/>
      <c r="DFR10" s="9"/>
      <c r="DFS10" s="9"/>
      <c r="DFT10" s="9"/>
      <c r="DFU10" s="9"/>
      <c r="DFV10" s="9"/>
      <c r="DFW10" s="9"/>
      <c r="DFX10" s="9"/>
      <c r="DFY10" s="9"/>
      <c r="DFZ10" s="9"/>
      <c r="DGA10" s="9"/>
      <c r="DGB10" s="9"/>
      <c r="DGC10" s="9"/>
      <c r="DGD10" s="9"/>
      <c r="DGE10" s="9"/>
      <c r="DGF10" s="9"/>
      <c r="DGG10" s="9"/>
      <c r="DGH10" s="9"/>
      <c r="DGI10" s="9"/>
      <c r="DGJ10" s="9"/>
      <c r="DGK10" s="9"/>
      <c r="DGL10" s="9"/>
      <c r="DGM10" s="9"/>
      <c r="DGN10" s="9"/>
      <c r="DGO10" s="9"/>
      <c r="DGP10" s="9"/>
      <c r="DGQ10" s="9"/>
      <c r="DGR10" s="9"/>
      <c r="DGS10" s="9"/>
      <c r="DGT10" s="9"/>
      <c r="DGU10" s="9"/>
      <c r="DGV10" s="9"/>
      <c r="DGW10" s="9"/>
      <c r="DGX10" s="9"/>
      <c r="DGY10" s="9"/>
      <c r="DGZ10" s="9"/>
      <c r="DHA10" s="9"/>
      <c r="DHB10" s="9"/>
      <c r="DHC10" s="9"/>
      <c r="DHD10" s="9"/>
      <c r="DHE10" s="9"/>
      <c r="DHF10" s="9"/>
      <c r="DHG10" s="9"/>
      <c r="DHH10" s="9"/>
      <c r="DHI10" s="9"/>
      <c r="DHJ10" s="9"/>
      <c r="DHK10" s="9"/>
      <c r="DHL10" s="9"/>
      <c r="DHM10" s="9"/>
      <c r="DHN10" s="9"/>
      <c r="DHO10" s="9"/>
      <c r="DHP10" s="9"/>
      <c r="DHQ10" s="9"/>
      <c r="DHR10" s="9"/>
      <c r="DHS10" s="9"/>
      <c r="DHT10" s="9"/>
      <c r="DHU10" s="9"/>
      <c r="DHV10" s="9"/>
      <c r="DHW10" s="9"/>
      <c r="DHX10" s="9"/>
      <c r="DHY10" s="9"/>
      <c r="DHZ10" s="9"/>
      <c r="DIA10" s="9"/>
      <c r="DIB10" s="9"/>
      <c r="DIC10" s="9"/>
      <c r="DID10" s="9"/>
      <c r="DIE10" s="9"/>
      <c r="DIF10" s="9"/>
      <c r="DIG10" s="9"/>
      <c r="DIH10" s="9"/>
      <c r="DII10" s="9"/>
      <c r="DIJ10" s="9"/>
      <c r="DIK10" s="9"/>
      <c r="DIL10" s="9"/>
      <c r="DIM10" s="9"/>
      <c r="DIN10" s="9"/>
      <c r="DIO10" s="9"/>
      <c r="DIP10" s="9"/>
      <c r="DIQ10" s="9"/>
      <c r="DIR10" s="9"/>
      <c r="DIS10" s="9"/>
      <c r="DIT10" s="9"/>
      <c r="DIU10" s="9"/>
      <c r="DIV10" s="9"/>
      <c r="DIW10" s="9"/>
      <c r="DIX10" s="9"/>
      <c r="DIY10" s="9"/>
      <c r="DIZ10" s="9"/>
      <c r="DJA10" s="9"/>
      <c r="DJB10" s="9"/>
      <c r="DJC10" s="9"/>
      <c r="DJD10" s="9"/>
      <c r="DJE10" s="9"/>
      <c r="DJF10" s="9"/>
      <c r="DJG10" s="9"/>
      <c r="DJH10" s="9"/>
      <c r="DJI10" s="9"/>
      <c r="DJJ10" s="9"/>
      <c r="DJK10" s="9"/>
      <c r="DJL10" s="9"/>
      <c r="DJM10" s="9"/>
      <c r="DJN10" s="9"/>
      <c r="DJO10" s="9"/>
      <c r="DJP10" s="9"/>
      <c r="DJQ10" s="9"/>
      <c r="DJR10" s="9"/>
      <c r="DJS10" s="9"/>
      <c r="DJT10" s="9"/>
      <c r="DJU10" s="9"/>
      <c r="DJV10" s="9"/>
      <c r="DJW10" s="9"/>
      <c r="DJX10" s="9"/>
      <c r="DJY10" s="9"/>
      <c r="DJZ10" s="9"/>
      <c r="DKA10" s="9"/>
      <c r="DKB10" s="9"/>
      <c r="DKC10" s="9"/>
      <c r="DKD10" s="9"/>
      <c r="DKE10" s="9"/>
      <c r="DKF10" s="9"/>
      <c r="DKG10" s="9"/>
      <c r="DKH10" s="9"/>
      <c r="DKI10" s="9"/>
      <c r="DKJ10" s="9"/>
      <c r="DKK10" s="9"/>
      <c r="DKL10" s="9"/>
      <c r="DKM10" s="9"/>
      <c r="DKN10" s="9"/>
      <c r="DKO10" s="9"/>
      <c r="DKP10" s="9"/>
      <c r="DKQ10" s="9"/>
      <c r="DKR10" s="9"/>
      <c r="DKS10" s="9"/>
      <c r="DKT10" s="9"/>
      <c r="DKU10" s="9"/>
      <c r="DKV10" s="9"/>
      <c r="DKW10" s="9"/>
      <c r="DKX10" s="9"/>
      <c r="DKY10" s="9"/>
      <c r="DKZ10" s="9"/>
      <c r="DLA10" s="9"/>
      <c r="DLB10" s="9"/>
      <c r="DLC10" s="9"/>
      <c r="DLD10" s="9"/>
      <c r="DLE10" s="9"/>
      <c r="DLF10" s="9"/>
      <c r="DLG10" s="9"/>
      <c r="DLH10" s="9"/>
      <c r="DLI10" s="9"/>
      <c r="DLJ10" s="9"/>
      <c r="DLK10" s="9"/>
      <c r="DLL10" s="9"/>
      <c r="DLM10" s="9"/>
      <c r="DLN10" s="9"/>
      <c r="DLO10" s="9"/>
      <c r="DLP10" s="9"/>
      <c r="DLQ10" s="9"/>
      <c r="DLR10" s="9"/>
      <c r="DLS10" s="9"/>
      <c r="DLT10" s="9"/>
      <c r="DLU10" s="9"/>
      <c r="DLV10" s="9"/>
      <c r="DLW10" s="9"/>
      <c r="DLX10" s="9"/>
      <c r="DLY10" s="9"/>
      <c r="DLZ10" s="9"/>
      <c r="DMA10" s="9"/>
      <c r="DMB10" s="9"/>
      <c r="DMC10" s="9"/>
      <c r="DMD10" s="9"/>
      <c r="DME10" s="9"/>
      <c r="DMF10" s="9"/>
      <c r="DMG10" s="9"/>
      <c r="DMH10" s="9"/>
      <c r="DMI10" s="9"/>
      <c r="DMJ10" s="9"/>
      <c r="DMK10" s="9"/>
      <c r="DML10" s="9"/>
      <c r="DMM10" s="9"/>
      <c r="DMN10" s="9"/>
      <c r="DMO10" s="9"/>
      <c r="DMP10" s="9"/>
      <c r="DMQ10" s="9"/>
      <c r="DMR10" s="9"/>
      <c r="DMS10" s="9"/>
      <c r="DMT10" s="9"/>
      <c r="DMU10" s="9"/>
      <c r="DMV10" s="9"/>
      <c r="DMW10" s="9"/>
      <c r="DMX10" s="9"/>
      <c r="DMY10" s="9"/>
      <c r="DMZ10" s="9"/>
      <c r="DNA10" s="9"/>
      <c r="DNB10" s="9"/>
      <c r="DNC10" s="9"/>
      <c r="DND10" s="9"/>
      <c r="DNE10" s="9"/>
      <c r="DNF10" s="9"/>
      <c r="DNG10" s="9"/>
      <c r="DNH10" s="9"/>
      <c r="DNI10" s="9"/>
      <c r="DNJ10" s="9"/>
      <c r="DNK10" s="9"/>
      <c r="DNL10" s="9"/>
      <c r="DNM10" s="9"/>
      <c r="DNN10" s="9"/>
      <c r="DNO10" s="9"/>
      <c r="DNP10" s="9"/>
      <c r="DNQ10" s="9"/>
      <c r="DNR10" s="9"/>
      <c r="DNS10" s="9"/>
      <c r="DNT10" s="9"/>
      <c r="DNU10" s="9"/>
      <c r="DNV10" s="9"/>
      <c r="DNW10" s="9"/>
      <c r="DNX10" s="9"/>
      <c r="DNY10" s="9"/>
      <c r="DNZ10" s="9"/>
      <c r="DOA10" s="9"/>
      <c r="DOB10" s="9"/>
      <c r="DOC10" s="9"/>
      <c r="DOD10" s="9"/>
      <c r="DOE10" s="9"/>
      <c r="DOF10" s="9"/>
      <c r="DOG10" s="9"/>
      <c r="DOH10" s="9"/>
      <c r="DOI10" s="9"/>
      <c r="DOJ10" s="9"/>
      <c r="DOK10" s="9"/>
      <c r="DOL10" s="9"/>
      <c r="DOM10" s="9"/>
      <c r="DON10" s="9"/>
      <c r="DOO10" s="9"/>
      <c r="DOP10" s="9"/>
      <c r="DOQ10" s="9"/>
      <c r="DOR10" s="9"/>
      <c r="DOS10" s="9"/>
      <c r="DOT10" s="9"/>
      <c r="DOU10" s="9"/>
      <c r="DOV10" s="9"/>
      <c r="DOW10" s="9"/>
      <c r="DOX10" s="9"/>
      <c r="DOY10" s="9"/>
      <c r="DOZ10" s="9"/>
      <c r="DPA10" s="9"/>
      <c r="DPB10" s="9"/>
      <c r="DPC10" s="9"/>
      <c r="DPD10" s="9"/>
      <c r="DPE10" s="9"/>
      <c r="DPF10" s="9"/>
      <c r="DPG10" s="9"/>
      <c r="DPH10" s="9"/>
      <c r="DPI10" s="9"/>
      <c r="DPJ10" s="9"/>
      <c r="DPK10" s="9"/>
      <c r="DPL10" s="9"/>
      <c r="DPM10" s="9"/>
      <c r="DPN10" s="9"/>
      <c r="DPO10" s="9"/>
      <c r="DPP10" s="9"/>
      <c r="DPQ10" s="9"/>
      <c r="DPR10" s="9"/>
      <c r="DPS10" s="9"/>
      <c r="DPT10" s="9"/>
      <c r="DPU10" s="9"/>
      <c r="DPV10" s="9"/>
      <c r="DPW10" s="9"/>
      <c r="DPX10" s="9"/>
      <c r="DPY10" s="9"/>
      <c r="DPZ10" s="9"/>
      <c r="DQA10" s="9"/>
      <c r="DQB10" s="9"/>
      <c r="DQC10" s="9"/>
      <c r="DQD10" s="9"/>
      <c r="DQE10" s="9"/>
      <c r="DQF10" s="9"/>
      <c r="DQG10" s="9"/>
      <c r="DQH10" s="9"/>
      <c r="DQI10" s="9"/>
      <c r="DQJ10" s="9"/>
      <c r="DQK10" s="9"/>
      <c r="DQL10" s="9"/>
      <c r="DQM10" s="9"/>
      <c r="DQN10" s="9"/>
      <c r="DQO10" s="9"/>
      <c r="DQP10" s="9"/>
      <c r="DQQ10" s="9"/>
      <c r="DQR10" s="9"/>
      <c r="DQS10" s="9"/>
      <c r="DQT10" s="9"/>
      <c r="DQU10" s="9"/>
      <c r="DQV10" s="9"/>
      <c r="DQW10" s="9"/>
      <c r="DQX10" s="9"/>
      <c r="DQY10" s="9"/>
      <c r="DQZ10" s="9"/>
      <c r="DRA10" s="9"/>
      <c r="DRB10" s="9"/>
      <c r="DRC10" s="9"/>
      <c r="DRD10" s="9"/>
      <c r="DRE10" s="9"/>
      <c r="DRF10" s="9"/>
      <c r="DRG10" s="9"/>
      <c r="DRH10" s="9"/>
      <c r="DRI10" s="9"/>
      <c r="DRJ10" s="9"/>
      <c r="DRK10" s="9"/>
      <c r="DRL10" s="9"/>
      <c r="DRM10" s="9"/>
      <c r="DRN10" s="9"/>
      <c r="DRO10" s="9"/>
      <c r="DRP10" s="9"/>
      <c r="DRQ10" s="9"/>
      <c r="DRR10" s="9"/>
      <c r="DRS10" s="9"/>
      <c r="DRT10" s="9"/>
      <c r="DRU10" s="9"/>
      <c r="DRV10" s="9"/>
      <c r="DRW10" s="9"/>
      <c r="DRX10" s="9"/>
      <c r="DRY10" s="9"/>
      <c r="DRZ10" s="9"/>
      <c r="DSA10" s="9"/>
      <c r="DSB10" s="9"/>
      <c r="DSC10" s="9"/>
      <c r="DSD10" s="9"/>
      <c r="DSE10" s="9"/>
      <c r="DSF10" s="9"/>
      <c r="DSG10" s="9"/>
      <c r="DSH10" s="9"/>
      <c r="DSI10" s="9"/>
      <c r="DSJ10" s="9"/>
      <c r="DSK10" s="9"/>
      <c r="DSL10" s="9"/>
      <c r="DSM10" s="9"/>
      <c r="DSN10" s="9"/>
      <c r="DSO10" s="9"/>
      <c r="DSP10" s="9"/>
      <c r="DSQ10" s="9"/>
      <c r="DSR10" s="9"/>
      <c r="DSS10" s="9"/>
      <c r="DST10" s="9"/>
      <c r="DSU10" s="9"/>
      <c r="DSV10" s="9"/>
      <c r="DSW10" s="9"/>
      <c r="DSX10" s="9"/>
      <c r="DSY10" s="9"/>
      <c r="DSZ10" s="9"/>
      <c r="DTA10" s="9"/>
      <c r="DTB10" s="9"/>
      <c r="DTC10" s="9"/>
      <c r="DTD10" s="9"/>
      <c r="DTE10" s="9"/>
      <c r="DTF10" s="9"/>
      <c r="DTG10" s="9"/>
      <c r="DTH10" s="9"/>
      <c r="DTI10" s="9"/>
      <c r="DTJ10" s="9"/>
      <c r="DTK10" s="9"/>
      <c r="DTL10" s="9"/>
      <c r="DTM10" s="9"/>
      <c r="DTN10" s="9"/>
      <c r="DTO10" s="9"/>
      <c r="DTP10" s="9"/>
      <c r="DTQ10" s="9"/>
      <c r="DTR10" s="9"/>
      <c r="DTS10" s="9"/>
      <c r="DTT10" s="9"/>
      <c r="DTU10" s="9"/>
      <c r="DTV10" s="9"/>
      <c r="DTW10" s="9"/>
      <c r="DTX10" s="9"/>
      <c r="DTY10" s="9"/>
      <c r="DTZ10" s="9"/>
      <c r="DUA10" s="9"/>
      <c r="DUB10" s="9"/>
      <c r="DUC10" s="9"/>
      <c r="DUD10" s="9"/>
      <c r="DUE10" s="9"/>
      <c r="DUF10" s="9"/>
      <c r="DUG10" s="9"/>
      <c r="DUH10" s="9"/>
      <c r="DUI10" s="9"/>
      <c r="DUJ10" s="9"/>
      <c r="DUK10" s="9"/>
      <c r="DUL10" s="9"/>
      <c r="DUM10" s="9"/>
      <c r="DUN10" s="9"/>
      <c r="DUO10" s="9"/>
      <c r="DUP10" s="9"/>
      <c r="DUQ10" s="9"/>
      <c r="DUR10" s="9"/>
      <c r="DUS10" s="9"/>
      <c r="DUT10" s="9"/>
      <c r="DUU10" s="9"/>
      <c r="DUV10" s="9"/>
      <c r="DUW10" s="9"/>
      <c r="DUX10" s="9"/>
      <c r="DUY10" s="9"/>
      <c r="DUZ10" s="9"/>
      <c r="DVA10" s="9"/>
      <c r="DVB10" s="9"/>
      <c r="DVC10" s="9"/>
      <c r="DVD10" s="9"/>
      <c r="DVE10" s="9"/>
      <c r="DVF10" s="9"/>
      <c r="DVG10" s="9"/>
      <c r="DVH10" s="9"/>
      <c r="DVI10" s="9"/>
      <c r="DVJ10" s="9"/>
      <c r="DVK10" s="9"/>
      <c r="DVL10" s="9"/>
      <c r="DVM10" s="9"/>
      <c r="DVN10" s="9"/>
      <c r="DVO10" s="9"/>
      <c r="DVP10" s="9"/>
      <c r="DVQ10" s="9"/>
      <c r="DVR10" s="9"/>
      <c r="DVS10" s="9"/>
      <c r="DVT10" s="9"/>
      <c r="DVU10" s="9"/>
      <c r="DVV10" s="9"/>
      <c r="DVW10" s="9"/>
      <c r="DVX10" s="9"/>
      <c r="DVY10" s="9"/>
      <c r="DVZ10" s="9"/>
      <c r="DWA10" s="9"/>
      <c r="DWB10" s="9"/>
      <c r="DWC10" s="9"/>
      <c r="DWD10" s="9"/>
      <c r="DWE10" s="9"/>
      <c r="DWF10" s="9"/>
      <c r="DWG10" s="9"/>
      <c r="DWH10" s="9"/>
      <c r="DWI10" s="9"/>
      <c r="DWJ10" s="9"/>
      <c r="DWK10" s="9"/>
      <c r="DWL10" s="9"/>
      <c r="DWM10" s="9"/>
      <c r="DWN10" s="9"/>
      <c r="DWO10" s="9"/>
      <c r="DWP10" s="9"/>
      <c r="DWQ10" s="9"/>
      <c r="DWR10" s="9"/>
      <c r="DWS10" s="9"/>
      <c r="DWT10" s="9"/>
      <c r="DWU10" s="9"/>
      <c r="DWV10" s="9"/>
      <c r="DWW10" s="9"/>
      <c r="DWX10" s="9"/>
      <c r="DWY10" s="9"/>
      <c r="DWZ10" s="9"/>
      <c r="DXA10" s="9"/>
      <c r="DXB10" s="9"/>
      <c r="DXC10" s="9"/>
      <c r="DXD10" s="9"/>
      <c r="DXE10" s="9"/>
      <c r="DXF10" s="9"/>
      <c r="DXG10" s="9"/>
      <c r="DXH10" s="9"/>
      <c r="DXI10" s="9"/>
      <c r="DXJ10" s="9"/>
      <c r="DXK10" s="9"/>
      <c r="DXL10" s="9"/>
      <c r="DXM10" s="9"/>
      <c r="DXN10" s="9"/>
      <c r="DXO10" s="9"/>
      <c r="DXP10" s="9"/>
      <c r="DXQ10" s="9"/>
      <c r="DXR10" s="9"/>
      <c r="DXS10" s="9"/>
      <c r="DXT10" s="9"/>
      <c r="DXU10" s="9"/>
      <c r="DXV10" s="9"/>
      <c r="DXW10" s="9"/>
      <c r="DXX10" s="9"/>
      <c r="DXY10" s="9"/>
      <c r="DXZ10" s="9"/>
      <c r="DYA10" s="9"/>
      <c r="DYB10" s="9"/>
      <c r="DYC10" s="9"/>
      <c r="DYD10" s="9"/>
      <c r="DYE10" s="9"/>
      <c r="DYF10" s="9"/>
      <c r="DYG10" s="9"/>
      <c r="DYH10" s="9"/>
      <c r="DYI10" s="9"/>
      <c r="DYJ10" s="9"/>
      <c r="DYK10" s="9"/>
      <c r="DYL10" s="9"/>
      <c r="DYM10" s="9"/>
      <c r="DYN10" s="9"/>
      <c r="DYO10" s="9"/>
      <c r="DYP10" s="9"/>
      <c r="DYQ10" s="9"/>
      <c r="DYR10" s="9"/>
      <c r="DYS10" s="9"/>
      <c r="DYT10" s="9"/>
      <c r="DYU10" s="9"/>
      <c r="DYV10" s="9"/>
      <c r="DYW10" s="9"/>
      <c r="DYX10" s="9"/>
      <c r="DYY10" s="9"/>
      <c r="DYZ10" s="9"/>
      <c r="DZA10" s="9"/>
      <c r="DZB10" s="9"/>
      <c r="DZC10" s="9"/>
      <c r="DZD10" s="9"/>
      <c r="DZE10" s="9"/>
      <c r="DZF10" s="9"/>
      <c r="DZG10" s="9"/>
      <c r="DZH10" s="9"/>
      <c r="DZI10" s="9"/>
      <c r="DZJ10" s="9"/>
      <c r="DZK10" s="9"/>
      <c r="DZL10" s="9"/>
      <c r="DZM10" s="9"/>
      <c r="DZN10" s="9"/>
      <c r="DZO10" s="9"/>
      <c r="DZP10" s="9"/>
      <c r="DZQ10" s="9"/>
      <c r="DZR10" s="9"/>
      <c r="DZS10" s="9"/>
      <c r="DZT10" s="9"/>
      <c r="DZU10" s="9"/>
      <c r="DZV10" s="9"/>
      <c r="DZW10" s="9"/>
      <c r="DZX10" s="9"/>
      <c r="DZY10" s="9"/>
      <c r="DZZ10" s="9"/>
      <c r="EAA10" s="9"/>
      <c r="EAB10" s="9"/>
      <c r="EAC10" s="9"/>
      <c r="EAD10" s="9"/>
      <c r="EAE10" s="9"/>
      <c r="EAF10" s="9"/>
      <c r="EAG10" s="9"/>
      <c r="EAH10" s="9"/>
      <c r="EAI10" s="9"/>
      <c r="EAJ10" s="9"/>
      <c r="EAK10" s="9"/>
      <c r="EAL10" s="9"/>
      <c r="EAM10" s="9"/>
      <c r="EAN10" s="9"/>
      <c r="EAO10" s="9"/>
      <c r="EAP10" s="9"/>
      <c r="EAQ10" s="9"/>
      <c r="EAR10" s="9"/>
      <c r="EAS10" s="9"/>
      <c r="EAT10" s="9"/>
      <c r="EAU10" s="9"/>
      <c r="EAV10" s="9"/>
      <c r="EAW10" s="9"/>
      <c r="EAX10" s="9"/>
      <c r="EAY10" s="9"/>
      <c r="EAZ10" s="9"/>
      <c r="EBA10" s="9"/>
      <c r="EBB10" s="9"/>
      <c r="EBC10" s="9"/>
      <c r="EBD10" s="9"/>
      <c r="EBE10" s="9"/>
      <c r="EBF10" s="9"/>
      <c r="EBG10" s="9"/>
      <c r="EBH10" s="9"/>
      <c r="EBI10" s="9"/>
      <c r="EBJ10" s="9"/>
      <c r="EBK10" s="9"/>
      <c r="EBL10" s="9"/>
      <c r="EBM10" s="9"/>
      <c r="EBN10" s="9"/>
      <c r="EBO10" s="9"/>
      <c r="EBP10" s="9"/>
      <c r="EBQ10" s="9"/>
      <c r="EBR10" s="9"/>
      <c r="EBS10" s="9"/>
      <c r="EBT10" s="9"/>
      <c r="EBU10" s="9"/>
      <c r="EBV10" s="9"/>
      <c r="EBW10" s="9"/>
      <c r="EBX10" s="9"/>
      <c r="EBY10" s="9"/>
      <c r="EBZ10" s="9"/>
      <c r="ECA10" s="9"/>
      <c r="ECB10" s="9"/>
      <c r="ECC10" s="9"/>
      <c r="ECD10" s="9"/>
      <c r="ECE10" s="9"/>
      <c r="ECF10" s="9"/>
      <c r="ECG10" s="9"/>
      <c r="ECH10" s="9"/>
      <c r="ECI10" s="9"/>
      <c r="ECJ10" s="9"/>
      <c r="ECK10" s="9"/>
      <c r="ECL10" s="9"/>
      <c r="ECM10" s="9"/>
      <c r="ECN10" s="9"/>
      <c r="ECO10" s="9"/>
      <c r="ECP10" s="9"/>
      <c r="ECQ10" s="9"/>
      <c r="ECR10" s="9"/>
      <c r="ECS10" s="9"/>
      <c r="ECT10" s="9"/>
      <c r="ECU10" s="9"/>
      <c r="ECV10" s="9"/>
      <c r="ECW10" s="9"/>
      <c r="ECX10" s="9"/>
      <c r="ECY10" s="9"/>
      <c r="ECZ10" s="9"/>
      <c r="EDA10" s="9"/>
      <c r="EDB10" s="9"/>
      <c r="EDC10" s="9"/>
      <c r="EDD10" s="9"/>
      <c r="EDE10" s="9"/>
      <c r="EDF10" s="9"/>
      <c r="EDG10" s="9"/>
      <c r="EDH10" s="9"/>
      <c r="EDI10" s="9"/>
      <c r="EDJ10" s="9"/>
      <c r="EDK10" s="9"/>
      <c r="EDL10" s="9"/>
      <c r="EDM10" s="9"/>
      <c r="EDN10" s="9"/>
      <c r="EDO10" s="9"/>
      <c r="EDP10" s="9"/>
      <c r="EDQ10" s="9"/>
      <c r="EDR10" s="9"/>
      <c r="EDS10" s="9"/>
      <c r="EDT10" s="9"/>
      <c r="EDU10" s="9"/>
      <c r="EDV10" s="9"/>
      <c r="EDW10" s="9"/>
      <c r="EDX10" s="9"/>
      <c r="EDY10" s="9"/>
      <c r="EDZ10" s="9"/>
      <c r="EEA10" s="9"/>
      <c r="EEB10" s="9"/>
      <c r="EEC10" s="9"/>
      <c r="EED10" s="9"/>
      <c r="EEE10" s="9"/>
      <c r="EEF10" s="9"/>
      <c r="EEG10" s="9"/>
      <c r="EEH10" s="9"/>
      <c r="EEI10" s="9"/>
      <c r="EEJ10" s="9"/>
      <c r="EEK10" s="9"/>
      <c r="EEL10" s="9"/>
      <c r="EEM10" s="9"/>
      <c r="EEN10" s="9"/>
      <c r="EEO10" s="9"/>
      <c r="EEP10" s="9"/>
      <c r="EEQ10" s="9"/>
      <c r="EER10" s="9"/>
      <c r="EES10" s="9"/>
      <c r="EET10" s="9"/>
      <c r="EEU10" s="9"/>
      <c r="EEV10" s="9"/>
      <c r="EEW10" s="9"/>
      <c r="EEX10" s="9"/>
      <c r="EEY10" s="9"/>
      <c r="EEZ10" s="9"/>
      <c r="EFA10" s="9"/>
      <c r="EFB10" s="9"/>
      <c r="EFC10" s="9"/>
      <c r="EFD10" s="9"/>
      <c r="EFE10" s="9"/>
      <c r="EFF10" s="9"/>
      <c r="EFG10" s="9"/>
      <c r="EFH10" s="9"/>
      <c r="EFI10" s="9"/>
      <c r="EFJ10" s="9"/>
      <c r="EFK10" s="9"/>
      <c r="EFL10" s="9"/>
      <c r="EFM10" s="9"/>
      <c r="EFN10" s="9"/>
      <c r="EFO10" s="9"/>
      <c r="EFP10" s="9"/>
      <c r="EFQ10" s="9"/>
      <c r="EFR10" s="9"/>
      <c r="EFS10" s="9"/>
      <c r="EFT10" s="9"/>
      <c r="EFU10" s="9"/>
      <c r="EFV10" s="9"/>
      <c r="EFW10" s="9"/>
      <c r="EFX10" s="9"/>
      <c r="EFY10" s="9"/>
      <c r="EFZ10" s="9"/>
      <c r="EGA10" s="9"/>
      <c r="EGB10" s="9"/>
      <c r="EGC10" s="9"/>
      <c r="EGD10" s="9"/>
      <c r="EGE10" s="9"/>
      <c r="EGF10" s="9"/>
      <c r="EGG10" s="9"/>
      <c r="EGH10" s="9"/>
      <c r="EGI10" s="9"/>
      <c r="EGJ10" s="9"/>
      <c r="EGK10" s="9"/>
      <c r="EGL10" s="9"/>
      <c r="EGM10" s="9"/>
      <c r="EGN10" s="9"/>
      <c r="EGO10" s="9"/>
      <c r="EGP10" s="9"/>
      <c r="EGQ10" s="9"/>
      <c r="EGR10" s="9"/>
      <c r="EGS10" s="9"/>
      <c r="EGT10" s="9"/>
      <c r="EGU10" s="9"/>
      <c r="EGV10" s="9"/>
      <c r="EGW10" s="9"/>
      <c r="EGX10" s="9"/>
      <c r="EGY10" s="9"/>
      <c r="EGZ10" s="9"/>
      <c r="EHA10" s="9"/>
      <c r="EHB10" s="9"/>
      <c r="EHC10" s="9"/>
      <c r="EHD10" s="9"/>
      <c r="EHE10" s="9"/>
      <c r="EHF10" s="9"/>
      <c r="EHG10" s="9"/>
      <c r="EHH10" s="9"/>
      <c r="EHI10" s="9"/>
      <c r="EHJ10" s="9"/>
      <c r="EHK10" s="9"/>
      <c r="EHL10" s="9"/>
      <c r="EHM10" s="9"/>
      <c r="EHN10" s="9"/>
      <c r="EHO10" s="9"/>
      <c r="EHP10" s="9"/>
      <c r="EHQ10" s="9"/>
      <c r="EHR10" s="9"/>
      <c r="EHS10" s="9"/>
      <c r="EHT10" s="9"/>
      <c r="EHU10" s="9"/>
      <c r="EHV10" s="9"/>
      <c r="EHW10" s="9"/>
      <c r="EHX10" s="9"/>
      <c r="EHY10" s="9"/>
      <c r="EHZ10" s="9"/>
      <c r="EIA10" s="9"/>
      <c r="EIB10" s="9"/>
      <c r="EIC10" s="9"/>
      <c r="EID10" s="9"/>
      <c r="EIE10" s="9"/>
      <c r="EIF10" s="9"/>
      <c r="EIG10" s="9"/>
      <c r="EIH10" s="9"/>
      <c r="EII10" s="9"/>
      <c r="EIJ10" s="9"/>
      <c r="EIK10" s="9"/>
      <c r="EIL10" s="9"/>
      <c r="EIM10" s="9"/>
      <c r="EIN10" s="9"/>
      <c r="EIO10" s="9"/>
      <c r="EIP10" s="9"/>
      <c r="EIQ10" s="9"/>
      <c r="EIR10" s="9"/>
      <c r="EIS10" s="9"/>
      <c r="EIT10" s="9"/>
      <c r="EIU10" s="9"/>
      <c r="EIV10" s="9"/>
      <c r="EIW10" s="9"/>
      <c r="EIX10" s="9"/>
      <c r="EIY10" s="9"/>
      <c r="EIZ10" s="9"/>
      <c r="EJA10" s="9"/>
      <c r="EJB10" s="9"/>
      <c r="EJC10" s="9"/>
      <c r="EJD10" s="9"/>
      <c r="EJE10" s="9"/>
      <c r="EJF10" s="9"/>
      <c r="EJG10" s="9"/>
      <c r="EJH10" s="9"/>
      <c r="EJI10" s="9"/>
      <c r="EJJ10" s="9"/>
      <c r="EJK10" s="9"/>
      <c r="EJL10" s="9"/>
      <c r="EJM10" s="9"/>
      <c r="EJN10" s="9"/>
      <c r="EJO10" s="9"/>
      <c r="EJP10" s="9"/>
      <c r="EJQ10" s="9"/>
      <c r="EJR10" s="9"/>
      <c r="EJS10" s="9"/>
      <c r="EJT10" s="9"/>
      <c r="EJU10" s="9"/>
      <c r="EJV10" s="9"/>
      <c r="EJW10" s="9"/>
      <c r="EJX10" s="9"/>
      <c r="EJY10" s="9"/>
      <c r="EJZ10" s="9"/>
      <c r="EKA10" s="9"/>
      <c r="EKB10" s="9"/>
      <c r="EKC10" s="9"/>
      <c r="EKD10" s="9"/>
      <c r="EKE10" s="9"/>
      <c r="EKF10" s="9"/>
      <c r="EKG10" s="9"/>
      <c r="EKH10" s="9"/>
      <c r="EKI10" s="9"/>
      <c r="EKJ10" s="9"/>
      <c r="EKK10" s="9"/>
      <c r="EKL10" s="9"/>
      <c r="EKM10" s="9"/>
      <c r="EKN10" s="9"/>
      <c r="EKO10" s="9"/>
      <c r="EKP10" s="9"/>
      <c r="EKQ10" s="9"/>
      <c r="EKR10" s="9"/>
      <c r="EKS10" s="9"/>
      <c r="EKT10" s="9"/>
      <c r="EKU10" s="9"/>
      <c r="EKV10" s="9"/>
      <c r="EKW10" s="9"/>
      <c r="EKX10" s="9"/>
      <c r="EKY10" s="9"/>
      <c r="EKZ10" s="9"/>
      <c r="ELA10" s="9"/>
      <c r="ELB10" s="9"/>
      <c r="ELC10" s="9"/>
      <c r="ELD10" s="9"/>
      <c r="ELE10" s="9"/>
      <c r="ELF10" s="9"/>
      <c r="ELG10" s="9"/>
      <c r="ELH10" s="9"/>
      <c r="ELI10" s="9"/>
      <c r="ELJ10" s="9"/>
      <c r="ELK10" s="9"/>
      <c r="ELL10" s="9"/>
      <c r="ELM10" s="9"/>
      <c r="ELN10" s="9"/>
      <c r="ELO10" s="9"/>
      <c r="ELP10" s="9"/>
      <c r="ELQ10" s="9"/>
      <c r="ELR10" s="9"/>
      <c r="ELS10" s="9"/>
      <c r="ELT10" s="9"/>
      <c r="ELU10" s="9"/>
      <c r="ELV10" s="9"/>
      <c r="ELW10" s="9"/>
      <c r="ELX10" s="9"/>
      <c r="ELY10" s="9"/>
      <c r="ELZ10" s="9"/>
      <c r="EMA10" s="9"/>
      <c r="EMB10" s="9"/>
      <c r="EMC10" s="9"/>
      <c r="EMD10" s="9"/>
      <c r="EME10" s="9"/>
      <c r="EMF10" s="9"/>
      <c r="EMG10" s="9"/>
      <c r="EMH10" s="9"/>
      <c r="EMI10" s="9"/>
      <c r="EMJ10" s="9"/>
      <c r="EMK10" s="9"/>
      <c r="EML10" s="9"/>
      <c r="EMM10" s="9"/>
      <c r="EMN10" s="9"/>
      <c r="EMO10" s="9"/>
      <c r="EMP10" s="9"/>
      <c r="EMQ10" s="9"/>
      <c r="EMR10" s="9"/>
      <c r="EMS10" s="9"/>
      <c r="EMT10" s="9"/>
      <c r="EMU10" s="9"/>
      <c r="EMV10" s="9"/>
      <c r="EMW10" s="9"/>
      <c r="EMX10" s="9"/>
      <c r="EMY10" s="9"/>
      <c r="EMZ10" s="9"/>
      <c r="ENA10" s="9"/>
      <c r="ENB10" s="9"/>
      <c r="ENC10" s="9"/>
      <c r="END10" s="9"/>
      <c r="ENE10" s="9"/>
      <c r="ENF10" s="9"/>
      <c r="ENG10" s="9"/>
      <c r="ENH10" s="9"/>
      <c r="ENI10" s="9"/>
      <c r="ENJ10" s="9"/>
      <c r="ENK10" s="9"/>
      <c r="ENL10" s="9"/>
      <c r="ENM10" s="9"/>
      <c r="ENN10" s="9"/>
      <c r="ENO10" s="9"/>
      <c r="ENP10" s="9"/>
      <c r="ENQ10" s="9"/>
      <c r="ENR10" s="9"/>
      <c r="ENS10" s="9"/>
      <c r="ENT10" s="9"/>
      <c r="ENU10" s="9"/>
      <c r="ENV10" s="9"/>
      <c r="ENW10" s="9"/>
      <c r="ENX10" s="9"/>
      <c r="ENY10" s="9"/>
      <c r="ENZ10" s="9"/>
      <c r="EOA10" s="9"/>
      <c r="EOB10" s="9"/>
      <c r="EOC10" s="9"/>
      <c r="EOD10" s="9"/>
      <c r="EOE10" s="9"/>
      <c r="EOF10" s="9"/>
      <c r="EOG10" s="9"/>
      <c r="EOH10" s="9"/>
      <c r="EOI10" s="9"/>
      <c r="EOJ10" s="9"/>
      <c r="EOK10" s="9"/>
      <c r="EOL10" s="9"/>
      <c r="EOM10" s="9"/>
      <c r="EON10" s="9"/>
      <c r="EOO10" s="9"/>
      <c r="EOP10" s="9"/>
      <c r="EOQ10" s="9"/>
      <c r="EOR10" s="9"/>
      <c r="EOS10" s="9"/>
      <c r="EOT10" s="9"/>
      <c r="EOU10" s="9"/>
      <c r="EOV10" s="9"/>
      <c r="EOW10" s="9"/>
      <c r="EOX10" s="9"/>
      <c r="EOY10" s="9"/>
      <c r="EOZ10" s="9"/>
      <c r="EPA10" s="9"/>
      <c r="EPB10" s="9"/>
      <c r="EPC10" s="9"/>
      <c r="EPD10" s="9"/>
      <c r="EPE10" s="9"/>
      <c r="EPF10" s="9"/>
      <c r="EPG10" s="9"/>
      <c r="EPH10" s="9"/>
      <c r="EPI10" s="9"/>
      <c r="EPJ10" s="9"/>
      <c r="EPK10" s="9"/>
      <c r="EPL10" s="9"/>
      <c r="EPM10" s="9"/>
      <c r="EPN10" s="9"/>
      <c r="EPO10" s="9"/>
      <c r="EPP10" s="9"/>
      <c r="EPQ10" s="9"/>
      <c r="EPR10" s="9"/>
      <c r="EPS10" s="9"/>
      <c r="EPT10" s="9"/>
      <c r="EPU10" s="9"/>
      <c r="EPV10" s="9"/>
      <c r="EPW10" s="9"/>
      <c r="EPX10" s="9"/>
      <c r="EPY10" s="9"/>
      <c r="EPZ10" s="9"/>
      <c r="EQA10" s="9"/>
      <c r="EQB10" s="9"/>
      <c r="EQC10" s="9"/>
      <c r="EQD10" s="9"/>
      <c r="EQE10" s="9"/>
      <c r="EQF10" s="9"/>
      <c r="EQG10" s="9"/>
      <c r="EQH10" s="9"/>
      <c r="EQI10" s="9"/>
      <c r="EQJ10" s="9"/>
      <c r="EQK10" s="9"/>
      <c r="EQL10" s="9"/>
      <c r="EQM10" s="9"/>
      <c r="EQN10" s="9"/>
      <c r="EQO10" s="9"/>
      <c r="EQP10" s="9"/>
      <c r="EQQ10" s="9"/>
      <c r="EQR10" s="9"/>
      <c r="EQS10" s="9"/>
      <c r="EQT10" s="9"/>
      <c r="EQU10" s="9"/>
      <c r="EQV10" s="9"/>
      <c r="EQW10" s="9"/>
      <c r="EQX10" s="9"/>
      <c r="EQY10" s="9"/>
      <c r="EQZ10" s="9"/>
      <c r="ERA10" s="9"/>
      <c r="ERB10" s="9"/>
      <c r="ERC10" s="9"/>
      <c r="ERD10" s="9"/>
      <c r="ERE10" s="9"/>
      <c r="ERF10" s="9"/>
      <c r="ERG10" s="9"/>
      <c r="ERH10" s="9"/>
      <c r="ERI10" s="9"/>
      <c r="ERJ10" s="9"/>
      <c r="ERK10" s="9"/>
      <c r="ERL10" s="9"/>
      <c r="ERM10" s="9"/>
      <c r="ERN10" s="9"/>
      <c r="ERO10" s="9"/>
      <c r="ERP10" s="9"/>
      <c r="ERQ10" s="9"/>
      <c r="ERR10" s="9"/>
      <c r="ERS10" s="9"/>
      <c r="ERT10" s="9"/>
      <c r="ERU10" s="9"/>
      <c r="ERV10" s="9"/>
      <c r="ERW10" s="9"/>
      <c r="ERX10" s="9"/>
      <c r="ERY10" s="9"/>
      <c r="ERZ10" s="9"/>
      <c r="ESA10" s="9"/>
      <c r="ESB10" s="9"/>
      <c r="ESC10" s="9"/>
      <c r="ESD10" s="9"/>
      <c r="ESE10" s="9"/>
      <c r="ESF10" s="9"/>
      <c r="ESG10" s="9"/>
      <c r="ESH10" s="9"/>
      <c r="ESI10" s="9"/>
      <c r="ESJ10" s="9"/>
      <c r="ESK10" s="9"/>
      <c r="ESL10" s="9"/>
      <c r="ESM10" s="9"/>
      <c r="ESN10" s="9"/>
      <c r="ESO10" s="9"/>
      <c r="ESP10" s="9"/>
      <c r="ESQ10" s="9"/>
      <c r="ESR10" s="9"/>
      <c r="ESS10" s="9"/>
      <c r="EST10" s="9"/>
      <c r="ESU10" s="9"/>
      <c r="ESV10" s="9"/>
      <c r="ESW10" s="9"/>
      <c r="ESX10" s="9"/>
      <c r="ESY10" s="9"/>
      <c r="ESZ10" s="9"/>
      <c r="ETA10" s="9"/>
      <c r="ETB10" s="9"/>
      <c r="ETC10" s="9"/>
      <c r="ETD10" s="9"/>
      <c r="ETE10" s="9"/>
      <c r="ETF10" s="9"/>
      <c r="ETG10" s="9"/>
      <c r="ETH10" s="9"/>
      <c r="ETI10" s="9"/>
      <c r="ETJ10" s="9"/>
      <c r="ETK10" s="9"/>
      <c r="ETL10" s="9"/>
      <c r="ETM10" s="9"/>
      <c r="ETN10" s="9"/>
      <c r="ETO10" s="9"/>
      <c r="ETP10" s="9"/>
      <c r="ETQ10" s="9"/>
      <c r="ETR10" s="9"/>
      <c r="ETS10" s="9"/>
      <c r="ETT10" s="9"/>
      <c r="ETU10" s="9"/>
      <c r="ETV10" s="9"/>
      <c r="ETW10" s="9"/>
      <c r="ETX10" s="9"/>
      <c r="ETY10" s="9"/>
      <c r="ETZ10" s="9"/>
      <c r="EUA10" s="9"/>
      <c r="EUB10" s="9"/>
      <c r="EUC10" s="9"/>
      <c r="EUD10" s="9"/>
      <c r="EUE10" s="9"/>
      <c r="EUF10" s="9"/>
      <c r="EUG10" s="9"/>
      <c r="EUH10" s="9"/>
      <c r="EUI10" s="9"/>
      <c r="EUJ10" s="9"/>
      <c r="EUK10" s="9"/>
      <c r="EUL10" s="9"/>
      <c r="EUM10" s="9"/>
      <c r="EUN10" s="9"/>
      <c r="EUO10" s="9"/>
      <c r="EUP10" s="9"/>
      <c r="EUQ10" s="9"/>
      <c r="EUR10" s="9"/>
      <c r="EUS10" s="9"/>
      <c r="EUT10" s="9"/>
      <c r="EUU10" s="9"/>
      <c r="EUV10" s="9"/>
      <c r="EUW10" s="9"/>
      <c r="EUX10" s="9"/>
      <c r="EUY10" s="9"/>
      <c r="EUZ10" s="9"/>
      <c r="EVA10" s="9"/>
      <c r="EVB10" s="9"/>
      <c r="EVC10" s="9"/>
      <c r="EVD10" s="9"/>
      <c r="EVE10" s="9"/>
      <c r="EVF10" s="9"/>
      <c r="EVG10" s="9"/>
      <c r="EVH10" s="9"/>
      <c r="EVI10" s="9"/>
      <c r="EVJ10" s="9"/>
      <c r="EVK10" s="9"/>
      <c r="EVL10" s="9"/>
      <c r="EVM10" s="9"/>
      <c r="EVN10" s="9"/>
      <c r="EVO10" s="9"/>
      <c r="EVP10" s="9"/>
      <c r="EVQ10" s="9"/>
      <c r="EVR10" s="9"/>
      <c r="EVS10" s="9"/>
      <c r="EVT10" s="9"/>
      <c r="EVU10" s="9"/>
      <c r="EVV10" s="9"/>
      <c r="EVW10" s="9"/>
      <c r="EVX10" s="9"/>
      <c r="EVY10" s="9"/>
      <c r="EVZ10" s="9"/>
      <c r="EWA10" s="9"/>
      <c r="EWB10" s="9"/>
      <c r="EWC10" s="9"/>
      <c r="EWD10" s="9"/>
      <c r="EWE10" s="9"/>
      <c r="EWF10" s="9"/>
      <c r="EWG10" s="9"/>
      <c r="EWH10" s="9"/>
      <c r="EWI10" s="9"/>
      <c r="EWJ10" s="9"/>
      <c r="EWK10" s="9"/>
      <c r="EWL10" s="9"/>
      <c r="EWM10" s="9"/>
      <c r="EWN10" s="9"/>
      <c r="EWO10" s="9"/>
      <c r="EWP10" s="9"/>
      <c r="EWQ10" s="9"/>
      <c r="EWR10" s="9"/>
      <c r="EWS10" s="9"/>
      <c r="EWT10" s="9"/>
      <c r="EWU10" s="9"/>
      <c r="EWV10" s="9"/>
      <c r="EWW10" s="9"/>
      <c r="EWX10" s="9"/>
      <c r="EWY10" s="9"/>
      <c r="EWZ10" s="9"/>
      <c r="EXA10" s="9"/>
      <c r="EXB10" s="9"/>
      <c r="EXC10" s="9"/>
      <c r="EXD10" s="9"/>
      <c r="EXE10" s="9"/>
      <c r="EXF10" s="9"/>
      <c r="EXG10" s="9"/>
      <c r="EXH10" s="9"/>
      <c r="EXI10" s="9"/>
      <c r="EXJ10" s="9"/>
      <c r="EXK10" s="9"/>
      <c r="EXL10" s="9"/>
      <c r="EXM10" s="9"/>
      <c r="EXN10" s="9"/>
      <c r="EXO10" s="9"/>
      <c r="EXP10" s="9"/>
      <c r="EXQ10" s="9"/>
      <c r="EXR10" s="9"/>
      <c r="EXS10" s="9"/>
      <c r="EXT10" s="9"/>
      <c r="EXU10" s="9"/>
      <c r="EXV10" s="9"/>
      <c r="EXW10" s="9"/>
      <c r="EXX10" s="9"/>
      <c r="EXY10" s="9"/>
      <c r="EXZ10" s="9"/>
      <c r="EYA10" s="9"/>
      <c r="EYB10" s="9"/>
      <c r="EYC10" s="9"/>
      <c r="EYD10" s="9"/>
      <c r="EYE10" s="9"/>
      <c r="EYF10" s="9"/>
      <c r="EYG10" s="9"/>
      <c r="EYH10" s="9"/>
      <c r="EYI10" s="9"/>
      <c r="EYJ10" s="9"/>
      <c r="EYK10" s="9"/>
      <c r="EYL10" s="9"/>
      <c r="EYM10" s="9"/>
      <c r="EYN10" s="9"/>
      <c r="EYO10" s="9"/>
      <c r="EYP10" s="9"/>
      <c r="EYQ10" s="9"/>
      <c r="EYR10" s="9"/>
      <c r="EYS10" s="9"/>
      <c r="EYT10" s="9"/>
      <c r="EYU10" s="9"/>
      <c r="EYV10" s="9"/>
      <c r="EYW10" s="9"/>
      <c r="EYX10" s="9"/>
      <c r="EYY10" s="9"/>
      <c r="EYZ10" s="9"/>
      <c r="EZA10" s="9"/>
      <c r="EZB10" s="9"/>
      <c r="EZC10" s="9"/>
      <c r="EZD10" s="9"/>
      <c r="EZE10" s="9"/>
      <c r="EZF10" s="9"/>
      <c r="EZG10" s="9"/>
      <c r="EZH10" s="9"/>
      <c r="EZI10" s="9"/>
      <c r="EZJ10" s="9"/>
      <c r="EZK10" s="9"/>
      <c r="EZL10" s="9"/>
      <c r="EZM10" s="9"/>
      <c r="EZN10" s="9"/>
      <c r="EZO10" s="9"/>
      <c r="EZP10" s="9"/>
      <c r="EZQ10" s="9"/>
      <c r="EZR10" s="9"/>
      <c r="EZS10" s="9"/>
      <c r="EZT10" s="9"/>
      <c r="EZU10" s="9"/>
      <c r="EZV10" s="9"/>
      <c r="EZW10" s="9"/>
      <c r="EZX10" s="9"/>
      <c r="EZY10" s="9"/>
      <c r="EZZ10" s="9"/>
      <c r="FAA10" s="9"/>
      <c r="FAB10" s="9"/>
      <c r="FAC10" s="9"/>
      <c r="FAD10" s="9"/>
      <c r="FAE10" s="9"/>
      <c r="FAF10" s="9"/>
      <c r="FAG10" s="9"/>
      <c r="FAH10" s="9"/>
      <c r="FAI10" s="9"/>
      <c r="FAJ10" s="9"/>
      <c r="FAK10" s="9"/>
      <c r="FAL10" s="9"/>
      <c r="FAM10" s="9"/>
      <c r="FAN10" s="9"/>
      <c r="FAO10" s="9"/>
      <c r="FAP10" s="9"/>
      <c r="FAQ10" s="9"/>
      <c r="FAR10" s="9"/>
      <c r="FAS10" s="9"/>
      <c r="FAT10" s="9"/>
      <c r="FAU10" s="9"/>
      <c r="FAV10" s="9"/>
      <c r="FAW10" s="9"/>
      <c r="FAX10" s="9"/>
      <c r="FAY10" s="9"/>
      <c r="FAZ10" s="9"/>
      <c r="FBA10" s="9"/>
      <c r="FBB10" s="9"/>
      <c r="FBC10" s="9"/>
      <c r="FBD10" s="9"/>
      <c r="FBE10" s="9"/>
      <c r="FBF10" s="9"/>
      <c r="FBG10" s="9"/>
      <c r="FBH10" s="9"/>
      <c r="FBI10" s="9"/>
      <c r="FBJ10" s="9"/>
      <c r="FBK10" s="9"/>
      <c r="FBL10" s="9"/>
      <c r="FBM10" s="9"/>
      <c r="FBN10" s="9"/>
      <c r="FBO10" s="9"/>
      <c r="FBP10" s="9"/>
      <c r="FBQ10" s="9"/>
      <c r="FBR10" s="9"/>
      <c r="FBS10" s="9"/>
      <c r="FBT10" s="9"/>
      <c r="FBU10" s="9"/>
      <c r="FBV10" s="9"/>
      <c r="FBW10" s="9"/>
      <c r="FBX10" s="9"/>
      <c r="FBY10" s="9"/>
      <c r="FBZ10" s="9"/>
      <c r="FCA10" s="9"/>
      <c r="FCB10" s="9"/>
      <c r="FCC10" s="9"/>
      <c r="FCD10" s="9"/>
      <c r="FCE10" s="9"/>
      <c r="FCF10" s="9"/>
      <c r="FCG10" s="9"/>
      <c r="FCH10" s="9"/>
      <c r="FCI10" s="9"/>
      <c r="FCJ10" s="9"/>
      <c r="FCK10" s="9"/>
      <c r="FCL10" s="9"/>
      <c r="FCM10" s="9"/>
      <c r="FCN10" s="9"/>
      <c r="FCO10" s="9"/>
      <c r="FCP10" s="9"/>
      <c r="FCQ10" s="9"/>
      <c r="FCR10" s="9"/>
      <c r="FCS10" s="9"/>
      <c r="FCT10" s="9"/>
      <c r="FCU10" s="9"/>
      <c r="FCV10" s="9"/>
      <c r="FCW10" s="9"/>
      <c r="FCX10" s="9"/>
      <c r="FCY10" s="9"/>
      <c r="FCZ10" s="9"/>
      <c r="FDA10" s="9"/>
      <c r="FDB10" s="9"/>
      <c r="FDC10" s="9"/>
      <c r="FDD10" s="9"/>
      <c r="FDE10" s="9"/>
      <c r="FDF10" s="9"/>
      <c r="FDG10" s="9"/>
      <c r="FDH10" s="9"/>
      <c r="FDI10" s="9"/>
      <c r="FDJ10" s="9"/>
      <c r="FDK10" s="9"/>
      <c r="FDL10" s="9"/>
      <c r="FDM10" s="9"/>
      <c r="FDN10" s="9"/>
      <c r="FDO10" s="9"/>
      <c r="FDP10" s="9"/>
      <c r="FDQ10" s="9"/>
      <c r="FDR10" s="9"/>
      <c r="FDS10" s="9"/>
      <c r="FDT10" s="9"/>
      <c r="FDU10" s="9"/>
      <c r="FDV10" s="9"/>
      <c r="FDW10" s="9"/>
      <c r="FDX10" s="9"/>
      <c r="FDY10" s="9"/>
      <c r="FDZ10" s="9"/>
      <c r="FEA10" s="9"/>
      <c r="FEB10" s="9"/>
      <c r="FEC10" s="9"/>
      <c r="FED10" s="9"/>
      <c r="FEE10" s="9"/>
      <c r="FEF10" s="9"/>
      <c r="FEG10" s="9"/>
      <c r="FEH10" s="9"/>
      <c r="FEI10" s="9"/>
      <c r="FEJ10" s="9"/>
      <c r="FEK10" s="9"/>
      <c r="FEL10" s="9"/>
      <c r="FEM10" s="9"/>
      <c r="FEN10" s="9"/>
      <c r="FEO10" s="9"/>
      <c r="FEP10" s="9"/>
      <c r="FEQ10" s="9"/>
      <c r="FER10" s="9"/>
      <c r="FES10" s="9"/>
      <c r="FET10" s="9"/>
      <c r="FEU10" s="9"/>
      <c r="FEV10" s="9"/>
      <c r="FEW10" s="9"/>
      <c r="FEX10" s="9"/>
      <c r="FEY10" s="9"/>
      <c r="FEZ10" s="9"/>
      <c r="FFA10" s="9"/>
      <c r="FFB10" s="9"/>
      <c r="FFC10" s="9"/>
      <c r="FFD10" s="9"/>
      <c r="FFE10" s="9"/>
      <c r="FFF10" s="9"/>
      <c r="FFG10" s="9"/>
      <c r="FFH10" s="9"/>
      <c r="FFI10" s="9"/>
      <c r="FFJ10" s="9"/>
      <c r="FFK10" s="9"/>
      <c r="FFL10" s="9"/>
      <c r="FFM10" s="9"/>
      <c r="FFN10" s="9"/>
      <c r="FFO10" s="9"/>
      <c r="FFP10" s="9"/>
      <c r="FFQ10" s="9"/>
      <c r="FFR10" s="9"/>
      <c r="FFS10" s="9"/>
      <c r="FFT10" s="9"/>
      <c r="FFU10" s="9"/>
      <c r="FFV10" s="9"/>
      <c r="FFW10" s="9"/>
      <c r="FFX10" s="9"/>
      <c r="FFY10" s="9"/>
      <c r="FFZ10" s="9"/>
      <c r="FGA10" s="9"/>
      <c r="FGB10" s="9"/>
      <c r="FGC10" s="9"/>
      <c r="FGD10" s="9"/>
      <c r="FGE10" s="9"/>
      <c r="FGF10" s="9"/>
      <c r="FGG10" s="9"/>
      <c r="FGH10" s="9"/>
      <c r="FGI10" s="9"/>
      <c r="FGJ10" s="9"/>
      <c r="FGK10" s="9"/>
      <c r="FGL10" s="9"/>
      <c r="FGM10" s="9"/>
      <c r="FGN10" s="9"/>
      <c r="FGO10" s="9"/>
      <c r="FGP10" s="9"/>
      <c r="FGQ10" s="9"/>
      <c r="FGR10" s="9"/>
      <c r="FGS10" s="9"/>
      <c r="FGT10" s="9"/>
      <c r="FGU10" s="9"/>
      <c r="FGV10" s="9"/>
      <c r="FGW10" s="9"/>
      <c r="FGX10" s="9"/>
      <c r="FGY10" s="9"/>
      <c r="FGZ10" s="9"/>
      <c r="FHA10" s="9"/>
      <c r="FHB10" s="9"/>
      <c r="FHC10" s="9"/>
      <c r="FHD10" s="9"/>
      <c r="FHE10" s="9"/>
      <c r="FHF10" s="9"/>
      <c r="FHG10" s="9"/>
      <c r="FHH10" s="9"/>
      <c r="FHI10" s="9"/>
      <c r="FHJ10" s="9"/>
      <c r="FHK10" s="9"/>
      <c r="FHL10" s="9"/>
      <c r="FHM10" s="9"/>
      <c r="FHN10" s="9"/>
      <c r="FHO10" s="9"/>
      <c r="FHP10" s="9"/>
      <c r="FHQ10" s="9"/>
      <c r="FHR10" s="9"/>
      <c r="FHS10" s="9"/>
      <c r="FHT10" s="9"/>
      <c r="FHU10" s="9"/>
      <c r="FHV10" s="9"/>
      <c r="FHW10" s="9"/>
      <c r="FHX10" s="9"/>
      <c r="FHY10" s="9"/>
      <c r="FHZ10" s="9"/>
      <c r="FIA10" s="9"/>
      <c r="FIB10" s="9"/>
      <c r="FIC10" s="9"/>
      <c r="FID10" s="9"/>
      <c r="FIE10" s="9"/>
      <c r="FIF10" s="9"/>
      <c r="FIG10" s="9"/>
      <c r="FIH10" s="9"/>
      <c r="FII10" s="9"/>
      <c r="FIJ10" s="9"/>
      <c r="FIK10" s="9"/>
      <c r="FIL10" s="9"/>
      <c r="FIM10" s="9"/>
      <c r="FIN10" s="9"/>
      <c r="FIO10" s="9"/>
      <c r="FIP10" s="9"/>
      <c r="FIQ10" s="9"/>
      <c r="FIR10" s="9"/>
      <c r="FIS10" s="9"/>
      <c r="FIT10" s="9"/>
      <c r="FIU10" s="9"/>
      <c r="FIV10" s="9"/>
      <c r="FIW10" s="9"/>
      <c r="FIX10" s="9"/>
      <c r="FIY10" s="9"/>
      <c r="FIZ10" s="9"/>
      <c r="FJA10" s="9"/>
      <c r="FJB10" s="9"/>
      <c r="FJC10" s="9"/>
      <c r="FJD10" s="9"/>
      <c r="FJE10" s="9"/>
      <c r="FJF10" s="9"/>
      <c r="FJG10" s="9"/>
      <c r="FJH10" s="9"/>
      <c r="FJI10" s="9"/>
      <c r="FJJ10" s="9"/>
      <c r="FJK10" s="9"/>
      <c r="FJL10" s="9"/>
      <c r="FJM10" s="9"/>
      <c r="FJN10" s="9"/>
      <c r="FJO10" s="9"/>
      <c r="FJP10" s="9"/>
      <c r="FJQ10" s="9"/>
      <c r="FJR10" s="9"/>
      <c r="FJS10" s="9"/>
      <c r="FJT10" s="9"/>
      <c r="FJU10" s="9"/>
      <c r="FJV10" s="9"/>
      <c r="FJW10" s="9"/>
      <c r="FJX10" s="9"/>
      <c r="FJY10" s="9"/>
      <c r="FJZ10" s="9"/>
      <c r="FKA10" s="9"/>
      <c r="FKB10" s="9"/>
      <c r="FKC10" s="9"/>
      <c r="FKD10" s="9"/>
      <c r="FKE10" s="9"/>
      <c r="FKF10" s="9"/>
      <c r="FKG10" s="9"/>
      <c r="FKH10" s="9"/>
      <c r="FKI10" s="9"/>
      <c r="FKJ10" s="9"/>
      <c r="FKK10" s="9"/>
      <c r="FKL10" s="9"/>
      <c r="FKM10" s="9"/>
      <c r="FKN10" s="9"/>
      <c r="FKO10" s="9"/>
      <c r="FKP10" s="9"/>
      <c r="FKQ10" s="9"/>
      <c r="FKR10" s="9"/>
      <c r="FKS10" s="9"/>
      <c r="FKT10" s="9"/>
      <c r="FKU10" s="9"/>
      <c r="FKV10" s="9"/>
      <c r="FKW10" s="9"/>
      <c r="FKX10" s="9"/>
      <c r="FKY10" s="9"/>
      <c r="FKZ10" s="9"/>
      <c r="FLA10" s="9"/>
      <c r="FLB10" s="9"/>
      <c r="FLC10" s="9"/>
      <c r="FLD10" s="9"/>
      <c r="FLE10" s="9"/>
      <c r="FLF10" s="9"/>
      <c r="FLG10" s="9"/>
      <c r="FLH10" s="9"/>
      <c r="FLI10" s="9"/>
      <c r="FLJ10" s="9"/>
      <c r="FLK10" s="9"/>
      <c r="FLL10" s="9"/>
      <c r="FLM10" s="9"/>
      <c r="FLN10" s="9"/>
      <c r="FLO10" s="9"/>
      <c r="FLP10" s="9"/>
      <c r="FLQ10" s="9"/>
      <c r="FLR10" s="9"/>
      <c r="FLS10" s="9"/>
      <c r="FLT10" s="9"/>
      <c r="FLU10" s="9"/>
      <c r="FLV10" s="9"/>
      <c r="FLW10" s="9"/>
      <c r="FLX10" s="9"/>
      <c r="FLY10" s="9"/>
      <c r="FLZ10" s="9"/>
      <c r="FMA10" s="9"/>
      <c r="FMB10" s="9"/>
      <c r="FMC10" s="9"/>
      <c r="FMD10" s="9"/>
      <c r="FME10" s="9"/>
      <c r="FMF10" s="9"/>
      <c r="FMG10" s="9"/>
      <c r="FMH10" s="9"/>
      <c r="FMI10" s="9"/>
      <c r="FMJ10" s="9"/>
      <c r="FMK10" s="9"/>
      <c r="FML10" s="9"/>
      <c r="FMM10" s="9"/>
      <c r="FMN10" s="9"/>
      <c r="FMO10" s="9"/>
      <c r="FMP10" s="9"/>
      <c r="FMQ10" s="9"/>
      <c r="FMR10" s="9"/>
      <c r="FMS10" s="9"/>
      <c r="FMT10" s="9"/>
      <c r="FMU10" s="9"/>
      <c r="FMV10" s="9"/>
      <c r="FMW10" s="9"/>
      <c r="FMX10" s="9"/>
      <c r="FMY10" s="9"/>
      <c r="FMZ10" s="9"/>
      <c r="FNA10" s="9"/>
      <c r="FNB10" s="9"/>
      <c r="FNC10" s="9"/>
      <c r="FND10" s="9"/>
      <c r="FNE10" s="9"/>
      <c r="FNF10" s="9"/>
      <c r="FNG10" s="9"/>
      <c r="FNH10" s="9"/>
      <c r="FNI10" s="9"/>
      <c r="FNJ10" s="9"/>
      <c r="FNK10" s="9"/>
      <c r="FNL10" s="9"/>
      <c r="FNM10" s="9"/>
      <c r="FNN10" s="9"/>
      <c r="FNO10" s="9"/>
      <c r="FNP10" s="9"/>
      <c r="FNQ10" s="9"/>
      <c r="FNR10" s="9"/>
      <c r="FNS10" s="9"/>
      <c r="FNT10" s="9"/>
      <c r="FNU10" s="9"/>
      <c r="FNV10" s="9"/>
      <c r="FNW10" s="9"/>
      <c r="FNX10" s="9"/>
      <c r="FNY10" s="9"/>
      <c r="FNZ10" s="9"/>
      <c r="FOA10" s="9"/>
      <c r="FOB10" s="9"/>
      <c r="FOC10" s="9"/>
      <c r="FOD10" s="9"/>
      <c r="FOE10" s="9"/>
      <c r="FOF10" s="9"/>
      <c r="FOG10" s="9"/>
      <c r="FOH10" s="9"/>
      <c r="FOI10" s="9"/>
      <c r="FOJ10" s="9"/>
      <c r="FOK10" s="9"/>
      <c r="FOL10" s="9"/>
      <c r="FOM10" s="9"/>
      <c r="FON10" s="9"/>
      <c r="FOO10" s="9"/>
      <c r="FOP10" s="9"/>
      <c r="FOQ10" s="9"/>
      <c r="FOR10" s="9"/>
      <c r="FOS10" s="9"/>
      <c r="FOT10" s="9"/>
      <c r="FOU10" s="9"/>
      <c r="FOV10" s="9"/>
      <c r="FOW10" s="9"/>
      <c r="FOX10" s="9"/>
      <c r="FOY10" s="9"/>
      <c r="FOZ10" s="9"/>
      <c r="FPA10" s="9"/>
      <c r="FPB10" s="9"/>
      <c r="FPC10" s="9"/>
      <c r="FPD10" s="9"/>
      <c r="FPE10" s="9"/>
      <c r="FPF10" s="9"/>
      <c r="FPG10" s="9"/>
      <c r="FPH10" s="9"/>
      <c r="FPI10" s="9"/>
      <c r="FPJ10" s="9"/>
      <c r="FPK10" s="9"/>
      <c r="FPL10" s="9"/>
      <c r="FPM10" s="9"/>
      <c r="FPN10" s="9"/>
      <c r="FPO10" s="9"/>
      <c r="FPP10" s="9"/>
      <c r="FPQ10" s="9"/>
      <c r="FPR10" s="9"/>
      <c r="FPS10" s="9"/>
      <c r="FPT10" s="9"/>
      <c r="FPU10" s="9"/>
      <c r="FPV10" s="9"/>
      <c r="FPW10" s="9"/>
      <c r="FPX10" s="9"/>
      <c r="FPY10" s="9"/>
      <c r="FPZ10" s="9"/>
      <c r="FQA10" s="9"/>
      <c r="FQB10" s="9"/>
      <c r="FQC10" s="9"/>
      <c r="FQD10" s="9"/>
      <c r="FQE10" s="9"/>
      <c r="FQF10" s="9"/>
      <c r="FQG10" s="9"/>
      <c r="FQH10" s="9"/>
      <c r="FQI10" s="9"/>
      <c r="FQJ10" s="9"/>
      <c r="FQK10" s="9"/>
      <c r="FQL10" s="9"/>
      <c r="FQM10" s="9"/>
      <c r="FQN10" s="9"/>
      <c r="FQO10" s="9"/>
      <c r="FQP10" s="9"/>
      <c r="FQQ10" s="9"/>
      <c r="FQR10" s="9"/>
      <c r="FQS10" s="9"/>
      <c r="FQT10" s="9"/>
      <c r="FQU10" s="9"/>
      <c r="FQV10" s="9"/>
      <c r="FQW10" s="9"/>
      <c r="FQX10" s="9"/>
      <c r="FQY10" s="9"/>
      <c r="FQZ10" s="9"/>
      <c r="FRA10" s="9"/>
      <c r="FRB10" s="9"/>
      <c r="FRC10" s="9"/>
      <c r="FRD10" s="9"/>
      <c r="FRE10" s="9"/>
      <c r="FRF10" s="9"/>
      <c r="FRG10" s="9"/>
      <c r="FRH10" s="9"/>
      <c r="FRI10" s="9"/>
      <c r="FRJ10" s="9"/>
      <c r="FRK10" s="9"/>
      <c r="FRL10" s="9"/>
      <c r="FRM10" s="9"/>
      <c r="FRN10" s="9"/>
      <c r="FRO10" s="9"/>
      <c r="FRP10" s="9"/>
      <c r="FRQ10" s="9"/>
      <c r="FRR10" s="9"/>
      <c r="FRS10" s="9"/>
      <c r="FRT10" s="9"/>
      <c r="FRU10" s="9"/>
      <c r="FRV10" s="9"/>
      <c r="FRW10" s="9"/>
      <c r="FRX10" s="9"/>
      <c r="FRY10" s="9"/>
      <c r="FRZ10" s="9"/>
      <c r="FSA10" s="9"/>
      <c r="FSB10" s="9"/>
      <c r="FSC10" s="9"/>
      <c r="FSD10" s="9"/>
      <c r="FSE10" s="9"/>
      <c r="FSF10" s="9"/>
      <c r="FSG10" s="9"/>
      <c r="FSH10" s="9"/>
      <c r="FSI10" s="9"/>
      <c r="FSJ10" s="9"/>
      <c r="FSK10" s="9"/>
      <c r="FSL10" s="9"/>
      <c r="FSM10" s="9"/>
      <c r="FSN10" s="9"/>
      <c r="FSO10" s="9"/>
      <c r="FSP10" s="9"/>
      <c r="FSQ10" s="9"/>
      <c r="FSR10" s="9"/>
      <c r="FSS10" s="9"/>
      <c r="FST10" s="9"/>
      <c r="FSU10" s="9"/>
      <c r="FSV10" s="9"/>
      <c r="FSW10" s="9"/>
      <c r="FSX10" s="9"/>
      <c r="FSY10" s="9"/>
      <c r="FSZ10" s="9"/>
      <c r="FTA10" s="9"/>
      <c r="FTB10" s="9"/>
      <c r="FTC10" s="9"/>
      <c r="FTD10" s="9"/>
      <c r="FTE10" s="9"/>
      <c r="FTF10" s="9"/>
      <c r="FTG10" s="9"/>
      <c r="FTH10" s="9"/>
      <c r="FTI10" s="9"/>
      <c r="FTJ10" s="9"/>
      <c r="FTK10" s="9"/>
      <c r="FTL10" s="9"/>
      <c r="FTM10" s="9"/>
      <c r="FTN10" s="9"/>
      <c r="FTO10" s="9"/>
      <c r="FTP10" s="9"/>
      <c r="FTQ10" s="9"/>
      <c r="FTR10" s="9"/>
      <c r="FTS10" s="9"/>
      <c r="FTT10" s="9"/>
      <c r="FTU10" s="9"/>
      <c r="FTV10" s="9"/>
      <c r="FTW10" s="9"/>
      <c r="FTX10" s="9"/>
      <c r="FTY10" s="9"/>
      <c r="FTZ10" s="9"/>
      <c r="FUA10" s="9"/>
      <c r="FUB10" s="9"/>
      <c r="FUC10" s="9"/>
      <c r="FUD10" s="9"/>
      <c r="FUE10" s="9"/>
      <c r="FUF10" s="9"/>
      <c r="FUG10" s="9"/>
      <c r="FUH10" s="9"/>
      <c r="FUI10" s="9"/>
      <c r="FUJ10" s="9"/>
      <c r="FUK10" s="9"/>
      <c r="FUL10" s="9"/>
      <c r="FUM10" s="9"/>
      <c r="FUN10" s="9"/>
      <c r="FUO10" s="9"/>
      <c r="FUP10" s="9"/>
      <c r="FUQ10" s="9"/>
      <c r="FUR10" s="9"/>
      <c r="FUS10" s="9"/>
      <c r="FUT10" s="9"/>
      <c r="FUU10" s="9"/>
      <c r="FUV10" s="9"/>
      <c r="FUW10" s="9"/>
      <c r="FUX10" s="9"/>
      <c r="FUY10" s="9"/>
      <c r="FUZ10" s="9"/>
      <c r="FVA10" s="9"/>
      <c r="FVB10" s="9"/>
      <c r="FVC10" s="9"/>
      <c r="FVD10" s="9"/>
      <c r="FVE10" s="9"/>
      <c r="FVF10" s="9"/>
      <c r="FVG10" s="9"/>
      <c r="FVH10" s="9"/>
      <c r="FVI10" s="9"/>
      <c r="FVJ10" s="9"/>
      <c r="FVK10" s="9"/>
      <c r="FVL10" s="9"/>
      <c r="FVM10" s="9"/>
      <c r="FVN10" s="9"/>
      <c r="FVO10" s="9"/>
      <c r="FVP10" s="9"/>
      <c r="FVQ10" s="9"/>
      <c r="FVR10" s="9"/>
      <c r="FVS10" s="9"/>
      <c r="FVT10" s="9"/>
      <c r="FVU10" s="9"/>
      <c r="FVV10" s="9"/>
      <c r="FVW10" s="9"/>
      <c r="FVX10" s="9"/>
      <c r="FVY10" s="9"/>
      <c r="FVZ10" s="9"/>
      <c r="FWA10" s="9"/>
      <c r="FWB10" s="9"/>
      <c r="FWC10" s="9"/>
      <c r="FWD10" s="9"/>
      <c r="FWE10" s="9"/>
      <c r="FWF10" s="9"/>
      <c r="FWG10" s="9"/>
      <c r="FWH10" s="9"/>
      <c r="FWI10" s="9"/>
      <c r="FWJ10" s="9"/>
      <c r="FWK10" s="9"/>
      <c r="FWL10" s="9"/>
      <c r="FWM10" s="9"/>
      <c r="FWN10" s="9"/>
      <c r="FWO10" s="9"/>
      <c r="FWP10" s="9"/>
      <c r="FWQ10" s="9"/>
      <c r="FWR10" s="9"/>
      <c r="FWS10" s="9"/>
      <c r="FWT10" s="9"/>
      <c r="FWU10" s="9"/>
      <c r="FWV10" s="9"/>
      <c r="FWW10" s="9"/>
      <c r="FWX10" s="9"/>
      <c r="FWY10" s="9"/>
      <c r="FWZ10" s="9"/>
      <c r="FXA10" s="9"/>
      <c r="FXB10" s="9"/>
      <c r="FXC10" s="9"/>
      <c r="FXD10" s="9"/>
      <c r="FXE10" s="9"/>
      <c r="FXF10" s="9"/>
      <c r="FXG10" s="9"/>
      <c r="FXH10" s="9"/>
      <c r="FXI10" s="9"/>
      <c r="FXJ10" s="9"/>
      <c r="FXK10" s="9"/>
      <c r="FXL10" s="9"/>
      <c r="FXM10" s="9"/>
      <c r="FXN10" s="9"/>
      <c r="FXO10" s="9"/>
      <c r="FXP10" s="9"/>
      <c r="FXQ10" s="9"/>
      <c r="FXR10" s="9"/>
      <c r="FXS10" s="9"/>
      <c r="FXT10" s="9"/>
      <c r="FXU10" s="9"/>
      <c r="FXV10" s="9"/>
      <c r="FXW10" s="9"/>
      <c r="FXX10" s="9"/>
      <c r="FXY10" s="9"/>
      <c r="FXZ10" s="9"/>
      <c r="FYA10" s="9"/>
      <c r="FYB10" s="9"/>
      <c r="FYC10" s="9"/>
      <c r="FYD10" s="9"/>
      <c r="FYE10" s="9"/>
      <c r="FYF10" s="9"/>
      <c r="FYG10" s="9"/>
      <c r="FYH10" s="9"/>
      <c r="FYI10" s="9"/>
      <c r="FYJ10" s="9"/>
      <c r="FYK10" s="9"/>
      <c r="FYL10" s="9"/>
      <c r="FYM10" s="9"/>
      <c r="FYN10" s="9"/>
      <c r="FYO10" s="9"/>
      <c r="FYP10" s="9"/>
      <c r="FYQ10" s="9"/>
      <c r="FYR10" s="9"/>
      <c r="FYS10" s="9"/>
      <c r="FYT10" s="9"/>
      <c r="FYU10" s="9"/>
      <c r="FYV10" s="9"/>
      <c r="FYW10" s="9"/>
      <c r="FYX10" s="9"/>
      <c r="FYY10" s="9"/>
      <c r="FYZ10" s="9"/>
      <c r="FZA10" s="9"/>
      <c r="FZB10" s="9"/>
      <c r="FZC10" s="9"/>
      <c r="FZD10" s="9"/>
      <c r="FZE10" s="9"/>
      <c r="FZF10" s="9"/>
      <c r="FZG10" s="9"/>
      <c r="FZH10" s="9"/>
      <c r="FZI10" s="9"/>
      <c r="FZJ10" s="9"/>
      <c r="FZK10" s="9"/>
      <c r="FZL10" s="9"/>
      <c r="FZM10" s="9"/>
      <c r="FZN10" s="9"/>
      <c r="FZO10" s="9"/>
      <c r="FZP10" s="9"/>
      <c r="FZQ10" s="9"/>
      <c r="FZR10" s="9"/>
      <c r="FZS10" s="9"/>
      <c r="FZT10" s="9"/>
      <c r="FZU10" s="9"/>
      <c r="FZV10" s="9"/>
      <c r="FZW10" s="9"/>
      <c r="FZX10" s="9"/>
      <c r="FZY10" s="9"/>
      <c r="FZZ10" s="9"/>
      <c r="GAA10" s="9"/>
      <c r="GAB10" s="9"/>
      <c r="GAC10" s="9"/>
      <c r="GAD10" s="9"/>
      <c r="GAE10" s="9"/>
      <c r="GAF10" s="9"/>
      <c r="GAG10" s="9"/>
      <c r="GAH10" s="9"/>
      <c r="GAI10" s="9"/>
      <c r="GAJ10" s="9"/>
      <c r="GAK10" s="9"/>
      <c r="GAL10" s="9"/>
      <c r="GAM10" s="9"/>
      <c r="GAN10" s="9"/>
      <c r="GAO10" s="9"/>
      <c r="GAP10" s="9"/>
      <c r="GAQ10" s="9"/>
      <c r="GAR10" s="9"/>
      <c r="GAS10" s="9"/>
      <c r="GAT10" s="9"/>
      <c r="GAU10" s="9"/>
      <c r="GAV10" s="9"/>
      <c r="GAW10" s="9"/>
      <c r="GAX10" s="9"/>
      <c r="GAY10" s="9"/>
      <c r="GAZ10" s="9"/>
      <c r="GBA10" s="9"/>
      <c r="GBB10" s="9"/>
      <c r="GBC10" s="9"/>
      <c r="GBD10" s="9"/>
      <c r="GBE10" s="9"/>
      <c r="GBF10" s="9"/>
      <c r="GBG10" s="9"/>
      <c r="GBH10" s="9"/>
      <c r="GBI10" s="9"/>
      <c r="GBJ10" s="9"/>
      <c r="GBK10" s="9"/>
      <c r="GBL10" s="9"/>
      <c r="GBM10" s="9"/>
      <c r="GBN10" s="9"/>
      <c r="GBO10" s="9"/>
      <c r="GBP10" s="9"/>
      <c r="GBQ10" s="9"/>
      <c r="GBR10" s="9"/>
      <c r="GBS10" s="9"/>
      <c r="GBT10" s="9"/>
      <c r="GBU10" s="9"/>
      <c r="GBV10" s="9"/>
      <c r="GBW10" s="9"/>
      <c r="GBX10" s="9"/>
      <c r="GBY10" s="9"/>
      <c r="GBZ10" s="9"/>
      <c r="GCA10" s="9"/>
      <c r="GCB10" s="9"/>
      <c r="GCC10" s="9"/>
      <c r="GCD10" s="9"/>
      <c r="GCE10" s="9"/>
      <c r="GCF10" s="9"/>
      <c r="GCG10" s="9"/>
      <c r="GCH10" s="9"/>
      <c r="GCI10" s="9"/>
      <c r="GCJ10" s="9"/>
      <c r="GCK10" s="9"/>
      <c r="GCL10" s="9"/>
      <c r="GCM10" s="9"/>
      <c r="GCN10" s="9"/>
      <c r="GCO10" s="9"/>
      <c r="GCP10" s="9"/>
      <c r="GCQ10" s="9"/>
      <c r="GCR10" s="9"/>
      <c r="GCS10" s="9"/>
      <c r="GCT10" s="9"/>
      <c r="GCU10" s="9"/>
      <c r="GCV10" s="9"/>
      <c r="GCW10" s="9"/>
      <c r="GCX10" s="9"/>
      <c r="GCY10" s="9"/>
      <c r="GCZ10" s="9"/>
      <c r="GDA10" s="9"/>
      <c r="GDB10" s="9"/>
      <c r="GDC10" s="9"/>
      <c r="GDD10" s="9"/>
      <c r="GDE10" s="9"/>
      <c r="GDF10" s="9"/>
      <c r="GDG10" s="9"/>
      <c r="GDH10" s="9"/>
      <c r="GDI10" s="9"/>
      <c r="GDJ10" s="9"/>
      <c r="GDK10" s="9"/>
      <c r="GDL10" s="9"/>
      <c r="GDM10" s="9"/>
      <c r="GDN10" s="9"/>
      <c r="GDO10" s="9"/>
      <c r="GDP10" s="9"/>
      <c r="GDQ10" s="9"/>
      <c r="GDR10" s="9"/>
      <c r="GDS10" s="9"/>
      <c r="GDT10" s="9"/>
      <c r="GDU10" s="9"/>
      <c r="GDV10" s="9"/>
      <c r="GDW10" s="9"/>
      <c r="GDX10" s="9"/>
      <c r="GDY10" s="9"/>
      <c r="GDZ10" s="9"/>
      <c r="GEA10" s="9"/>
      <c r="GEB10" s="9"/>
      <c r="GEC10" s="9"/>
      <c r="GED10" s="9"/>
      <c r="GEE10" s="9"/>
      <c r="GEF10" s="9"/>
      <c r="GEG10" s="9"/>
      <c r="GEH10" s="9"/>
      <c r="GEI10" s="9"/>
      <c r="GEJ10" s="9"/>
      <c r="GEK10" s="9"/>
      <c r="GEL10" s="9"/>
      <c r="GEM10" s="9"/>
      <c r="GEN10" s="9"/>
      <c r="GEO10" s="9"/>
      <c r="GEP10" s="9"/>
      <c r="GEQ10" s="9"/>
      <c r="GER10" s="9"/>
      <c r="GES10" s="9"/>
      <c r="GET10" s="9"/>
      <c r="GEU10" s="9"/>
      <c r="GEV10" s="9"/>
      <c r="GEW10" s="9"/>
      <c r="GEX10" s="9"/>
      <c r="GEY10" s="9"/>
      <c r="GEZ10" s="9"/>
      <c r="GFA10" s="9"/>
      <c r="GFB10" s="9"/>
      <c r="GFC10" s="9"/>
      <c r="GFD10" s="9"/>
      <c r="GFE10" s="9"/>
      <c r="GFF10" s="9"/>
      <c r="GFG10" s="9"/>
      <c r="GFH10" s="9"/>
      <c r="GFI10" s="9"/>
      <c r="GFJ10" s="9"/>
      <c r="GFK10" s="9"/>
      <c r="GFL10" s="9"/>
      <c r="GFM10" s="9"/>
      <c r="GFN10" s="9"/>
      <c r="GFO10" s="9"/>
      <c r="GFP10" s="9"/>
      <c r="GFQ10" s="9"/>
      <c r="GFR10" s="9"/>
      <c r="GFS10" s="9"/>
      <c r="GFT10" s="9"/>
      <c r="GFU10" s="9"/>
      <c r="GFV10" s="9"/>
      <c r="GFW10" s="9"/>
      <c r="GFX10" s="9"/>
      <c r="GFY10" s="9"/>
      <c r="GFZ10" s="9"/>
      <c r="GGA10" s="9"/>
      <c r="GGB10" s="9"/>
      <c r="GGC10" s="9"/>
      <c r="GGD10" s="9"/>
      <c r="GGE10" s="9"/>
      <c r="GGF10" s="9"/>
      <c r="GGG10" s="9"/>
      <c r="GGH10" s="9"/>
      <c r="GGI10" s="9"/>
      <c r="GGJ10" s="9"/>
      <c r="GGK10" s="9"/>
      <c r="GGL10" s="9"/>
      <c r="GGM10" s="9"/>
      <c r="GGN10" s="9"/>
      <c r="GGO10" s="9"/>
      <c r="GGP10" s="9"/>
      <c r="GGQ10" s="9"/>
      <c r="GGR10" s="9"/>
      <c r="GGS10" s="9"/>
      <c r="GGT10" s="9"/>
      <c r="GGU10" s="9"/>
      <c r="GGV10" s="9"/>
      <c r="GGW10" s="9"/>
      <c r="GGX10" s="9"/>
      <c r="GGY10" s="9"/>
      <c r="GGZ10" s="9"/>
      <c r="GHA10" s="9"/>
      <c r="GHB10" s="9"/>
      <c r="GHC10" s="9"/>
      <c r="GHD10" s="9"/>
      <c r="GHE10" s="9"/>
      <c r="GHF10" s="9"/>
      <c r="GHG10" s="9"/>
      <c r="GHH10" s="9"/>
      <c r="GHI10" s="9"/>
      <c r="GHJ10" s="9"/>
      <c r="GHK10" s="9"/>
      <c r="GHL10" s="9"/>
      <c r="GHM10" s="9"/>
      <c r="GHN10" s="9"/>
      <c r="GHO10" s="9"/>
      <c r="GHP10" s="9"/>
      <c r="GHQ10" s="9"/>
      <c r="GHR10" s="9"/>
      <c r="GHS10" s="9"/>
      <c r="GHT10" s="9"/>
      <c r="GHU10" s="9"/>
      <c r="GHV10" s="9"/>
      <c r="GHW10" s="9"/>
      <c r="GHX10" s="9"/>
      <c r="GHY10" s="9"/>
      <c r="GHZ10" s="9"/>
      <c r="GIA10" s="9"/>
      <c r="GIB10" s="9"/>
      <c r="GIC10" s="9"/>
      <c r="GID10" s="9"/>
      <c r="GIE10" s="9"/>
      <c r="GIF10" s="9"/>
      <c r="GIG10" s="9"/>
      <c r="GIH10" s="9"/>
      <c r="GII10" s="9"/>
      <c r="GIJ10" s="9"/>
      <c r="GIK10" s="9"/>
      <c r="GIL10" s="9"/>
      <c r="GIM10" s="9"/>
      <c r="GIN10" s="9"/>
      <c r="GIO10" s="9"/>
      <c r="GIP10" s="9"/>
      <c r="GIQ10" s="9"/>
      <c r="GIR10" s="9"/>
      <c r="GIS10" s="9"/>
      <c r="GIT10" s="9"/>
      <c r="GIU10" s="9"/>
      <c r="GIV10" s="9"/>
      <c r="GIW10" s="9"/>
      <c r="GIX10" s="9"/>
      <c r="GIY10" s="9"/>
      <c r="GIZ10" s="9"/>
      <c r="GJA10" s="9"/>
      <c r="GJB10" s="9"/>
      <c r="GJC10" s="9"/>
      <c r="GJD10" s="9"/>
      <c r="GJE10" s="9"/>
      <c r="GJF10" s="9"/>
      <c r="GJG10" s="9"/>
      <c r="GJH10" s="9"/>
      <c r="GJI10" s="9"/>
      <c r="GJJ10" s="9"/>
      <c r="GJK10" s="9"/>
      <c r="GJL10" s="9"/>
      <c r="GJM10" s="9"/>
      <c r="GJN10" s="9"/>
      <c r="GJO10" s="9"/>
      <c r="GJP10" s="9"/>
      <c r="GJQ10" s="9"/>
      <c r="GJR10" s="9"/>
      <c r="GJS10" s="9"/>
      <c r="GJT10" s="9"/>
      <c r="GJU10" s="9"/>
      <c r="GJV10" s="9"/>
      <c r="GJW10" s="9"/>
      <c r="GJX10" s="9"/>
      <c r="GJY10" s="9"/>
      <c r="GJZ10" s="9"/>
      <c r="GKA10" s="9"/>
      <c r="GKB10" s="9"/>
      <c r="GKC10" s="9"/>
      <c r="GKD10" s="9"/>
      <c r="GKE10" s="9"/>
      <c r="GKF10" s="9"/>
      <c r="GKG10" s="9"/>
      <c r="GKH10" s="9"/>
      <c r="GKI10" s="9"/>
      <c r="GKJ10" s="9"/>
      <c r="GKK10" s="9"/>
      <c r="GKL10" s="9"/>
      <c r="GKM10" s="9"/>
      <c r="GKN10" s="9"/>
      <c r="GKO10" s="9"/>
      <c r="GKP10" s="9"/>
      <c r="GKQ10" s="9"/>
      <c r="GKR10" s="9"/>
      <c r="GKS10" s="9"/>
      <c r="GKT10" s="9"/>
      <c r="GKU10" s="9"/>
      <c r="GKV10" s="9"/>
      <c r="GKW10" s="9"/>
      <c r="GKX10" s="9"/>
      <c r="GKY10" s="9"/>
      <c r="GKZ10" s="9"/>
      <c r="GLA10" s="9"/>
      <c r="GLB10" s="9"/>
      <c r="GLC10" s="9"/>
      <c r="GLD10" s="9"/>
      <c r="GLE10" s="9"/>
      <c r="GLF10" s="9"/>
      <c r="GLG10" s="9"/>
      <c r="GLH10" s="9"/>
      <c r="GLI10" s="9"/>
      <c r="GLJ10" s="9"/>
      <c r="GLK10" s="9"/>
      <c r="GLL10" s="9"/>
      <c r="GLM10" s="9"/>
      <c r="GLN10" s="9"/>
      <c r="GLO10" s="9"/>
      <c r="GLP10" s="9"/>
      <c r="GLQ10" s="9"/>
      <c r="GLR10" s="9"/>
      <c r="GLS10" s="9"/>
      <c r="GLT10" s="9"/>
      <c r="GLU10" s="9"/>
      <c r="GLV10" s="9"/>
      <c r="GLW10" s="9"/>
      <c r="GLX10" s="9"/>
      <c r="GLY10" s="9"/>
      <c r="GLZ10" s="9"/>
      <c r="GMA10" s="9"/>
      <c r="GMB10" s="9"/>
      <c r="GMC10" s="9"/>
      <c r="GMD10" s="9"/>
      <c r="GME10" s="9"/>
      <c r="GMF10" s="9"/>
      <c r="GMG10" s="9"/>
      <c r="GMH10" s="9"/>
      <c r="GMI10" s="9"/>
      <c r="GMJ10" s="9"/>
      <c r="GMK10" s="9"/>
      <c r="GML10" s="9"/>
      <c r="GMM10" s="9"/>
      <c r="GMN10" s="9"/>
      <c r="GMO10" s="9"/>
      <c r="GMP10" s="9"/>
      <c r="GMQ10" s="9"/>
      <c r="GMR10" s="9"/>
      <c r="GMS10" s="9"/>
      <c r="GMT10" s="9"/>
      <c r="GMU10" s="9"/>
      <c r="GMV10" s="9"/>
      <c r="GMW10" s="9"/>
      <c r="GMX10" s="9"/>
      <c r="GMY10" s="9"/>
      <c r="GMZ10" s="9"/>
      <c r="GNA10" s="9"/>
      <c r="GNB10" s="9"/>
      <c r="GNC10" s="9"/>
      <c r="GND10" s="9"/>
      <c r="GNE10" s="9"/>
      <c r="GNF10" s="9"/>
      <c r="GNG10" s="9"/>
      <c r="GNH10" s="9"/>
      <c r="GNI10" s="9"/>
      <c r="GNJ10" s="9"/>
      <c r="GNK10" s="9"/>
      <c r="GNL10" s="9"/>
      <c r="GNM10" s="9"/>
      <c r="GNN10" s="9"/>
      <c r="GNO10" s="9"/>
      <c r="GNP10" s="9"/>
      <c r="GNQ10" s="9"/>
      <c r="GNR10" s="9"/>
      <c r="GNS10" s="9"/>
      <c r="GNT10" s="9"/>
      <c r="GNU10" s="9"/>
      <c r="GNV10" s="9"/>
      <c r="GNW10" s="9"/>
      <c r="GNX10" s="9"/>
      <c r="GNY10" s="9"/>
      <c r="GNZ10" s="9"/>
      <c r="GOA10" s="9"/>
      <c r="GOB10" s="9"/>
      <c r="GOC10" s="9"/>
      <c r="GOD10" s="9"/>
      <c r="GOE10" s="9"/>
      <c r="GOF10" s="9"/>
      <c r="GOG10" s="9"/>
      <c r="GOH10" s="9"/>
      <c r="GOI10" s="9"/>
      <c r="GOJ10" s="9"/>
      <c r="GOK10" s="9"/>
      <c r="GOL10" s="9"/>
      <c r="GOM10" s="9"/>
      <c r="GON10" s="9"/>
      <c r="GOO10" s="9"/>
      <c r="GOP10" s="9"/>
      <c r="GOQ10" s="9"/>
      <c r="GOR10" s="9"/>
      <c r="GOS10" s="9"/>
      <c r="GOT10" s="9"/>
      <c r="GOU10" s="9"/>
      <c r="GOV10" s="9"/>
      <c r="GOW10" s="9"/>
      <c r="GOX10" s="9"/>
      <c r="GOY10" s="9"/>
      <c r="GOZ10" s="9"/>
      <c r="GPA10" s="9"/>
      <c r="GPB10" s="9"/>
      <c r="GPC10" s="9"/>
      <c r="GPD10" s="9"/>
      <c r="GPE10" s="9"/>
      <c r="GPF10" s="9"/>
      <c r="GPG10" s="9"/>
      <c r="GPH10" s="9"/>
      <c r="GPI10" s="9"/>
      <c r="GPJ10" s="9"/>
      <c r="GPK10" s="9"/>
      <c r="GPL10" s="9"/>
      <c r="GPM10" s="9"/>
      <c r="GPN10" s="9"/>
      <c r="GPO10" s="9"/>
      <c r="GPP10" s="9"/>
      <c r="GPQ10" s="9"/>
      <c r="GPR10" s="9"/>
      <c r="GPS10" s="9"/>
      <c r="GPT10" s="9"/>
      <c r="GPU10" s="9"/>
      <c r="GPV10" s="9"/>
      <c r="GPW10" s="9"/>
      <c r="GPX10" s="9"/>
      <c r="GPY10" s="9"/>
      <c r="GPZ10" s="9"/>
      <c r="GQA10" s="9"/>
      <c r="GQB10" s="9"/>
      <c r="GQC10" s="9"/>
      <c r="GQD10" s="9"/>
      <c r="GQE10" s="9"/>
      <c r="GQF10" s="9"/>
      <c r="GQG10" s="9"/>
      <c r="GQH10" s="9"/>
      <c r="GQI10" s="9"/>
      <c r="GQJ10" s="9"/>
      <c r="GQK10" s="9"/>
      <c r="GQL10" s="9"/>
      <c r="GQM10" s="9"/>
      <c r="GQN10" s="9"/>
      <c r="GQO10" s="9"/>
      <c r="GQP10" s="9"/>
      <c r="GQQ10" s="9"/>
      <c r="GQR10" s="9"/>
      <c r="GQS10" s="9"/>
      <c r="GQT10" s="9"/>
      <c r="GQU10" s="9"/>
      <c r="GQV10" s="9"/>
      <c r="GQW10" s="9"/>
      <c r="GQX10" s="9"/>
      <c r="GQY10" s="9"/>
      <c r="GQZ10" s="9"/>
      <c r="GRA10" s="9"/>
      <c r="GRB10" s="9"/>
      <c r="GRC10" s="9"/>
      <c r="GRD10" s="9"/>
      <c r="GRE10" s="9"/>
      <c r="GRF10" s="9"/>
      <c r="GRG10" s="9"/>
      <c r="GRH10" s="9"/>
      <c r="GRI10" s="9"/>
      <c r="GRJ10" s="9"/>
      <c r="GRK10" s="9"/>
      <c r="GRL10" s="9"/>
      <c r="GRM10" s="9"/>
      <c r="GRN10" s="9"/>
      <c r="GRO10" s="9"/>
      <c r="GRP10" s="9"/>
      <c r="GRQ10" s="9"/>
      <c r="GRR10" s="9"/>
      <c r="GRS10" s="9"/>
      <c r="GRT10" s="9"/>
      <c r="GRU10" s="9"/>
      <c r="GRV10" s="9"/>
      <c r="GRW10" s="9"/>
      <c r="GRX10" s="9"/>
      <c r="GRY10" s="9"/>
      <c r="GRZ10" s="9"/>
      <c r="GSA10" s="9"/>
      <c r="GSB10" s="9"/>
      <c r="GSC10" s="9"/>
      <c r="GSD10" s="9"/>
      <c r="GSE10" s="9"/>
      <c r="GSF10" s="9"/>
      <c r="GSG10" s="9"/>
      <c r="GSH10" s="9"/>
      <c r="GSI10" s="9"/>
      <c r="GSJ10" s="9"/>
      <c r="GSK10" s="9"/>
      <c r="GSL10" s="9"/>
      <c r="GSM10" s="9"/>
      <c r="GSN10" s="9"/>
      <c r="GSO10" s="9"/>
      <c r="GSP10" s="9"/>
      <c r="GSQ10" s="9"/>
      <c r="GSR10" s="9"/>
      <c r="GSS10" s="9"/>
      <c r="GST10" s="9"/>
      <c r="GSU10" s="9"/>
      <c r="GSV10" s="9"/>
      <c r="GSW10" s="9"/>
      <c r="GSX10" s="9"/>
      <c r="GSY10" s="9"/>
      <c r="GSZ10" s="9"/>
      <c r="GTA10" s="9"/>
      <c r="GTB10" s="9"/>
      <c r="GTC10" s="9"/>
      <c r="GTD10" s="9"/>
      <c r="GTE10" s="9"/>
      <c r="GTF10" s="9"/>
      <c r="GTG10" s="9"/>
      <c r="GTH10" s="9"/>
      <c r="GTI10" s="9"/>
      <c r="GTJ10" s="9"/>
      <c r="GTK10" s="9"/>
      <c r="GTL10" s="9"/>
      <c r="GTM10" s="9"/>
      <c r="GTN10" s="9"/>
      <c r="GTO10" s="9"/>
      <c r="GTP10" s="9"/>
      <c r="GTQ10" s="9"/>
      <c r="GTR10" s="9"/>
      <c r="GTS10" s="9"/>
      <c r="GTT10" s="9"/>
      <c r="GTU10" s="9"/>
      <c r="GTV10" s="9"/>
      <c r="GTW10" s="9"/>
      <c r="GTX10" s="9"/>
      <c r="GTY10" s="9"/>
      <c r="GTZ10" s="9"/>
      <c r="GUA10" s="9"/>
      <c r="GUB10" s="9"/>
      <c r="GUC10" s="9"/>
      <c r="GUD10" s="9"/>
      <c r="GUE10" s="9"/>
      <c r="GUF10" s="9"/>
      <c r="GUG10" s="9"/>
      <c r="GUH10" s="9"/>
      <c r="GUI10" s="9"/>
      <c r="GUJ10" s="9"/>
      <c r="GUK10" s="9"/>
      <c r="GUL10" s="9"/>
      <c r="GUM10" s="9"/>
      <c r="GUN10" s="9"/>
      <c r="GUO10" s="9"/>
      <c r="GUP10" s="9"/>
      <c r="GUQ10" s="9"/>
      <c r="GUR10" s="9"/>
      <c r="GUS10" s="9"/>
      <c r="GUT10" s="9"/>
      <c r="GUU10" s="9"/>
      <c r="GUV10" s="9"/>
      <c r="GUW10" s="9"/>
      <c r="GUX10" s="9"/>
      <c r="GUY10" s="9"/>
      <c r="GUZ10" s="9"/>
      <c r="GVA10" s="9"/>
      <c r="GVB10" s="9"/>
      <c r="GVC10" s="9"/>
      <c r="GVD10" s="9"/>
      <c r="GVE10" s="9"/>
      <c r="GVF10" s="9"/>
      <c r="GVG10" s="9"/>
      <c r="GVH10" s="9"/>
      <c r="GVI10" s="9"/>
      <c r="GVJ10" s="9"/>
      <c r="GVK10" s="9"/>
      <c r="GVL10" s="9"/>
      <c r="GVM10" s="9"/>
      <c r="GVN10" s="9"/>
      <c r="GVO10" s="9"/>
      <c r="GVP10" s="9"/>
      <c r="GVQ10" s="9"/>
      <c r="GVR10" s="9"/>
      <c r="GVS10" s="9"/>
      <c r="GVT10" s="9"/>
      <c r="GVU10" s="9"/>
      <c r="GVV10" s="9"/>
      <c r="GVW10" s="9"/>
      <c r="GVX10" s="9"/>
      <c r="GVY10" s="9"/>
      <c r="GVZ10" s="9"/>
      <c r="GWA10" s="9"/>
      <c r="GWB10" s="9"/>
      <c r="GWC10" s="9"/>
      <c r="GWD10" s="9"/>
      <c r="GWE10" s="9"/>
      <c r="GWF10" s="9"/>
      <c r="GWG10" s="9"/>
      <c r="GWH10" s="9"/>
      <c r="GWI10" s="9"/>
      <c r="GWJ10" s="9"/>
      <c r="GWK10" s="9"/>
      <c r="GWL10" s="9"/>
      <c r="GWM10" s="9"/>
      <c r="GWN10" s="9"/>
      <c r="GWO10" s="9"/>
      <c r="GWP10" s="9"/>
      <c r="GWQ10" s="9"/>
      <c r="GWR10" s="9"/>
      <c r="GWS10" s="9"/>
      <c r="GWT10" s="9"/>
      <c r="GWU10" s="9"/>
      <c r="GWV10" s="9"/>
      <c r="GWW10" s="9"/>
      <c r="GWX10" s="9"/>
      <c r="GWY10" s="9"/>
      <c r="GWZ10" s="9"/>
      <c r="GXA10" s="9"/>
      <c r="GXB10" s="9"/>
      <c r="GXC10" s="9"/>
      <c r="GXD10" s="9"/>
      <c r="GXE10" s="9"/>
      <c r="GXF10" s="9"/>
      <c r="GXG10" s="9"/>
      <c r="GXH10" s="9"/>
      <c r="GXI10" s="9"/>
      <c r="GXJ10" s="9"/>
      <c r="GXK10" s="9"/>
      <c r="GXL10" s="9"/>
      <c r="GXM10" s="9"/>
      <c r="GXN10" s="9"/>
      <c r="GXO10" s="9"/>
      <c r="GXP10" s="9"/>
      <c r="GXQ10" s="9"/>
      <c r="GXR10" s="9"/>
      <c r="GXS10" s="9"/>
      <c r="GXT10" s="9"/>
      <c r="GXU10" s="9"/>
      <c r="GXV10" s="9"/>
      <c r="GXW10" s="9"/>
      <c r="GXX10" s="9"/>
      <c r="GXY10" s="9"/>
      <c r="GXZ10" s="9"/>
      <c r="GYA10" s="9"/>
      <c r="GYB10" s="9"/>
      <c r="GYC10" s="9"/>
      <c r="GYD10" s="9"/>
      <c r="GYE10" s="9"/>
      <c r="GYF10" s="9"/>
      <c r="GYG10" s="9"/>
      <c r="GYH10" s="9"/>
      <c r="GYI10" s="9"/>
      <c r="GYJ10" s="9"/>
      <c r="GYK10" s="9"/>
      <c r="GYL10" s="9"/>
      <c r="GYM10" s="9"/>
      <c r="GYN10" s="9"/>
      <c r="GYO10" s="9"/>
      <c r="GYP10" s="9"/>
      <c r="GYQ10" s="9"/>
      <c r="GYR10" s="9"/>
      <c r="GYS10" s="9"/>
      <c r="GYT10" s="9"/>
      <c r="GYU10" s="9"/>
      <c r="GYV10" s="9"/>
      <c r="GYW10" s="9"/>
      <c r="GYX10" s="9"/>
      <c r="GYY10" s="9"/>
      <c r="GYZ10" s="9"/>
      <c r="GZA10" s="9"/>
      <c r="GZB10" s="9"/>
      <c r="GZC10" s="9"/>
      <c r="GZD10" s="9"/>
      <c r="GZE10" s="9"/>
      <c r="GZF10" s="9"/>
      <c r="GZG10" s="9"/>
      <c r="GZH10" s="9"/>
      <c r="GZI10" s="9"/>
      <c r="GZJ10" s="9"/>
      <c r="GZK10" s="9"/>
      <c r="GZL10" s="9"/>
      <c r="GZM10" s="9"/>
      <c r="GZN10" s="9"/>
      <c r="GZO10" s="9"/>
      <c r="GZP10" s="9"/>
      <c r="GZQ10" s="9"/>
      <c r="GZR10" s="9"/>
      <c r="GZS10" s="9"/>
      <c r="GZT10" s="9"/>
      <c r="GZU10" s="9"/>
      <c r="GZV10" s="9"/>
      <c r="GZW10" s="9"/>
      <c r="GZX10" s="9"/>
      <c r="GZY10" s="9"/>
      <c r="GZZ10" s="9"/>
      <c r="HAA10" s="9"/>
      <c r="HAB10" s="9"/>
      <c r="HAC10" s="9"/>
      <c r="HAD10" s="9"/>
      <c r="HAE10" s="9"/>
      <c r="HAF10" s="9"/>
      <c r="HAG10" s="9"/>
      <c r="HAH10" s="9"/>
      <c r="HAI10" s="9"/>
      <c r="HAJ10" s="9"/>
      <c r="HAK10" s="9"/>
      <c r="HAL10" s="9"/>
      <c r="HAM10" s="9"/>
      <c r="HAN10" s="9"/>
      <c r="HAO10" s="9"/>
      <c r="HAP10" s="9"/>
      <c r="HAQ10" s="9"/>
      <c r="HAR10" s="9"/>
      <c r="HAS10" s="9"/>
      <c r="HAT10" s="9"/>
      <c r="HAU10" s="9"/>
      <c r="HAV10" s="9"/>
      <c r="HAW10" s="9"/>
      <c r="HAX10" s="9"/>
      <c r="HAY10" s="9"/>
      <c r="HAZ10" s="9"/>
      <c r="HBA10" s="9"/>
      <c r="HBB10" s="9"/>
      <c r="HBC10" s="9"/>
      <c r="HBD10" s="9"/>
      <c r="HBE10" s="9"/>
      <c r="HBF10" s="9"/>
      <c r="HBG10" s="9"/>
      <c r="HBH10" s="9"/>
      <c r="HBI10" s="9"/>
      <c r="HBJ10" s="9"/>
      <c r="HBK10" s="9"/>
      <c r="HBL10" s="9"/>
      <c r="HBM10" s="9"/>
      <c r="HBN10" s="9"/>
      <c r="HBO10" s="9"/>
      <c r="HBP10" s="9"/>
      <c r="HBQ10" s="9"/>
      <c r="HBR10" s="9"/>
      <c r="HBS10" s="9"/>
      <c r="HBT10" s="9"/>
      <c r="HBU10" s="9"/>
      <c r="HBV10" s="9"/>
      <c r="HBW10" s="9"/>
      <c r="HBX10" s="9"/>
      <c r="HBY10" s="9"/>
      <c r="HBZ10" s="9"/>
      <c r="HCA10" s="9"/>
      <c r="HCB10" s="9"/>
      <c r="HCC10" s="9"/>
      <c r="HCD10" s="9"/>
      <c r="HCE10" s="9"/>
      <c r="HCF10" s="9"/>
      <c r="HCG10" s="9"/>
      <c r="HCH10" s="9"/>
      <c r="HCI10" s="9"/>
      <c r="HCJ10" s="9"/>
      <c r="HCK10" s="9"/>
      <c r="HCL10" s="9"/>
      <c r="HCM10" s="9"/>
      <c r="HCN10" s="9"/>
      <c r="HCO10" s="9"/>
      <c r="HCP10" s="9"/>
      <c r="HCQ10" s="9"/>
      <c r="HCR10" s="9"/>
      <c r="HCS10" s="9"/>
      <c r="HCT10" s="9"/>
      <c r="HCU10" s="9"/>
      <c r="HCV10" s="9"/>
      <c r="HCW10" s="9"/>
      <c r="HCX10" s="9"/>
      <c r="HCY10" s="9"/>
      <c r="HCZ10" s="9"/>
      <c r="HDA10" s="9"/>
      <c r="HDB10" s="9"/>
      <c r="HDC10" s="9"/>
      <c r="HDD10" s="9"/>
      <c r="HDE10" s="9"/>
      <c r="HDF10" s="9"/>
      <c r="HDG10" s="9"/>
      <c r="HDH10" s="9"/>
      <c r="HDI10" s="9"/>
      <c r="HDJ10" s="9"/>
      <c r="HDK10" s="9"/>
      <c r="HDL10" s="9"/>
      <c r="HDM10" s="9"/>
      <c r="HDN10" s="9"/>
      <c r="HDO10" s="9"/>
      <c r="HDP10" s="9"/>
      <c r="HDQ10" s="9"/>
      <c r="HDR10" s="9"/>
      <c r="HDS10" s="9"/>
      <c r="HDT10" s="9"/>
      <c r="HDU10" s="9"/>
      <c r="HDV10" s="9"/>
      <c r="HDW10" s="9"/>
      <c r="HDX10" s="9"/>
      <c r="HDY10" s="9"/>
      <c r="HDZ10" s="9"/>
      <c r="HEA10" s="9"/>
      <c r="HEB10" s="9"/>
      <c r="HEC10" s="9"/>
      <c r="HED10" s="9"/>
      <c r="HEE10" s="9"/>
      <c r="HEF10" s="9"/>
      <c r="HEG10" s="9"/>
      <c r="HEH10" s="9"/>
      <c r="HEI10" s="9"/>
      <c r="HEJ10" s="9"/>
      <c r="HEK10" s="9"/>
      <c r="HEL10" s="9"/>
      <c r="HEM10" s="9"/>
      <c r="HEN10" s="9"/>
      <c r="HEO10" s="9"/>
      <c r="HEP10" s="9"/>
      <c r="HEQ10" s="9"/>
      <c r="HER10" s="9"/>
      <c r="HES10" s="9"/>
      <c r="HET10" s="9"/>
      <c r="HEU10" s="9"/>
      <c r="HEV10" s="9"/>
      <c r="HEW10" s="9"/>
      <c r="HEX10" s="9"/>
      <c r="HEY10" s="9"/>
      <c r="HEZ10" s="9"/>
      <c r="HFA10" s="9"/>
      <c r="HFB10" s="9"/>
      <c r="HFC10" s="9"/>
      <c r="HFD10" s="9"/>
      <c r="HFE10" s="9"/>
      <c r="HFF10" s="9"/>
      <c r="HFG10" s="9"/>
      <c r="HFH10" s="9"/>
      <c r="HFI10" s="9"/>
      <c r="HFJ10" s="9"/>
      <c r="HFK10" s="9"/>
      <c r="HFL10" s="9"/>
      <c r="HFM10" s="9"/>
      <c r="HFN10" s="9"/>
      <c r="HFO10" s="9"/>
      <c r="HFP10" s="9"/>
      <c r="HFQ10" s="9"/>
      <c r="HFR10" s="9"/>
      <c r="HFS10" s="9"/>
      <c r="HFT10" s="9"/>
      <c r="HFU10" s="9"/>
      <c r="HFV10" s="9"/>
      <c r="HFW10" s="9"/>
      <c r="HFX10" s="9"/>
      <c r="HFY10" s="9"/>
      <c r="HFZ10" s="9"/>
      <c r="HGA10" s="9"/>
      <c r="HGB10" s="9"/>
      <c r="HGC10" s="9"/>
      <c r="HGD10" s="9"/>
      <c r="HGE10" s="9"/>
      <c r="HGF10" s="9"/>
      <c r="HGG10" s="9"/>
      <c r="HGH10" s="9"/>
      <c r="HGI10" s="9"/>
      <c r="HGJ10" s="9"/>
      <c r="HGK10" s="9"/>
      <c r="HGL10" s="9"/>
      <c r="HGM10" s="9"/>
      <c r="HGN10" s="9"/>
      <c r="HGO10" s="9"/>
      <c r="HGP10" s="9"/>
      <c r="HGQ10" s="9"/>
      <c r="HGR10" s="9"/>
      <c r="HGS10" s="9"/>
      <c r="HGT10" s="9"/>
      <c r="HGU10" s="9"/>
      <c r="HGV10" s="9"/>
      <c r="HGW10" s="9"/>
      <c r="HGX10" s="9"/>
      <c r="HGY10" s="9"/>
      <c r="HGZ10" s="9"/>
      <c r="HHA10" s="9"/>
      <c r="HHB10" s="9"/>
      <c r="HHC10" s="9"/>
      <c r="HHD10" s="9"/>
      <c r="HHE10" s="9"/>
      <c r="HHF10" s="9"/>
      <c r="HHG10" s="9"/>
      <c r="HHH10" s="9"/>
      <c r="HHI10" s="9"/>
      <c r="HHJ10" s="9"/>
      <c r="HHK10" s="9"/>
      <c r="HHL10" s="9"/>
      <c r="HHM10" s="9"/>
      <c r="HHN10" s="9"/>
      <c r="HHO10" s="9"/>
      <c r="HHP10" s="9"/>
      <c r="HHQ10" s="9"/>
      <c r="HHR10" s="9"/>
      <c r="HHS10" s="9"/>
      <c r="HHT10" s="9"/>
      <c r="HHU10" s="9"/>
      <c r="HHV10" s="9"/>
      <c r="HHW10" s="9"/>
      <c r="HHX10" s="9"/>
      <c r="HHY10" s="9"/>
      <c r="HHZ10" s="9"/>
      <c r="HIA10" s="9"/>
      <c r="HIB10" s="9"/>
      <c r="HIC10" s="9"/>
      <c r="HID10" s="9"/>
      <c r="HIE10" s="9"/>
      <c r="HIF10" s="9"/>
      <c r="HIG10" s="9"/>
      <c r="HIH10" s="9"/>
      <c r="HII10" s="9"/>
      <c r="HIJ10" s="9"/>
      <c r="HIK10" s="9"/>
      <c r="HIL10" s="9"/>
      <c r="HIM10" s="9"/>
      <c r="HIN10" s="9"/>
      <c r="HIO10" s="9"/>
      <c r="HIP10" s="9"/>
      <c r="HIQ10" s="9"/>
      <c r="HIR10" s="9"/>
      <c r="HIS10" s="9"/>
      <c r="HIT10" s="9"/>
      <c r="HIU10" s="9"/>
      <c r="HIV10" s="9"/>
      <c r="HIW10" s="9"/>
      <c r="HIX10" s="9"/>
      <c r="HIY10" s="9"/>
      <c r="HIZ10" s="9"/>
      <c r="HJA10" s="9"/>
      <c r="HJB10" s="9"/>
      <c r="HJC10" s="9"/>
      <c r="HJD10" s="9"/>
      <c r="HJE10" s="9"/>
      <c r="HJF10" s="9"/>
      <c r="HJG10" s="9"/>
      <c r="HJH10" s="9"/>
      <c r="HJI10" s="9"/>
      <c r="HJJ10" s="9"/>
      <c r="HJK10" s="9"/>
      <c r="HJL10" s="9"/>
      <c r="HJM10" s="9"/>
      <c r="HJN10" s="9"/>
      <c r="HJO10" s="9"/>
      <c r="HJP10" s="9"/>
      <c r="HJQ10" s="9"/>
      <c r="HJR10" s="9"/>
      <c r="HJS10" s="9"/>
      <c r="HJT10" s="9"/>
      <c r="HJU10" s="9"/>
      <c r="HJV10" s="9"/>
      <c r="HJW10" s="9"/>
      <c r="HJX10" s="9"/>
      <c r="HJY10" s="9"/>
      <c r="HJZ10" s="9"/>
      <c r="HKA10" s="9"/>
      <c r="HKB10" s="9"/>
      <c r="HKC10" s="9"/>
      <c r="HKD10" s="9"/>
      <c r="HKE10" s="9"/>
      <c r="HKF10" s="9"/>
      <c r="HKG10" s="9"/>
      <c r="HKH10" s="9"/>
      <c r="HKI10" s="9"/>
      <c r="HKJ10" s="9"/>
      <c r="HKK10" s="9"/>
      <c r="HKL10" s="9"/>
      <c r="HKM10" s="9"/>
      <c r="HKN10" s="9"/>
      <c r="HKO10" s="9"/>
      <c r="HKP10" s="9"/>
      <c r="HKQ10" s="9"/>
      <c r="HKR10" s="9"/>
      <c r="HKS10" s="9"/>
      <c r="HKT10" s="9"/>
      <c r="HKU10" s="9"/>
      <c r="HKV10" s="9"/>
      <c r="HKW10" s="9"/>
      <c r="HKX10" s="9"/>
      <c r="HKY10" s="9"/>
      <c r="HKZ10" s="9"/>
      <c r="HLA10" s="9"/>
      <c r="HLB10" s="9"/>
      <c r="HLC10" s="9"/>
      <c r="HLD10" s="9"/>
      <c r="HLE10" s="9"/>
      <c r="HLF10" s="9"/>
      <c r="HLG10" s="9"/>
      <c r="HLH10" s="9"/>
      <c r="HLI10" s="9"/>
      <c r="HLJ10" s="9"/>
      <c r="HLK10" s="9"/>
      <c r="HLL10" s="9"/>
      <c r="HLM10" s="9"/>
      <c r="HLN10" s="9"/>
      <c r="HLO10" s="9"/>
      <c r="HLP10" s="9"/>
      <c r="HLQ10" s="9"/>
      <c r="HLR10" s="9"/>
      <c r="HLS10" s="9"/>
      <c r="HLT10" s="9"/>
      <c r="HLU10" s="9"/>
      <c r="HLV10" s="9"/>
      <c r="HLW10" s="9"/>
      <c r="HLX10" s="9"/>
      <c r="HLY10" s="9"/>
      <c r="HLZ10" s="9"/>
      <c r="HMA10" s="9"/>
      <c r="HMB10" s="9"/>
      <c r="HMC10" s="9"/>
      <c r="HMD10" s="9"/>
      <c r="HME10" s="9"/>
      <c r="HMF10" s="9"/>
      <c r="HMG10" s="9"/>
      <c r="HMH10" s="9"/>
      <c r="HMI10" s="9"/>
      <c r="HMJ10" s="9"/>
      <c r="HMK10" s="9"/>
      <c r="HML10" s="9"/>
      <c r="HMM10" s="9"/>
      <c r="HMN10" s="9"/>
      <c r="HMO10" s="9"/>
      <c r="HMP10" s="9"/>
      <c r="HMQ10" s="9"/>
      <c r="HMR10" s="9"/>
      <c r="HMS10" s="9"/>
      <c r="HMT10" s="9"/>
      <c r="HMU10" s="9"/>
      <c r="HMV10" s="9"/>
      <c r="HMW10" s="9"/>
      <c r="HMX10" s="9"/>
      <c r="HMY10" s="9"/>
      <c r="HMZ10" s="9"/>
      <c r="HNA10" s="9"/>
      <c r="HNB10" s="9"/>
      <c r="HNC10" s="9"/>
      <c r="HND10" s="9"/>
      <c r="HNE10" s="9"/>
      <c r="HNF10" s="9"/>
      <c r="HNG10" s="9"/>
      <c r="HNH10" s="9"/>
      <c r="HNI10" s="9"/>
      <c r="HNJ10" s="9"/>
      <c r="HNK10" s="9"/>
      <c r="HNL10" s="9"/>
      <c r="HNM10" s="9"/>
      <c r="HNN10" s="9"/>
      <c r="HNO10" s="9"/>
      <c r="HNP10" s="9"/>
      <c r="HNQ10" s="9"/>
      <c r="HNR10" s="9"/>
      <c r="HNS10" s="9"/>
      <c r="HNT10" s="9"/>
      <c r="HNU10" s="9"/>
      <c r="HNV10" s="9"/>
      <c r="HNW10" s="9"/>
      <c r="HNX10" s="9"/>
      <c r="HNY10" s="9"/>
      <c r="HNZ10" s="9"/>
      <c r="HOA10" s="9"/>
      <c r="HOB10" s="9"/>
      <c r="HOC10" s="9"/>
      <c r="HOD10" s="9"/>
      <c r="HOE10" s="9"/>
      <c r="HOF10" s="9"/>
      <c r="HOG10" s="9"/>
      <c r="HOH10" s="9"/>
      <c r="HOI10" s="9"/>
      <c r="HOJ10" s="9"/>
      <c r="HOK10" s="9"/>
      <c r="HOL10" s="9"/>
      <c r="HOM10" s="9"/>
      <c r="HON10" s="9"/>
      <c r="HOO10" s="9"/>
      <c r="HOP10" s="9"/>
      <c r="HOQ10" s="9"/>
      <c r="HOR10" s="9"/>
      <c r="HOS10" s="9"/>
      <c r="HOT10" s="9"/>
      <c r="HOU10" s="9"/>
      <c r="HOV10" s="9"/>
      <c r="HOW10" s="9"/>
      <c r="HOX10" s="9"/>
      <c r="HOY10" s="9"/>
      <c r="HOZ10" s="9"/>
      <c r="HPA10" s="9"/>
      <c r="HPB10" s="9"/>
      <c r="HPC10" s="9"/>
      <c r="HPD10" s="9"/>
      <c r="HPE10" s="9"/>
      <c r="HPF10" s="9"/>
      <c r="HPG10" s="9"/>
      <c r="HPH10" s="9"/>
      <c r="HPI10" s="9"/>
      <c r="HPJ10" s="9"/>
      <c r="HPK10" s="9"/>
      <c r="HPL10" s="9"/>
      <c r="HPM10" s="9"/>
      <c r="HPN10" s="9"/>
      <c r="HPO10" s="9"/>
      <c r="HPP10" s="9"/>
      <c r="HPQ10" s="9"/>
      <c r="HPR10" s="9"/>
      <c r="HPS10" s="9"/>
      <c r="HPT10" s="9"/>
      <c r="HPU10" s="9"/>
      <c r="HPV10" s="9"/>
      <c r="HPW10" s="9"/>
      <c r="HPX10" s="9"/>
      <c r="HPY10" s="9"/>
      <c r="HPZ10" s="9"/>
      <c r="HQA10" s="9"/>
      <c r="HQB10" s="9"/>
      <c r="HQC10" s="9"/>
      <c r="HQD10" s="9"/>
      <c r="HQE10" s="9"/>
      <c r="HQF10" s="9"/>
      <c r="HQG10" s="9"/>
      <c r="HQH10" s="9"/>
      <c r="HQI10" s="9"/>
      <c r="HQJ10" s="9"/>
      <c r="HQK10" s="9"/>
      <c r="HQL10" s="9"/>
      <c r="HQM10" s="9"/>
      <c r="HQN10" s="9"/>
      <c r="HQO10" s="9"/>
      <c r="HQP10" s="9"/>
      <c r="HQQ10" s="9"/>
      <c r="HQR10" s="9"/>
      <c r="HQS10" s="9"/>
      <c r="HQT10" s="9"/>
      <c r="HQU10" s="9"/>
      <c r="HQV10" s="9"/>
      <c r="HQW10" s="9"/>
      <c r="HQX10" s="9"/>
      <c r="HQY10" s="9"/>
      <c r="HQZ10" s="9"/>
      <c r="HRA10" s="9"/>
      <c r="HRB10" s="9"/>
      <c r="HRC10" s="9"/>
      <c r="HRD10" s="9"/>
      <c r="HRE10" s="9"/>
      <c r="HRF10" s="9"/>
      <c r="HRG10" s="9"/>
      <c r="HRH10" s="9"/>
      <c r="HRI10" s="9"/>
      <c r="HRJ10" s="9"/>
      <c r="HRK10" s="9"/>
      <c r="HRL10" s="9"/>
      <c r="HRM10" s="9"/>
      <c r="HRN10" s="9"/>
      <c r="HRO10" s="9"/>
      <c r="HRP10" s="9"/>
      <c r="HRQ10" s="9"/>
      <c r="HRR10" s="9"/>
      <c r="HRS10" s="9"/>
      <c r="HRT10" s="9"/>
      <c r="HRU10" s="9"/>
      <c r="HRV10" s="9"/>
      <c r="HRW10" s="9"/>
      <c r="HRX10" s="9"/>
      <c r="HRY10" s="9"/>
      <c r="HRZ10" s="9"/>
      <c r="HSA10" s="9"/>
      <c r="HSB10" s="9"/>
      <c r="HSC10" s="9"/>
      <c r="HSD10" s="9"/>
      <c r="HSE10" s="9"/>
      <c r="HSF10" s="9"/>
      <c r="HSG10" s="9"/>
      <c r="HSH10" s="9"/>
      <c r="HSI10" s="9"/>
      <c r="HSJ10" s="9"/>
      <c r="HSK10" s="9"/>
      <c r="HSL10" s="9"/>
      <c r="HSM10" s="9"/>
      <c r="HSN10" s="9"/>
      <c r="HSO10" s="9"/>
      <c r="HSP10" s="9"/>
      <c r="HSQ10" s="9"/>
      <c r="HSR10" s="9"/>
      <c r="HSS10" s="9"/>
      <c r="HST10" s="9"/>
      <c r="HSU10" s="9"/>
      <c r="HSV10" s="9"/>
      <c r="HSW10" s="9"/>
      <c r="HSX10" s="9"/>
      <c r="HSY10" s="9"/>
      <c r="HSZ10" s="9"/>
      <c r="HTA10" s="9"/>
      <c r="HTB10" s="9"/>
      <c r="HTC10" s="9"/>
      <c r="HTD10" s="9"/>
      <c r="HTE10" s="9"/>
      <c r="HTF10" s="9"/>
      <c r="HTG10" s="9"/>
      <c r="HTH10" s="9"/>
      <c r="HTI10" s="9"/>
      <c r="HTJ10" s="9"/>
      <c r="HTK10" s="9"/>
      <c r="HTL10" s="9"/>
      <c r="HTM10" s="9"/>
      <c r="HTN10" s="9"/>
      <c r="HTO10" s="9"/>
      <c r="HTP10" s="9"/>
      <c r="HTQ10" s="9"/>
      <c r="HTR10" s="9"/>
      <c r="HTS10" s="9"/>
      <c r="HTT10" s="9"/>
      <c r="HTU10" s="9"/>
      <c r="HTV10" s="9"/>
      <c r="HTW10" s="9"/>
      <c r="HTX10" s="9"/>
      <c r="HTY10" s="9"/>
      <c r="HTZ10" s="9"/>
      <c r="HUA10" s="9"/>
      <c r="HUB10" s="9"/>
      <c r="HUC10" s="9"/>
      <c r="HUD10" s="9"/>
      <c r="HUE10" s="9"/>
      <c r="HUF10" s="9"/>
      <c r="HUG10" s="9"/>
      <c r="HUH10" s="9"/>
      <c r="HUI10" s="9"/>
      <c r="HUJ10" s="9"/>
      <c r="HUK10" s="9"/>
      <c r="HUL10" s="9"/>
      <c r="HUM10" s="9"/>
      <c r="HUN10" s="9"/>
      <c r="HUO10" s="9"/>
      <c r="HUP10" s="9"/>
      <c r="HUQ10" s="9"/>
      <c r="HUR10" s="9"/>
      <c r="HUS10" s="9"/>
      <c r="HUT10" s="9"/>
      <c r="HUU10" s="9"/>
      <c r="HUV10" s="9"/>
      <c r="HUW10" s="9"/>
      <c r="HUX10" s="9"/>
      <c r="HUY10" s="9"/>
      <c r="HUZ10" s="9"/>
      <c r="HVA10" s="9"/>
      <c r="HVB10" s="9"/>
      <c r="HVC10" s="9"/>
      <c r="HVD10" s="9"/>
      <c r="HVE10" s="9"/>
      <c r="HVF10" s="9"/>
      <c r="HVG10" s="9"/>
      <c r="HVH10" s="9"/>
      <c r="HVI10" s="9"/>
      <c r="HVJ10" s="9"/>
      <c r="HVK10" s="9"/>
      <c r="HVL10" s="9"/>
      <c r="HVM10" s="9"/>
      <c r="HVN10" s="9"/>
      <c r="HVO10" s="9"/>
      <c r="HVP10" s="9"/>
      <c r="HVQ10" s="9"/>
      <c r="HVR10" s="9"/>
      <c r="HVS10" s="9"/>
      <c r="HVT10" s="9"/>
      <c r="HVU10" s="9"/>
      <c r="HVV10" s="9"/>
      <c r="HVW10" s="9"/>
      <c r="HVX10" s="9"/>
      <c r="HVY10" s="9"/>
      <c r="HVZ10" s="9"/>
      <c r="HWA10" s="9"/>
      <c r="HWB10" s="9"/>
      <c r="HWC10" s="9"/>
      <c r="HWD10" s="9"/>
      <c r="HWE10" s="9"/>
      <c r="HWF10" s="9"/>
      <c r="HWG10" s="9"/>
      <c r="HWH10" s="9"/>
      <c r="HWI10" s="9"/>
      <c r="HWJ10" s="9"/>
      <c r="HWK10" s="9"/>
      <c r="HWL10" s="9"/>
      <c r="HWM10" s="9"/>
      <c r="HWN10" s="9"/>
      <c r="HWO10" s="9"/>
      <c r="HWP10" s="9"/>
      <c r="HWQ10" s="9"/>
      <c r="HWR10" s="9"/>
      <c r="HWS10" s="9"/>
      <c r="HWT10" s="9"/>
      <c r="HWU10" s="9"/>
      <c r="HWV10" s="9"/>
      <c r="HWW10" s="9"/>
      <c r="HWX10" s="9"/>
      <c r="HWY10" s="9"/>
      <c r="HWZ10" s="9"/>
      <c r="HXA10" s="9"/>
      <c r="HXB10" s="9"/>
      <c r="HXC10" s="9"/>
      <c r="HXD10" s="9"/>
      <c r="HXE10" s="9"/>
      <c r="HXF10" s="9"/>
      <c r="HXG10" s="9"/>
      <c r="HXH10" s="9"/>
      <c r="HXI10" s="9"/>
      <c r="HXJ10" s="9"/>
      <c r="HXK10" s="9"/>
      <c r="HXL10" s="9"/>
      <c r="HXM10" s="9"/>
      <c r="HXN10" s="9"/>
      <c r="HXO10" s="9"/>
      <c r="HXP10" s="9"/>
      <c r="HXQ10" s="9"/>
      <c r="HXR10" s="9"/>
      <c r="HXS10" s="9"/>
      <c r="HXT10" s="9"/>
      <c r="HXU10" s="9"/>
      <c r="HXV10" s="9"/>
      <c r="HXW10" s="9"/>
      <c r="HXX10" s="9"/>
      <c r="HXY10" s="9"/>
      <c r="HXZ10" s="9"/>
      <c r="HYA10" s="9"/>
      <c r="HYB10" s="9"/>
      <c r="HYC10" s="9"/>
      <c r="HYD10" s="9"/>
      <c r="HYE10" s="9"/>
      <c r="HYF10" s="9"/>
      <c r="HYG10" s="9"/>
      <c r="HYH10" s="9"/>
      <c r="HYI10" s="9"/>
      <c r="HYJ10" s="9"/>
      <c r="HYK10" s="9"/>
      <c r="HYL10" s="9"/>
      <c r="HYM10" s="9"/>
      <c r="HYN10" s="9"/>
      <c r="HYO10" s="9"/>
      <c r="HYP10" s="9"/>
      <c r="HYQ10" s="9"/>
      <c r="HYR10" s="9"/>
      <c r="HYS10" s="9"/>
      <c r="HYT10" s="9"/>
      <c r="HYU10" s="9"/>
      <c r="HYV10" s="9"/>
      <c r="HYW10" s="9"/>
      <c r="HYX10" s="9"/>
      <c r="HYY10" s="9"/>
      <c r="HYZ10" s="9"/>
      <c r="HZA10" s="9"/>
      <c r="HZB10" s="9"/>
      <c r="HZC10" s="9"/>
      <c r="HZD10" s="9"/>
      <c r="HZE10" s="9"/>
      <c r="HZF10" s="9"/>
      <c r="HZG10" s="9"/>
      <c r="HZH10" s="9"/>
      <c r="HZI10" s="9"/>
      <c r="HZJ10" s="9"/>
      <c r="HZK10" s="9"/>
      <c r="HZL10" s="9"/>
      <c r="HZM10" s="9"/>
      <c r="HZN10" s="9"/>
      <c r="HZO10" s="9"/>
      <c r="HZP10" s="9"/>
      <c r="HZQ10" s="9"/>
      <c r="HZR10" s="9"/>
      <c r="HZS10" s="9"/>
      <c r="HZT10" s="9"/>
      <c r="HZU10" s="9"/>
      <c r="HZV10" s="9"/>
      <c r="HZW10" s="9"/>
      <c r="HZX10" s="9"/>
      <c r="HZY10" s="9"/>
      <c r="HZZ10" s="9"/>
      <c r="IAA10" s="9"/>
      <c r="IAB10" s="9"/>
      <c r="IAC10" s="9"/>
      <c r="IAD10" s="9"/>
      <c r="IAE10" s="9"/>
      <c r="IAF10" s="9"/>
      <c r="IAG10" s="9"/>
      <c r="IAH10" s="9"/>
      <c r="IAI10" s="9"/>
      <c r="IAJ10" s="9"/>
      <c r="IAK10" s="9"/>
      <c r="IAL10" s="9"/>
      <c r="IAM10" s="9"/>
      <c r="IAN10" s="9"/>
      <c r="IAO10" s="9"/>
      <c r="IAP10" s="9"/>
      <c r="IAQ10" s="9"/>
      <c r="IAR10" s="9"/>
      <c r="IAS10" s="9"/>
      <c r="IAT10" s="9"/>
      <c r="IAU10" s="9"/>
      <c r="IAV10" s="9"/>
      <c r="IAW10" s="9"/>
      <c r="IAX10" s="9"/>
      <c r="IAY10" s="9"/>
      <c r="IAZ10" s="9"/>
      <c r="IBA10" s="9"/>
      <c r="IBB10" s="9"/>
      <c r="IBC10" s="9"/>
      <c r="IBD10" s="9"/>
      <c r="IBE10" s="9"/>
      <c r="IBF10" s="9"/>
      <c r="IBG10" s="9"/>
      <c r="IBH10" s="9"/>
      <c r="IBI10" s="9"/>
      <c r="IBJ10" s="9"/>
      <c r="IBK10" s="9"/>
      <c r="IBL10" s="9"/>
      <c r="IBM10" s="9"/>
      <c r="IBN10" s="9"/>
      <c r="IBO10" s="9"/>
      <c r="IBP10" s="9"/>
      <c r="IBQ10" s="9"/>
      <c r="IBR10" s="9"/>
      <c r="IBS10" s="9"/>
      <c r="IBT10" s="9"/>
      <c r="IBU10" s="9"/>
      <c r="IBV10" s="9"/>
      <c r="IBW10" s="9"/>
      <c r="IBX10" s="9"/>
      <c r="IBY10" s="9"/>
      <c r="IBZ10" s="9"/>
      <c r="ICA10" s="9"/>
      <c r="ICB10" s="9"/>
      <c r="ICC10" s="9"/>
      <c r="ICD10" s="9"/>
      <c r="ICE10" s="9"/>
      <c r="ICF10" s="9"/>
      <c r="ICG10" s="9"/>
      <c r="ICH10" s="9"/>
      <c r="ICI10" s="9"/>
      <c r="ICJ10" s="9"/>
      <c r="ICK10" s="9"/>
      <c r="ICL10" s="9"/>
      <c r="ICM10" s="9"/>
      <c r="ICN10" s="9"/>
      <c r="ICO10" s="9"/>
      <c r="ICP10" s="9"/>
      <c r="ICQ10" s="9"/>
      <c r="ICR10" s="9"/>
      <c r="ICS10" s="9"/>
      <c r="ICT10" s="9"/>
      <c r="ICU10" s="9"/>
      <c r="ICV10" s="9"/>
      <c r="ICW10" s="9"/>
      <c r="ICX10" s="9"/>
      <c r="ICY10" s="9"/>
      <c r="ICZ10" s="9"/>
      <c r="IDA10" s="9"/>
      <c r="IDB10" s="9"/>
      <c r="IDC10" s="9"/>
      <c r="IDD10" s="9"/>
      <c r="IDE10" s="9"/>
      <c r="IDF10" s="9"/>
      <c r="IDG10" s="9"/>
      <c r="IDH10" s="9"/>
      <c r="IDI10" s="9"/>
      <c r="IDJ10" s="9"/>
      <c r="IDK10" s="9"/>
      <c r="IDL10" s="9"/>
      <c r="IDM10" s="9"/>
      <c r="IDN10" s="9"/>
      <c r="IDO10" s="9"/>
      <c r="IDP10" s="9"/>
      <c r="IDQ10" s="9"/>
      <c r="IDR10" s="9"/>
      <c r="IDS10" s="9"/>
      <c r="IDT10" s="9"/>
      <c r="IDU10" s="9"/>
      <c r="IDV10" s="9"/>
      <c r="IDW10" s="9"/>
      <c r="IDX10" s="9"/>
      <c r="IDY10" s="9"/>
      <c r="IDZ10" s="9"/>
      <c r="IEA10" s="9"/>
      <c r="IEB10" s="9"/>
      <c r="IEC10" s="9"/>
      <c r="IED10" s="9"/>
      <c r="IEE10" s="9"/>
      <c r="IEF10" s="9"/>
      <c r="IEG10" s="9"/>
      <c r="IEH10" s="9"/>
      <c r="IEI10" s="9"/>
      <c r="IEJ10" s="9"/>
      <c r="IEK10" s="9"/>
      <c r="IEL10" s="9"/>
      <c r="IEM10" s="9"/>
      <c r="IEN10" s="9"/>
      <c r="IEO10" s="9"/>
      <c r="IEP10" s="9"/>
      <c r="IEQ10" s="9"/>
      <c r="IER10" s="9"/>
      <c r="IES10" s="9"/>
      <c r="IET10" s="9"/>
      <c r="IEU10" s="9"/>
      <c r="IEV10" s="9"/>
      <c r="IEW10" s="9"/>
      <c r="IEX10" s="9"/>
      <c r="IEY10" s="9"/>
      <c r="IEZ10" s="9"/>
      <c r="IFA10" s="9"/>
      <c r="IFB10" s="9"/>
      <c r="IFC10" s="9"/>
      <c r="IFD10" s="9"/>
      <c r="IFE10" s="9"/>
      <c r="IFF10" s="9"/>
      <c r="IFG10" s="9"/>
      <c r="IFH10" s="9"/>
      <c r="IFI10" s="9"/>
      <c r="IFJ10" s="9"/>
      <c r="IFK10" s="9"/>
      <c r="IFL10" s="9"/>
      <c r="IFM10" s="9"/>
      <c r="IFN10" s="9"/>
      <c r="IFO10" s="9"/>
      <c r="IFP10" s="9"/>
      <c r="IFQ10" s="9"/>
      <c r="IFR10" s="9"/>
      <c r="IFS10" s="9"/>
      <c r="IFT10" s="9"/>
      <c r="IFU10" s="9"/>
      <c r="IFV10" s="9"/>
      <c r="IFW10" s="9"/>
      <c r="IFX10" s="9"/>
      <c r="IFY10" s="9"/>
      <c r="IFZ10" s="9"/>
      <c r="IGA10" s="9"/>
      <c r="IGB10" s="9"/>
      <c r="IGC10" s="9"/>
      <c r="IGD10" s="9"/>
      <c r="IGE10" s="9"/>
      <c r="IGF10" s="9"/>
      <c r="IGG10" s="9"/>
      <c r="IGH10" s="9"/>
      <c r="IGI10" s="9"/>
      <c r="IGJ10" s="9"/>
      <c r="IGK10" s="9"/>
      <c r="IGL10" s="9"/>
      <c r="IGM10" s="9"/>
      <c r="IGN10" s="9"/>
      <c r="IGO10" s="9"/>
      <c r="IGP10" s="9"/>
      <c r="IGQ10" s="9"/>
      <c r="IGR10" s="9"/>
      <c r="IGS10" s="9"/>
      <c r="IGT10" s="9"/>
      <c r="IGU10" s="9"/>
      <c r="IGV10" s="9"/>
      <c r="IGW10" s="9"/>
      <c r="IGX10" s="9"/>
      <c r="IGY10" s="9"/>
      <c r="IGZ10" s="9"/>
      <c r="IHA10" s="9"/>
      <c r="IHB10" s="9"/>
      <c r="IHC10" s="9"/>
      <c r="IHD10" s="9"/>
      <c r="IHE10" s="9"/>
      <c r="IHF10" s="9"/>
      <c r="IHG10" s="9"/>
      <c r="IHH10" s="9"/>
      <c r="IHI10" s="9"/>
      <c r="IHJ10" s="9"/>
      <c r="IHK10" s="9"/>
      <c r="IHL10" s="9"/>
      <c r="IHM10" s="9"/>
      <c r="IHN10" s="9"/>
      <c r="IHO10" s="9"/>
      <c r="IHP10" s="9"/>
      <c r="IHQ10" s="9"/>
      <c r="IHR10" s="9"/>
      <c r="IHS10" s="9"/>
      <c r="IHT10" s="9"/>
      <c r="IHU10" s="9"/>
      <c r="IHV10" s="9"/>
      <c r="IHW10" s="9"/>
      <c r="IHX10" s="9"/>
      <c r="IHY10" s="9"/>
      <c r="IHZ10" s="9"/>
      <c r="IIA10" s="9"/>
      <c r="IIB10" s="9"/>
      <c r="IIC10" s="9"/>
      <c r="IID10" s="9"/>
      <c r="IIE10" s="9"/>
      <c r="IIF10" s="9"/>
      <c r="IIG10" s="9"/>
      <c r="IIH10" s="9"/>
      <c r="III10" s="9"/>
      <c r="IIJ10" s="9"/>
      <c r="IIK10" s="9"/>
      <c r="IIL10" s="9"/>
      <c r="IIM10" s="9"/>
      <c r="IIN10" s="9"/>
      <c r="IIO10" s="9"/>
      <c r="IIP10" s="9"/>
      <c r="IIQ10" s="9"/>
      <c r="IIR10" s="9"/>
      <c r="IIS10" s="9"/>
      <c r="IIT10" s="9"/>
      <c r="IIU10" s="9"/>
      <c r="IIV10" s="9"/>
      <c r="IIW10" s="9"/>
      <c r="IIX10" s="9"/>
      <c r="IIY10" s="9"/>
      <c r="IIZ10" s="9"/>
      <c r="IJA10" s="9"/>
      <c r="IJB10" s="9"/>
      <c r="IJC10" s="9"/>
      <c r="IJD10" s="9"/>
      <c r="IJE10" s="9"/>
      <c r="IJF10" s="9"/>
      <c r="IJG10" s="9"/>
      <c r="IJH10" s="9"/>
      <c r="IJI10" s="9"/>
      <c r="IJJ10" s="9"/>
      <c r="IJK10" s="9"/>
      <c r="IJL10" s="9"/>
      <c r="IJM10" s="9"/>
      <c r="IJN10" s="9"/>
      <c r="IJO10" s="9"/>
      <c r="IJP10" s="9"/>
      <c r="IJQ10" s="9"/>
      <c r="IJR10" s="9"/>
      <c r="IJS10" s="9"/>
      <c r="IJT10" s="9"/>
      <c r="IJU10" s="9"/>
      <c r="IJV10" s="9"/>
      <c r="IJW10" s="9"/>
      <c r="IJX10" s="9"/>
      <c r="IJY10" s="9"/>
      <c r="IJZ10" s="9"/>
      <c r="IKA10" s="9"/>
      <c r="IKB10" s="9"/>
      <c r="IKC10" s="9"/>
      <c r="IKD10" s="9"/>
      <c r="IKE10" s="9"/>
      <c r="IKF10" s="9"/>
      <c r="IKG10" s="9"/>
      <c r="IKH10" s="9"/>
      <c r="IKI10" s="9"/>
      <c r="IKJ10" s="9"/>
      <c r="IKK10" s="9"/>
      <c r="IKL10" s="9"/>
      <c r="IKM10" s="9"/>
      <c r="IKN10" s="9"/>
      <c r="IKO10" s="9"/>
      <c r="IKP10" s="9"/>
      <c r="IKQ10" s="9"/>
      <c r="IKR10" s="9"/>
      <c r="IKS10" s="9"/>
      <c r="IKT10" s="9"/>
      <c r="IKU10" s="9"/>
      <c r="IKV10" s="9"/>
      <c r="IKW10" s="9"/>
      <c r="IKX10" s="9"/>
      <c r="IKY10" s="9"/>
      <c r="IKZ10" s="9"/>
      <c r="ILA10" s="9"/>
      <c r="ILB10" s="9"/>
      <c r="ILC10" s="9"/>
      <c r="ILD10" s="9"/>
      <c r="ILE10" s="9"/>
      <c r="ILF10" s="9"/>
      <c r="ILG10" s="9"/>
      <c r="ILH10" s="9"/>
      <c r="ILI10" s="9"/>
      <c r="ILJ10" s="9"/>
      <c r="ILK10" s="9"/>
      <c r="ILL10" s="9"/>
      <c r="ILM10" s="9"/>
      <c r="ILN10" s="9"/>
      <c r="ILO10" s="9"/>
      <c r="ILP10" s="9"/>
      <c r="ILQ10" s="9"/>
      <c r="ILR10" s="9"/>
      <c r="ILS10" s="9"/>
      <c r="ILT10" s="9"/>
      <c r="ILU10" s="9"/>
      <c r="ILV10" s="9"/>
      <c r="ILW10" s="9"/>
      <c r="ILX10" s="9"/>
      <c r="ILY10" s="9"/>
      <c r="ILZ10" s="9"/>
      <c r="IMA10" s="9"/>
      <c r="IMB10" s="9"/>
      <c r="IMC10" s="9"/>
      <c r="IMD10" s="9"/>
      <c r="IME10" s="9"/>
      <c r="IMF10" s="9"/>
      <c r="IMG10" s="9"/>
      <c r="IMH10" s="9"/>
      <c r="IMI10" s="9"/>
      <c r="IMJ10" s="9"/>
      <c r="IMK10" s="9"/>
      <c r="IML10" s="9"/>
      <c r="IMM10" s="9"/>
      <c r="IMN10" s="9"/>
      <c r="IMO10" s="9"/>
      <c r="IMP10" s="9"/>
      <c r="IMQ10" s="9"/>
      <c r="IMR10" s="9"/>
      <c r="IMS10" s="9"/>
      <c r="IMT10" s="9"/>
      <c r="IMU10" s="9"/>
      <c r="IMV10" s="9"/>
      <c r="IMW10" s="9"/>
      <c r="IMX10" s="9"/>
      <c r="IMY10" s="9"/>
      <c r="IMZ10" s="9"/>
      <c r="INA10" s="9"/>
      <c r="INB10" s="9"/>
      <c r="INC10" s="9"/>
      <c r="IND10" s="9"/>
      <c r="INE10" s="9"/>
      <c r="INF10" s="9"/>
      <c r="ING10" s="9"/>
      <c r="INH10" s="9"/>
      <c r="INI10" s="9"/>
      <c r="INJ10" s="9"/>
      <c r="INK10" s="9"/>
      <c r="INL10" s="9"/>
      <c r="INM10" s="9"/>
      <c r="INN10" s="9"/>
      <c r="INO10" s="9"/>
      <c r="INP10" s="9"/>
      <c r="INQ10" s="9"/>
      <c r="INR10" s="9"/>
      <c r="INS10" s="9"/>
      <c r="INT10" s="9"/>
      <c r="INU10" s="9"/>
      <c r="INV10" s="9"/>
      <c r="INW10" s="9"/>
      <c r="INX10" s="9"/>
      <c r="INY10" s="9"/>
      <c r="INZ10" s="9"/>
      <c r="IOA10" s="9"/>
      <c r="IOB10" s="9"/>
      <c r="IOC10" s="9"/>
      <c r="IOD10" s="9"/>
      <c r="IOE10" s="9"/>
      <c r="IOF10" s="9"/>
      <c r="IOG10" s="9"/>
      <c r="IOH10" s="9"/>
      <c r="IOI10" s="9"/>
      <c r="IOJ10" s="9"/>
      <c r="IOK10" s="9"/>
      <c r="IOL10" s="9"/>
      <c r="IOM10" s="9"/>
      <c r="ION10" s="9"/>
      <c r="IOO10" s="9"/>
      <c r="IOP10" s="9"/>
      <c r="IOQ10" s="9"/>
      <c r="IOR10" s="9"/>
      <c r="IOS10" s="9"/>
      <c r="IOT10" s="9"/>
      <c r="IOU10" s="9"/>
      <c r="IOV10" s="9"/>
      <c r="IOW10" s="9"/>
      <c r="IOX10" s="9"/>
      <c r="IOY10" s="9"/>
      <c r="IOZ10" s="9"/>
      <c r="IPA10" s="9"/>
      <c r="IPB10" s="9"/>
      <c r="IPC10" s="9"/>
      <c r="IPD10" s="9"/>
      <c r="IPE10" s="9"/>
      <c r="IPF10" s="9"/>
      <c r="IPG10" s="9"/>
      <c r="IPH10" s="9"/>
      <c r="IPI10" s="9"/>
      <c r="IPJ10" s="9"/>
      <c r="IPK10" s="9"/>
      <c r="IPL10" s="9"/>
      <c r="IPM10" s="9"/>
      <c r="IPN10" s="9"/>
      <c r="IPO10" s="9"/>
      <c r="IPP10" s="9"/>
      <c r="IPQ10" s="9"/>
      <c r="IPR10" s="9"/>
      <c r="IPS10" s="9"/>
      <c r="IPT10" s="9"/>
      <c r="IPU10" s="9"/>
      <c r="IPV10" s="9"/>
      <c r="IPW10" s="9"/>
      <c r="IPX10" s="9"/>
      <c r="IPY10" s="9"/>
      <c r="IPZ10" s="9"/>
      <c r="IQA10" s="9"/>
      <c r="IQB10" s="9"/>
      <c r="IQC10" s="9"/>
      <c r="IQD10" s="9"/>
      <c r="IQE10" s="9"/>
      <c r="IQF10" s="9"/>
      <c r="IQG10" s="9"/>
      <c r="IQH10" s="9"/>
      <c r="IQI10" s="9"/>
      <c r="IQJ10" s="9"/>
      <c r="IQK10" s="9"/>
      <c r="IQL10" s="9"/>
      <c r="IQM10" s="9"/>
      <c r="IQN10" s="9"/>
      <c r="IQO10" s="9"/>
      <c r="IQP10" s="9"/>
      <c r="IQQ10" s="9"/>
      <c r="IQR10" s="9"/>
      <c r="IQS10" s="9"/>
      <c r="IQT10" s="9"/>
      <c r="IQU10" s="9"/>
      <c r="IQV10" s="9"/>
      <c r="IQW10" s="9"/>
      <c r="IQX10" s="9"/>
      <c r="IQY10" s="9"/>
      <c r="IQZ10" s="9"/>
      <c r="IRA10" s="9"/>
      <c r="IRB10" s="9"/>
      <c r="IRC10" s="9"/>
      <c r="IRD10" s="9"/>
      <c r="IRE10" s="9"/>
      <c r="IRF10" s="9"/>
      <c r="IRG10" s="9"/>
      <c r="IRH10" s="9"/>
      <c r="IRI10" s="9"/>
      <c r="IRJ10" s="9"/>
      <c r="IRK10" s="9"/>
      <c r="IRL10" s="9"/>
      <c r="IRM10" s="9"/>
      <c r="IRN10" s="9"/>
      <c r="IRO10" s="9"/>
      <c r="IRP10" s="9"/>
      <c r="IRQ10" s="9"/>
      <c r="IRR10" s="9"/>
      <c r="IRS10" s="9"/>
      <c r="IRT10" s="9"/>
      <c r="IRU10" s="9"/>
      <c r="IRV10" s="9"/>
      <c r="IRW10" s="9"/>
      <c r="IRX10" s="9"/>
      <c r="IRY10" s="9"/>
      <c r="IRZ10" s="9"/>
      <c r="ISA10" s="9"/>
      <c r="ISB10" s="9"/>
      <c r="ISC10" s="9"/>
      <c r="ISD10" s="9"/>
      <c r="ISE10" s="9"/>
      <c r="ISF10" s="9"/>
      <c r="ISG10" s="9"/>
      <c r="ISH10" s="9"/>
      <c r="ISI10" s="9"/>
      <c r="ISJ10" s="9"/>
      <c r="ISK10" s="9"/>
      <c r="ISL10" s="9"/>
      <c r="ISM10" s="9"/>
      <c r="ISN10" s="9"/>
      <c r="ISO10" s="9"/>
      <c r="ISP10" s="9"/>
      <c r="ISQ10" s="9"/>
      <c r="ISR10" s="9"/>
      <c r="ISS10" s="9"/>
      <c r="IST10" s="9"/>
      <c r="ISU10" s="9"/>
      <c r="ISV10" s="9"/>
      <c r="ISW10" s="9"/>
      <c r="ISX10" s="9"/>
      <c r="ISY10" s="9"/>
      <c r="ISZ10" s="9"/>
      <c r="ITA10" s="9"/>
      <c r="ITB10" s="9"/>
      <c r="ITC10" s="9"/>
      <c r="ITD10" s="9"/>
      <c r="ITE10" s="9"/>
      <c r="ITF10" s="9"/>
      <c r="ITG10" s="9"/>
      <c r="ITH10" s="9"/>
      <c r="ITI10" s="9"/>
      <c r="ITJ10" s="9"/>
      <c r="ITK10" s="9"/>
      <c r="ITL10" s="9"/>
      <c r="ITM10" s="9"/>
      <c r="ITN10" s="9"/>
      <c r="ITO10" s="9"/>
      <c r="ITP10" s="9"/>
      <c r="ITQ10" s="9"/>
      <c r="ITR10" s="9"/>
      <c r="ITS10" s="9"/>
      <c r="ITT10" s="9"/>
      <c r="ITU10" s="9"/>
      <c r="ITV10" s="9"/>
      <c r="ITW10" s="9"/>
      <c r="ITX10" s="9"/>
      <c r="ITY10" s="9"/>
      <c r="ITZ10" s="9"/>
      <c r="IUA10" s="9"/>
      <c r="IUB10" s="9"/>
      <c r="IUC10" s="9"/>
      <c r="IUD10" s="9"/>
      <c r="IUE10" s="9"/>
      <c r="IUF10" s="9"/>
      <c r="IUG10" s="9"/>
      <c r="IUH10" s="9"/>
      <c r="IUI10" s="9"/>
      <c r="IUJ10" s="9"/>
      <c r="IUK10" s="9"/>
      <c r="IUL10" s="9"/>
      <c r="IUM10" s="9"/>
      <c r="IUN10" s="9"/>
      <c r="IUO10" s="9"/>
      <c r="IUP10" s="9"/>
      <c r="IUQ10" s="9"/>
      <c r="IUR10" s="9"/>
      <c r="IUS10" s="9"/>
      <c r="IUT10" s="9"/>
      <c r="IUU10" s="9"/>
      <c r="IUV10" s="9"/>
      <c r="IUW10" s="9"/>
      <c r="IUX10" s="9"/>
      <c r="IUY10" s="9"/>
      <c r="IUZ10" s="9"/>
      <c r="IVA10" s="9"/>
      <c r="IVB10" s="9"/>
      <c r="IVC10" s="9"/>
      <c r="IVD10" s="9"/>
      <c r="IVE10" s="9"/>
      <c r="IVF10" s="9"/>
      <c r="IVG10" s="9"/>
      <c r="IVH10" s="9"/>
      <c r="IVI10" s="9"/>
      <c r="IVJ10" s="9"/>
      <c r="IVK10" s="9"/>
      <c r="IVL10" s="9"/>
      <c r="IVM10" s="9"/>
      <c r="IVN10" s="9"/>
      <c r="IVO10" s="9"/>
      <c r="IVP10" s="9"/>
      <c r="IVQ10" s="9"/>
      <c r="IVR10" s="9"/>
      <c r="IVS10" s="9"/>
      <c r="IVT10" s="9"/>
      <c r="IVU10" s="9"/>
      <c r="IVV10" s="9"/>
      <c r="IVW10" s="9"/>
      <c r="IVX10" s="9"/>
      <c r="IVY10" s="9"/>
      <c r="IVZ10" s="9"/>
      <c r="IWA10" s="9"/>
      <c r="IWB10" s="9"/>
      <c r="IWC10" s="9"/>
      <c r="IWD10" s="9"/>
      <c r="IWE10" s="9"/>
      <c r="IWF10" s="9"/>
      <c r="IWG10" s="9"/>
      <c r="IWH10" s="9"/>
      <c r="IWI10" s="9"/>
      <c r="IWJ10" s="9"/>
      <c r="IWK10" s="9"/>
      <c r="IWL10" s="9"/>
      <c r="IWM10" s="9"/>
      <c r="IWN10" s="9"/>
      <c r="IWO10" s="9"/>
      <c r="IWP10" s="9"/>
      <c r="IWQ10" s="9"/>
      <c r="IWR10" s="9"/>
      <c r="IWS10" s="9"/>
      <c r="IWT10" s="9"/>
      <c r="IWU10" s="9"/>
      <c r="IWV10" s="9"/>
      <c r="IWW10" s="9"/>
      <c r="IWX10" s="9"/>
      <c r="IWY10" s="9"/>
      <c r="IWZ10" s="9"/>
      <c r="IXA10" s="9"/>
      <c r="IXB10" s="9"/>
      <c r="IXC10" s="9"/>
      <c r="IXD10" s="9"/>
      <c r="IXE10" s="9"/>
      <c r="IXF10" s="9"/>
      <c r="IXG10" s="9"/>
      <c r="IXH10" s="9"/>
      <c r="IXI10" s="9"/>
      <c r="IXJ10" s="9"/>
      <c r="IXK10" s="9"/>
      <c r="IXL10" s="9"/>
      <c r="IXM10" s="9"/>
      <c r="IXN10" s="9"/>
      <c r="IXO10" s="9"/>
      <c r="IXP10" s="9"/>
      <c r="IXQ10" s="9"/>
      <c r="IXR10" s="9"/>
      <c r="IXS10" s="9"/>
      <c r="IXT10" s="9"/>
      <c r="IXU10" s="9"/>
      <c r="IXV10" s="9"/>
      <c r="IXW10" s="9"/>
      <c r="IXX10" s="9"/>
      <c r="IXY10" s="9"/>
      <c r="IXZ10" s="9"/>
      <c r="IYA10" s="9"/>
      <c r="IYB10" s="9"/>
      <c r="IYC10" s="9"/>
      <c r="IYD10" s="9"/>
      <c r="IYE10" s="9"/>
      <c r="IYF10" s="9"/>
      <c r="IYG10" s="9"/>
      <c r="IYH10" s="9"/>
      <c r="IYI10" s="9"/>
      <c r="IYJ10" s="9"/>
      <c r="IYK10" s="9"/>
      <c r="IYL10" s="9"/>
      <c r="IYM10" s="9"/>
      <c r="IYN10" s="9"/>
      <c r="IYO10" s="9"/>
      <c r="IYP10" s="9"/>
      <c r="IYQ10" s="9"/>
      <c r="IYR10" s="9"/>
      <c r="IYS10" s="9"/>
      <c r="IYT10" s="9"/>
      <c r="IYU10" s="9"/>
      <c r="IYV10" s="9"/>
      <c r="IYW10" s="9"/>
      <c r="IYX10" s="9"/>
      <c r="IYY10" s="9"/>
      <c r="IYZ10" s="9"/>
      <c r="IZA10" s="9"/>
      <c r="IZB10" s="9"/>
      <c r="IZC10" s="9"/>
      <c r="IZD10" s="9"/>
      <c r="IZE10" s="9"/>
      <c r="IZF10" s="9"/>
      <c r="IZG10" s="9"/>
      <c r="IZH10" s="9"/>
      <c r="IZI10" s="9"/>
      <c r="IZJ10" s="9"/>
      <c r="IZK10" s="9"/>
      <c r="IZL10" s="9"/>
      <c r="IZM10" s="9"/>
      <c r="IZN10" s="9"/>
      <c r="IZO10" s="9"/>
      <c r="IZP10" s="9"/>
      <c r="IZQ10" s="9"/>
      <c r="IZR10" s="9"/>
      <c r="IZS10" s="9"/>
      <c r="IZT10" s="9"/>
      <c r="IZU10" s="9"/>
      <c r="IZV10" s="9"/>
      <c r="IZW10" s="9"/>
      <c r="IZX10" s="9"/>
      <c r="IZY10" s="9"/>
      <c r="IZZ10" s="9"/>
      <c r="JAA10" s="9"/>
      <c r="JAB10" s="9"/>
      <c r="JAC10" s="9"/>
      <c r="JAD10" s="9"/>
      <c r="JAE10" s="9"/>
      <c r="JAF10" s="9"/>
      <c r="JAG10" s="9"/>
      <c r="JAH10" s="9"/>
      <c r="JAI10" s="9"/>
      <c r="JAJ10" s="9"/>
      <c r="JAK10" s="9"/>
      <c r="JAL10" s="9"/>
      <c r="JAM10" s="9"/>
      <c r="JAN10" s="9"/>
      <c r="JAO10" s="9"/>
      <c r="JAP10" s="9"/>
      <c r="JAQ10" s="9"/>
      <c r="JAR10" s="9"/>
      <c r="JAS10" s="9"/>
      <c r="JAT10" s="9"/>
      <c r="JAU10" s="9"/>
      <c r="JAV10" s="9"/>
      <c r="JAW10" s="9"/>
      <c r="JAX10" s="9"/>
      <c r="JAY10" s="9"/>
      <c r="JAZ10" s="9"/>
      <c r="JBA10" s="9"/>
      <c r="JBB10" s="9"/>
      <c r="JBC10" s="9"/>
      <c r="JBD10" s="9"/>
      <c r="JBE10" s="9"/>
      <c r="JBF10" s="9"/>
      <c r="JBG10" s="9"/>
      <c r="JBH10" s="9"/>
      <c r="JBI10" s="9"/>
      <c r="JBJ10" s="9"/>
      <c r="JBK10" s="9"/>
      <c r="JBL10" s="9"/>
      <c r="JBM10" s="9"/>
      <c r="JBN10" s="9"/>
      <c r="JBO10" s="9"/>
      <c r="JBP10" s="9"/>
      <c r="JBQ10" s="9"/>
      <c r="JBR10" s="9"/>
      <c r="JBS10" s="9"/>
      <c r="JBT10" s="9"/>
      <c r="JBU10" s="9"/>
      <c r="JBV10" s="9"/>
      <c r="JBW10" s="9"/>
      <c r="JBX10" s="9"/>
      <c r="JBY10" s="9"/>
      <c r="JBZ10" s="9"/>
      <c r="JCA10" s="9"/>
      <c r="JCB10" s="9"/>
      <c r="JCC10" s="9"/>
      <c r="JCD10" s="9"/>
      <c r="JCE10" s="9"/>
      <c r="JCF10" s="9"/>
      <c r="JCG10" s="9"/>
      <c r="JCH10" s="9"/>
      <c r="JCI10" s="9"/>
      <c r="JCJ10" s="9"/>
      <c r="JCK10" s="9"/>
      <c r="JCL10" s="9"/>
      <c r="JCM10" s="9"/>
      <c r="JCN10" s="9"/>
      <c r="JCO10" s="9"/>
      <c r="JCP10" s="9"/>
      <c r="JCQ10" s="9"/>
      <c r="JCR10" s="9"/>
      <c r="JCS10" s="9"/>
      <c r="JCT10" s="9"/>
      <c r="JCU10" s="9"/>
      <c r="JCV10" s="9"/>
      <c r="JCW10" s="9"/>
      <c r="JCX10" s="9"/>
      <c r="JCY10" s="9"/>
      <c r="JCZ10" s="9"/>
      <c r="JDA10" s="9"/>
      <c r="JDB10" s="9"/>
      <c r="JDC10" s="9"/>
      <c r="JDD10" s="9"/>
      <c r="JDE10" s="9"/>
      <c r="JDF10" s="9"/>
      <c r="JDG10" s="9"/>
      <c r="JDH10" s="9"/>
      <c r="JDI10" s="9"/>
      <c r="JDJ10" s="9"/>
      <c r="JDK10" s="9"/>
      <c r="JDL10" s="9"/>
      <c r="JDM10" s="9"/>
      <c r="JDN10" s="9"/>
      <c r="JDO10" s="9"/>
      <c r="JDP10" s="9"/>
      <c r="JDQ10" s="9"/>
      <c r="JDR10" s="9"/>
      <c r="JDS10" s="9"/>
      <c r="JDT10" s="9"/>
      <c r="JDU10" s="9"/>
      <c r="JDV10" s="9"/>
      <c r="JDW10" s="9"/>
      <c r="JDX10" s="9"/>
      <c r="JDY10" s="9"/>
      <c r="JDZ10" s="9"/>
      <c r="JEA10" s="9"/>
      <c r="JEB10" s="9"/>
      <c r="JEC10" s="9"/>
      <c r="JED10" s="9"/>
      <c r="JEE10" s="9"/>
      <c r="JEF10" s="9"/>
      <c r="JEG10" s="9"/>
      <c r="JEH10" s="9"/>
      <c r="JEI10" s="9"/>
      <c r="JEJ10" s="9"/>
      <c r="JEK10" s="9"/>
      <c r="JEL10" s="9"/>
      <c r="JEM10" s="9"/>
      <c r="JEN10" s="9"/>
      <c r="JEO10" s="9"/>
      <c r="JEP10" s="9"/>
      <c r="JEQ10" s="9"/>
      <c r="JER10" s="9"/>
      <c r="JES10" s="9"/>
      <c r="JET10" s="9"/>
      <c r="JEU10" s="9"/>
      <c r="JEV10" s="9"/>
      <c r="JEW10" s="9"/>
      <c r="JEX10" s="9"/>
      <c r="JEY10" s="9"/>
      <c r="JEZ10" s="9"/>
      <c r="JFA10" s="9"/>
      <c r="JFB10" s="9"/>
      <c r="JFC10" s="9"/>
      <c r="JFD10" s="9"/>
      <c r="JFE10" s="9"/>
      <c r="JFF10" s="9"/>
      <c r="JFG10" s="9"/>
      <c r="JFH10" s="9"/>
      <c r="JFI10" s="9"/>
      <c r="JFJ10" s="9"/>
      <c r="JFK10" s="9"/>
      <c r="JFL10" s="9"/>
      <c r="JFM10" s="9"/>
      <c r="JFN10" s="9"/>
      <c r="JFO10" s="9"/>
      <c r="JFP10" s="9"/>
      <c r="JFQ10" s="9"/>
      <c r="JFR10" s="9"/>
      <c r="JFS10" s="9"/>
      <c r="JFT10" s="9"/>
      <c r="JFU10" s="9"/>
      <c r="JFV10" s="9"/>
      <c r="JFW10" s="9"/>
      <c r="JFX10" s="9"/>
      <c r="JFY10" s="9"/>
      <c r="JFZ10" s="9"/>
      <c r="JGA10" s="9"/>
      <c r="JGB10" s="9"/>
      <c r="JGC10" s="9"/>
      <c r="JGD10" s="9"/>
      <c r="JGE10" s="9"/>
      <c r="JGF10" s="9"/>
      <c r="JGG10" s="9"/>
      <c r="JGH10" s="9"/>
      <c r="JGI10" s="9"/>
      <c r="JGJ10" s="9"/>
      <c r="JGK10" s="9"/>
      <c r="JGL10" s="9"/>
      <c r="JGM10" s="9"/>
      <c r="JGN10" s="9"/>
      <c r="JGO10" s="9"/>
      <c r="JGP10" s="9"/>
      <c r="JGQ10" s="9"/>
      <c r="JGR10" s="9"/>
      <c r="JGS10" s="9"/>
      <c r="JGT10" s="9"/>
      <c r="JGU10" s="9"/>
      <c r="JGV10" s="9"/>
      <c r="JGW10" s="9"/>
      <c r="JGX10" s="9"/>
      <c r="JGY10" s="9"/>
      <c r="JGZ10" s="9"/>
      <c r="JHA10" s="9"/>
      <c r="JHB10" s="9"/>
      <c r="JHC10" s="9"/>
      <c r="JHD10" s="9"/>
      <c r="JHE10" s="9"/>
      <c r="JHF10" s="9"/>
      <c r="JHG10" s="9"/>
      <c r="JHH10" s="9"/>
      <c r="JHI10" s="9"/>
      <c r="JHJ10" s="9"/>
      <c r="JHK10" s="9"/>
      <c r="JHL10" s="9"/>
      <c r="JHM10" s="9"/>
      <c r="JHN10" s="9"/>
      <c r="JHO10" s="9"/>
      <c r="JHP10" s="9"/>
      <c r="JHQ10" s="9"/>
      <c r="JHR10" s="9"/>
      <c r="JHS10" s="9"/>
      <c r="JHT10" s="9"/>
      <c r="JHU10" s="9"/>
      <c r="JHV10" s="9"/>
      <c r="JHW10" s="9"/>
      <c r="JHX10" s="9"/>
      <c r="JHY10" s="9"/>
      <c r="JHZ10" s="9"/>
      <c r="JIA10" s="9"/>
      <c r="JIB10" s="9"/>
      <c r="JIC10" s="9"/>
      <c r="JID10" s="9"/>
      <c r="JIE10" s="9"/>
      <c r="JIF10" s="9"/>
      <c r="JIG10" s="9"/>
      <c r="JIH10" s="9"/>
      <c r="JII10" s="9"/>
      <c r="JIJ10" s="9"/>
      <c r="JIK10" s="9"/>
      <c r="JIL10" s="9"/>
      <c r="JIM10" s="9"/>
      <c r="JIN10" s="9"/>
      <c r="JIO10" s="9"/>
      <c r="JIP10" s="9"/>
      <c r="JIQ10" s="9"/>
      <c r="JIR10" s="9"/>
      <c r="JIS10" s="9"/>
      <c r="JIT10" s="9"/>
      <c r="JIU10" s="9"/>
      <c r="JIV10" s="9"/>
      <c r="JIW10" s="9"/>
      <c r="JIX10" s="9"/>
      <c r="JIY10" s="9"/>
      <c r="JIZ10" s="9"/>
      <c r="JJA10" s="9"/>
      <c r="JJB10" s="9"/>
      <c r="JJC10" s="9"/>
      <c r="JJD10" s="9"/>
      <c r="JJE10" s="9"/>
      <c r="JJF10" s="9"/>
      <c r="JJG10" s="9"/>
      <c r="JJH10" s="9"/>
      <c r="JJI10" s="9"/>
      <c r="JJJ10" s="9"/>
      <c r="JJK10" s="9"/>
      <c r="JJL10" s="9"/>
      <c r="JJM10" s="9"/>
      <c r="JJN10" s="9"/>
      <c r="JJO10" s="9"/>
      <c r="JJP10" s="9"/>
      <c r="JJQ10" s="9"/>
      <c r="JJR10" s="9"/>
      <c r="JJS10" s="9"/>
      <c r="JJT10" s="9"/>
      <c r="JJU10" s="9"/>
      <c r="JJV10" s="9"/>
      <c r="JJW10" s="9"/>
      <c r="JJX10" s="9"/>
      <c r="JJY10" s="9"/>
      <c r="JJZ10" s="9"/>
      <c r="JKA10" s="9"/>
      <c r="JKB10" s="9"/>
      <c r="JKC10" s="9"/>
      <c r="JKD10" s="9"/>
      <c r="JKE10" s="9"/>
      <c r="JKF10" s="9"/>
      <c r="JKG10" s="9"/>
      <c r="JKH10" s="9"/>
      <c r="JKI10" s="9"/>
      <c r="JKJ10" s="9"/>
      <c r="JKK10" s="9"/>
      <c r="JKL10" s="9"/>
      <c r="JKM10" s="9"/>
      <c r="JKN10" s="9"/>
      <c r="JKO10" s="9"/>
      <c r="JKP10" s="9"/>
      <c r="JKQ10" s="9"/>
      <c r="JKR10" s="9"/>
      <c r="JKS10" s="9"/>
      <c r="JKT10" s="9"/>
      <c r="JKU10" s="9"/>
      <c r="JKV10" s="9"/>
      <c r="JKW10" s="9"/>
      <c r="JKX10" s="9"/>
      <c r="JKY10" s="9"/>
      <c r="JKZ10" s="9"/>
      <c r="JLA10" s="9"/>
      <c r="JLB10" s="9"/>
      <c r="JLC10" s="9"/>
      <c r="JLD10" s="9"/>
      <c r="JLE10" s="9"/>
      <c r="JLF10" s="9"/>
      <c r="JLG10" s="9"/>
      <c r="JLH10" s="9"/>
      <c r="JLI10" s="9"/>
      <c r="JLJ10" s="9"/>
      <c r="JLK10" s="9"/>
      <c r="JLL10" s="9"/>
      <c r="JLM10" s="9"/>
      <c r="JLN10" s="9"/>
      <c r="JLO10" s="9"/>
      <c r="JLP10" s="9"/>
      <c r="JLQ10" s="9"/>
      <c r="JLR10" s="9"/>
      <c r="JLS10" s="9"/>
      <c r="JLT10" s="9"/>
      <c r="JLU10" s="9"/>
      <c r="JLV10" s="9"/>
      <c r="JLW10" s="9"/>
      <c r="JLX10" s="9"/>
      <c r="JLY10" s="9"/>
      <c r="JLZ10" s="9"/>
      <c r="JMA10" s="9"/>
      <c r="JMB10" s="9"/>
      <c r="JMC10" s="9"/>
      <c r="JMD10" s="9"/>
      <c r="JME10" s="9"/>
      <c r="JMF10" s="9"/>
      <c r="JMG10" s="9"/>
      <c r="JMH10" s="9"/>
      <c r="JMI10" s="9"/>
      <c r="JMJ10" s="9"/>
      <c r="JMK10" s="9"/>
      <c r="JML10" s="9"/>
      <c r="JMM10" s="9"/>
      <c r="JMN10" s="9"/>
      <c r="JMO10" s="9"/>
      <c r="JMP10" s="9"/>
      <c r="JMQ10" s="9"/>
      <c r="JMR10" s="9"/>
      <c r="JMS10" s="9"/>
      <c r="JMT10" s="9"/>
      <c r="JMU10" s="9"/>
      <c r="JMV10" s="9"/>
      <c r="JMW10" s="9"/>
      <c r="JMX10" s="9"/>
      <c r="JMY10" s="9"/>
      <c r="JMZ10" s="9"/>
      <c r="JNA10" s="9"/>
      <c r="JNB10" s="9"/>
      <c r="JNC10" s="9"/>
      <c r="JND10" s="9"/>
      <c r="JNE10" s="9"/>
      <c r="JNF10" s="9"/>
      <c r="JNG10" s="9"/>
      <c r="JNH10" s="9"/>
      <c r="JNI10" s="9"/>
      <c r="JNJ10" s="9"/>
      <c r="JNK10" s="9"/>
      <c r="JNL10" s="9"/>
      <c r="JNM10" s="9"/>
      <c r="JNN10" s="9"/>
      <c r="JNO10" s="9"/>
      <c r="JNP10" s="9"/>
      <c r="JNQ10" s="9"/>
      <c r="JNR10" s="9"/>
      <c r="JNS10" s="9"/>
      <c r="JNT10" s="9"/>
      <c r="JNU10" s="9"/>
      <c r="JNV10" s="9"/>
      <c r="JNW10" s="9"/>
      <c r="JNX10" s="9"/>
      <c r="JNY10" s="9"/>
      <c r="JNZ10" s="9"/>
      <c r="JOA10" s="9"/>
      <c r="JOB10" s="9"/>
      <c r="JOC10" s="9"/>
      <c r="JOD10" s="9"/>
      <c r="JOE10" s="9"/>
      <c r="JOF10" s="9"/>
      <c r="JOG10" s="9"/>
      <c r="JOH10" s="9"/>
      <c r="JOI10" s="9"/>
      <c r="JOJ10" s="9"/>
      <c r="JOK10" s="9"/>
      <c r="JOL10" s="9"/>
      <c r="JOM10" s="9"/>
      <c r="JON10" s="9"/>
      <c r="JOO10" s="9"/>
      <c r="JOP10" s="9"/>
      <c r="JOQ10" s="9"/>
      <c r="JOR10" s="9"/>
      <c r="JOS10" s="9"/>
      <c r="JOT10" s="9"/>
      <c r="JOU10" s="9"/>
      <c r="JOV10" s="9"/>
      <c r="JOW10" s="9"/>
      <c r="JOX10" s="9"/>
      <c r="JOY10" s="9"/>
      <c r="JOZ10" s="9"/>
      <c r="JPA10" s="9"/>
      <c r="JPB10" s="9"/>
      <c r="JPC10" s="9"/>
      <c r="JPD10" s="9"/>
      <c r="JPE10" s="9"/>
      <c r="JPF10" s="9"/>
      <c r="JPG10" s="9"/>
      <c r="JPH10" s="9"/>
      <c r="JPI10" s="9"/>
      <c r="JPJ10" s="9"/>
      <c r="JPK10" s="9"/>
      <c r="JPL10" s="9"/>
      <c r="JPM10" s="9"/>
      <c r="JPN10" s="9"/>
      <c r="JPO10" s="9"/>
      <c r="JPP10" s="9"/>
      <c r="JPQ10" s="9"/>
      <c r="JPR10" s="9"/>
      <c r="JPS10" s="9"/>
      <c r="JPT10" s="9"/>
      <c r="JPU10" s="9"/>
      <c r="JPV10" s="9"/>
      <c r="JPW10" s="9"/>
      <c r="JPX10" s="9"/>
      <c r="JPY10" s="9"/>
      <c r="JPZ10" s="9"/>
      <c r="JQA10" s="9"/>
      <c r="JQB10" s="9"/>
      <c r="JQC10" s="9"/>
      <c r="JQD10" s="9"/>
      <c r="JQE10" s="9"/>
      <c r="JQF10" s="9"/>
      <c r="JQG10" s="9"/>
      <c r="JQH10" s="9"/>
      <c r="JQI10" s="9"/>
      <c r="JQJ10" s="9"/>
      <c r="JQK10" s="9"/>
      <c r="JQL10" s="9"/>
      <c r="JQM10" s="9"/>
      <c r="JQN10" s="9"/>
      <c r="JQO10" s="9"/>
      <c r="JQP10" s="9"/>
      <c r="JQQ10" s="9"/>
      <c r="JQR10" s="9"/>
      <c r="JQS10" s="9"/>
      <c r="JQT10" s="9"/>
      <c r="JQU10" s="9"/>
      <c r="JQV10" s="9"/>
      <c r="JQW10" s="9"/>
      <c r="JQX10" s="9"/>
      <c r="JQY10" s="9"/>
      <c r="JQZ10" s="9"/>
      <c r="JRA10" s="9"/>
      <c r="JRB10" s="9"/>
      <c r="JRC10" s="9"/>
      <c r="JRD10" s="9"/>
      <c r="JRE10" s="9"/>
      <c r="JRF10" s="9"/>
      <c r="JRG10" s="9"/>
      <c r="JRH10" s="9"/>
      <c r="JRI10" s="9"/>
      <c r="JRJ10" s="9"/>
      <c r="JRK10" s="9"/>
      <c r="JRL10" s="9"/>
      <c r="JRM10" s="9"/>
      <c r="JRN10" s="9"/>
      <c r="JRO10" s="9"/>
      <c r="JRP10" s="9"/>
      <c r="JRQ10" s="9"/>
      <c r="JRR10" s="9"/>
      <c r="JRS10" s="9"/>
      <c r="JRT10" s="9"/>
      <c r="JRU10" s="9"/>
      <c r="JRV10" s="9"/>
      <c r="JRW10" s="9"/>
      <c r="JRX10" s="9"/>
      <c r="JRY10" s="9"/>
      <c r="JRZ10" s="9"/>
      <c r="JSA10" s="9"/>
      <c r="JSB10" s="9"/>
      <c r="JSC10" s="9"/>
      <c r="JSD10" s="9"/>
      <c r="JSE10" s="9"/>
      <c r="JSF10" s="9"/>
      <c r="JSG10" s="9"/>
      <c r="JSH10" s="9"/>
      <c r="JSI10" s="9"/>
      <c r="JSJ10" s="9"/>
      <c r="JSK10" s="9"/>
      <c r="JSL10" s="9"/>
      <c r="JSM10" s="9"/>
      <c r="JSN10" s="9"/>
      <c r="JSO10" s="9"/>
      <c r="JSP10" s="9"/>
      <c r="JSQ10" s="9"/>
      <c r="JSR10" s="9"/>
      <c r="JSS10" s="9"/>
      <c r="JST10" s="9"/>
      <c r="JSU10" s="9"/>
      <c r="JSV10" s="9"/>
      <c r="JSW10" s="9"/>
      <c r="JSX10" s="9"/>
      <c r="JSY10" s="9"/>
      <c r="JSZ10" s="9"/>
      <c r="JTA10" s="9"/>
      <c r="JTB10" s="9"/>
      <c r="JTC10" s="9"/>
      <c r="JTD10" s="9"/>
      <c r="JTE10" s="9"/>
      <c r="JTF10" s="9"/>
      <c r="JTG10" s="9"/>
      <c r="JTH10" s="9"/>
      <c r="JTI10" s="9"/>
      <c r="JTJ10" s="9"/>
      <c r="JTK10" s="9"/>
      <c r="JTL10" s="9"/>
      <c r="JTM10" s="9"/>
      <c r="JTN10" s="9"/>
      <c r="JTO10" s="9"/>
      <c r="JTP10" s="9"/>
      <c r="JTQ10" s="9"/>
      <c r="JTR10" s="9"/>
      <c r="JTS10" s="9"/>
      <c r="JTT10" s="9"/>
      <c r="JTU10" s="9"/>
      <c r="JTV10" s="9"/>
      <c r="JTW10" s="9"/>
      <c r="JTX10" s="9"/>
      <c r="JTY10" s="9"/>
      <c r="JTZ10" s="9"/>
      <c r="JUA10" s="9"/>
      <c r="JUB10" s="9"/>
      <c r="JUC10" s="9"/>
      <c r="JUD10" s="9"/>
      <c r="JUE10" s="9"/>
      <c r="JUF10" s="9"/>
      <c r="JUG10" s="9"/>
      <c r="JUH10" s="9"/>
      <c r="JUI10" s="9"/>
      <c r="JUJ10" s="9"/>
      <c r="JUK10" s="9"/>
      <c r="JUL10" s="9"/>
      <c r="JUM10" s="9"/>
      <c r="JUN10" s="9"/>
      <c r="JUO10" s="9"/>
      <c r="JUP10" s="9"/>
      <c r="JUQ10" s="9"/>
      <c r="JUR10" s="9"/>
      <c r="JUS10" s="9"/>
      <c r="JUT10" s="9"/>
      <c r="JUU10" s="9"/>
      <c r="JUV10" s="9"/>
      <c r="JUW10" s="9"/>
      <c r="JUX10" s="9"/>
      <c r="JUY10" s="9"/>
      <c r="JUZ10" s="9"/>
      <c r="JVA10" s="9"/>
      <c r="JVB10" s="9"/>
      <c r="JVC10" s="9"/>
      <c r="JVD10" s="9"/>
      <c r="JVE10" s="9"/>
      <c r="JVF10" s="9"/>
      <c r="JVG10" s="9"/>
      <c r="JVH10" s="9"/>
      <c r="JVI10" s="9"/>
      <c r="JVJ10" s="9"/>
      <c r="JVK10" s="9"/>
      <c r="JVL10" s="9"/>
      <c r="JVM10" s="9"/>
      <c r="JVN10" s="9"/>
      <c r="JVO10" s="9"/>
      <c r="JVP10" s="9"/>
      <c r="JVQ10" s="9"/>
      <c r="JVR10" s="9"/>
      <c r="JVS10" s="9"/>
      <c r="JVT10" s="9"/>
      <c r="JVU10" s="9"/>
      <c r="JVV10" s="9"/>
      <c r="JVW10" s="9"/>
      <c r="JVX10" s="9"/>
      <c r="JVY10" s="9"/>
      <c r="JVZ10" s="9"/>
      <c r="JWA10" s="9"/>
      <c r="JWB10" s="9"/>
      <c r="JWC10" s="9"/>
      <c r="JWD10" s="9"/>
      <c r="JWE10" s="9"/>
      <c r="JWF10" s="9"/>
      <c r="JWG10" s="9"/>
      <c r="JWH10" s="9"/>
      <c r="JWI10" s="9"/>
      <c r="JWJ10" s="9"/>
      <c r="JWK10" s="9"/>
      <c r="JWL10" s="9"/>
      <c r="JWM10" s="9"/>
      <c r="JWN10" s="9"/>
      <c r="JWO10" s="9"/>
      <c r="JWP10" s="9"/>
      <c r="JWQ10" s="9"/>
      <c r="JWR10" s="9"/>
      <c r="JWS10" s="9"/>
      <c r="JWT10" s="9"/>
      <c r="JWU10" s="9"/>
      <c r="JWV10" s="9"/>
      <c r="JWW10" s="9"/>
      <c r="JWX10" s="9"/>
      <c r="JWY10" s="9"/>
      <c r="JWZ10" s="9"/>
      <c r="JXA10" s="9"/>
      <c r="JXB10" s="9"/>
      <c r="JXC10" s="9"/>
      <c r="JXD10" s="9"/>
      <c r="JXE10" s="9"/>
      <c r="JXF10" s="9"/>
      <c r="JXG10" s="9"/>
      <c r="JXH10" s="9"/>
      <c r="JXI10" s="9"/>
      <c r="JXJ10" s="9"/>
      <c r="JXK10" s="9"/>
      <c r="JXL10" s="9"/>
      <c r="JXM10" s="9"/>
      <c r="JXN10" s="9"/>
      <c r="JXO10" s="9"/>
      <c r="JXP10" s="9"/>
      <c r="JXQ10" s="9"/>
      <c r="JXR10" s="9"/>
      <c r="JXS10" s="9"/>
      <c r="JXT10" s="9"/>
      <c r="JXU10" s="9"/>
      <c r="JXV10" s="9"/>
      <c r="JXW10" s="9"/>
      <c r="JXX10" s="9"/>
      <c r="JXY10" s="9"/>
      <c r="JXZ10" s="9"/>
      <c r="JYA10" s="9"/>
      <c r="JYB10" s="9"/>
      <c r="JYC10" s="9"/>
      <c r="JYD10" s="9"/>
      <c r="JYE10" s="9"/>
      <c r="JYF10" s="9"/>
      <c r="JYG10" s="9"/>
      <c r="JYH10" s="9"/>
      <c r="JYI10" s="9"/>
      <c r="JYJ10" s="9"/>
      <c r="JYK10" s="9"/>
      <c r="JYL10" s="9"/>
      <c r="JYM10" s="9"/>
      <c r="JYN10" s="9"/>
      <c r="JYO10" s="9"/>
      <c r="JYP10" s="9"/>
      <c r="JYQ10" s="9"/>
      <c r="JYR10" s="9"/>
      <c r="JYS10" s="9"/>
      <c r="JYT10" s="9"/>
      <c r="JYU10" s="9"/>
      <c r="JYV10" s="9"/>
      <c r="JYW10" s="9"/>
      <c r="JYX10" s="9"/>
      <c r="JYY10" s="9"/>
      <c r="JYZ10" s="9"/>
      <c r="JZA10" s="9"/>
      <c r="JZB10" s="9"/>
      <c r="JZC10" s="9"/>
      <c r="JZD10" s="9"/>
      <c r="JZE10" s="9"/>
      <c r="JZF10" s="9"/>
      <c r="JZG10" s="9"/>
      <c r="JZH10" s="9"/>
      <c r="JZI10" s="9"/>
      <c r="JZJ10" s="9"/>
      <c r="JZK10" s="9"/>
      <c r="JZL10" s="9"/>
      <c r="JZM10" s="9"/>
      <c r="JZN10" s="9"/>
      <c r="JZO10" s="9"/>
      <c r="JZP10" s="9"/>
      <c r="JZQ10" s="9"/>
      <c r="JZR10" s="9"/>
      <c r="JZS10" s="9"/>
      <c r="JZT10" s="9"/>
      <c r="JZU10" s="9"/>
      <c r="JZV10" s="9"/>
      <c r="JZW10" s="9"/>
      <c r="JZX10" s="9"/>
      <c r="JZY10" s="9"/>
      <c r="JZZ10" s="9"/>
      <c r="KAA10" s="9"/>
      <c r="KAB10" s="9"/>
      <c r="KAC10" s="9"/>
      <c r="KAD10" s="9"/>
      <c r="KAE10" s="9"/>
      <c r="KAF10" s="9"/>
      <c r="KAG10" s="9"/>
      <c r="KAH10" s="9"/>
      <c r="KAI10" s="9"/>
      <c r="KAJ10" s="9"/>
      <c r="KAK10" s="9"/>
      <c r="KAL10" s="9"/>
      <c r="KAM10" s="9"/>
      <c r="KAN10" s="9"/>
      <c r="KAO10" s="9"/>
      <c r="KAP10" s="9"/>
      <c r="KAQ10" s="9"/>
      <c r="KAR10" s="9"/>
      <c r="KAS10" s="9"/>
      <c r="KAT10" s="9"/>
      <c r="KAU10" s="9"/>
      <c r="KAV10" s="9"/>
      <c r="KAW10" s="9"/>
      <c r="KAX10" s="9"/>
      <c r="KAY10" s="9"/>
      <c r="KAZ10" s="9"/>
      <c r="KBA10" s="9"/>
      <c r="KBB10" s="9"/>
      <c r="KBC10" s="9"/>
      <c r="KBD10" s="9"/>
      <c r="KBE10" s="9"/>
      <c r="KBF10" s="9"/>
      <c r="KBG10" s="9"/>
      <c r="KBH10" s="9"/>
      <c r="KBI10" s="9"/>
      <c r="KBJ10" s="9"/>
      <c r="KBK10" s="9"/>
      <c r="KBL10" s="9"/>
      <c r="KBM10" s="9"/>
      <c r="KBN10" s="9"/>
      <c r="KBO10" s="9"/>
      <c r="KBP10" s="9"/>
      <c r="KBQ10" s="9"/>
      <c r="KBR10" s="9"/>
      <c r="KBS10" s="9"/>
      <c r="KBT10" s="9"/>
      <c r="KBU10" s="9"/>
      <c r="KBV10" s="9"/>
      <c r="KBW10" s="9"/>
      <c r="KBX10" s="9"/>
      <c r="KBY10" s="9"/>
      <c r="KBZ10" s="9"/>
      <c r="KCA10" s="9"/>
      <c r="KCB10" s="9"/>
      <c r="KCC10" s="9"/>
      <c r="KCD10" s="9"/>
      <c r="KCE10" s="9"/>
      <c r="KCF10" s="9"/>
      <c r="KCG10" s="9"/>
      <c r="KCH10" s="9"/>
      <c r="KCI10" s="9"/>
      <c r="KCJ10" s="9"/>
      <c r="KCK10" s="9"/>
      <c r="KCL10" s="9"/>
      <c r="KCM10" s="9"/>
      <c r="KCN10" s="9"/>
      <c r="KCO10" s="9"/>
      <c r="KCP10" s="9"/>
      <c r="KCQ10" s="9"/>
      <c r="KCR10" s="9"/>
      <c r="KCS10" s="9"/>
      <c r="KCT10" s="9"/>
      <c r="KCU10" s="9"/>
      <c r="KCV10" s="9"/>
      <c r="KCW10" s="9"/>
      <c r="KCX10" s="9"/>
      <c r="KCY10" s="9"/>
      <c r="KCZ10" s="9"/>
      <c r="KDA10" s="9"/>
      <c r="KDB10" s="9"/>
      <c r="KDC10" s="9"/>
      <c r="KDD10" s="9"/>
      <c r="KDE10" s="9"/>
      <c r="KDF10" s="9"/>
      <c r="KDG10" s="9"/>
      <c r="KDH10" s="9"/>
      <c r="KDI10" s="9"/>
      <c r="KDJ10" s="9"/>
      <c r="KDK10" s="9"/>
      <c r="KDL10" s="9"/>
      <c r="KDM10" s="9"/>
      <c r="KDN10" s="9"/>
      <c r="KDO10" s="9"/>
      <c r="KDP10" s="9"/>
      <c r="KDQ10" s="9"/>
      <c r="KDR10" s="9"/>
      <c r="KDS10" s="9"/>
      <c r="KDT10" s="9"/>
      <c r="KDU10" s="9"/>
      <c r="KDV10" s="9"/>
      <c r="KDW10" s="9"/>
      <c r="KDX10" s="9"/>
      <c r="KDY10" s="9"/>
      <c r="KDZ10" s="9"/>
      <c r="KEA10" s="9"/>
      <c r="KEB10" s="9"/>
      <c r="KEC10" s="9"/>
      <c r="KED10" s="9"/>
      <c r="KEE10" s="9"/>
      <c r="KEF10" s="9"/>
      <c r="KEG10" s="9"/>
      <c r="KEH10" s="9"/>
      <c r="KEI10" s="9"/>
      <c r="KEJ10" s="9"/>
      <c r="KEK10" s="9"/>
      <c r="KEL10" s="9"/>
      <c r="KEM10" s="9"/>
      <c r="KEN10" s="9"/>
      <c r="KEO10" s="9"/>
      <c r="KEP10" s="9"/>
      <c r="KEQ10" s="9"/>
      <c r="KER10" s="9"/>
      <c r="KES10" s="9"/>
      <c r="KET10" s="9"/>
      <c r="KEU10" s="9"/>
      <c r="KEV10" s="9"/>
      <c r="KEW10" s="9"/>
      <c r="KEX10" s="9"/>
      <c r="KEY10" s="9"/>
      <c r="KEZ10" s="9"/>
      <c r="KFA10" s="9"/>
      <c r="KFB10" s="9"/>
      <c r="KFC10" s="9"/>
      <c r="KFD10" s="9"/>
      <c r="KFE10" s="9"/>
      <c r="KFF10" s="9"/>
      <c r="KFG10" s="9"/>
      <c r="KFH10" s="9"/>
      <c r="KFI10" s="9"/>
      <c r="KFJ10" s="9"/>
      <c r="KFK10" s="9"/>
      <c r="KFL10" s="9"/>
      <c r="KFM10" s="9"/>
      <c r="KFN10" s="9"/>
      <c r="KFO10" s="9"/>
      <c r="KFP10" s="9"/>
      <c r="KFQ10" s="9"/>
      <c r="KFR10" s="9"/>
      <c r="KFS10" s="9"/>
      <c r="KFT10" s="9"/>
      <c r="KFU10" s="9"/>
      <c r="KFV10" s="9"/>
      <c r="KFW10" s="9"/>
      <c r="KFX10" s="9"/>
      <c r="KFY10" s="9"/>
      <c r="KFZ10" s="9"/>
      <c r="KGA10" s="9"/>
      <c r="KGB10" s="9"/>
      <c r="KGC10" s="9"/>
      <c r="KGD10" s="9"/>
      <c r="KGE10" s="9"/>
      <c r="KGF10" s="9"/>
      <c r="KGG10" s="9"/>
      <c r="KGH10" s="9"/>
      <c r="KGI10" s="9"/>
      <c r="KGJ10" s="9"/>
      <c r="KGK10" s="9"/>
      <c r="KGL10" s="9"/>
      <c r="KGM10" s="9"/>
      <c r="KGN10" s="9"/>
      <c r="KGO10" s="9"/>
      <c r="KGP10" s="9"/>
      <c r="KGQ10" s="9"/>
      <c r="KGR10" s="9"/>
      <c r="KGS10" s="9"/>
      <c r="KGT10" s="9"/>
      <c r="KGU10" s="9"/>
      <c r="KGV10" s="9"/>
      <c r="KGW10" s="9"/>
      <c r="KGX10" s="9"/>
      <c r="KGY10" s="9"/>
      <c r="KGZ10" s="9"/>
      <c r="KHA10" s="9"/>
      <c r="KHB10" s="9"/>
      <c r="KHC10" s="9"/>
      <c r="KHD10" s="9"/>
      <c r="KHE10" s="9"/>
      <c r="KHF10" s="9"/>
      <c r="KHG10" s="9"/>
      <c r="KHH10" s="9"/>
      <c r="KHI10" s="9"/>
      <c r="KHJ10" s="9"/>
      <c r="KHK10" s="9"/>
      <c r="KHL10" s="9"/>
      <c r="KHM10" s="9"/>
      <c r="KHN10" s="9"/>
      <c r="KHO10" s="9"/>
      <c r="KHP10" s="9"/>
      <c r="KHQ10" s="9"/>
      <c r="KHR10" s="9"/>
      <c r="KHS10" s="9"/>
      <c r="KHT10" s="9"/>
      <c r="KHU10" s="9"/>
      <c r="KHV10" s="9"/>
      <c r="KHW10" s="9"/>
      <c r="KHX10" s="9"/>
      <c r="KHY10" s="9"/>
      <c r="KHZ10" s="9"/>
      <c r="KIA10" s="9"/>
      <c r="KIB10" s="9"/>
      <c r="KIC10" s="9"/>
      <c r="KID10" s="9"/>
      <c r="KIE10" s="9"/>
      <c r="KIF10" s="9"/>
      <c r="KIG10" s="9"/>
      <c r="KIH10" s="9"/>
      <c r="KII10" s="9"/>
      <c r="KIJ10" s="9"/>
      <c r="KIK10" s="9"/>
      <c r="KIL10" s="9"/>
      <c r="KIM10" s="9"/>
      <c r="KIN10" s="9"/>
      <c r="KIO10" s="9"/>
      <c r="KIP10" s="9"/>
      <c r="KIQ10" s="9"/>
      <c r="KIR10" s="9"/>
      <c r="KIS10" s="9"/>
      <c r="KIT10" s="9"/>
      <c r="KIU10" s="9"/>
      <c r="KIV10" s="9"/>
      <c r="KIW10" s="9"/>
      <c r="KIX10" s="9"/>
      <c r="KIY10" s="9"/>
      <c r="KIZ10" s="9"/>
      <c r="KJA10" s="9"/>
      <c r="KJB10" s="9"/>
      <c r="KJC10" s="9"/>
      <c r="KJD10" s="9"/>
      <c r="KJE10" s="9"/>
      <c r="KJF10" s="9"/>
      <c r="KJG10" s="9"/>
      <c r="KJH10" s="9"/>
      <c r="KJI10" s="9"/>
      <c r="KJJ10" s="9"/>
      <c r="KJK10" s="9"/>
      <c r="KJL10" s="9"/>
      <c r="KJM10" s="9"/>
      <c r="KJN10" s="9"/>
      <c r="KJO10" s="9"/>
      <c r="KJP10" s="9"/>
      <c r="KJQ10" s="9"/>
      <c r="KJR10" s="9"/>
      <c r="KJS10" s="9"/>
      <c r="KJT10" s="9"/>
      <c r="KJU10" s="9"/>
      <c r="KJV10" s="9"/>
      <c r="KJW10" s="9"/>
      <c r="KJX10" s="9"/>
      <c r="KJY10" s="9"/>
      <c r="KJZ10" s="9"/>
      <c r="KKA10" s="9"/>
      <c r="KKB10" s="9"/>
      <c r="KKC10" s="9"/>
      <c r="KKD10" s="9"/>
      <c r="KKE10" s="9"/>
      <c r="KKF10" s="9"/>
      <c r="KKG10" s="9"/>
      <c r="KKH10" s="9"/>
      <c r="KKI10" s="9"/>
      <c r="KKJ10" s="9"/>
      <c r="KKK10" s="9"/>
      <c r="KKL10" s="9"/>
      <c r="KKM10" s="9"/>
      <c r="KKN10" s="9"/>
      <c r="KKO10" s="9"/>
      <c r="KKP10" s="9"/>
      <c r="KKQ10" s="9"/>
      <c r="KKR10" s="9"/>
      <c r="KKS10" s="9"/>
      <c r="KKT10" s="9"/>
      <c r="KKU10" s="9"/>
      <c r="KKV10" s="9"/>
      <c r="KKW10" s="9"/>
      <c r="KKX10" s="9"/>
      <c r="KKY10" s="9"/>
      <c r="KKZ10" s="9"/>
      <c r="KLA10" s="9"/>
      <c r="KLB10" s="9"/>
      <c r="KLC10" s="9"/>
      <c r="KLD10" s="9"/>
      <c r="KLE10" s="9"/>
      <c r="KLF10" s="9"/>
      <c r="KLG10" s="9"/>
      <c r="KLH10" s="9"/>
      <c r="KLI10" s="9"/>
      <c r="KLJ10" s="9"/>
      <c r="KLK10" s="9"/>
      <c r="KLL10" s="9"/>
      <c r="KLM10" s="9"/>
      <c r="KLN10" s="9"/>
      <c r="KLO10" s="9"/>
      <c r="KLP10" s="9"/>
      <c r="KLQ10" s="9"/>
      <c r="KLR10" s="9"/>
      <c r="KLS10" s="9"/>
      <c r="KLT10" s="9"/>
      <c r="KLU10" s="9"/>
      <c r="KLV10" s="9"/>
      <c r="KLW10" s="9"/>
      <c r="KLX10" s="9"/>
      <c r="KLY10" s="9"/>
      <c r="KLZ10" s="9"/>
      <c r="KMA10" s="9"/>
      <c r="KMB10" s="9"/>
      <c r="KMC10" s="9"/>
      <c r="KMD10" s="9"/>
      <c r="KME10" s="9"/>
      <c r="KMF10" s="9"/>
      <c r="KMG10" s="9"/>
      <c r="KMH10" s="9"/>
      <c r="KMI10" s="9"/>
      <c r="KMJ10" s="9"/>
      <c r="KMK10" s="9"/>
      <c r="KML10" s="9"/>
      <c r="KMM10" s="9"/>
      <c r="KMN10" s="9"/>
      <c r="KMO10" s="9"/>
      <c r="KMP10" s="9"/>
      <c r="KMQ10" s="9"/>
      <c r="KMR10" s="9"/>
      <c r="KMS10" s="9"/>
      <c r="KMT10" s="9"/>
      <c r="KMU10" s="9"/>
      <c r="KMV10" s="9"/>
      <c r="KMW10" s="9"/>
      <c r="KMX10" s="9"/>
      <c r="KMY10" s="9"/>
      <c r="KMZ10" s="9"/>
      <c r="KNA10" s="9"/>
      <c r="KNB10" s="9"/>
      <c r="KNC10" s="9"/>
      <c r="KND10" s="9"/>
      <c r="KNE10" s="9"/>
      <c r="KNF10" s="9"/>
      <c r="KNG10" s="9"/>
      <c r="KNH10" s="9"/>
      <c r="KNI10" s="9"/>
      <c r="KNJ10" s="9"/>
      <c r="KNK10" s="9"/>
      <c r="KNL10" s="9"/>
      <c r="KNM10" s="9"/>
      <c r="KNN10" s="9"/>
      <c r="KNO10" s="9"/>
      <c r="KNP10" s="9"/>
      <c r="KNQ10" s="9"/>
      <c r="KNR10" s="9"/>
      <c r="KNS10" s="9"/>
      <c r="KNT10" s="9"/>
      <c r="KNU10" s="9"/>
      <c r="KNV10" s="9"/>
      <c r="KNW10" s="9"/>
      <c r="KNX10" s="9"/>
      <c r="KNY10" s="9"/>
      <c r="KNZ10" s="9"/>
      <c r="KOA10" s="9"/>
      <c r="KOB10" s="9"/>
      <c r="KOC10" s="9"/>
      <c r="KOD10" s="9"/>
      <c r="KOE10" s="9"/>
      <c r="KOF10" s="9"/>
      <c r="KOG10" s="9"/>
      <c r="KOH10" s="9"/>
      <c r="KOI10" s="9"/>
      <c r="KOJ10" s="9"/>
      <c r="KOK10" s="9"/>
      <c r="KOL10" s="9"/>
      <c r="KOM10" s="9"/>
      <c r="KON10" s="9"/>
      <c r="KOO10" s="9"/>
      <c r="KOP10" s="9"/>
      <c r="KOQ10" s="9"/>
      <c r="KOR10" s="9"/>
      <c r="KOS10" s="9"/>
      <c r="KOT10" s="9"/>
      <c r="KOU10" s="9"/>
      <c r="KOV10" s="9"/>
      <c r="KOW10" s="9"/>
      <c r="KOX10" s="9"/>
      <c r="KOY10" s="9"/>
      <c r="KOZ10" s="9"/>
      <c r="KPA10" s="9"/>
      <c r="KPB10" s="9"/>
      <c r="KPC10" s="9"/>
      <c r="KPD10" s="9"/>
      <c r="KPE10" s="9"/>
      <c r="KPF10" s="9"/>
      <c r="KPG10" s="9"/>
      <c r="KPH10" s="9"/>
      <c r="KPI10" s="9"/>
      <c r="KPJ10" s="9"/>
      <c r="KPK10" s="9"/>
      <c r="KPL10" s="9"/>
      <c r="KPM10" s="9"/>
      <c r="KPN10" s="9"/>
      <c r="KPO10" s="9"/>
      <c r="KPP10" s="9"/>
      <c r="KPQ10" s="9"/>
      <c r="KPR10" s="9"/>
      <c r="KPS10" s="9"/>
      <c r="KPT10" s="9"/>
      <c r="KPU10" s="9"/>
      <c r="KPV10" s="9"/>
      <c r="KPW10" s="9"/>
      <c r="KPX10" s="9"/>
      <c r="KPY10" s="9"/>
      <c r="KPZ10" s="9"/>
      <c r="KQA10" s="9"/>
      <c r="KQB10" s="9"/>
      <c r="KQC10" s="9"/>
      <c r="KQD10" s="9"/>
      <c r="KQE10" s="9"/>
      <c r="KQF10" s="9"/>
      <c r="KQG10" s="9"/>
      <c r="KQH10" s="9"/>
      <c r="KQI10" s="9"/>
      <c r="KQJ10" s="9"/>
      <c r="KQK10" s="9"/>
      <c r="KQL10" s="9"/>
      <c r="KQM10" s="9"/>
      <c r="KQN10" s="9"/>
      <c r="KQO10" s="9"/>
      <c r="KQP10" s="9"/>
      <c r="KQQ10" s="9"/>
      <c r="KQR10" s="9"/>
      <c r="KQS10" s="9"/>
      <c r="KQT10" s="9"/>
      <c r="KQU10" s="9"/>
      <c r="KQV10" s="9"/>
      <c r="KQW10" s="9"/>
      <c r="KQX10" s="9"/>
      <c r="KQY10" s="9"/>
      <c r="KQZ10" s="9"/>
      <c r="KRA10" s="9"/>
      <c r="KRB10" s="9"/>
      <c r="KRC10" s="9"/>
      <c r="KRD10" s="9"/>
      <c r="KRE10" s="9"/>
      <c r="KRF10" s="9"/>
      <c r="KRG10" s="9"/>
      <c r="KRH10" s="9"/>
      <c r="KRI10" s="9"/>
      <c r="KRJ10" s="9"/>
      <c r="KRK10" s="9"/>
      <c r="KRL10" s="9"/>
      <c r="KRM10" s="9"/>
      <c r="KRN10" s="9"/>
      <c r="KRO10" s="9"/>
      <c r="KRP10" s="9"/>
      <c r="KRQ10" s="9"/>
      <c r="KRR10" s="9"/>
      <c r="KRS10" s="9"/>
      <c r="KRT10" s="9"/>
      <c r="KRU10" s="9"/>
      <c r="KRV10" s="9"/>
      <c r="KRW10" s="9"/>
      <c r="KRX10" s="9"/>
      <c r="KRY10" s="9"/>
      <c r="KRZ10" s="9"/>
      <c r="KSA10" s="9"/>
      <c r="KSB10" s="9"/>
      <c r="KSC10" s="9"/>
      <c r="KSD10" s="9"/>
      <c r="KSE10" s="9"/>
      <c r="KSF10" s="9"/>
      <c r="KSG10" s="9"/>
      <c r="KSH10" s="9"/>
      <c r="KSI10" s="9"/>
      <c r="KSJ10" s="9"/>
      <c r="KSK10" s="9"/>
      <c r="KSL10" s="9"/>
      <c r="KSM10" s="9"/>
      <c r="KSN10" s="9"/>
      <c r="KSO10" s="9"/>
      <c r="KSP10" s="9"/>
      <c r="KSQ10" s="9"/>
      <c r="KSR10" s="9"/>
      <c r="KSS10" s="9"/>
      <c r="KST10" s="9"/>
      <c r="KSU10" s="9"/>
      <c r="KSV10" s="9"/>
      <c r="KSW10" s="9"/>
      <c r="KSX10" s="9"/>
      <c r="KSY10" s="9"/>
      <c r="KSZ10" s="9"/>
      <c r="KTA10" s="9"/>
      <c r="KTB10" s="9"/>
      <c r="KTC10" s="9"/>
      <c r="KTD10" s="9"/>
      <c r="KTE10" s="9"/>
      <c r="KTF10" s="9"/>
      <c r="KTG10" s="9"/>
      <c r="KTH10" s="9"/>
      <c r="KTI10" s="9"/>
      <c r="KTJ10" s="9"/>
      <c r="KTK10" s="9"/>
      <c r="KTL10" s="9"/>
      <c r="KTM10" s="9"/>
      <c r="KTN10" s="9"/>
      <c r="KTO10" s="9"/>
      <c r="KTP10" s="9"/>
      <c r="KTQ10" s="9"/>
      <c r="KTR10" s="9"/>
      <c r="KTS10" s="9"/>
      <c r="KTT10" s="9"/>
      <c r="KTU10" s="9"/>
      <c r="KTV10" s="9"/>
      <c r="KTW10" s="9"/>
      <c r="KTX10" s="9"/>
      <c r="KTY10" s="9"/>
      <c r="KTZ10" s="9"/>
      <c r="KUA10" s="9"/>
      <c r="KUB10" s="9"/>
      <c r="KUC10" s="9"/>
      <c r="KUD10" s="9"/>
      <c r="KUE10" s="9"/>
      <c r="KUF10" s="9"/>
      <c r="KUG10" s="9"/>
      <c r="KUH10" s="9"/>
      <c r="KUI10" s="9"/>
      <c r="KUJ10" s="9"/>
      <c r="KUK10" s="9"/>
      <c r="KUL10" s="9"/>
      <c r="KUM10" s="9"/>
      <c r="KUN10" s="9"/>
      <c r="KUO10" s="9"/>
      <c r="KUP10" s="9"/>
      <c r="KUQ10" s="9"/>
      <c r="KUR10" s="9"/>
      <c r="KUS10" s="9"/>
      <c r="KUT10" s="9"/>
      <c r="KUU10" s="9"/>
      <c r="KUV10" s="9"/>
      <c r="KUW10" s="9"/>
      <c r="KUX10" s="9"/>
      <c r="KUY10" s="9"/>
      <c r="KUZ10" s="9"/>
      <c r="KVA10" s="9"/>
      <c r="KVB10" s="9"/>
      <c r="KVC10" s="9"/>
      <c r="KVD10" s="9"/>
      <c r="KVE10" s="9"/>
      <c r="KVF10" s="9"/>
      <c r="KVG10" s="9"/>
      <c r="KVH10" s="9"/>
      <c r="KVI10" s="9"/>
      <c r="KVJ10" s="9"/>
      <c r="KVK10" s="9"/>
      <c r="KVL10" s="9"/>
      <c r="KVM10" s="9"/>
      <c r="KVN10" s="9"/>
      <c r="KVO10" s="9"/>
      <c r="KVP10" s="9"/>
      <c r="KVQ10" s="9"/>
      <c r="KVR10" s="9"/>
      <c r="KVS10" s="9"/>
      <c r="KVT10" s="9"/>
      <c r="KVU10" s="9"/>
      <c r="KVV10" s="9"/>
      <c r="KVW10" s="9"/>
      <c r="KVX10" s="9"/>
      <c r="KVY10" s="9"/>
      <c r="KVZ10" s="9"/>
      <c r="KWA10" s="9"/>
      <c r="KWB10" s="9"/>
      <c r="KWC10" s="9"/>
      <c r="KWD10" s="9"/>
      <c r="KWE10" s="9"/>
      <c r="KWF10" s="9"/>
      <c r="KWG10" s="9"/>
      <c r="KWH10" s="9"/>
      <c r="KWI10" s="9"/>
      <c r="KWJ10" s="9"/>
      <c r="KWK10" s="9"/>
      <c r="KWL10" s="9"/>
      <c r="KWM10" s="9"/>
      <c r="KWN10" s="9"/>
      <c r="KWO10" s="9"/>
      <c r="KWP10" s="9"/>
      <c r="KWQ10" s="9"/>
      <c r="KWR10" s="9"/>
      <c r="KWS10" s="9"/>
      <c r="KWT10" s="9"/>
      <c r="KWU10" s="9"/>
      <c r="KWV10" s="9"/>
      <c r="KWW10" s="9"/>
      <c r="KWX10" s="9"/>
      <c r="KWY10" s="9"/>
      <c r="KWZ10" s="9"/>
      <c r="KXA10" s="9"/>
      <c r="KXB10" s="9"/>
      <c r="KXC10" s="9"/>
      <c r="KXD10" s="9"/>
      <c r="KXE10" s="9"/>
      <c r="KXF10" s="9"/>
      <c r="KXG10" s="9"/>
      <c r="KXH10" s="9"/>
      <c r="KXI10" s="9"/>
      <c r="KXJ10" s="9"/>
      <c r="KXK10" s="9"/>
      <c r="KXL10" s="9"/>
      <c r="KXM10" s="9"/>
      <c r="KXN10" s="9"/>
      <c r="KXO10" s="9"/>
      <c r="KXP10" s="9"/>
      <c r="KXQ10" s="9"/>
      <c r="KXR10" s="9"/>
      <c r="KXS10" s="9"/>
      <c r="KXT10" s="9"/>
      <c r="KXU10" s="9"/>
      <c r="KXV10" s="9"/>
      <c r="KXW10" s="9"/>
      <c r="KXX10" s="9"/>
      <c r="KXY10" s="9"/>
      <c r="KXZ10" s="9"/>
      <c r="KYA10" s="9"/>
      <c r="KYB10" s="9"/>
      <c r="KYC10" s="9"/>
      <c r="KYD10" s="9"/>
      <c r="KYE10" s="9"/>
      <c r="KYF10" s="9"/>
      <c r="KYG10" s="9"/>
      <c r="KYH10" s="9"/>
      <c r="KYI10" s="9"/>
      <c r="KYJ10" s="9"/>
      <c r="KYK10" s="9"/>
      <c r="KYL10" s="9"/>
      <c r="KYM10" s="9"/>
      <c r="KYN10" s="9"/>
      <c r="KYO10" s="9"/>
      <c r="KYP10" s="9"/>
      <c r="KYQ10" s="9"/>
      <c r="KYR10" s="9"/>
      <c r="KYS10" s="9"/>
      <c r="KYT10" s="9"/>
      <c r="KYU10" s="9"/>
      <c r="KYV10" s="9"/>
      <c r="KYW10" s="9"/>
      <c r="KYX10" s="9"/>
      <c r="KYY10" s="9"/>
      <c r="KYZ10" s="9"/>
      <c r="KZA10" s="9"/>
      <c r="KZB10" s="9"/>
      <c r="KZC10" s="9"/>
      <c r="KZD10" s="9"/>
      <c r="KZE10" s="9"/>
      <c r="KZF10" s="9"/>
      <c r="KZG10" s="9"/>
      <c r="KZH10" s="9"/>
      <c r="KZI10" s="9"/>
      <c r="KZJ10" s="9"/>
      <c r="KZK10" s="9"/>
      <c r="KZL10" s="9"/>
      <c r="KZM10" s="9"/>
      <c r="KZN10" s="9"/>
      <c r="KZO10" s="9"/>
      <c r="KZP10" s="9"/>
      <c r="KZQ10" s="9"/>
      <c r="KZR10" s="9"/>
      <c r="KZS10" s="9"/>
      <c r="KZT10" s="9"/>
      <c r="KZU10" s="9"/>
      <c r="KZV10" s="9"/>
      <c r="KZW10" s="9"/>
      <c r="KZX10" s="9"/>
      <c r="KZY10" s="9"/>
      <c r="KZZ10" s="9"/>
      <c r="LAA10" s="9"/>
      <c r="LAB10" s="9"/>
      <c r="LAC10" s="9"/>
      <c r="LAD10" s="9"/>
      <c r="LAE10" s="9"/>
      <c r="LAF10" s="9"/>
      <c r="LAG10" s="9"/>
      <c r="LAH10" s="9"/>
      <c r="LAI10" s="9"/>
      <c r="LAJ10" s="9"/>
      <c r="LAK10" s="9"/>
      <c r="LAL10" s="9"/>
      <c r="LAM10" s="9"/>
      <c r="LAN10" s="9"/>
      <c r="LAO10" s="9"/>
      <c r="LAP10" s="9"/>
      <c r="LAQ10" s="9"/>
      <c r="LAR10" s="9"/>
      <c r="LAS10" s="9"/>
      <c r="LAT10" s="9"/>
      <c r="LAU10" s="9"/>
      <c r="LAV10" s="9"/>
      <c r="LAW10" s="9"/>
      <c r="LAX10" s="9"/>
      <c r="LAY10" s="9"/>
      <c r="LAZ10" s="9"/>
      <c r="LBA10" s="9"/>
      <c r="LBB10" s="9"/>
      <c r="LBC10" s="9"/>
      <c r="LBD10" s="9"/>
      <c r="LBE10" s="9"/>
      <c r="LBF10" s="9"/>
      <c r="LBG10" s="9"/>
      <c r="LBH10" s="9"/>
      <c r="LBI10" s="9"/>
      <c r="LBJ10" s="9"/>
      <c r="LBK10" s="9"/>
      <c r="LBL10" s="9"/>
      <c r="LBM10" s="9"/>
      <c r="LBN10" s="9"/>
      <c r="LBO10" s="9"/>
      <c r="LBP10" s="9"/>
      <c r="LBQ10" s="9"/>
      <c r="LBR10" s="9"/>
      <c r="LBS10" s="9"/>
      <c r="LBT10" s="9"/>
      <c r="LBU10" s="9"/>
      <c r="LBV10" s="9"/>
      <c r="LBW10" s="9"/>
      <c r="LBX10" s="9"/>
      <c r="LBY10" s="9"/>
      <c r="LBZ10" s="9"/>
      <c r="LCA10" s="9"/>
      <c r="LCB10" s="9"/>
      <c r="LCC10" s="9"/>
      <c r="LCD10" s="9"/>
      <c r="LCE10" s="9"/>
      <c r="LCF10" s="9"/>
      <c r="LCG10" s="9"/>
      <c r="LCH10" s="9"/>
      <c r="LCI10" s="9"/>
      <c r="LCJ10" s="9"/>
      <c r="LCK10" s="9"/>
      <c r="LCL10" s="9"/>
      <c r="LCM10" s="9"/>
      <c r="LCN10" s="9"/>
      <c r="LCO10" s="9"/>
      <c r="LCP10" s="9"/>
      <c r="LCQ10" s="9"/>
      <c r="LCR10" s="9"/>
      <c r="LCS10" s="9"/>
      <c r="LCT10" s="9"/>
      <c r="LCU10" s="9"/>
      <c r="LCV10" s="9"/>
      <c r="LCW10" s="9"/>
      <c r="LCX10" s="9"/>
      <c r="LCY10" s="9"/>
      <c r="LCZ10" s="9"/>
      <c r="LDA10" s="9"/>
      <c r="LDB10" s="9"/>
      <c r="LDC10" s="9"/>
      <c r="LDD10" s="9"/>
      <c r="LDE10" s="9"/>
      <c r="LDF10" s="9"/>
      <c r="LDG10" s="9"/>
      <c r="LDH10" s="9"/>
      <c r="LDI10" s="9"/>
      <c r="LDJ10" s="9"/>
      <c r="LDK10" s="9"/>
      <c r="LDL10" s="9"/>
      <c r="LDM10" s="9"/>
      <c r="LDN10" s="9"/>
      <c r="LDO10" s="9"/>
      <c r="LDP10" s="9"/>
      <c r="LDQ10" s="9"/>
      <c r="LDR10" s="9"/>
      <c r="LDS10" s="9"/>
      <c r="LDT10" s="9"/>
      <c r="LDU10" s="9"/>
      <c r="LDV10" s="9"/>
      <c r="LDW10" s="9"/>
      <c r="LDX10" s="9"/>
      <c r="LDY10" s="9"/>
      <c r="LDZ10" s="9"/>
      <c r="LEA10" s="9"/>
      <c r="LEB10" s="9"/>
      <c r="LEC10" s="9"/>
      <c r="LED10" s="9"/>
      <c r="LEE10" s="9"/>
      <c r="LEF10" s="9"/>
      <c r="LEG10" s="9"/>
      <c r="LEH10" s="9"/>
      <c r="LEI10" s="9"/>
      <c r="LEJ10" s="9"/>
      <c r="LEK10" s="9"/>
      <c r="LEL10" s="9"/>
      <c r="LEM10" s="9"/>
      <c r="LEN10" s="9"/>
      <c r="LEO10" s="9"/>
      <c r="LEP10" s="9"/>
      <c r="LEQ10" s="9"/>
      <c r="LER10" s="9"/>
      <c r="LES10" s="9"/>
      <c r="LET10" s="9"/>
      <c r="LEU10" s="9"/>
      <c r="LEV10" s="9"/>
      <c r="LEW10" s="9"/>
      <c r="LEX10" s="9"/>
      <c r="LEY10" s="9"/>
      <c r="LEZ10" s="9"/>
      <c r="LFA10" s="9"/>
      <c r="LFB10" s="9"/>
      <c r="LFC10" s="9"/>
      <c r="LFD10" s="9"/>
      <c r="LFE10" s="9"/>
      <c r="LFF10" s="9"/>
      <c r="LFG10" s="9"/>
      <c r="LFH10" s="9"/>
      <c r="LFI10" s="9"/>
      <c r="LFJ10" s="9"/>
      <c r="LFK10" s="9"/>
      <c r="LFL10" s="9"/>
      <c r="LFM10" s="9"/>
      <c r="LFN10" s="9"/>
      <c r="LFO10" s="9"/>
      <c r="LFP10" s="9"/>
      <c r="LFQ10" s="9"/>
      <c r="LFR10" s="9"/>
      <c r="LFS10" s="9"/>
      <c r="LFT10" s="9"/>
      <c r="LFU10" s="9"/>
      <c r="LFV10" s="9"/>
      <c r="LFW10" s="9"/>
      <c r="LFX10" s="9"/>
      <c r="LFY10" s="9"/>
      <c r="LFZ10" s="9"/>
      <c r="LGA10" s="9"/>
      <c r="LGB10" s="9"/>
      <c r="LGC10" s="9"/>
      <c r="LGD10" s="9"/>
      <c r="LGE10" s="9"/>
      <c r="LGF10" s="9"/>
      <c r="LGG10" s="9"/>
      <c r="LGH10" s="9"/>
      <c r="LGI10" s="9"/>
      <c r="LGJ10" s="9"/>
      <c r="LGK10" s="9"/>
      <c r="LGL10" s="9"/>
      <c r="LGM10" s="9"/>
      <c r="LGN10" s="9"/>
      <c r="LGO10" s="9"/>
      <c r="LGP10" s="9"/>
      <c r="LGQ10" s="9"/>
      <c r="LGR10" s="9"/>
      <c r="LGS10" s="9"/>
      <c r="LGT10" s="9"/>
      <c r="LGU10" s="9"/>
      <c r="LGV10" s="9"/>
      <c r="LGW10" s="9"/>
      <c r="LGX10" s="9"/>
      <c r="LGY10" s="9"/>
      <c r="LGZ10" s="9"/>
      <c r="LHA10" s="9"/>
      <c r="LHB10" s="9"/>
      <c r="LHC10" s="9"/>
      <c r="LHD10" s="9"/>
      <c r="LHE10" s="9"/>
      <c r="LHF10" s="9"/>
      <c r="LHG10" s="9"/>
      <c r="LHH10" s="9"/>
      <c r="LHI10" s="9"/>
      <c r="LHJ10" s="9"/>
      <c r="LHK10" s="9"/>
      <c r="LHL10" s="9"/>
      <c r="LHM10" s="9"/>
      <c r="LHN10" s="9"/>
      <c r="LHO10" s="9"/>
      <c r="LHP10" s="9"/>
      <c r="LHQ10" s="9"/>
      <c r="LHR10" s="9"/>
      <c r="LHS10" s="9"/>
      <c r="LHT10" s="9"/>
      <c r="LHU10" s="9"/>
      <c r="LHV10" s="9"/>
      <c r="LHW10" s="9"/>
      <c r="LHX10" s="9"/>
      <c r="LHY10" s="9"/>
      <c r="LHZ10" s="9"/>
      <c r="LIA10" s="9"/>
      <c r="LIB10" s="9"/>
      <c r="LIC10" s="9"/>
      <c r="LID10" s="9"/>
      <c r="LIE10" s="9"/>
      <c r="LIF10" s="9"/>
      <c r="LIG10" s="9"/>
      <c r="LIH10" s="9"/>
      <c r="LII10" s="9"/>
      <c r="LIJ10" s="9"/>
      <c r="LIK10" s="9"/>
      <c r="LIL10" s="9"/>
      <c r="LIM10" s="9"/>
      <c r="LIN10" s="9"/>
      <c r="LIO10" s="9"/>
      <c r="LIP10" s="9"/>
      <c r="LIQ10" s="9"/>
      <c r="LIR10" s="9"/>
      <c r="LIS10" s="9"/>
      <c r="LIT10" s="9"/>
      <c r="LIU10" s="9"/>
      <c r="LIV10" s="9"/>
      <c r="LIW10" s="9"/>
      <c r="LIX10" s="9"/>
      <c r="LIY10" s="9"/>
      <c r="LIZ10" s="9"/>
      <c r="LJA10" s="9"/>
      <c r="LJB10" s="9"/>
      <c r="LJC10" s="9"/>
      <c r="LJD10" s="9"/>
      <c r="LJE10" s="9"/>
      <c r="LJF10" s="9"/>
      <c r="LJG10" s="9"/>
      <c r="LJH10" s="9"/>
      <c r="LJI10" s="9"/>
      <c r="LJJ10" s="9"/>
      <c r="LJK10" s="9"/>
      <c r="LJL10" s="9"/>
      <c r="LJM10" s="9"/>
      <c r="LJN10" s="9"/>
      <c r="LJO10" s="9"/>
      <c r="LJP10" s="9"/>
      <c r="LJQ10" s="9"/>
      <c r="LJR10" s="9"/>
      <c r="LJS10" s="9"/>
      <c r="LJT10" s="9"/>
      <c r="LJU10" s="9"/>
      <c r="LJV10" s="9"/>
      <c r="LJW10" s="9"/>
      <c r="LJX10" s="9"/>
      <c r="LJY10" s="9"/>
      <c r="LJZ10" s="9"/>
      <c r="LKA10" s="9"/>
      <c r="LKB10" s="9"/>
      <c r="LKC10" s="9"/>
      <c r="LKD10" s="9"/>
      <c r="LKE10" s="9"/>
      <c r="LKF10" s="9"/>
      <c r="LKG10" s="9"/>
      <c r="LKH10" s="9"/>
      <c r="LKI10" s="9"/>
      <c r="LKJ10" s="9"/>
      <c r="LKK10" s="9"/>
      <c r="LKL10" s="9"/>
      <c r="LKM10" s="9"/>
      <c r="LKN10" s="9"/>
      <c r="LKO10" s="9"/>
      <c r="LKP10" s="9"/>
      <c r="LKQ10" s="9"/>
      <c r="LKR10" s="9"/>
      <c r="LKS10" s="9"/>
      <c r="LKT10" s="9"/>
      <c r="LKU10" s="9"/>
      <c r="LKV10" s="9"/>
      <c r="LKW10" s="9"/>
      <c r="LKX10" s="9"/>
      <c r="LKY10" s="9"/>
      <c r="LKZ10" s="9"/>
      <c r="LLA10" s="9"/>
      <c r="LLB10" s="9"/>
      <c r="LLC10" s="9"/>
      <c r="LLD10" s="9"/>
      <c r="LLE10" s="9"/>
      <c r="LLF10" s="9"/>
      <c r="LLG10" s="9"/>
      <c r="LLH10" s="9"/>
      <c r="LLI10" s="9"/>
      <c r="LLJ10" s="9"/>
      <c r="LLK10" s="9"/>
      <c r="LLL10" s="9"/>
      <c r="LLM10" s="9"/>
      <c r="LLN10" s="9"/>
      <c r="LLO10" s="9"/>
      <c r="LLP10" s="9"/>
      <c r="LLQ10" s="9"/>
      <c r="LLR10" s="9"/>
      <c r="LLS10" s="9"/>
      <c r="LLT10" s="9"/>
      <c r="LLU10" s="9"/>
      <c r="LLV10" s="9"/>
      <c r="LLW10" s="9"/>
      <c r="LLX10" s="9"/>
      <c r="LLY10" s="9"/>
      <c r="LLZ10" s="9"/>
      <c r="LMA10" s="9"/>
      <c r="LMB10" s="9"/>
      <c r="LMC10" s="9"/>
      <c r="LMD10" s="9"/>
      <c r="LME10" s="9"/>
      <c r="LMF10" s="9"/>
      <c r="LMG10" s="9"/>
      <c r="LMH10" s="9"/>
      <c r="LMI10" s="9"/>
      <c r="LMJ10" s="9"/>
      <c r="LMK10" s="9"/>
      <c r="LML10" s="9"/>
      <c r="LMM10" s="9"/>
      <c r="LMN10" s="9"/>
      <c r="LMO10" s="9"/>
      <c r="LMP10" s="9"/>
      <c r="LMQ10" s="9"/>
      <c r="LMR10" s="9"/>
      <c r="LMS10" s="9"/>
      <c r="LMT10" s="9"/>
      <c r="LMU10" s="9"/>
      <c r="LMV10" s="9"/>
      <c r="LMW10" s="9"/>
      <c r="LMX10" s="9"/>
      <c r="LMY10" s="9"/>
      <c r="LMZ10" s="9"/>
      <c r="LNA10" s="9"/>
      <c r="LNB10" s="9"/>
      <c r="LNC10" s="9"/>
      <c r="LND10" s="9"/>
      <c r="LNE10" s="9"/>
      <c r="LNF10" s="9"/>
      <c r="LNG10" s="9"/>
      <c r="LNH10" s="9"/>
      <c r="LNI10" s="9"/>
      <c r="LNJ10" s="9"/>
      <c r="LNK10" s="9"/>
      <c r="LNL10" s="9"/>
      <c r="LNM10" s="9"/>
      <c r="LNN10" s="9"/>
      <c r="LNO10" s="9"/>
      <c r="LNP10" s="9"/>
      <c r="LNQ10" s="9"/>
      <c r="LNR10" s="9"/>
      <c r="LNS10" s="9"/>
      <c r="LNT10" s="9"/>
      <c r="LNU10" s="9"/>
      <c r="LNV10" s="9"/>
      <c r="LNW10" s="9"/>
      <c r="LNX10" s="9"/>
      <c r="LNY10" s="9"/>
      <c r="LNZ10" s="9"/>
      <c r="LOA10" s="9"/>
      <c r="LOB10" s="9"/>
      <c r="LOC10" s="9"/>
      <c r="LOD10" s="9"/>
      <c r="LOE10" s="9"/>
      <c r="LOF10" s="9"/>
      <c r="LOG10" s="9"/>
      <c r="LOH10" s="9"/>
      <c r="LOI10" s="9"/>
      <c r="LOJ10" s="9"/>
      <c r="LOK10" s="9"/>
      <c r="LOL10" s="9"/>
      <c r="LOM10" s="9"/>
      <c r="LON10" s="9"/>
      <c r="LOO10" s="9"/>
      <c r="LOP10" s="9"/>
      <c r="LOQ10" s="9"/>
      <c r="LOR10" s="9"/>
      <c r="LOS10" s="9"/>
      <c r="LOT10" s="9"/>
      <c r="LOU10" s="9"/>
      <c r="LOV10" s="9"/>
      <c r="LOW10" s="9"/>
      <c r="LOX10" s="9"/>
      <c r="LOY10" s="9"/>
      <c r="LOZ10" s="9"/>
      <c r="LPA10" s="9"/>
      <c r="LPB10" s="9"/>
      <c r="LPC10" s="9"/>
      <c r="LPD10" s="9"/>
      <c r="LPE10" s="9"/>
      <c r="LPF10" s="9"/>
      <c r="LPG10" s="9"/>
      <c r="LPH10" s="9"/>
      <c r="LPI10" s="9"/>
      <c r="LPJ10" s="9"/>
      <c r="LPK10" s="9"/>
      <c r="LPL10" s="9"/>
      <c r="LPM10" s="9"/>
      <c r="LPN10" s="9"/>
      <c r="LPO10" s="9"/>
      <c r="LPP10" s="9"/>
      <c r="LPQ10" s="9"/>
      <c r="LPR10" s="9"/>
      <c r="LPS10" s="9"/>
      <c r="LPT10" s="9"/>
      <c r="LPU10" s="9"/>
      <c r="LPV10" s="9"/>
      <c r="LPW10" s="9"/>
      <c r="LPX10" s="9"/>
      <c r="LPY10" s="9"/>
      <c r="LPZ10" s="9"/>
      <c r="LQA10" s="9"/>
      <c r="LQB10" s="9"/>
      <c r="LQC10" s="9"/>
      <c r="LQD10" s="9"/>
      <c r="LQE10" s="9"/>
      <c r="LQF10" s="9"/>
      <c r="LQG10" s="9"/>
      <c r="LQH10" s="9"/>
      <c r="LQI10" s="9"/>
      <c r="LQJ10" s="9"/>
      <c r="LQK10" s="9"/>
      <c r="LQL10" s="9"/>
      <c r="LQM10" s="9"/>
      <c r="LQN10" s="9"/>
      <c r="LQO10" s="9"/>
      <c r="LQP10" s="9"/>
      <c r="LQQ10" s="9"/>
      <c r="LQR10" s="9"/>
      <c r="LQS10" s="9"/>
      <c r="LQT10" s="9"/>
      <c r="LQU10" s="9"/>
      <c r="LQV10" s="9"/>
      <c r="LQW10" s="9"/>
      <c r="LQX10" s="9"/>
      <c r="LQY10" s="9"/>
      <c r="LQZ10" s="9"/>
      <c r="LRA10" s="9"/>
      <c r="LRB10" s="9"/>
      <c r="LRC10" s="9"/>
      <c r="LRD10" s="9"/>
      <c r="LRE10" s="9"/>
      <c r="LRF10" s="9"/>
      <c r="LRG10" s="9"/>
      <c r="LRH10" s="9"/>
      <c r="LRI10" s="9"/>
      <c r="LRJ10" s="9"/>
      <c r="LRK10" s="9"/>
      <c r="LRL10" s="9"/>
      <c r="LRM10" s="9"/>
      <c r="LRN10" s="9"/>
      <c r="LRO10" s="9"/>
      <c r="LRP10" s="9"/>
      <c r="LRQ10" s="9"/>
      <c r="LRR10" s="9"/>
      <c r="LRS10" s="9"/>
      <c r="LRT10" s="9"/>
      <c r="LRU10" s="9"/>
      <c r="LRV10" s="9"/>
      <c r="LRW10" s="9"/>
      <c r="LRX10" s="9"/>
      <c r="LRY10" s="9"/>
      <c r="LRZ10" s="9"/>
      <c r="LSA10" s="9"/>
      <c r="LSB10" s="9"/>
      <c r="LSC10" s="9"/>
      <c r="LSD10" s="9"/>
      <c r="LSE10" s="9"/>
      <c r="LSF10" s="9"/>
      <c r="LSG10" s="9"/>
      <c r="LSH10" s="9"/>
      <c r="LSI10" s="9"/>
      <c r="LSJ10" s="9"/>
      <c r="LSK10" s="9"/>
      <c r="LSL10" s="9"/>
      <c r="LSM10" s="9"/>
      <c r="LSN10" s="9"/>
      <c r="LSO10" s="9"/>
      <c r="LSP10" s="9"/>
      <c r="LSQ10" s="9"/>
      <c r="LSR10" s="9"/>
      <c r="LSS10" s="9"/>
      <c r="LST10" s="9"/>
      <c r="LSU10" s="9"/>
      <c r="LSV10" s="9"/>
      <c r="LSW10" s="9"/>
      <c r="LSX10" s="9"/>
      <c r="LSY10" s="9"/>
      <c r="LSZ10" s="9"/>
      <c r="LTA10" s="9"/>
      <c r="LTB10" s="9"/>
      <c r="LTC10" s="9"/>
      <c r="LTD10" s="9"/>
      <c r="LTE10" s="9"/>
      <c r="LTF10" s="9"/>
      <c r="LTG10" s="9"/>
      <c r="LTH10" s="9"/>
      <c r="LTI10" s="9"/>
      <c r="LTJ10" s="9"/>
      <c r="LTK10" s="9"/>
      <c r="LTL10" s="9"/>
      <c r="LTM10" s="9"/>
      <c r="LTN10" s="9"/>
      <c r="LTO10" s="9"/>
      <c r="LTP10" s="9"/>
      <c r="LTQ10" s="9"/>
      <c r="LTR10" s="9"/>
      <c r="LTS10" s="9"/>
      <c r="LTT10" s="9"/>
      <c r="LTU10" s="9"/>
      <c r="LTV10" s="9"/>
      <c r="LTW10" s="9"/>
      <c r="LTX10" s="9"/>
      <c r="LTY10" s="9"/>
      <c r="LTZ10" s="9"/>
      <c r="LUA10" s="9"/>
      <c r="LUB10" s="9"/>
      <c r="LUC10" s="9"/>
      <c r="LUD10" s="9"/>
      <c r="LUE10" s="9"/>
      <c r="LUF10" s="9"/>
      <c r="LUG10" s="9"/>
      <c r="LUH10" s="9"/>
      <c r="LUI10" s="9"/>
      <c r="LUJ10" s="9"/>
      <c r="LUK10" s="9"/>
      <c r="LUL10" s="9"/>
      <c r="LUM10" s="9"/>
      <c r="LUN10" s="9"/>
      <c r="LUO10" s="9"/>
      <c r="LUP10" s="9"/>
      <c r="LUQ10" s="9"/>
      <c r="LUR10" s="9"/>
      <c r="LUS10" s="9"/>
      <c r="LUT10" s="9"/>
      <c r="LUU10" s="9"/>
      <c r="LUV10" s="9"/>
      <c r="LUW10" s="9"/>
      <c r="LUX10" s="9"/>
      <c r="LUY10" s="9"/>
      <c r="LUZ10" s="9"/>
      <c r="LVA10" s="9"/>
      <c r="LVB10" s="9"/>
      <c r="LVC10" s="9"/>
      <c r="LVD10" s="9"/>
      <c r="LVE10" s="9"/>
      <c r="LVF10" s="9"/>
      <c r="LVG10" s="9"/>
      <c r="LVH10" s="9"/>
      <c r="LVI10" s="9"/>
      <c r="LVJ10" s="9"/>
      <c r="LVK10" s="9"/>
      <c r="LVL10" s="9"/>
      <c r="LVM10" s="9"/>
      <c r="LVN10" s="9"/>
      <c r="LVO10" s="9"/>
      <c r="LVP10" s="9"/>
      <c r="LVQ10" s="9"/>
      <c r="LVR10" s="9"/>
      <c r="LVS10" s="9"/>
      <c r="LVT10" s="9"/>
      <c r="LVU10" s="9"/>
      <c r="LVV10" s="9"/>
      <c r="LVW10" s="9"/>
      <c r="LVX10" s="9"/>
      <c r="LVY10" s="9"/>
      <c r="LVZ10" s="9"/>
      <c r="LWA10" s="9"/>
      <c r="LWB10" s="9"/>
      <c r="LWC10" s="9"/>
      <c r="LWD10" s="9"/>
      <c r="LWE10" s="9"/>
      <c r="LWF10" s="9"/>
      <c r="LWG10" s="9"/>
      <c r="LWH10" s="9"/>
      <c r="LWI10" s="9"/>
      <c r="LWJ10" s="9"/>
      <c r="LWK10" s="9"/>
      <c r="LWL10" s="9"/>
      <c r="LWM10" s="9"/>
      <c r="LWN10" s="9"/>
      <c r="LWO10" s="9"/>
      <c r="LWP10" s="9"/>
      <c r="LWQ10" s="9"/>
      <c r="LWR10" s="9"/>
      <c r="LWS10" s="9"/>
      <c r="LWT10" s="9"/>
      <c r="LWU10" s="9"/>
      <c r="LWV10" s="9"/>
      <c r="LWW10" s="9"/>
      <c r="LWX10" s="9"/>
      <c r="LWY10" s="9"/>
      <c r="LWZ10" s="9"/>
      <c r="LXA10" s="9"/>
      <c r="LXB10" s="9"/>
      <c r="LXC10" s="9"/>
      <c r="LXD10" s="9"/>
      <c r="LXE10" s="9"/>
      <c r="LXF10" s="9"/>
      <c r="LXG10" s="9"/>
      <c r="LXH10" s="9"/>
      <c r="LXI10" s="9"/>
      <c r="LXJ10" s="9"/>
      <c r="LXK10" s="9"/>
      <c r="LXL10" s="9"/>
      <c r="LXM10" s="9"/>
      <c r="LXN10" s="9"/>
      <c r="LXO10" s="9"/>
      <c r="LXP10" s="9"/>
      <c r="LXQ10" s="9"/>
      <c r="LXR10" s="9"/>
      <c r="LXS10" s="9"/>
      <c r="LXT10" s="9"/>
      <c r="LXU10" s="9"/>
      <c r="LXV10" s="9"/>
      <c r="LXW10" s="9"/>
      <c r="LXX10" s="9"/>
      <c r="LXY10" s="9"/>
      <c r="LXZ10" s="9"/>
      <c r="LYA10" s="9"/>
      <c r="LYB10" s="9"/>
      <c r="LYC10" s="9"/>
      <c r="LYD10" s="9"/>
      <c r="LYE10" s="9"/>
      <c r="LYF10" s="9"/>
      <c r="LYG10" s="9"/>
      <c r="LYH10" s="9"/>
      <c r="LYI10" s="9"/>
      <c r="LYJ10" s="9"/>
      <c r="LYK10" s="9"/>
      <c r="LYL10" s="9"/>
      <c r="LYM10" s="9"/>
      <c r="LYN10" s="9"/>
      <c r="LYO10" s="9"/>
      <c r="LYP10" s="9"/>
      <c r="LYQ10" s="9"/>
      <c r="LYR10" s="9"/>
      <c r="LYS10" s="9"/>
      <c r="LYT10" s="9"/>
      <c r="LYU10" s="9"/>
      <c r="LYV10" s="9"/>
      <c r="LYW10" s="9"/>
      <c r="LYX10" s="9"/>
      <c r="LYY10" s="9"/>
      <c r="LYZ10" s="9"/>
      <c r="LZA10" s="9"/>
      <c r="LZB10" s="9"/>
      <c r="LZC10" s="9"/>
      <c r="LZD10" s="9"/>
      <c r="LZE10" s="9"/>
      <c r="LZF10" s="9"/>
      <c r="LZG10" s="9"/>
      <c r="LZH10" s="9"/>
      <c r="LZI10" s="9"/>
      <c r="LZJ10" s="9"/>
      <c r="LZK10" s="9"/>
      <c r="LZL10" s="9"/>
      <c r="LZM10" s="9"/>
      <c r="LZN10" s="9"/>
      <c r="LZO10" s="9"/>
      <c r="LZP10" s="9"/>
      <c r="LZQ10" s="9"/>
      <c r="LZR10" s="9"/>
      <c r="LZS10" s="9"/>
      <c r="LZT10" s="9"/>
      <c r="LZU10" s="9"/>
      <c r="LZV10" s="9"/>
      <c r="LZW10" s="9"/>
      <c r="LZX10" s="9"/>
      <c r="LZY10" s="9"/>
      <c r="LZZ10" s="9"/>
      <c r="MAA10" s="9"/>
      <c r="MAB10" s="9"/>
      <c r="MAC10" s="9"/>
      <c r="MAD10" s="9"/>
      <c r="MAE10" s="9"/>
      <c r="MAF10" s="9"/>
      <c r="MAG10" s="9"/>
      <c r="MAH10" s="9"/>
      <c r="MAI10" s="9"/>
      <c r="MAJ10" s="9"/>
      <c r="MAK10" s="9"/>
      <c r="MAL10" s="9"/>
      <c r="MAM10" s="9"/>
      <c r="MAN10" s="9"/>
      <c r="MAO10" s="9"/>
      <c r="MAP10" s="9"/>
      <c r="MAQ10" s="9"/>
      <c r="MAR10" s="9"/>
      <c r="MAS10" s="9"/>
      <c r="MAT10" s="9"/>
      <c r="MAU10" s="9"/>
      <c r="MAV10" s="9"/>
      <c r="MAW10" s="9"/>
      <c r="MAX10" s="9"/>
      <c r="MAY10" s="9"/>
      <c r="MAZ10" s="9"/>
      <c r="MBA10" s="9"/>
      <c r="MBB10" s="9"/>
      <c r="MBC10" s="9"/>
      <c r="MBD10" s="9"/>
      <c r="MBE10" s="9"/>
      <c r="MBF10" s="9"/>
      <c r="MBG10" s="9"/>
      <c r="MBH10" s="9"/>
      <c r="MBI10" s="9"/>
      <c r="MBJ10" s="9"/>
      <c r="MBK10" s="9"/>
      <c r="MBL10" s="9"/>
      <c r="MBM10" s="9"/>
      <c r="MBN10" s="9"/>
      <c r="MBO10" s="9"/>
      <c r="MBP10" s="9"/>
      <c r="MBQ10" s="9"/>
      <c r="MBR10" s="9"/>
      <c r="MBS10" s="9"/>
      <c r="MBT10" s="9"/>
      <c r="MBU10" s="9"/>
      <c r="MBV10" s="9"/>
      <c r="MBW10" s="9"/>
      <c r="MBX10" s="9"/>
      <c r="MBY10" s="9"/>
      <c r="MBZ10" s="9"/>
      <c r="MCA10" s="9"/>
      <c r="MCB10" s="9"/>
      <c r="MCC10" s="9"/>
      <c r="MCD10" s="9"/>
      <c r="MCE10" s="9"/>
      <c r="MCF10" s="9"/>
      <c r="MCG10" s="9"/>
      <c r="MCH10" s="9"/>
      <c r="MCI10" s="9"/>
      <c r="MCJ10" s="9"/>
      <c r="MCK10" s="9"/>
      <c r="MCL10" s="9"/>
      <c r="MCM10" s="9"/>
      <c r="MCN10" s="9"/>
      <c r="MCO10" s="9"/>
      <c r="MCP10" s="9"/>
      <c r="MCQ10" s="9"/>
      <c r="MCR10" s="9"/>
      <c r="MCS10" s="9"/>
      <c r="MCT10" s="9"/>
      <c r="MCU10" s="9"/>
      <c r="MCV10" s="9"/>
      <c r="MCW10" s="9"/>
      <c r="MCX10" s="9"/>
      <c r="MCY10" s="9"/>
      <c r="MCZ10" s="9"/>
      <c r="MDA10" s="9"/>
      <c r="MDB10" s="9"/>
      <c r="MDC10" s="9"/>
      <c r="MDD10" s="9"/>
      <c r="MDE10" s="9"/>
      <c r="MDF10" s="9"/>
      <c r="MDG10" s="9"/>
      <c r="MDH10" s="9"/>
      <c r="MDI10" s="9"/>
      <c r="MDJ10" s="9"/>
      <c r="MDK10" s="9"/>
      <c r="MDL10" s="9"/>
      <c r="MDM10" s="9"/>
      <c r="MDN10" s="9"/>
      <c r="MDO10" s="9"/>
      <c r="MDP10" s="9"/>
      <c r="MDQ10" s="9"/>
      <c r="MDR10" s="9"/>
      <c r="MDS10" s="9"/>
      <c r="MDT10" s="9"/>
      <c r="MDU10" s="9"/>
      <c r="MDV10" s="9"/>
      <c r="MDW10" s="9"/>
      <c r="MDX10" s="9"/>
      <c r="MDY10" s="9"/>
      <c r="MDZ10" s="9"/>
      <c r="MEA10" s="9"/>
      <c r="MEB10" s="9"/>
      <c r="MEC10" s="9"/>
      <c r="MED10" s="9"/>
      <c r="MEE10" s="9"/>
      <c r="MEF10" s="9"/>
      <c r="MEG10" s="9"/>
      <c r="MEH10" s="9"/>
      <c r="MEI10" s="9"/>
      <c r="MEJ10" s="9"/>
      <c r="MEK10" s="9"/>
      <c r="MEL10" s="9"/>
      <c r="MEM10" s="9"/>
      <c r="MEN10" s="9"/>
      <c r="MEO10" s="9"/>
      <c r="MEP10" s="9"/>
      <c r="MEQ10" s="9"/>
      <c r="MER10" s="9"/>
      <c r="MES10" s="9"/>
      <c r="MET10" s="9"/>
      <c r="MEU10" s="9"/>
      <c r="MEV10" s="9"/>
      <c r="MEW10" s="9"/>
      <c r="MEX10" s="9"/>
      <c r="MEY10" s="9"/>
      <c r="MEZ10" s="9"/>
      <c r="MFA10" s="9"/>
      <c r="MFB10" s="9"/>
      <c r="MFC10" s="9"/>
      <c r="MFD10" s="9"/>
      <c r="MFE10" s="9"/>
      <c r="MFF10" s="9"/>
      <c r="MFG10" s="9"/>
      <c r="MFH10" s="9"/>
      <c r="MFI10" s="9"/>
      <c r="MFJ10" s="9"/>
      <c r="MFK10" s="9"/>
      <c r="MFL10" s="9"/>
      <c r="MFM10" s="9"/>
      <c r="MFN10" s="9"/>
      <c r="MFO10" s="9"/>
      <c r="MFP10" s="9"/>
      <c r="MFQ10" s="9"/>
      <c r="MFR10" s="9"/>
      <c r="MFS10" s="9"/>
      <c r="MFT10" s="9"/>
      <c r="MFU10" s="9"/>
      <c r="MFV10" s="9"/>
      <c r="MFW10" s="9"/>
      <c r="MFX10" s="9"/>
      <c r="MFY10" s="9"/>
      <c r="MFZ10" s="9"/>
      <c r="MGA10" s="9"/>
      <c r="MGB10" s="9"/>
      <c r="MGC10" s="9"/>
      <c r="MGD10" s="9"/>
      <c r="MGE10" s="9"/>
      <c r="MGF10" s="9"/>
      <c r="MGG10" s="9"/>
      <c r="MGH10" s="9"/>
      <c r="MGI10" s="9"/>
      <c r="MGJ10" s="9"/>
      <c r="MGK10" s="9"/>
      <c r="MGL10" s="9"/>
      <c r="MGM10" s="9"/>
      <c r="MGN10" s="9"/>
      <c r="MGO10" s="9"/>
      <c r="MGP10" s="9"/>
      <c r="MGQ10" s="9"/>
      <c r="MGR10" s="9"/>
      <c r="MGS10" s="9"/>
      <c r="MGT10" s="9"/>
      <c r="MGU10" s="9"/>
      <c r="MGV10" s="9"/>
      <c r="MGW10" s="9"/>
      <c r="MGX10" s="9"/>
      <c r="MGY10" s="9"/>
      <c r="MGZ10" s="9"/>
      <c r="MHA10" s="9"/>
      <c r="MHB10" s="9"/>
      <c r="MHC10" s="9"/>
      <c r="MHD10" s="9"/>
      <c r="MHE10" s="9"/>
      <c r="MHF10" s="9"/>
      <c r="MHG10" s="9"/>
      <c r="MHH10" s="9"/>
      <c r="MHI10" s="9"/>
      <c r="MHJ10" s="9"/>
      <c r="MHK10" s="9"/>
      <c r="MHL10" s="9"/>
      <c r="MHM10" s="9"/>
      <c r="MHN10" s="9"/>
      <c r="MHO10" s="9"/>
      <c r="MHP10" s="9"/>
      <c r="MHQ10" s="9"/>
      <c r="MHR10" s="9"/>
      <c r="MHS10" s="9"/>
      <c r="MHT10" s="9"/>
      <c r="MHU10" s="9"/>
      <c r="MHV10" s="9"/>
      <c r="MHW10" s="9"/>
      <c r="MHX10" s="9"/>
      <c r="MHY10" s="9"/>
      <c r="MHZ10" s="9"/>
      <c r="MIA10" s="9"/>
      <c r="MIB10" s="9"/>
      <c r="MIC10" s="9"/>
      <c r="MID10" s="9"/>
      <c r="MIE10" s="9"/>
      <c r="MIF10" s="9"/>
      <c r="MIG10" s="9"/>
      <c r="MIH10" s="9"/>
      <c r="MII10" s="9"/>
      <c r="MIJ10" s="9"/>
      <c r="MIK10" s="9"/>
      <c r="MIL10" s="9"/>
      <c r="MIM10" s="9"/>
      <c r="MIN10" s="9"/>
      <c r="MIO10" s="9"/>
      <c r="MIP10" s="9"/>
      <c r="MIQ10" s="9"/>
      <c r="MIR10" s="9"/>
      <c r="MIS10" s="9"/>
      <c r="MIT10" s="9"/>
      <c r="MIU10" s="9"/>
      <c r="MIV10" s="9"/>
      <c r="MIW10" s="9"/>
      <c r="MIX10" s="9"/>
      <c r="MIY10" s="9"/>
      <c r="MIZ10" s="9"/>
      <c r="MJA10" s="9"/>
      <c r="MJB10" s="9"/>
      <c r="MJC10" s="9"/>
      <c r="MJD10" s="9"/>
      <c r="MJE10" s="9"/>
      <c r="MJF10" s="9"/>
      <c r="MJG10" s="9"/>
      <c r="MJH10" s="9"/>
      <c r="MJI10" s="9"/>
      <c r="MJJ10" s="9"/>
      <c r="MJK10" s="9"/>
      <c r="MJL10" s="9"/>
      <c r="MJM10" s="9"/>
      <c r="MJN10" s="9"/>
      <c r="MJO10" s="9"/>
      <c r="MJP10" s="9"/>
      <c r="MJQ10" s="9"/>
      <c r="MJR10" s="9"/>
      <c r="MJS10" s="9"/>
      <c r="MJT10" s="9"/>
      <c r="MJU10" s="9"/>
      <c r="MJV10" s="9"/>
      <c r="MJW10" s="9"/>
      <c r="MJX10" s="9"/>
      <c r="MJY10" s="9"/>
      <c r="MJZ10" s="9"/>
      <c r="MKA10" s="9"/>
      <c r="MKB10" s="9"/>
      <c r="MKC10" s="9"/>
      <c r="MKD10" s="9"/>
      <c r="MKE10" s="9"/>
      <c r="MKF10" s="9"/>
      <c r="MKG10" s="9"/>
      <c r="MKH10" s="9"/>
      <c r="MKI10" s="9"/>
      <c r="MKJ10" s="9"/>
      <c r="MKK10" s="9"/>
      <c r="MKL10" s="9"/>
      <c r="MKM10" s="9"/>
      <c r="MKN10" s="9"/>
      <c r="MKO10" s="9"/>
      <c r="MKP10" s="9"/>
      <c r="MKQ10" s="9"/>
      <c r="MKR10" s="9"/>
      <c r="MKS10" s="9"/>
      <c r="MKT10" s="9"/>
      <c r="MKU10" s="9"/>
      <c r="MKV10" s="9"/>
      <c r="MKW10" s="9"/>
      <c r="MKX10" s="9"/>
      <c r="MKY10" s="9"/>
      <c r="MKZ10" s="9"/>
      <c r="MLA10" s="9"/>
      <c r="MLB10" s="9"/>
      <c r="MLC10" s="9"/>
      <c r="MLD10" s="9"/>
      <c r="MLE10" s="9"/>
      <c r="MLF10" s="9"/>
      <c r="MLG10" s="9"/>
      <c r="MLH10" s="9"/>
      <c r="MLI10" s="9"/>
      <c r="MLJ10" s="9"/>
      <c r="MLK10" s="9"/>
      <c r="MLL10" s="9"/>
      <c r="MLM10" s="9"/>
      <c r="MLN10" s="9"/>
      <c r="MLO10" s="9"/>
      <c r="MLP10" s="9"/>
      <c r="MLQ10" s="9"/>
      <c r="MLR10" s="9"/>
      <c r="MLS10" s="9"/>
      <c r="MLT10" s="9"/>
      <c r="MLU10" s="9"/>
      <c r="MLV10" s="9"/>
      <c r="MLW10" s="9"/>
      <c r="MLX10" s="9"/>
      <c r="MLY10" s="9"/>
      <c r="MLZ10" s="9"/>
      <c r="MMA10" s="9"/>
      <c r="MMB10" s="9"/>
      <c r="MMC10" s="9"/>
      <c r="MMD10" s="9"/>
      <c r="MME10" s="9"/>
      <c r="MMF10" s="9"/>
      <c r="MMG10" s="9"/>
      <c r="MMH10" s="9"/>
      <c r="MMI10" s="9"/>
      <c r="MMJ10" s="9"/>
      <c r="MMK10" s="9"/>
      <c r="MML10" s="9"/>
      <c r="MMM10" s="9"/>
      <c r="MMN10" s="9"/>
      <c r="MMO10" s="9"/>
      <c r="MMP10" s="9"/>
      <c r="MMQ10" s="9"/>
      <c r="MMR10" s="9"/>
      <c r="MMS10" s="9"/>
      <c r="MMT10" s="9"/>
      <c r="MMU10" s="9"/>
      <c r="MMV10" s="9"/>
      <c r="MMW10" s="9"/>
      <c r="MMX10" s="9"/>
      <c r="MMY10" s="9"/>
      <c r="MMZ10" s="9"/>
      <c r="MNA10" s="9"/>
      <c r="MNB10" s="9"/>
      <c r="MNC10" s="9"/>
      <c r="MND10" s="9"/>
      <c r="MNE10" s="9"/>
      <c r="MNF10" s="9"/>
      <c r="MNG10" s="9"/>
      <c r="MNH10" s="9"/>
      <c r="MNI10" s="9"/>
      <c r="MNJ10" s="9"/>
      <c r="MNK10" s="9"/>
      <c r="MNL10" s="9"/>
      <c r="MNM10" s="9"/>
      <c r="MNN10" s="9"/>
      <c r="MNO10" s="9"/>
      <c r="MNP10" s="9"/>
      <c r="MNQ10" s="9"/>
      <c r="MNR10" s="9"/>
      <c r="MNS10" s="9"/>
      <c r="MNT10" s="9"/>
      <c r="MNU10" s="9"/>
      <c r="MNV10" s="9"/>
      <c r="MNW10" s="9"/>
      <c r="MNX10" s="9"/>
      <c r="MNY10" s="9"/>
      <c r="MNZ10" s="9"/>
      <c r="MOA10" s="9"/>
      <c r="MOB10" s="9"/>
      <c r="MOC10" s="9"/>
      <c r="MOD10" s="9"/>
      <c r="MOE10" s="9"/>
      <c r="MOF10" s="9"/>
      <c r="MOG10" s="9"/>
      <c r="MOH10" s="9"/>
      <c r="MOI10" s="9"/>
      <c r="MOJ10" s="9"/>
      <c r="MOK10" s="9"/>
      <c r="MOL10" s="9"/>
      <c r="MOM10" s="9"/>
      <c r="MON10" s="9"/>
      <c r="MOO10" s="9"/>
      <c r="MOP10" s="9"/>
      <c r="MOQ10" s="9"/>
      <c r="MOR10" s="9"/>
      <c r="MOS10" s="9"/>
      <c r="MOT10" s="9"/>
      <c r="MOU10" s="9"/>
      <c r="MOV10" s="9"/>
      <c r="MOW10" s="9"/>
      <c r="MOX10" s="9"/>
      <c r="MOY10" s="9"/>
      <c r="MOZ10" s="9"/>
      <c r="MPA10" s="9"/>
      <c r="MPB10" s="9"/>
      <c r="MPC10" s="9"/>
      <c r="MPD10" s="9"/>
      <c r="MPE10" s="9"/>
      <c r="MPF10" s="9"/>
      <c r="MPG10" s="9"/>
      <c r="MPH10" s="9"/>
      <c r="MPI10" s="9"/>
      <c r="MPJ10" s="9"/>
      <c r="MPK10" s="9"/>
      <c r="MPL10" s="9"/>
      <c r="MPM10" s="9"/>
      <c r="MPN10" s="9"/>
      <c r="MPO10" s="9"/>
      <c r="MPP10" s="9"/>
      <c r="MPQ10" s="9"/>
      <c r="MPR10" s="9"/>
      <c r="MPS10" s="9"/>
      <c r="MPT10" s="9"/>
      <c r="MPU10" s="9"/>
      <c r="MPV10" s="9"/>
      <c r="MPW10" s="9"/>
      <c r="MPX10" s="9"/>
      <c r="MPY10" s="9"/>
      <c r="MPZ10" s="9"/>
      <c r="MQA10" s="9"/>
      <c r="MQB10" s="9"/>
      <c r="MQC10" s="9"/>
      <c r="MQD10" s="9"/>
      <c r="MQE10" s="9"/>
      <c r="MQF10" s="9"/>
      <c r="MQG10" s="9"/>
      <c r="MQH10" s="9"/>
      <c r="MQI10" s="9"/>
      <c r="MQJ10" s="9"/>
      <c r="MQK10" s="9"/>
      <c r="MQL10" s="9"/>
      <c r="MQM10" s="9"/>
      <c r="MQN10" s="9"/>
      <c r="MQO10" s="9"/>
      <c r="MQP10" s="9"/>
      <c r="MQQ10" s="9"/>
      <c r="MQR10" s="9"/>
      <c r="MQS10" s="9"/>
      <c r="MQT10" s="9"/>
      <c r="MQU10" s="9"/>
      <c r="MQV10" s="9"/>
      <c r="MQW10" s="9"/>
      <c r="MQX10" s="9"/>
      <c r="MQY10" s="9"/>
      <c r="MQZ10" s="9"/>
      <c r="MRA10" s="9"/>
      <c r="MRB10" s="9"/>
      <c r="MRC10" s="9"/>
      <c r="MRD10" s="9"/>
      <c r="MRE10" s="9"/>
      <c r="MRF10" s="9"/>
      <c r="MRG10" s="9"/>
      <c r="MRH10" s="9"/>
      <c r="MRI10" s="9"/>
      <c r="MRJ10" s="9"/>
      <c r="MRK10" s="9"/>
      <c r="MRL10" s="9"/>
      <c r="MRM10" s="9"/>
      <c r="MRN10" s="9"/>
      <c r="MRO10" s="9"/>
      <c r="MRP10" s="9"/>
      <c r="MRQ10" s="9"/>
      <c r="MRR10" s="9"/>
      <c r="MRS10" s="9"/>
      <c r="MRT10" s="9"/>
      <c r="MRU10" s="9"/>
      <c r="MRV10" s="9"/>
      <c r="MRW10" s="9"/>
      <c r="MRX10" s="9"/>
      <c r="MRY10" s="9"/>
      <c r="MRZ10" s="9"/>
      <c r="MSA10" s="9"/>
      <c r="MSB10" s="9"/>
      <c r="MSC10" s="9"/>
      <c r="MSD10" s="9"/>
      <c r="MSE10" s="9"/>
      <c r="MSF10" s="9"/>
      <c r="MSG10" s="9"/>
      <c r="MSH10" s="9"/>
      <c r="MSI10" s="9"/>
      <c r="MSJ10" s="9"/>
      <c r="MSK10" s="9"/>
      <c r="MSL10" s="9"/>
      <c r="MSM10" s="9"/>
      <c r="MSN10" s="9"/>
      <c r="MSO10" s="9"/>
      <c r="MSP10" s="9"/>
      <c r="MSQ10" s="9"/>
      <c r="MSR10" s="9"/>
      <c r="MSS10" s="9"/>
      <c r="MST10" s="9"/>
      <c r="MSU10" s="9"/>
      <c r="MSV10" s="9"/>
      <c r="MSW10" s="9"/>
      <c r="MSX10" s="9"/>
      <c r="MSY10" s="9"/>
      <c r="MSZ10" s="9"/>
      <c r="MTA10" s="9"/>
      <c r="MTB10" s="9"/>
      <c r="MTC10" s="9"/>
      <c r="MTD10" s="9"/>
      <c r="MTE10" s="9"/>
      <c r="MTF10" s="9"/>
      <c r="MTG10" s="9"/>
      <c r="MTH10" s="9"/>
      <c r="MTI10" s="9"/>
      <c r="MTJ10" s="9"/>
      <c r="MTK10" s="9"/>
      <c r="MTL10" s="9"/>
      <c r="MTM10" s="9"/>
      <c r="MTN10" s="9"/>
      <c r="MTO10" s="9"/>
      <c r="MTP10" s="9"/>
      <c r="MTQ10" s="9"/>
      <c r="MTR10" s="9"/>
      <c r="MTS10" s="9"/>
      <c r="MTT10" s="9"/>
      <c r="MTU10" s="9"/>
      <c r="MTV10" s="9"/>
      <c r="MTW10" s="9"/>
      <c r="MTX10" s="9"/>
      <c r="MTY10" s="9"/>
      <c r="MTZ10" s="9"/>
      <c r="MUA10" s="9"/>
      <c r="MUB10" s="9"/>
      <c r="MUC10" s="9"/>
      <c r="MUD10" s="9"/>
      <c r="MUE10" s="9"/>
      <c r="MUF10" s="9"/>
      <c r="MUG10" s="9"/>
      <c r="MUH10" s="9"/>
      <c r="MUI10" s="9"/>
      <c r="MUJ10" s="9"/>
      <c r="MUK10" s="9"/>
      <c r="MUL10" s="9"/>
      <c r="MUM10" s="9"/>
      <c r="MUN10" s="9"/>
      <c r="MUO10" s="9"/>
      <c r="MUP10" s="9"/>
      <c r="MUQ10" s="9"/>
      <c r="MUR10" s="9"/>
      <c r="MUS10" s="9"/>
      <c r="MUT10" s="9"/>
      <c r="MUU10" s="9"/>
      <c r="MUV10" s="9"/>
      <c r="MUW10" s="9"/>
      <c r="MUX10" s="9"/>
      <c r="MUY10" s="9"/>
      <c r="MUZ10" s="9"/>
      <c r="MVA10" s="9"/>
      <c r="MVB10" s="9"/>
      <c r="MVC10" s="9"/>
      <c r="MVD10" s="9"/>
      <c r="MVE10" s="9"/>
      <c r="MVF10" s="9"/>
      <c r="MVG10" s="9"/>
      <c r="MVH10" s="9"/>
      <c r="MVI10" s="9"/>
      <c r="MVJ10" s="9"/>
      <c r="MVK10" s="9"/>
      <c r="MVL10" s="9"/>
      <c r="MVM10" s="9"/>
      <c r="MVN10" s="9"/>
      <c r="MVO10" s="9"/>
      <c r="MVP10" s="9"/>
      <c r="MVQ10" s="9"/>
      <c r="MVR10" s="9"/>
      <c r="MVS10" s="9"/>
      <c r="MVT10" s="9"/>
      <c r="MVU10" s="9"/>
      <c r="MVV10" s="9"/>
      <c r="MVW10" s="9"/>
      <c r="MVX10" s="9"/>
      <c r="MVY10" s="9"/>
      <c r="MVZ10" s="9"/>
      <c r="MWA10" s="9"/>
      <c r="MWB10" s="9"/>
      <c r="MWC10" s="9"/>
      <c r="MWD10" s="9"/>
      <c r="MWE10" s="9"/>
      <c r="MWF10" s="9"/>
      <c r="MWG10" s="9"/>
      <c r="MWH10" s="9"/>
      <c r="MWI10" s="9"/>
      <c r="MWJ10" s="9"/>
      <c r="MWK10" s="9"/>
      <c r="MWL10" s="9"/>
      <c r="MWM10" s="9"/>
      <c r="MWN10" s="9"/>
      <c r="MWO10" s="9"/>
      <c r="MWP10" s="9"/>
      <c r="MWQ10" s="9"/>
      <c r="MWR10" s="9"/>
      <c r="MWS10" s="9"/>
      <c r="MWT10" s="9"/>
      <c r="MWU10" s="9"/>
      <c r="MWV10" s="9"/>
      <c r="MWW10" s="9"/>
      <c r="MWX10" s="9"/>
      <c r="MWY10" s="9"/>
      <c r="MWZ10" s="9"/>
      <c r="MXA10" s="9"/>
      <c r="MXB10" s="9"/>
      <c r="MXC10" s="9"/>
      <c r="MXD10" s="9"/>
      <c r="MXE10" s="9"/>
      <c r="MXF10" s="9"/>
      <c r="MXG10" s="9"/>
      <c r="MXH10" s="9"/>
      <c r="MXI10" s="9"/>
      <c r="MXJ10" s="9"/>
      <c r="MXK10" s="9"/>
      <c r="MXL10" s="9"/>
      <c r="MXM10" s="9"/>
      <c r="MXN10" s="9"/>
      <c r="MXO10" s="9"/>
      <c r="MXP10" s="9"/>
      <c r="MXQ10" s="9"/>
      <c r="MXR10" s="9"/>
      <c r="MXS10" s="9"/>
      <c r="MXT10" s="9"/>
      <c r="MXU10" s="9"/>
      <c r="MXV10" s="9"/>
      <c r="MXW10" s="9"/>
      <c r="MXX10" s="9"/>
      <c r="MXY10" s="9"/>
      <c r="MXZ10" s="9"/>
      <c r="MYA10" s="9"/>
      <c r="MYB10" s="9"/>
      <c r="MYC10" s="9"/>
      <c r="MYD10" s="9"/>
      <c r="MYE10" s="9"/>
      <c r="MYF10" s="9"/>
      <c r="MYG10" s="9"/>
      <c r="MYH10" s="9"/>
      <c r="MYI10" s="9"/>
      <c r="MYJ10" s="9"/>
      <c r="MYK10" s="9"/>
      <c r="MYL10" s="9"/>
      <c r="MYM10" s="9"/>
      <c r="MYN10" s="9"/>
      <c r="MYO10" s="9"/>
      <c r="MYP10" s="9"/>
      <c r="MYQ10" s="9"/>
      <c r="MYR10" s="9"/>
      <c r="MYS10" s="9"/>
      <c r="MYT10" s="9"/>
      <c r="MYU10" s="9"/>
      <c r="MYV10" s="9"/>
      <c r="MYW10" s="9"/>
      <c r="MYX10" s="9"/>
      <c r="MYY10" s="9"/>
      <c r="MYZ10" s="9"/>
      <c r="MZA10" s="9"/>
      <c r="MZB10" s="9"/>
      <c r="MZC10" s="9"/>
      <c r="MZD10" s="9"/>
      <c r="MZE10" s="9"/>
      <c r="MZF10" s="9"/>
      <c r="MZG10" s="9"/>
      <c r="MZH10" s="9"/>
      <c r="MZI10" s="9"/>
      <c r="MZJ10" s="9"/>
      <c r="MZK10" s="9"/>
      <c r="MZL10" s="9"/>
      <c r="MZM10" s="9"/>
      <c r="MZN10" s="9"/>
      <c r="MZO10" s="9"/>
      <c r="MZP10" s="9"/>
      <c r="MZQ10" s="9"/>
      <c r="MZR10" s="9"/>
      <c r="MZS10" s="9"/>
      <c r="MZT10" s="9"/>
      <c r="MZU10" s="9"/>
      <c r="MZV10" s="9"/>
      <c r="MZW10" s="9"/>
      <c r="MZX10" s="9"/>
      <c r="MZY10" s="9"/>
      <c r="MZZ10" s="9"/>
      <c r="NAA10" s="9"/>
      <c r="NAB10" s="9"/>
      <c r="NAC10" s="9"/>
      <c r="NAD10" s="9"/>
      <c r="NAE10" s="9"/>
      <c r="NAF10" s="9"/>
      <c r="NAG10" s="9"/>
      <c r="NAH10" s="9"/>
      <c r="NAI10" s="9"/>
      <c r="NAJ10" s="9"/>
      <c r="NAK10" s="9"/>
      <c r="NAL10" s="9"/>
      <c r="NAM10" s="9"/>
      <c r="NAN10" s="9"/>
      <c r="NAO10" s="9"/>
      <c r="NAP10" s="9"/>
      <c r="NAQ10" s="9"/>
      <c r="NAR10" s="9"/>
      <c r="NAS10" s="9"/>
      <c r="NAT10" s="9"/>
      <c r="NAU10" s="9"/>
      <c r="NAV10" s="9"/>
      <c r="NAW10" s="9"/>
      <c r="NAX10" s="9"/>
      <c r="NAY10" s="9"/>
      <c r="NAZ10" s="9"/>
      <c r="NBA10" s="9"/>
      <c r="NBB10" s="9"/>
      <c r="NBC10" s="9"/>
      <c r="NBD10" s="9"/>
      <c r="NBE10" s="9"/>
      <c r="NBF10" s="9"/>
      <c r="NBG10" s="9"/>
      <c r="NBH10" s="9"/>
      <c r="NBI10" s="9"/>
      <c r="NBJ10" s="9"/>
      <c r="NBK10" s="9"/>
      <c r="NBL10" s="9"/>
      <c r="NBM10" s="9"/>
      <c r="NBN10" s="9"/>
      <c r="NBO10" s="9"/>
      <c r="NBP10" s="9"/>
      <c r="NBQ10" s="9"/>
      <c r="NBR10" s="9"/>
      <c r="NBS10" s="9"/>
      <c r="NBT10" s="9"/>
      <c r="NBU10" s="9"/>
      <c r="NBV10" s="9"/>
      <c r="NBW10" s="9"/>
      <c r="NBX10" s="9"/>
      <c r="NBY10" s="9"/>
      <c r="NBZ10" s="9"/>
      <c r="NCA10" s="9"/>
      <c r="NCB10" s="9"/>
      <c r="NCC10" s="9"/>
      <c r="NCD10" s="9"/>
      <c r="NCE10" s="9"/>
      <c r="NCF10" s="9"/>
      <c r="NCG10" s="9"/>
      <c r="NCH10" s="9"/>
      <c r="NCI10" s="9"/>
      <c r="NCJ10" s="9"/>
      <c r="NCK10" s="9"/>
      <c r="NCL10" s="9"/>
      <c r="NCM10" s="9"/>
      <c r="NCN10" s="9"/>
      <c r="NCO10" s="9"/>
      <c r="NCP10" s="9"/>
      <c r="NCQ10" s="9"/>
      <c r="NCR10" s="9"/>
      <c r="NCS10" s="9"/>
      <c r="NCT10" s="9"/>
      <c r="NCU10" s="9"/>
      <c r="NCV10" s="9"/>
      <c r="NCW10" s="9"/>
      <c r="NCX10" s="9"/>
      <c r="NCY10" s="9"/>
      <c r="NCZ10" s="9"/>
      <c r="NDA10" s="9"/>
      <c r="NDB10" s="9"/>
      <c r="NDC10" s="9"/>
      <c r="NDD10" s="9"/>
      <c r="NDE10" s="9"/>
      <c r="NDF10" s="9"/>
      <c r="NDG10" s="9"/>
      <c r="NDH10" s="9"/>
      <c r="NDI10" s="9"/>
      <c r="NDJ10" s="9"/>
      <c r="NDK10" s="9"/>
      <c r="NDL10" s="9"/>
      <c r="NDM10" s="9"/>
      <c r="NDN10" s="9"/>
      <c r="NDO10" s="9"/>
      <c r="NDP10" s="9"/>
      <c r="NDQ10" s="9"/>
      <c r="NDR10" s="9"/>
      <c r="NDS10" s="9"/>
      <c r="NDT10" s="9"/>
      <c r="NDU10" s="9"/>
      <c r="NDV10" s="9"/>
      <c r="NDW10" s="9"/>
      <c r="NDX10" s="9"/>
      <c r="NDY10" s="9"/>
      <c r="NDZ10" s="9"/>
      <c r="NEA10" s="9"/>
      <c r="NEB10" s="9"/>
      <c r="NEC10" s="9"/>
      <c r="NED10" s="9"/>
      <c r="NEE10" s="9"/>
      <c r="NEF10" s="9"/>
      <c r="NEG10" s="9"/>
      <c r="NEH10" s="9"/>
      <c r="NEI10" s="9"/>
      <c r="NEJ10" s="9"/>
      <c r="NEK10" s="9"/>
      <c r="NEL10" s="9"/>
      <c r="NEM10" s="9"/>
      <c r="NEN10" s="9"/>
      <c r="NEO10" s="9"/>
      <c r="NEP10" s="9"/>
      <c r="NEQ10" s="9"/>
      <c r="NER10" s="9"/>
      <c r="NES10" s="9"/>
      <c r="NET10" s="9"/>
      <c r="NEU10" s="9"/>
      <c r="NEV10" s="9"/>
      <c r="NEW10" s="9"/>
      <c r="NEX10" s="9"/>
      <c r="NEY10" s="9"/>
      <c r="NEZ10" s="9"/>
      <c r="NFA10" s="9"/>
      <c r="NFB10" s="9"/>
      <c r="NFC10" s="9"/>
      <c r="NFD10" s="9"/>
      <c r="NFE10" s="9"/>
      <c r="NFF10" s="9"/>
      <c r="NFG10" s="9"/>
      <c r="NFH10" s="9"/>
      <c r="NFI10" s="9"/>
      <c r="NFJ10" s="9"/>
      <c r="NFK10" s="9"/>
      <c r="NFL10" s="9"/>
      <c r="NFM10" s="9"/>
      <c r="NFN10" s="9"/>
      <c r="NFO10" s="9"/>
      <c r="NFP10" s="9"/>
      <c r="NFQ10" s="9"/>
      <c r="NFR10" s="9"/>
      <c r="NFS10" s="9"/>
      <c r="NFT10" s="9"/>
      <c r="NFU10" s="9"/>
      <c r="NFV10" s="9"/>
      <c r="NFW10" s="9"/>
      <c r="NFX10" s="9"/>
      <c r="NFY10" s="9"/>
      <c r="NFZ10" s="9"/>
      <c r="NGA10" s="9"/>
      <c r="NGB10" s="9"/>
      <c r="NGC10" s="9"/>
      <c r="NGD10" s="9"/>
      <c r="NGE10" s="9"/>
      <c r="NGF10" s="9"/>
      <c r="NGG10" s="9"/>
      <c r="NGH10" s="9"/>
      <c r="NGI10" s="9"/>
      <c r="NGJ10" s="9"/>
      <c r="NGK10" s="9"/>
      <c r="NGL10" s="9"/>
      <c r="NGM10" s="9"/>
      <c r="NGN10" s="9"/>
      <c r="NGO10" s="9"/>
      <c r="NGP10" s="9"/>
      <c r="NGQ10" s="9"/>
      <c r="NGR10" s="9"/>
      <c r="NGS10" s="9"/>
      <c r="NGT10" s="9"/>
      <c r="NGU10" s="9"/>
      <c r="NGV10" s="9"/>
      <c r="NGW10" s="9"/>
      <c r="NGX10" s="9"/>
      <c r="NGY10" s="9"/>
      <c r="NGZ10" s="9"/>
      <c r="NHA10" s="9"/>
      <c r="NHB10" s="9"/>
      <c r="NHC10" s="9"/>
      <c r="NHD10" s="9"/>
      <c r="NHE10" s="9"/>
      <c r="NHF10" s="9"/>
      <c r="NHG10" s="9"/>
      <c r="NHH10" s="9"/>
      <c r="NHI10" s="9"/>
      <c r="NHJ10" s="9"/>
      <c r="NHK10" s="9"/>
      <c r="NHL10" s="9"/>
      <c r="NHM10" s="9"/>
      <c r="NHN10" s="9"/>
      <c r="NHO10" s="9"/>
      <c r="NHP10" s="9"/>
      <c r="NHQ10" s="9"/>
      <c r="NHR10" s="9"/>
      <c r="NHS10" s="9"/>
      <c r="NHT10" s="9"/>
      <c r="NHU10" s="9"/>
      <c r="NHV10" s="9"/>
      <c r="NHW10" s="9"/>
      <c r="NHX10" s="9"/>
      <c r="NHY10" s="9"/>
      <c r="NHZ10" s="9"/>
      <c r="NIA10" s="9"/>
      <c r="NIB10" s="9"/>
      <c r="NIC10" s="9"/>
      <c r="NID10" s="9"/>
      <c r="NIE10" s="9"/>
      <c r="NIF10" s="9"/>
      <c r="NIG10" s="9"/>
      <c r="NIH10" s="9"/>
      <c r="NII10" s="9"/>
      <c r="NIJ10" s="9"/>
      <c r="NIK10" s="9"/>
      <c r="NIL10" s="9"/>
      <c r="NIM10" s="9"/>
      <c r="NIN10" s="9"/>
      <c r="NIO10" s="9"/>
      <c r="NIP10" s="9"/>
      <c r="NIQ10" s="9"/>
      <c r="NIR10" s="9"/>
      <c r="NIS10" s="9"/>
      <c r="NIT10" s="9"/>
      <c r="NIU10" s="9"/>
      <c r="NIV10" s="9"/>
      <c r="NIW10" s="9"/>
      <c r="NIX10" s="9"/>
      <c r="NIY10" s="9"/>
      <c r="NIZ10" s="9"/>
      <c r="NJA10" s="9"/>
      <c r="NJB10" s="9"/>
      <c r="NJC10" s="9"/>
      <c r="NJD10" s="9"/>
      <c r="NJE10" s="9"/>
      <c r="NJF10" s="9"/>
      <c r="NJG10" s="9"/>
      <c r="NJH10" s="9"/>
      <c r="NJI10" s="9"/>
      <c r="NJJ10" s="9"/>
      <c r="NJK10" s="9"/>
      <c r="NJL10" s="9"/>
      <c r="NJM10" s="9"/>
      <c r="NJN10" s="9"/>
      <c r="NJO10" s="9"/>
      <c r="NJP10" s="9"/>
      <c r="NJQ10" s="9"/>
      <c r="NJR10" s="9"/>
      <c r="NJS10" s="9"/>
      <c r="NJT10" s="9"/>
      <c r="NJU10" s="9"/>
      <c r="NJV10" s="9"/>
      <c r="NJW10" s="9"/>
      <c r="NJX10" s="9"/>
      <c r="NJY10" s="9"/>
      <c r="NJZ10" s="9"/>
      <c r="NKA10" s="9"/>
      <c r="NKB10" s="9"/>
      <c r="NKC10" s="9"/>
      <c r="NKD10" s="9"/>
      <c r="NKE10" s="9"/>
      <c r="NKF10" s="9"/>
      <c r="NKG10" s="9"/>
      <c r="NKH10" s="9"/>
      <c r="NKI10" s="9"/>
      <c r="NKJ10" s="9"/>
      <c r="NKK10" s="9"/>
      <c r="NKL10" s="9"/>
      <c r="NKM10" s="9"/>
      <c r="NKN10" s="9"/>
      <c r="NKO10" s="9"/>
      <c r="NKP10" s="9"/>
      <c r="NKQ10" s="9"/>
      <c r="NKR10" s="9"/>
      <c r="NKS10" s="9"/>
      <c r="NKT10" s="9"/>
      <c r="NKU10" s="9"/>
      <c r="NKV10" s="9"/>
      <c r="NKW10" s="9"/>
      <c r="NKX10" s="9"/>
      <c r="NKY10" s="9"/>
      <c r="NKZ10" s="9"/>
      <c r="NLA10" s="9"/>
      <c r="NLB10" s="9"/>
      <c r="NLC10" s="9"/>
      <c r="NLD10" s="9"/>
      <c r="NLE10" s="9"/>
      <c r="NLF10" s="9"/>
      <c r="NLG10" s="9"/>
      <c r="NLH10" s="9"/>
      <c r="NLI10" s="9"/>
      <c r="NLJ10" s="9"/>
      <c r="NLK10" s="9"/>
      <c r="NLL10" s="9"/>
      <c r="NLM10" s="9"/>
      <c r="NLN10" s="9"/>
      <c r="NLO10" s="9"/>
      <c r="NLP10" s="9"/>
      <c r="NLQ10" s="9"/>
      <c r="NLR10" s="9"/>
      <c r="NLS10" s="9"/>
      <c r="NLT10" s="9"/>
      <c r="NLU10" s="9"/>
      <c r="NLV10" s="9"/>
      <c r="NLW10" s="9"/>
      <c r="NLX10" s="9"/>
      <c r="NLY10" s="9"/>
      <c r="NLZ10" s="9"/>
      <c r="NMA10" s="9"/>
      <c r="NMB10" s="9"/>
      <c r="NMC10" s="9"/>
      <c r="NMD10" s="9"/>
      <c r="NME10" s="9"/>
      <c r="NMF10" s="9"/>
      <c r="NMG10" s="9"/>
      <c r="NMH10" s="9"/>
      <c r="NMI10" s="9"/>
      <c r="NMJ10" s="9"/>
      <c r="NMK10" s="9"/>
      <c r="NML10" s="9"/>
      <c r="NMM10" s="9"/>
      <c r="NMN10" s="9"/>
      <c r="NMO10" s="9"/>
      <c r="NMP10" s="9"/>
      <c r="NMQ10" s="9"/>
      <c r="NMR10" s="9"/>
      <c r="NMS10" s="9"/>
      <c r="NMT10" s="9"/>
      <c r="NMU10" s="9"/>
      <c r="NMV10" s="9"/>
      <c r="NMW10" s="9"/>
      <c r="NMX10" s="9"/>
      <c r="NMY10" s="9"/>
      <c r="NMZ10" s="9"/>
      <c r="NNA10" s="9"/>
      <c r="NNB10" s="9"/>
      <c r="NNC10" s="9"/>
      <c r="NND10" s="9"/>
      <c r="NNE10" s="9"/>
      <c r="NNF10" s="9"/>
      <c r="NNG10" s="9"/>
      <c r="NNH10" s="9"/>
      <c r="NNI10" s="9"/>
      <c r="NNJ10" s="9"/>
      <c r="NNK10" s="9"/>
      <c r="NNL10" s="9"/>
      <c r="NNM10" s="9"/>
      <c r="NNN10" s="9"/>
      <c r="NNO10" s="9"/>
      <c r="NNP10" s="9"/>
      <c r="NNQ10" s="9"/>
      <c r="NNR10" s="9"/>
      <c r="NNS10" s="9"/>
      <c r="NNT10" s="9"/>
      <c r="NNU10" s="9"/>
      <c r="NNV10" s="9"/>
      <c r="NNW10" s="9"/>
      <c r="NNX10" s="9"/>
      <c r="NNY10" s="9"/>
      <c r="NNZ10" s="9"/>
      <c r="NOA10" s="9"/>
      <c r="NOB10" s="9"/>
      <c r="NOC10" s="9"/>
      <c r="NOD10" s="9"/>
      <c r="NOE10" s="9"/>
      <c r="NOF10" s="9"/>
      <c r="NOG10" s="9"/>
      <c r="NOH10" s="9"/>
      <c r="NOI10" s="9"/>
      <c r="NOJ10" s="9"/>
      <c r="NOK10" s="9"/>
      <c r="NOL10" s="9"/>
      <c r="NOM10" s="9"/>
      <c r="NON10" s="9"/>
      <c r="NOO10" s="9"/>
      <c r="NOP10" s="9"/>
      <c r="NOQ10" s="9"/>
      <c r="NOR10" s="9"/>
      <c r="NOS10" s="9"/>
      <c r="NOT10" s="9"/>
      <c r="NOU10" s="9"/>
      <c r="NOV10" s="9"/>
      <c r="NOW10" s="9"/>
      <c r="NOX10" s="9"/>
      <c r="NOY10" s="9"/>
      <c r="NOZ10" s="9"/>
      <c r="NPA10" s="9"/>
      <c r="NPB10" s="9"/>
      <c r="NPC10" s="9"/>
      <c r="NPD10" s="9"/>
      <c r="NPE10" s="9"/>
      <c r="NPF10" s="9"/>
      <c r="NPG10" s="9"/>
      <c r="NPH10" s="9"/>
      <c r="NPI10" s="9"/>
      <c r="NPJ10" s="9"/>
      <c r="NPK10" s="9"/>
      <c r="NPL10" s="9"/>
      <c r="NPM10" s="9"/>
      <c r="NPN10" s="9"/>
      <c r="NPO10" s="9"/>
      <c r="NPP10" s="9"/>
      <c r="NPQ10" s="9"/>
      <c r="NPR10" s="9"/>
      <c r="NPS10" s="9"/>
      <c r="NPT10" s="9"/>
      <c r="NPU10" s="9"/>
      <c r="NPV10" s="9"/>
      <c r="NPW10" s="9"/>
      <c r="NPX10" s="9"/>
      <c r="NPY10" s="9"/>
      <c r="NPZ10" s="9"/>
      <c r="NQA10" s="9"/>
      <c r="NQB10" s="9"/>
      <c r="NQC10" s="9"/>
      <c r="NQD10" s="9"/>
      <c r="NQE10" s="9"/>
      <c r="NQF10" s="9"/>
      <c r="NQG10" s="9"/>
      <c r="NQH10" s="9"/>
      <c r="NQI10" s="9"/>
      <c r="NQJ10" s="9"/>
      <c r="NQK10" s="9"/>
      <c r="NQL10" s="9"/>
      <c r="NQM10" s="9"/>
      <c r="NQN10" s="9"/>
      <c r="NQO10" s="9"/>
      <c r="NQP10" s="9"/>
      <c r="NQQ10" s="9"/>
      <c r="NQR10" s="9"/>
      <c r="NQS10" s="9"/>
      <c r="NQT10" s="9"/>
      <c r="NQU10" s="9"/>
      <c r="NQV10" s="9"/>
      <c r="NQW10" s="9"/>
      <c r="NQX10" s="9"/>
      <c r="NQY10" s="9"/>
      <c r="NQZ10" s="9"/>
      <c r="NRA10" s="9"/>
      <c r="NRB10" s="9"/>
      <c r="NRC10" s="9"/>
      <c r="NRD10" s="9"/>
      <c r="NRE10" s="9"/>
      <c r="NRF10" s="9"/>
      <c r="NRG10" s="9"/>
      <c r="NRH10" s="9"/>
      <c r="NRI10" s="9"/>
      <c r="NRJ10" s="9"/>
      <c r="NRK10" s="9"/>
      <c r="NRL10" s="9"/>
      <c r="NRM10" s="9"/>
      <c r="NRN10" s="9"/>
      <c r="NRO10" s="9"/>
      <c r="NRP10" s="9"/>
      <c r="NRQ10" s="9"/>
      <c r="NRR10" s="9"/>
      <c r="NRS10" s="9"/>
      <c r="NRT10" s="9"/>
      <c r="NRU10" s="9"/>
      <c r="NRV10" s="9"/>
      <c r="NRW10" s="9"/>
      <c r="NRX10" s="9"/>
      <c r="NRY10" s="9"/>
      <c r="NRZ10" s="9"/>
      <c r="NSA10" s="9"/>
      <c r="NSB10" s="9"/>
      <c r="NSC10" s="9"/>
      <c r="NSD10" s="9"/>
      <c r="NSE10" s="9"/>
      <c r="NSF10" s="9"/>
      <c r="NSG10" s="9"/>
      <c r="NSH10" s="9"/>
      <c r="NSI10" s="9"/>
      <c r="NSJ10" s="9"/>
      <c r="NSK10" s="9"/>
      <c r="NSL10" s="9"/>
      <c r="NSM10" s="9"/>
      <c r="NSN10" s="9"/>
      <c r="NSO10" s="9"/>
      <c r="NSP10" s="9"/>
      <c r="NSQ10" s="9"/>
      <c r="NSR10" s="9"/>
      <c r="NSS10" s="9"/>
      <c r="NST10" s="9"/>
      <c r="NSU10" s="9"/>
      <c r="NSV10" s="9"/>
      <c r="NSW10" s="9"/>
      <c r="NSX10" s="9"/>
      <c r="NSY10" s="9"/>
      <c r="NSZ10" s="9"/>
      <c r="NTA10" s="9"/>
      <c r="NTB10" s="9"/>
      <c r="NTC10" s="9"/>
      <c r="NTD10" s="9"/>
      <c r="NTE10" s="9"/>
      <c r="NTF10" s="9"/>
      <c r="NTG10" s="9"/>
      <c r="NTH10" s="9"/>
      <c r="NTI10" s="9"/>
      <c r="NTJ10" s="9"/>
      <c r="NTK10" s="9"/>
      <c r="NTL10" s="9"/>
      <c r="NTM10" s="9"/>
      <c r="NTN10" s="9"/>
      <c r="NTO10" s="9"/>
      <c r="NTP10" s="9"/>
      <c r="NTQ10" s="9"/>
      <c r="NTR10" s="9"/>
      <c r="NTS10" s="9"/>
      <c r="NTT10" s="9"/>
      <c r="NTU10" s="9"/>
      <c r="NTV10" s="9"/>
      <c r="NTW10" s="9"/>
      <c r="NTX10" s="9"/>
      <c r="NTY10" s="9"/>
      <c r="NTZ10" s="9"/>
      <c r="NUA10" s="9"/>
      <c r="NUB10" s="9"/>
      <c r="NUC10" s="9"/>
      <c r="NUD10" s="9"/>
      <c r="NUE10" s="9"/>
      <c r="NUF10" s="9"/>
      <c r="NUG10" s="9"/>
      <c r="NUH10" s="9"/>
      <c r="NUI10" s="9"/>
      <c r="NUJ10" s="9"/>
      <c r="NUK10" s="9"/>
      <c r="NUL10" s="9"/>
      <c r="NUM10" s="9"/>
      <c r="NUN10" s="9"/>
      <c r="NUO10" s="9"/>
      <c r="NUP10" s="9"/>
      <c r="NUQ10" s="9"/>
      <c r="NUR10" s="9"/>
      <c r="NUS10" s="9"/>
      <c r="NUT10" s="9"/>
      <c r="NUU10" s="9"/>
      <c r="NUV10" s="9"/>
      <c r="NUW10" s="9"/>
      <c r="NUX10" s="9"/>
      <c r="NUY10" s="9"/>
      <c r="NUZ10" s="9"/>
      <c r="NVA10" s="9"/>
      <c r="NVB10" s="9"/>
      <c r="NVC10" s="9"/>
      <c r="NVD10" s="9"/>
      <c r="NVE10" s="9"/>
      <c r="NVF10" s="9"/>
      <c r="NVG10" s="9"/>
      <c r="NVH10" s="9"/>
      <c r="NVI10" s="9"/>
      <c r="NVJ10" s="9"/>
      <c r="NVK10" s="9"/>
      <c r="NVL10" s="9"/>
      <c r="NVM10" s="9"/>
      <c r="NVN10" s="9"/>
      <c r="NVO10" s="9"/>
      <c r="NVP10" s="9"/>
      <c r="NVQ10" s="9"/>
      <c r="NVR10" s="9"/>
      <c r="NVS10" s="9"/>
      <c r="NVT10" s="9"/>
      <c r="NVU10" s="9"/>
      <c r="NVV10" s="9"/>
      <c r="NVW10" s="9"/>
      <c r="NVX10" s="9"/>
      <c r="NVY10" s="9"/>
      <c r="NVZ10" s="9"/>
      <c r="NWA10" s="9"/>
      <c r="NWB10" s="9"/>
      <c r="NWC10" s="9"/>
      <c r="NWD10" s="9"/>
      <c r="NWE10" s="9"/>
      <c r="NWF10" s="9"/>
      <c r="NWG10" s="9"/>
      <c r="NWH10" s="9"/>
      <c r="NWI10" s="9"/>
      <c r="NWJ10" s="9"/>
      <c r="NWK10" s="9"/>
      <c r="NWL10" s="9"/>
      <c r="NWM10" s="9"/>
      <c r="NWN10" s="9"/>
      <c r="NWO10" s="9"/>
      <c r="NWP10" s="9"/>
      <c r="NWQ10" s="9"/>
      <c r="NWR10" s="9"/>
      <c r="NWS10" s="9"/>
      <c r="NWT10" s="9"/>
      <c r="NWU10" s="9"/>
      <c r="NWV10" s="9"/>
      <c r="NWW10" s="9"/>
      <c r="NWX10" s="9"/>
      <c r="NWY10" s="9"/>
      <c r="NWZ10" s="9"/>
      <c r="NXA10" s="9"/>
      <c r="NXB10" s="9"/>
      <c r="NXC10" s="9"/>
      <c r="NXD10" s="9"/>
      <c r="NXE10" s="9"/>
      <c r="NXF10" s="9"/>
      <c r="NXG10" s="9"/>
      <c r="NXH10" s="9"/>
      <c r="NXI10" s="9"/>
      <c r="NXJ10" s="9"/>
      <c r="NXK10" s="9"/>
      <c r="NXL10" s="9"/>
      <c r="NXM10" s="9"/>
      <c r="NXN10" s="9"/>
      <c r="NXO10" s="9"/>
      <c r="NXP10" s="9"/>
      <c r="NXQ10" s="9"/>
      <c r="NXR10" s="9"/>
      <c r="NXS10" s="9"/>
      <c r="NXT10" s="9"/>
      <c r="NXU10" s="9"/>
      <c r="NXV10" s="9"/>
      <c r="NXW10" s="9"/>
      <c r="NXX10" s="9"/>
      <c r="NXY10" s="9"/>
      <c r="NXZ10" s="9"/>
      <c r="NYA10" s="9"/>
      <c r="NYB10" s="9"/>
      <c r="NYC10" s="9"/>
      <c r="NYD10" s="9"/>
      <c r="NYE10" s="9"/>
      <c r="NYF10" s="9"/>
      <c r="NYG10" s="9"/>
      <c r="NYH10" s="9"/>
      <c r="NYI10" s="9"/>
      <c r="NYJ10" s="9"/>
      <c r="NYK10" s="9"/>
      <c r="NYL10" s="9"/>
      <c r="NYM10" s="9"/>
      <c r="NYN10" s="9"/>
      <c r="NYO10" s="9"/>
      <c r="NYP10" s="9"/>
      <c r="NYQ10" s="9"/>
      <c r="NYR10" s="9"/>
      <c r="NYS10" s="9"/>
      <c r="NYT10" s="9"/>
      <c r="NYU10" s="9"/>
      <c r="NYV10" s="9"/>
      <c r="NYW10" s="9"/>
      <c r="NYX10" s="9"/>
      <c r="NYY10" s="9"/>
      <c r="NYZ10" s="9"/>
      <c r="NZA10" s="9"/>
      <c r="NZB10" s="9"/>
      <c r="NZC10" s="9"/>
      <c r="NZD10" s="9"/>
      <c r="NZE10" s="9"/>
      <c r="NZF10" s="9"/>
      <c r="NZG10" s="9"/>
      <c r="NZH10" s="9"/>
      <c r="NZI10" s="9"/>
      <c r="NZJ10" s="9"/>
      <c r="NZK10" s="9"/>
      <c r="NZL10" s="9"/>
      <c r="NZM10" s="9"/>
      <c r="NZN10" s="9"/>
      <c r="NZO10" s="9"/>
      <c r="NZP10" s="9"/>
      <c r="NZQ10" s="9"/>
      <c r="NZR10" s="9"/>
      <c r="NZS10" s="9"/>
      <c r="NZT10" s="9"/>
      <c r="NZU10" s="9"/>
      <c r="NZV10" s="9"/>
      <c r="NZW10" s="9"/>
      <c r="NZX10" s="9"/>
      <c r="NZY10" s="9"/>
      <c r="NZZ10" s="9"/>
      <c r="OAA10" s="9"/>
      <c r="OAB10" s="9"/>
      <c r="OAC10" s="9"/>
      <c r="OAD10" s="9"/>
      <c r="OAE10" s="9"/>
      <c r="OAF10" s="9"/>
      <c r="OAG10" s="9"/>
      <c r="OAH10" s="9"/>
      <c r="OAI10" s="9"/>
      <c r="OAJ10" s="9"/>
      <c r="OAK10" s="9"/>
      <c r="OAL10" s="9"/>
      <c r="OAM10" s="9"/>
      <c r="OAN10" s="9"/>
      <c r="OAO10" s="9"/>
      <c r="OAP10" s="9"/>
      <c r="OAQ10" s="9"/>
      <c r="OAR10" s="9"/>
      <c r="OAS10" s="9"/>
      <c r="OAT10" s="9"/>
      <c r="OAU10" s="9"/>
      <c r="OAV10" s="9"/>
      <c r="OAW10" s="9"/>
      <c r="OAX10" s="9"/>
      <c r="OAY10" s="9"/>
      <c r="OAZ10" s="9"/>
      <c r="OBA10" s="9"/>
      <c r="OBB10" s="9"/>
      <c r="OBC10" s="9"/>
      <c r="OBD10" s="9"/>
      <c r="OBE10" s="9"/>
      <c r="OBF10" s="9"/>
      <c r="OBG10" s="9"/>
      <c r="OBH10" s="9"/>
      <c r="OBI10" s="9"/>
      <c r="OBJ10" s="9"/>
      <c r="OBK10" s="9"/>
      <c r="OBL10" s="9"/>
      <c r="OBM10" s="9"/>
      <c r="OBN10" s="9"/>
      <c r="OBO10" s="9"/>
      <c r="OBP10" s="9"/>
      <c r="OBQ10" s="9"/>
      <c r="OBR10" s="9"/>
      <c r="OBS10" s="9"/>
      <c r="OBT10" s="9"/>
      <c r="OBU10" s="9"/>
      <c r="OBV10" s="9"/>
      <c r="OBW10" s="9"/>
      <c r="OBX10" s="9"/>
      <c r="OBY10" s="9"/>
      <c r="OBZ10" s="9"/>
      <c r="OCA10" s="9"/>
      <c r="OCB10" s="9"/>
      <c r="OCC10" s="9"/>
      <c r="OCD10" s="9"/>
      <c r="OCE10" s="9"/>
      <c r="OCF10" s="9"/>
      <c r="OCG10" s="9"/>
      <c r="OCH10" s="9"/>
      <c r="OCI10" s="9"/>
      <c r="OCJ10" s="9"/>
      <c r="OCK10" s="9"/>
      <c r="OCL10" s="9"/>
      <c r="OCM10" s="9"/>
      <c r="OCN10" s="9"/>
      <c r="OCO10" s="9"/>
      <c r="OCP10" s="9"/>
      <c r="OCQ10" s="9"/>
      <c r="OCR10" s="9"/>
      <c r="OCS10" s="9"/>
      <c r="OCT10" s="9"/>
      <c r="OCU10" s="9"/>
      <c r="OCV10" s="9"/>
      <c r="OCW10" s="9"/>
      <c r="OCX10" s="9"/>
      <c r="OCY10" s="9"/>
      <c r="OCZ10" s="9"/>
      <c r="ODA10" s="9"/>
      <c r="ODB10" s="9"/>
      <c r="ODC10" s="9"/>
      <c r="ODD10" s="9"/>
      <c r="ODE10" s="9"/>
      <c r="ODF10" s="9"/>
      <c r="ODG10" s="9"/>
      <c r="ODH10" s="9"/>
      <c r="ODI10" s="9"/>
      <c r="ODJ10" s="9"/>
      <c r="ODK10" s="9"/>
      <c r="ODL10" s="9"/>
      <c r="ODM10" s="9"/>
      <c r="ODN10" s="9"/>
      <c r="ODO10" s="9"/>
      <c r="ODP10" s="9"/>
      <c r="ODQ10" s="9"/>
      <c r="ODR10" s="9"/>
      <c r="ODS10" s="9"/>
      <c r="ODT10" s="9"/>
      <c r="ODU10" s="9"/>
      <c r="ODV10" s="9"/>
      <c r="ODW10" s="9"/>
      <c r="ODX10" s="9"/>
      <c r="ODY10" s="9"/>
      <c r="ODZ10" s="9"/>
      <c r="OEA10" s="9"/>
      <c r="OEB10" s="9"/>
      <c r="OEC10" s="9"/>
      <c r="OED10" s="9"/>
      <c r="OEE10" s="9"/>
      <c r="OEF10" s="9"/>
      <c r="OEG10" s="9"/>
      <c r="OEH10" s="9"/>
      <c r="OEI10" s="9"/>
      <c r="OEJ10" s="9"/>
      <c r="OEK10" s="9"/>
      <c r="OEL10" s="9"/>
      <c r="OEM10" s="9"/>
      <c r="OEN10" s="9"/>
      <c r="OEO10" s="9"/>
      <c r="OEP10" s="9"/>
      <c r="OEQ10" s="9"/>
      <c r="OER10" s="9"/>
      <c r="OES10" s="9"/>
      <c r="OET10" s="9"/>
      <c r="OEU10" s="9"/>
      <c r="OEV10" s="9"/>
      <c r="OEW10" s="9"/>
      <c r="OEX10" s="9"/>
      <c r="OEY10" s="9"/>
      <c r="OEZ10" s="9"/>
      <c r="OFA10" s="9"/>
      <c r="OFB10" s="9"/>
      <c r="OFC10" s="9"/>
      <c r="OFD10" s="9"/>
      <c r="OFE10" s="9"/>
      <c r="OFF10" s="9"/>
      <c r="OFG10" s="9"/>
      <c r="OFH10" s="9"/>
      <c r="OFI10" s="9"/>
      <c r="OFJ10" s="9"/>
      <c r="OFK10" s="9"/>
      <c r="OFL10" s="9"/>
      <c r="OFM10" s="9"/>
      <c r="OFN10" s="9"/>
      <c r="OFO10" s="9"/>
      <c r="OFP10" s="9"/>
      <c r="OFQ10" s="9"/>
      <c r="OFR10" s="9"/>
      <c r="OFS10" s="9"/>
      <c r="OFT10" s="9"/>
      <c r="OFU10" s="9"/>
      <c r="OFV10" s="9"/>
      <c r="OFW10" s="9"/>
      <c r="OFX10" s="9"/>
      <c r="OFY10" s="9"/>
      <c r="OFZ10" s="9"/>
      <c r="OGA10" s="9"/>
      <c r="OGB10" s="9"/>
      <c r="OGC10" s="9"/>
      <c r="OGD10" s="9"/>
      <c r="OGE10" s="9"/>
      <c r="OGF10" s="9"/>
      <c r="OGG10" s="9"/>
      <c r="OGH10" s="9"/>
      <c r="OGI10" s="9"/>
      <c r="OGJ10" s="9"/>
      <c r="OGK10" s="9"/>
      <c r="OGL10" s="9"/>
      <c r="OGM10" s="9"/>
      <c r="OGN10" s="9"/>
      <c r="OGO10" s="9"/>
      <c r="OGP10" s="9"/>
      <c r="OGQ10" s="9"/>
      <c r="OGR10" s="9"/>
      <c r="OGS10" s="9"/>
      <c r="OGT10" s="9"/>
      <c r="OGU10" s="9"/>
      <c r="OGV10" s="9"/>
      <c r="OGW10" s="9"/>
      <c r="OGX10" s="9"/>
      <c r="OGY10" s="9"/>
      <c r="OGZ10" s="9"/>
      <c r="OHA10" s="9"/>
      <c r="OHB10" s="9"/>
      <c r="OHC10" s="9"/>
      <c r="OHD10" s="9"/>
      <c r="OHE10" s="9"/>
      <c r="OHF10" s="9"/>
      <c r="OHG10" s="9"/>
      <c r="OHH10" s="9"/>
      <c r="OHI10" s="9"/>
      <c r="OHJ10" s="9"/>
      <c r="OHK10" s="9"/>
      <c r="OHL10" s="9"/>
      <c r="OHM10" s="9"/>
      <c r="OHN10" s="9"/>
      <c r="OHO10" s="9"/>
      <c r="OHP10" s="9"/>
      <c r="OHQ10" s="9"/>
      <c r="OHR10" s="9"/>
      <c r="OHS10" s="9"/>
      <c r="OHT10" s="9"/>
      <c r="OHU10" s="9"/>
      <c r="OHV10" s="9"/>
      <c r="OHW10" s="9"/>
      <c r="OHX10" s="9"/>
      <c r="OHY10" s="9"/>
      <c r="OHZ10" s="9"/>
      <c r="OIA10" s="9"/>
      <c r="OIB10" s="9"/>
      <c r="OIC10" s="9"/>
      <c r="OID10" s="9"/>
      <c r="OIE10" s="9"/>
      <c r="OIF10" s="9"/>
      <c r="OIG10" s="9"/>
      <c r="OIH10" s="9"/>
      <c r="OII10" s="9"/>
      <c r="OIJ10" s="9"/>
      <c r="OIK10" s="9"/>
      <c r="OIL10" s="9"/>
      <c r="OIM10" s="9"/>
      <c r="OIN10" s="9"/>
      <c r="OIO10" s="9"/>
      <c r="OIP10" s="9"/>
      <c r="OIQ10" s="9"/>
      <c r="OIR10" s="9"/>
      <c r="OIS10" s="9"/>
      <c r="OIT10" s="9"/>
      <c r="OIU10" s="9"/>
      <c r="OIV10" s="9"/>
      <c r="OIW10" s="9"/>
      <c r="OIX10" s="9"/>
      <c r="OIY10" s="9"/>
      <c r="OIZ10" s="9"/>
      <c r="OJA10" s="9"/>
      <c r="OJB10" s="9"/>
      <c r="OJC10" s="9"/>
      <c r="OJD10" s="9"/>
      <c r="OJE10" s="9"/>
      <c r="OJF10" s="9"/>
      <c r="OJG10" s="9"/>
      <c r="OJH10" s="9"/>
      <c r="OJI10" s="9"/>
      <c r="OJJ10" s="9"/>
      <c r="OJK10" s="9"/>
      <c r="OJL10" s="9"/>
      <c r="OJM10" s="9"/>
      <c r="OJN10" s="9"/>
      <c r="OJO10" s="9"/>
      <c r="OJP10" s="9"/>
      <c r="OJQ10" s="9"/>
      <c r="OJR10" s="9"/>
      <c r="OJS10" s="9"/>
      <c r="OJT10" s="9"/>
      <c r="OJU10" s="9"/>
      <c r="OJV10" s="9"/>
      <c r="OJW10" s="9"/>
      <c r="OJX10" s="9"/>
      <c r="OJY10" s="9"/>
      <c r="OJZ10" s="9"/>
      <c r="OKA10" s="9"/>
      <c r="OKB10" s="9"/>
      <c r="OKC10" s="9"/>
      <c r="OKD10" s="9"/>
      <c r="OKE10" s="9"/>
      <c r="OKF10" s="9"/>
      <c r="OKG10" s="9"/>
      <c r="OKH10" s="9"/>
      <c r="OKI10" s="9"/>
      <c r="OKJ10" s="9"/>
      <c r="OKK10" s="9"/>
      <c r="OKL10" s="9"/>
      <c r="OKM10" s="9"/>
      <c r="OKN10" s="9"/>
      <c r="OKO10" s="9"/>
      <c r="OKP10" s="9"/>
      <c r="OKQ10" s="9"/>
      <c r="OKR10" s="9"/>
      <c r="OKS10" s="9"/>
      <c r="OKT10" s="9"/>
      <c r="OKU10" s="9"/>
      <c r="OKV10" s="9"/>
      <c r="OKW10" s="9"/>
      <c r="OKX10" s="9"/>
      <c r="OKY10" s="9"/>
      <c r="OKZ10" s="9"/>
      <c r="OLA10" s="9"/>
      <c r="OLB10" s="9"/>
      <c r="OLC10" s="9"/>
      <c r="OLD10" s="9"/>
      <c r="OLE10" s="9"/>
      <c r="OLF10" s="9"/>
      <c r="OLG10" s="9"/>
      <c r="OLH10" s="9"/>
      <c r="OLI10" s="9"/>
      <c r="OLJ10" s="9"/>
      <c r="OLK10" s="9"/>
      <c r="OLL10" s="9"/>
      <c r="OLM10" s="9"/>
      <c r="OLN10" s="9"/>
      <c r="OLO10" s="9"/>
      <c r="OLP10" s="9"/>
      <c r="OLQ10" s="9"/>
      <c r="OLR10" s="9"/>
      <c r="OLS10" s="9"/>
      <c r="OLT10" s="9"/>
      <c r="OLU10" s="9"/>
      <c r="OLV10" s="9"/>
      <c r="OLW10" s="9"/>
      <c r="OLX10" s="9"/>
      <c r="OLY10" s="9"/>
      <c r="OLZ10" s="9"/>
      <c r="OMA10" s="9"/>
      <c r="OMB10" s="9"/>
      <c r="OMC10" s="9"/>
      <c r="OMD10" s="9"/>
      <c r="OME10" s="9"/>
      <c r="OMF10" s="9"/>
      <c r="OMG10" s="9"/>
      <c r="OMH10" s="9"/>
      <c r="OMI10" s="9"/>
      <c r="OMJ10" s="9"/>
      <c r="OMK10" s="9"/>
      <c r="OML10" s="9"/>
      <c r="OMM10" s="9"/>
      <c r="OMN10" s="9"/>
      <c r="OMO10" s="9"/>
      <c r="OMP10" s="9"/>
      <c r="OMQ10" s="9"/>
      <c r="OMR10" s="9"/>
      <c r="OMS10" s="9"/>
      <c r="OMT10" s="9"/>
      <c r="OMU10" s="9"/>
      <c r="OMV10" s="9"/>
      <c r="OMW10" s="9"/>
      <c r="OMX10" s="9"/>
      <c r="OMY10" s="9"/>
      <c r="OMZ10" s="9"/>
      <c r="ONA10" s="9"/>
      <c r="ONB10" s="9"/>
      <c r="ONC10" s="9"/>
      <c r="OND10" s="9"/>
      <c r="ONE10" s="9"/>
      <c r="ONF10" s="9"/>
      <c r="ONG10" s="9"/>
      <c r="ONH10" s="9"/>
      <c r="ONI10" s="9"/>
      <c r="ONJ10" s="9"/>
      <c r="ONK10" s="9"/>
      <c r="ONL10" s="9"/>
      <c r="ONM10" s="9"/>
      <c r="ONN10" s="9"/>
      <c r="ONO10" s="9"/>
      <c r="ONP10" s="9"/>
      <c r="ONQ10" s="9"/>
      <c r="ONR10" s="9"/>
      <c r="ONS10" s="9"/>
      <c r="ONT10" s="9"/>
      <c r="ONU10" s="9"/>
      <c r="ONV10" s="9"/>
      <c r="ONW10" s="9"/>
      <c r="ONX10" s="9"/>
      <c r="ONY10" s="9"/>
      <c r="ONZ10" s="9"/>
      <c r="OOA10" s="9"/>
      <c r="OOB10" s="9"/>
      <c r="OOC10" s="9"/>
      <c r="OOD10" s="9"/>
      <c r="OOE10" s="9"/>
      <c r="OOF10" s="9"/>
      <c r="OOG10" s="9"/>
      <c r="OOH10" s="9"/>
      <c r="OOI10" s="9"/>
      <c r="OOJ10" s="9"/>
      <c r="OOK10" s="9"/>
      <c r="OOL10" s="9"/>
      <c r="OOM10" s="9"/>
      <c r="OON10" s="9"/>
      <c r="OOO10" s="9"/>
      <c r="OOP10" s="9"/>
      <c r="OOQ10" s="9"/>
      <c r="OOR10" s="9"/>
      <c r="OOS10" s="9"/>
      <c r="OOT10" s="9"/>
      <c r="OOU10" s="9"/>
      <c r="OOV10" s="9"/>
      <c r="OOW10" s="9"/>
      <c r="OOX10" s="9"/>
      <c r="OOY10" s="9"/>
      <c r="OOZ10" s="9"/>
      <c r="OPA10" s="9"/>
      <c r="OPB10" s="9"/>
      <c r="OPC10" s="9"/>
      <c r="OPD10" s="9"/>
      <c r="OPE10" s="9"/>
      <c r="OPF10" s="9"/>
      <c r="OPG10" s="9"/>
      <c r="OPH10" s="9"/>
      <c r="OPI10" s="9"/>
      <c r="OPJ10" s="9"/>
      <c r="OPK10" s="9"/>
      <c r="OPL10" s="9"/>
      <c r="OPM10" s="9"/>
      <c r="OPN10" s="9"/>
      <c r="OPO10" s="9"/>
      <c r="OPP10" s="9"/>
      <c r="OPQ10" s="9"/>
      <c r="OPR10" s="9"/>
      <c r="OPS10" s="9"/>
      <c r="OPT10" s="9"/>
      <c r="OPU10" s="9"/>
      <c r="OPV10" s="9"/>
      <c r="OPW10" s="9"/>
      <c r="OPX10" s="9"/>
      <c r="OPY10" s="9"/>
      <c r="OPZ10" s="9"/>
      <c r="OQA10" s="9"/>
      <c r="OQB10" s="9"/>
      <c r="OQC10" s="9"/>
      <c r="OQD10" s="9"/>
      <c r="OQE10" s="9"/>
      <c r="OQF10" s="9"/>
      <c r="OQG10" s="9"/>
      <c r="OQH10" s="9"/>
      <c r="OQI10" s="9"/>
      <c r="OQJ10" s="9"/>
      <c r="OQK10" s="9"/>
      <c r="OQL10" s="9"/>
      <c r="OQM10" s="9"/>
      <c r="OQN10" s="9"/>
      <c r="OQO10" s="9"/>
      <c r="OQP10" s="9"/>
      <c r="OQQ10" s="9"/>
      <c r="OQR10" s="9"/>
      <c r="OQS10" s="9"/>
      <c r="OQT10" s="9"/>
      <c r="OQU10" s="9"/>
      <c r="OQV10" s="9"/>
      <c r="OQW10" s="9"/>
      <c r="OQX10" s="9"/>
      <c r="OQY10" s="9"/>
      <c r="OQZ10" s="9"/>
      <c r="ORA10" s="9"/>
      <c r="ORB10" s="9"/>
      <c r="ORC10" s="9"/>
      <c r="ORD10" s="9"/>
      <c r="ORE10" s="9"/>
      <c r="ORF10" s="9"/>
      <c r="ORG10" s="9"/>
      <c r="ORH10" s="9"/>
      <c r="ORI10" s="9"/>
      <c r="ORJ10" s="9"/>
      <c r="ORK10" s="9"/>
      <c r="ORL10" s="9"/>
      <c r="ORM10" s="9"/>
      <c r="ORN10" s="9"/>
      <c r="ORO10" s="9"/>
      <c r="ORP10" s="9"/>
      <c r="ORQ10" s="9"/>
      <c r="ORR10" s="9"/>
      <c r="ORS10" s="9"/>
      <c r="ORT10" s="9"/>
      <c r="ORU10" s="9"/>
      <c r="ORV10" s="9"/>
      <c r="ORW10" s="9"/>
      <c r="ORX10" s="9"/>
      <c r="ORY10" s="9"/>
      <c r="ORZ10" s="9"/>
      <c r="OSA10" s="9"/>
      <c r="OSB10" s="9"/>
      <c r="OSC10" s="9"/>
      <c r="OSD10" s="9"/>
      <c r="OSE10" s="9"/>
      <c r="OSF10" s="9"/>
      <c r="OSG10" s="9"/>
      <c r="OSH10" s="9"/>
      <c r="OSI10" s="9"/>
      <c r="OSJ10" s="9"/>
      <c r="OSK10" s="9"/>
      <c r="OSL10" s="9"/>
      <c r="OSM10" s="9"/>
      <c r="OSN10" s="9"/>
      <c r="OSO10" s="9"/>
      <c r="OSP10" s="9"/>
      <c r="OSQ10" s="9"/>
      <c r="OSR10" s="9"/>
      <c r="OSS10" s="9"/>
      <c r="OST10" s="9"/>
      <c r="OSU10" s="9"/>
      <c r="OSV10" s="9"/>
      <c r="OSW10" s="9"/>
      <c r="OSX10" s="9"/>
      <c r="OSY10" s="9"/>
      <c r="OSZ10" s="9"/>
      <c r="OTA10" s="9"/>
      <c r="OTB10" s="9"/>
      <c r="OTC10" s="9"/>
      <c r="OTD10" s="9"/>
      <c r="OTE10" s="9"/>
      <c r="OTF10" s="9"/>
      <c r="OTG10" s="9"/>
      <c r="OTH10" s="9"/>
      <c r="OTI10" s="9"/>
      <c r="OTJ10" s="9"/>
      <c r="OTK10" s="9"/>
      <c r="OTL10" s="9"/>
      <c r="OTM10" s="9"/>
      <c r="OTN10" s="9"/>
      <c r="OTO10" s="9"/>
      <c r="OTP10" s="9"/>
      <c r="OTQ10" s="9"/>
      <c r="OTR10" s="9"/>
      <c r="OTS10" s="9"/>
      <c r="OTT10" s="9"/>
      <c r="OTU10" s="9"/>
      <c r="OTV10" s="9"/>
      <c r="OTW10" s="9"/>
      <c r="OTX10" s="9"/>
      <c r="OTY10" s="9"/>
      <c r="OTZ10" s="9"/>
      <c r="OUA10" s="9"/>
      <c r="OUB10" s="9"/>
      <c r="OUC10" s="9"/>
      <c r="OUD10" s="9"/>
      <c r="OUE10" s="9"/>
      <c r="OUF10" s="9"/>
      <c r="OUG10" s="9"/>
      <c r="OUH10" s="9"/>
      <c r="OUI10" s="9"/>
      <c r="OUJ10" s="9"/>
      <c r="OUK10" s="9"/>
      <c r="OUL10" s="9"/>
      <c r="OUM10" s="9"/>
      <c r="OUN10" s="9"/>
      <c r="OUO10" s="9"/>
      <c r="OUP10" s="9"/>
      <c r="OUQ10" s="9"/>
      <c r="OUR10" s="9"/>
      <c r="OUS10" s="9"/>
      <c r="OUT10" s="9"/>
      <c r="OUU10" s="9"/>
      <c r="OUV10" s="9"/>
      <c r="OUW10" s="9"/>
      <c r="OUX10" s="9"/>
      <c r="OUY10" s="9"/>
      <c r="OUZ10" s="9"/>
      <c r="OVA10" s="9"/>
      <c r="OVB10" s="9"/>
      <c r="OVC10" s="9"/>
      <c r="OVD10" s="9"/>
      <c r="OVE10" s="9"/>
      <c r="OVF10" s="9"/>
      <c r="OVG10" s="9"/>
      <c r="OVH10" s="9"/>
      <c r="OVI10" s="9"/>
      <c r="OVJ10" s="9"/>
      <c r="OVK10" s="9"/>
      <c r="OVL10" s="9"/>
      <c r="OVM10" s="9"/>
      <c r="OVN10" s="9"/>
      <c r="OVO10" s="9"/>
      <c r="OVP10" s="9"/>
      <c r="OVQ10" s="9"/>
      <c r="OVR10" s="9"/>
      <c r="OVS10" s="9"/>
      <c r="OVT10" s="9"/>
      <c r="OVU10" s="9"/>
      <c r="OVV10" s="9"/>
      <c r="OVW10" s="9"/>
      <c r="OVX10" s="9"/>
      <c r="OVY10" s="9"/>
      <c r="OVZ10" s="9"/>
      <c r="OWA10" s="9"/>
      <c r="OWB10" s="9"/>
      <c r="OWC10" s="9"/>
      <c r="OWD10" s="9"/>
      <c r="OWE10" s="9"/>
      <c r="OWF10" s="9"/>
      <c r="OWG10" s="9"/>
      <c r="OWH10" s="9"/>
      <c r="OWI10" s="9"/>
      <c r="OWJ10" s="9"/>
      <c r="OWK10" s="9"/>
      <c r="OWL10" s="9"/>
      <c r="OWM10" s="9"/>
      <c r="OWN10" s="9"/>
      <c r="OWO10" s="9"/>
      <c r="OWP10" s="9"/>
      <c r="OWQ10" s="9"/>
      <c r="OWR10" s="9"/>
      <c r="OWS10" s="9"/>
      <c r="OWT10" s="9"/>
      <c r="OWU10" s="9"/>
      <c r="OWV10" s="9"/>
      <c r="OWW10" s="9"/>
      <c r="OWX10" s="9"/>
      <c r="OWY10" s="9"/>
      <c r="OWZ10" s="9"/>
      <c r="OXA10" s="9"/>
      <c r="OXB10" s="9"/>
      <c r="OXC10" s="9"/>
      <c r="OXD10" s="9"/>
      <c r="OXE10" s="9"/>
      <c r="OXF10" s="9"/>
      <c r="OXG10" s="9"/>
      <c r="OXH10" s="9"/>
      <c r="OXI10" s="9"/>
      <c r="OXJ10" s="9"/>
      <c r="OXK10" s="9"/>
      <c r="OXL10" s="9"/>
      <c r="OXM10" s="9"/>
      <c r="OXN10" s="9"/>
      <c r="OXO10" s="9"/>
      <c r="OXP10" s="9"/>
      <c r="OXQ10" s="9"/>
      <c r="OXR10" s="9"/>
      <c r="OXS10" s="9"/>
      <c r="OXT10" s="9"/>
      <c r="OXU10" s="9"/>
      <c r="OXV10" s="9"/>
      <c r="OXW10" s="9"/>
      <c r="OXX10" s="9"/>
      <c r="OXY10" s="9"/>
      <c r="OXZ10" s="9"/>
      <c r="OYA10" s="9"/>
      <c r="OYB10" s="9"/>
      <c r="OYC10" s="9"/>
      <c r="OYD10" s="9"/>
      <c r="OYE10" s="9"/>
      <c r="OYF10" s="9"/>
      <c r="OYG10" s="9"/>
      <c r="OYH10" s="9"/>
      <c r="OYI10" s="9"/>
      <c r="OYJ10" s="9"/>
      <c r="OYK10" s="9"/>
      <c r="OYL10" s="9"/>
      <c r="OYM10" s="9"/>
      <c r="OYN10" s="9"/>
      <c r="OYO10" s="9"/>
      <c r="OYP10" s="9"/>
      <c r="OYQ10" s="9"/>
      <c r="OYR10" s="9"/>
      <c r="OYS10" s="9"/>
      <c r="OYT10" s="9"/>
      <c r="OYU10" s="9"/>
      <c r="OYV10" s="9"/>
      <c r="OYW10" s="9"/>
      <c r="OYX10" s="9"/>
      <c r="OYY10" s="9"/>
      <c r="OYZ10" s="9"/>
      <c r="OZA10" s="9"/>
      <c r="OZB10" s="9"/>
      <c r="OZC10" s="9"/>
      <c r="OZD10" s="9"/>
      <c r="OZE10" s="9"/>
      <c r="OZF10" s="9"/>
      <c r="OZG10" s="9"/>
      <c r="OZH10" s="9"/>
      <c r="OZI10" s="9"/>
      <c r="OZJ10" s="9"/>
      <c r="OZK10" s="9"/>
      <c r="OZL10" s="9"/>
      <c r="OZM10" s="9"/>
      <c r="OZN10" s="9"/>
      <c r="OZO10" s="9"/>
      <c r="OZP10" s="9"/>
      <c r="OZQ10" s="9"/>
      <c r="OZR10" s="9"/>
      <c r="OZS10" s="9"/>
      <c r="OZT10" s="9"/>
      <c r="OZU10" s="9"/>
      <c r="OZV10" s="9"/>
      <c r="OZW10" s="9"/>
      <c r="OZX10" s="9"/>
      <c r="OZY10" s="9"/>
      <c r="OZZ10" s="9"/>
      <c r="PAA10" s="9"/>
      <c r="PAB10" s="9"/>
      <c r="PAC10" s="9"/>
      <c r="PAD10" s="9"/>
      <c r="PAE10" s="9"/>
      <c r="PAF10" s="9"/>
      <c r="PAG10" s="9"/>
      <c r="PAH10" s="9"/>
      <c r="PAI10" s="9"/>
      <c r="PAJ10" s="9"/>
      <c r="PAK10" s="9"/>
      <c r="PAL10" s="9"/>
      <c r="PAM10" s="9"/>
      <c r="PAN10" s="9"/>
      <c r="PAO10" s="9"/>
      <c r="PAP10" s="9"/>
      <c r="PAQ10" s="9"/>
      <c r="PAR10" s="9"/>
      <c r="PAS10" s="9"/>
      <c r="PAT10" s="9"/>
      <c r="PAU10" s="9"/>
      <c r="PAV10" s="9"/>
      <c r="PAW10" s="9"/>
      <c r="PAX10" s="9"/>
      <c r="PAY10" s="9"/>
      <c r="PAZ10" s="9"/>
      <c r="PBA10" s="9"/>
      <c r="PBB10" s="9"/>
      <c r="PBC10" s="9"/>
      <c r="PBD10" s="9"/>
      <c r="PBE10" s="9"/>
      <c r="PBF10" s="9"/>
      <c r="PBG10" s="9"/>
      <c r="PBH10" s="9"/>
      <c r="PBI10" s="9"/>
      <c r="PBJ10" s="9"/>
      <c r="PBK10" s="9"/>
      <c r="PBL10" s="9"/>
      <c r="PBM10" s="9"/>
      <c r="PBN10" s="9"/>
      <c r="PBO10" s="9"/>
      <c r="PBP10" s="9"/>
      <c r="PBQ10" s="9"/>
      <c r="PBR10" s="9"/>
      <c r="PBS10" s="9"/>
      <c r="PBT10" s="9"/>
      <c r="PBU10" s="9"/>
      <c r="PBV10" s="9"/>
      <c r="PBW10" s="9"/>
      <c r="PBX10" s="9"/>
      <c r="PBY10" s="9"/>
      <c r="PBZ10" s="9"/>
      <c r="PCA10" s="9"/>
      <c r="PCB10" s="9"/>
      <c r="PCC10" s="9"/>
      <c r="PCD10" s="9"/>
      <c r="PCE10" s="9"/>
      <c r="PCF10" s="9"/>
      <c r="PCG10" s="9"/>
      <c r="PCH10" s="9"/>
      <c r="PCI10" s="9"/>
      <c r="PCJ10" s="9"/>
      <c r="PCK10" s="9"/>
      <c r="PCL10" s="9"/>
      <c r="PCM10" s="9"/>
      <c r="PCN10" s="9"/>
      <c r="PCO10" s="9"/>
      <c r="PCP10" s="9"/>
      <c r="PCQ10" s="9"/>
      <c r="PCR10" s="9"/>
      <c r="PCS10" s="9"/>
      <c r="PCT10" s="9"/>
      <c r="PCU10" s="9"/>
      <c r="PCV10" s="9"/>
      <c r="PCW10" s="9"/>
      <c r="PCX10" s="9"/>
      <c r="PCY10" s="9"/>
      <c r="PCZ10" s="9"/>
      <c r="PDA10" s="9"/>
      <c r="PDB10" s="9"/>
      <c r="PDC10" s="9"/>
      <c r="PDD10" s="9"/>
      <c r="PDE10" s="9"/>
      <c r="PDF10" s="9"/>
      <c r="PDG10" s="9"/>
      <c r="PDH10" s="9"/>
      <c r="PDI10" s="9"/>
      <c r="PDJ10" s="9"/>
      <c r="PDK10" s="9"/>
      <c r="PDL10" s="9"/>
      <c r="PDM10" s="9"/>
      <c r="PDN10" s="9"/>
      <c r="PDO10" s="9"/>
      <c r="PDP10" s="9"/>
      <c r="PDQ10" s="9"/>
      <c r="PDR10" s="9"/>
      <c r="PDS10" s="9"/>
      <c r="PDT10" s="9"/>
      <c r="PDU10" s="9"/>
      <c r="PDV10" s="9"/>
      <c r="PDW10" s="9"/>
      <c r="PDX10" s="9"/>
      <c r="PDY10" s="9"/>
      <c r="PDZ10" s="9"/>
      <c r="PEA10" s="9"/>
      <c r="PEB10" s="9"/>
      <c r="PEC10" s="9"/>
      <c r="PED10" s="9"/>
      <c r="PEE10" s="9"/>
      <c r="PEF10" s="9"/>
      <c r="PEG10" s="9"/>
      <c r="PEH10" s="9"/>
      <c r="PEI10" s="9"/>
      <c r="PEJ10" s="9"/>
      <c r="PEK10" s="9"/>
      <c r="PEL10" s="9"/>
      <c r="PEM10" s="9"/>
      <c r="PEN10" s="9"/>
      <c r="PEO10" s="9"/>
      <c r="PEP10" s="9"/>
      <c r="PEQ10" s="9"/>
      <c r="PER10" s="9"/>
      <c r="PES10" s="9"/>
      <c r="PET10" s="9"/>
      <c r="PEU10" s="9"/>
      <c r="PEV10" s="9"/>
      <c r="PEW10" s="9"/>
      <c r="PEX10" s="9"/>
      <c r="PEY10" s="9"/>
      <c r="PEZ10" s="9"/>
      <c r="PFA10" s="9"/>
      <c r="PFB10" s="9"/>
      <c r="PFC10" s="9"/>
      <c r="PFD10" s="9"/>
      <c r="PFE10" s="9"/>
      <c r="PFF10" s="9"/>
      <c r="PFG10" s="9"/>
      <c r="PFH10" s="9"/>
      <c r="PFI10" s="9"/>
      <c r="PFJ10" s="9"/>
      <c r="PFK10" s="9"/>
      <c r="PFL10" s="9"/>
      <c r="PFM10" s="9"/>
      <c r="PFN10" s="9"/>
      <c r="PFO10" s="9"/>
      <c r="PFP10" s="9"/>
      <c r="PFQ10" s="9"/>
      <c r="PFR10" s="9"/>
      <c r="PFS10" s="9"/>
      <c r="PFT10" s="9"/>
      <c r="PFU10" s="9"/>
      <c r="PFV10" s="9"/>
      <c r="PFW10" s="9"/>
      <c r="PFX10" s="9"/>
      <c r="PFY10" s="9"/>
      <c r="PFZ10" s="9"/>
      <c r="PGA10" s="9"/>
      <c r="PGB10" s="9"/>
      <c r="PGC10" s="9"/>
      <c r="PGD10" s="9"/>
      <c r="PGE10" s="9"/>
      <c r="PGF10" s="9"/>
      <c r="PGG10" s="9"/>
      <c r="PGH10" s="9"/>
      <c r="PGI10" s="9"/>
      <c r="PGJ10" s="9"/>
      <c r="PGK10" s="9"/>
      <c r="PGL10" s="9"/>
      <c r="PGM10" s="9"/>
      <c r="PGN10" s="9"/>
      <c r="PGO10" s="9"/>
      <c r="PGP10" s="9"/>
      <c r="PGQ10" s="9"/>
      <c r="PGR10" s="9"/>
      <c r="PGS10" s="9"/>
      <c r="PGT10" s="9"/>
      <c r="PGU10" s="9"/>
      <c r="PGV10" s="9"/>
      <c r="PGW10" s="9"/>
      <c r="PGX10" s="9"/>
      <c r="PGY10" s="9"/>
      <c r="PGZ10" s="9"/>
      <c r="PHA10" s="9"/>
      <c r="PHB10" s="9"/>
      <c r="PHC10" s="9"/>
      <c r="PHD10" s="9"/>
      <c r="PHE10" s="9"/>
      <c r="PHF10" s="9"/>
      <c r="PHG10" s="9"/>
      <c r="PHH10" s="9"/>
      <c r="PHI10" s="9"/>
      <c r="PHJ10" s="9"/>
      <c r="PHK10" s="9"/>
      <c r="PHL10" s="9"/>
      <c r="PHM10" s="9"/>
      <c r="PHN10" s="9"/>
      <c r="PHO10" s="9"/>
      <c r="PHP10" s="9"/>
      <c r="PHQ10" s="9"/>
      <c r="PHR10" s="9"/>
      <c r="PHS10" s="9"/>
      <c r="PHT10" s="9"/>
      <c r="PHU10" s="9"/>
      <c r="PHV10" s="9"/>
      <c r="PHW10" s="9"/>
      <c r="PHX10" s="9"/>
      <c r="PHY10" s="9"/>
      <c r="PHZ10" s="9"/>
      <c r="PIA10" s="9"/>
      <c r="PIB10" s="9"/>
      <c r="PIC10" s="9"/>
      <c r="PID10" s="9"/>
      <c r="PIE10" s="9"/>
      <c r="PIF10" s="9"/>
      <c r="PIG10" s="9"/>
      <c r="PIH10" s="9"/>
      <c r="PII10" s="9"/>
      <c r="PIJ10" s="9"/>
      <c r="PIK10" s="9"/>
      <c r="PIL10" s="9"/>
      <c r="PIM10" s="9"/>
      <c r="PIN10" s="9"/>
      <c r="PIO10" s="9"/>
      <c r="PIP10" s="9"/>
      <c r="PIQ10" s="9"/>
      <c r="PIR10" s="9"/>
      <c r="PIS10" s="9"/>
      <c r="PIT10" s="9"/>
      <c r="PIU10" s="9"/>
      <c r="PIV10" s="9"/>
      <c r="PIW10" s="9"/>
      <c r="PIX10" s="9"/>
      <c r="PIY10" s="9"/>
      <c r="PIZ10" s="9"/>
      <c r="PJA10" s="9"/>
      <c r="PJB10" s="9"/>
      <c r="PJC10" s="9"/>
      <c r="PJD10" s="9"/>
      <c r="PJE10" s="9"/>
      <c r="PJF10" s="9"/>
      <c r="PJG10" s="9"/>
      <c r="PJH10" s="9"/>
      <c r="PJI10" s="9"/>
      <c r="PJJ10" s="9"/>
      <c r="PJK10" s="9"/>
      <c r="PJL10" s="9"/>
      <c r="PJM10" s="9"/>
      <c r="PJN10" s="9"/>
      <c r="PJO10" s="9"/>
      <c r="PJP10" s="9"/>
      <c r="PJQ10" s="9"/>
      <c r="PJR10" s="9"/>
      <c r="PJS10" s="9"/>
      <c r="PJT10" s="9"/>
      <c r="PJU10" s="9"/>
      <c r="PJV10" s="9"/>
      <c r="PJW10" s="9"/>
      <c r="PJX10" s="9"/>
      <c r="PJY10" s="9"/>
      <c r="PJZ10" s="9"/>
      <c r="PKA10" s="9"/>
      <c r="PKB10" s="9"/>
      <c r="PKC10" s="9"/>
      <c r="PKD10" s="9"/>
      <c r="PKE10" s="9"/>
      <c r="PKF10" s="9"/>
      <c r="PKG10" s="9"/>
      <c r="PKH10" s="9"/>
      <c r="PKI10" s="9"/>
      <c r="PKJ10" s="9"/>
      <c r="PKK10" s="9"/>
      <c r="PKL10" s="9"/>
      <c r="PKM10" s="9"/>
      <c r="PKN10" s="9"/>
      <c r="PKO10" s="9"/>
      <c r="PKP10" s="9"/>
      <c r="PKQ10" s="9"/>
      <c r="PKR10" s="9"/>
      <c r="PKS10" s="9"/>
      <c r="PKT10" s="9"/>
      <c r="PKU10" s="9"/>
      <c r="PKV10" s="9"/>
      <c r="PKW10" s="9"/>
      <c r="PKX10" s="9"/>
      <c r="PKY10" s="9"/>
      <c r="PKZ10" s="9"/>
      <c r="PLA10" s="9"/>
      <c r="PLB10" s="9"/>
      <c r="PLC10" s="9"/>
      <c r="PLD10" s="9"/>
      <c r="PLE10" s="9"/>
      <c r="PLF10" s="9"/>
      <c r="PLG10" s="9"/>
      <c r="PLH10" s="9"/>
      <c r="PLI10" s="9"/>
      <c r="PLJ10" s="9"/>
      <c r="PLK10" s="9"/>
      <c r="PLL10" s="9"/>
      <c r="PLM10" s="9"/>
      <c r="PLN10" s="9"/>
      <c r="PLO10" s="9"/>
      <c r="PLP10" s="9"/>
      <c r="PLQ10" s="9"/>
      <c r="PLR10" s="9"/>
      <c r="PLS10" s="9"/>
      <c r="PLT10" s="9"/>
      <c r="PLU10" s="9"/>
      <c r="PLV10" s="9"/>
      <c r="PLW10" s="9"/>
      <c r="PLX10" s="9"/>
      <c r="PLY10" s="9"/>
      <c r="PLZ10" s="9"/>
      <c r="PMA10" s="9"/>
      <c r="PMB10" s="9"/>
      <c r="PMC10" s="9"/>
      <c r="PMD10" s="9"/>
      <c r="PME10" s="9"/>
      <c r="PMF10" s="9"/>
      <c r="PMG10" s="9"/>
      <c r="PMH10" s="9"/>
      <c r="PMI10" s="9"/>
      <c r="PMJ10" s="9"/>
      <c r="PMK10" s="9"/>
      <c r="PML10" s="9"/>
      <c r="PMM10" s="9"/>
      <c r="PMN10" s="9"/>
      <c r="PMO10" s="9"/>
      <c r="PMP10" s="9"/>
      <c r="PMQ10" s="9"/>
      <c r="PMR10" s="9"/>
      <c r="PMS10" s="9"/>
      <c r="PMT10" s="9"/>
      <c r="PMU10" s="9"/>
      <c r="PMV10" s="9"/>
      <c r="PMW10" s="9"/>
      <c r="PMX10" s="9"/>
      <c r="PMY10" s="9"/>
      <c r="PMZ10" s="9"/>
      <c r="PNA10" s="9"/>
      <c r="PNB10" s="9"/>
      <c r="PNC10" s="9"/>
      <c r="PND10" s="9"/>
      <c r="PNE10" s="9"/>
      <c r="PNF10" s="9"/>
      <c r="PNG10" s="9"/>
      <c r="PNH10" s="9"/>
      <c r="PNI10" s="9"/>
      <c r="PNJ10" s="9"/>
      <c r="PNK10" s="9"/>
      <c r="PNL10" s="9"/>
      <c r="PNM10" s="9"/>
      <c r="PNN10" s="9"/>
      <c r="PNO10" s="9"/>
      <c r="PNP10" s="9"/>
      <c r="PNQ10" s="9"/>
      <c r="PNR10" s="9"/>
      <c r="PNS10" s="9"/>
      <c r="PNT10" s="9"/>
      <c r="PNU10" s="9"/>
      <c r="PNV10" s="9"/>
      <c r="PNW10" s="9"/>
      <c r="PNX10" s="9"/>
      <c r="PNY10" s="9"/>
      <c r="PNZ10" s="9"/>
      <c r="POA10" s="9"/>
      <c r="POB10" s="9"/>
      <c r="POC10" s="9"/>
      <c r="POD10" s="9"/>
      <c r="POE10" s="9"/>
      <c r="POF10" s="9"/>
      <c r="POG10" s="9"/>
      <c r="POH10" s="9"/>
      <c r="POI10" s="9"/>
      <c r="POJ10" s="9"/>
      <c r="POK10" s="9"/>
      <c r="POL10" s="9"/>
      <c r="POM10" s="9"/>
      <c r="PON10" s="9"/>
      <c r="POO10" s="9"/>
      <c r="POP10" s="9"/>
      <c r="POQ10" s="9"/>
      <c r="POR10" s="9"/>
      <c r="POS10" s="9"/>
      <c r="POT10" s="9"/>
      <c r="POU10" s="9"/>
      <c r="POV10" s="9"/>
      <c r="POW10" s="9"/>
      <c r="POX10" s="9"/>
      <c r="POY10" s="9"/>
      <c r="POZ10" s="9"/>
      <c r="PPA10" s="9"/>
      <c r="PPB10" s="9"/>
      <c r="PPC10" s="9"/>
      <c r="PPD10" s="9"/>
      <c r="PPE10" s="9"/>
      <c r="PPF10" s="9"/>
      <c r="PPG10" s="9"/>
      <c r="PPH10" s="9"/>
      <c r="PPI10" s="9"/>
      <c r="PPJ10" s="9"/>
      <c r="PPK10" s="9"/>
      <c r="PPL10" s="9"/>
      <c r="PPM10" s="9"/>
      <c r="PPN10" s="9"/>
      <c r="PPO10" s="9"/>
      <c r="PPP10" s="9"/>
      <c r="PPQ10" s="9"/>
      <c r="PPR10" s="9"/>
      <c r="PPS10" s="9"/>
      <c r="PPT10" s="9"/>
      <c r="PPU10" s="9"/>
      <c r="PPV10" s="9"/>
      <c r="PPW10" s="9"/>
      <c r="PPX10" s="9"/>
      <c r="PPY10" s="9"/>
      <c r="PPZ10" s="9"/>
      <c r="PQA10" s="9"/>
      <c r="PQB10" s="9"/>
      <c r="PQC10" s="9"/>
      <c r="PQD10" s="9"/>
      <c r="PQE10" s="9"/>
      <c r="PQF10" s="9"/>
      <c r="PQG10" s="9"/>
      <c r="PQH10" s="9"/>
      <c r="PQI10" s="9"/>
      <c r="PQJ10" s="9"/>
      <c r="PQK10" s="9"/>
      <c r="PQL10" s="9"/>
      <c r="PQM10" s="9"/>
      <c r="PQN10" s="9"/>
      <c r="PQO10" s="9"/>
      <c r="PQP10" s="9"/>
      <c r="PQQ10" s="9"/>
      <c r="PQR10" s="9"/>
      <c r="PQS10" s="9"/>
      <c r="PQT10" s="9"/>
      <c r="PQU10" s="9"/>
      <c r="PQV10" s="9"/>
      <c r="PQW10" s="9"/>
      <c r="PQX10" s="9"/>
      <c r="PQY10" s="9"/>
      <c r="PQZ10" s="9"/>
      <c r="PRA10" s="9"/>
      <c r="PRB10" s="9"/>
      <c r="PRC10" s="9"/>
      <c r="PRD10" s="9"/>
      <c r="PRE10" s="9"/>
      <c r="PRF10" s="9"/>
      <c r="PRG10" s="9"/>
      <c r="PRH10" s="9"/>
      <c r="PRI10" s="9"/>
      <c r="PRJ10" s="9"/>
      <c r="PRK10" s="9"/>
      <c r="PRL10" s="9"/>
      <c r="PRM10" s="9"/>
      <c r="PRN10" s="9"/>
      <c r="PRO10" s="9"/>
      <c r="PRP10" s="9"/>
      <c r="PRQ10" s="9"/>
      <c r="PRR10" s="9"/>
      <c r="PRS10" s="9"/>
      <c r="PRT10" s="9"/>
      <c r="PRU10" s="9"/>
      <c r="PRV10" s="9"/>
      <c r="PRW10" s="9"/>
      <c r="PRX10" s="9"/>
      <c r="PRY10" s="9"/>
      <c r="PRZ10" s="9"/>
      <c r="PSA10" s="9"/>
      <c r="PSB10" s="9"/>
      <c r="PSC10" s="9"/>
      <c r="PSD10" s="9"/>
      <c r="PSE10" s="9"/>
      <c r="PSF10" s="9"/>
      <c r="PSG10" s="9"/>
      <c r="PSH10" s="9"/>
      <c r="PSI10" s="9"/>
      <c r="PSJ10" s="9"/>
      <c r="PSK10" s="9"/>
      <c r="PSL10" s="9"/>
      <c r="PSM10" s="9"/>
      <c r="PSN10" s="9"/>
      <c r="PSO10" s="9"/>
      <c r="PSP10" s="9"/>
      <c r="PSQ10" s="9"/>
      <c r="PSR10" s="9"/>
      <c r="PSS10" s="9"/>
      <c r="PST10" s="9"/>
      <c r="PSU10" s="9"/>
      <c r="PSV10" s="9"/>
      <c r="PSW10" s="9"/>
      <c r="PSX10" s="9"/>
      <c r="PSY10" s="9"/>
      <c r="PSZ10" s="9"/>
      <c r="PTA10" s="9"/>
      <c r="PTB10" s="9"/>
      <c r="PTC10" s="9"/>
      <c r="PTD10" s="9"/>
      <c r="PTE10" s="9"/>
      <c r="PTF10" s="9"/>
      <c r="PTG10" s="9"/>
      <c r="PTH10" s="9"/>
      <c r="PTI10" s="9"/>
      <c r="PTJ10" s="9"/>
      <c r="PTK10" s="9"/>
      <c r="PTL10" s="9"/>
      <c r="PTM10" s="9"/>
      <c r="PTN10" s="9"/>
      <c r="PTO10" s="9"/>
      <c r="PTP10" s="9"/>
      <c r="PTQ10" s="9"/>
      <c r="PTR10" s="9"/>
      <c r="PTS10" s="9"/>
      <c r="PTT10" s="9"/>
      <c r="PTU10" s="9"/>
      <c r="PTV10" s="9"/>
      <c r="PTW10" s="9"/>
      <c r="PTX10" s="9"/>
      <c r="PTY10" s="9"/>
      <c r="PTZ10" s="9"/>
      <c r="PUA10" s="9"/>
      <c r="PUB10" s="9"/>
      <c r="PUC10" s="9"/>
      <c r="PUD10" s="9"/>
      <c r="PUE10" s="9"/>
      <c r="PUF10" s="9"/>
      <c r="PUG10" s="9"/>
      <c r="PUH10" s="9"/>
      <c r="PUI10" s="9"/>
      <c r="PUJ10" s="9"/>
      <c r="PUK10" s="9"/>
      <c r="PUL10" s="9"/>
      <c r="PUM10" s="9"/>
      <c r="PUN10" s="9"/>
      <c r="PUO10" s="9"/>
      <c r="PUP10" s="9"/>
      <c r="PUQ10" s="9"/>
      <c r="PUR10" s="9"/>
      <c r="PUS10" s="9"/>
      <c r="PUT10" s="9"/>
      <c r="PUU10" s="9"/>
      <c r="PUV10" s="9"/>
      <c r="PUW10" s="9"/>
      <c r="PUX10" s="9"/>
      <c r="PUY10" s="9"/>
      <c r="PUZ10" s="9"/>
      <c r="PVA10" s="9"/>
      <c r="PVB10" s="9"/>
      <c r="PVC10" s="9"/>
      <c r="PVD10" s="9"/>
      <c r="PVE10" s="9"/>
      <c r="PVF10" s="9"/>
      <c r="PVG10" s="9"/>
      <c r="PVH10" s="9"/>
      <c r="PVI10" s="9"/>
      <c r="PVJ10" s="9"/>
      <c r="PVK10" s="9"/>
      <c r="PVL10" s="9"/>
      <c r="PVM10" s="9"/>
      <c r="PVN10" s="9"/>
      <c r="PVO10" s="9"/>
      <c r="PVP10" s="9"/>
      <c r="PVQ10" s="9"/>
      <c r="PVR10" s="9"/>
      <c r="PVS10" s="9"/>
      <c r="PVT10" s="9"/>
      <c r="PVU10" s="9"/>
      <c r="PVV10" s="9"/>
      <c r="PVW10" s="9"/>
      <c r="PVX10" s="9"/>
      <c r="PVY10" s="9"/>
      <c r="PVZ10" s="9"/>
      <c r="PWA10" s="9"/>
      <c r="PWB10" s="9"/>
      <c r="PWC10" s="9"/>
      <c r="PWD10" s="9"/>
      <c r="PWE10" s="9"/>
      <c r="PWF10" s="9"/>
      <c r="PWG10" s="9"/>
      <c r="PWH10" s="9"/>
      <c r="PWI10" s="9"/>
      <c r="PWJ10" s="9"/>
      <c r="PWK10" s="9"/>
      <c r="PWL10" s="9"/>
      <c r="PWM10" s="9"/>
      <c r="PWN10" s="9"/>
      <c r="PWO10" s="9"/>
      <c r="PWP10" s="9"/>
      <c r="PWQ10" s="9"/>
      <c r="PWR10" s="9"/>
      <c r="PWS10" s="9"/>
      <c r="PWT10" s="9"/>
      <c r="PWU10" s="9"/>
      <c r="PWV10" s="9"/>
      <c r="PWW10" s="9"/>
      <c r="PWX10" s="9"/>
      <c r="PWY10" s="9"/>
      <c r="PWZ10" s="9"/>
      <c r="PXA10" s="9"/>
      <c r="PXB10" s="9"/>
      <c r="PXC10" s="9"/>
      <c r="PXD10" s="9"/>
      <c r="PXE10" s="9"/>
      <c r="PXF10" s="9"/>
      <c r="PXG10" s="9"/>
      <c r="PXH10" s="9"/>
      <c r="PXI10" s="9"/>
      <c r="PXJ10" s="9"/>
      <c r="PXK10" s="9"/>
      <c r="PXL10" s="9"/>
      <c r="PXM10" s="9"/>
      <c r="PXN10" s="9"/>
      <c r="PXO10" s="9"/>
      <c r="PXP10" s="9"/>
      <c r="PXQ10" s="9"/>
      <c r="PXR10" s="9"/>
      <c r="PXS10" s="9"/>
      <c r="PXT10" s="9"/>
      <c r="PXU10" s="9"/>
      <c r="PXV10" s="9"/>
      <c r="PXW10" s="9"/>
      <c r="PXX10" s="9"/>
      <c r="PXY10" s="9"/>
      <c r="PXZ10" s="9"/>
      <c r="PYA10" s="9"/>
      <c r="PYB10" s="9"/>
      <c r="PYC10" s="9"/>
      <c r="PYD10" s="9"/>
      <c r="PYE10" s="9"/>
      <c r="PYF10" s="9"/>
      <c r="PYG10" s="9"/>
      <c r="PYH10" s="9"/>
      <c r="PYI10" s="9"/>
      <c r="PYJ10" s="9"/>
      <c r="PYK10" s="9"/>
      <c r="PYL10" s="9"/>
      <c r="PYM10" s="9"/>
      <c r="PYN10" s="9"/>
      <c r="PYO10" s="9"/>
      <c r="PYP10" s="9"/>
      <c r="PYQ10" s="9"/>
      <c r="PYR10" s="9"/>
      <c r="PYS10" s="9"/>
      <c r="PYT10" s="9"/>
      <c r="PYU10" s="9"/>
      <c r="PYV10" s="9"/>
      <c r="PYW10" s="9"/>
      <c r="PYX10" s="9"/>
      <c r="PYY10" s="9"/>
      <c r="PYZ10" s="9"/>
      <c r="PZA10" s="9"/>
      <c r="PZB10" s="9"/>
      <c r="PZC10" s="9"/>
      <c r="PZD10" s="9"/>
      <c r="PZE10" s="9"/>
      <c r="PZF10" s="9"/>
      <c r="PZG10" s="9"/>
      <c r="PZH10" s="9"/>
      <c r="PZI10" s="9"/>
      <c r="PZJ10" s="9"/>
      <c r="PZK10" s="9"/>
      <c r="PZL10" s="9"/>
      <c r="PZM10" s="9"/>
      <c r="PZN10" s="9"/>
      <c r="PZO10" s="9"/>
      <c r="PZP10" s="9"/>
      <c r="PZQ10" s="9"/>
      <c r="PZR10" s="9"/>
      <c r="PZS10" s="9"/>
      <c r="PZT10" s="9"/>
      <c r="PZU10" s="9"/>
      <c r="PZV10" s="9"/>
      <c r="PZW10" s="9"/>
      <c r="PZX10" s="9"/>
      <c r="PZY10" s="9"/>
      <c r="PZZ10" s="9"/>
      <c r="QAA10" s="9"/>
      <c r="QAB10" s="9"/>
      <c r="QAC10" s="9"/>
      <c r="QAD10" s="9"/>
      <c r="QAE10" s="9"/>
      <c r="QAF10" s="9"/>
      <c r="QAG10" s="9"/>
      <c r="QAH10" s="9"/>
      <c r="QAI10" s="9"/>
      <c r="QAJ10" s="9"/>
      <c r="QAK10" s="9"/>
      <c r="QAL10" s="9"/>
      <c r="QAM10" s="9"/>
      <c r="QAN10" s="9"/>
      <c r="QAO10" s="9"/>
      <c r="QAP10" s="9"/>
      <c r="QAQ10" s="9"/>
      <c r="QAR10" s="9"/>
      <c r="QAS10" s="9"/>
      <c r="QAT10" s="9"/>
      <c r="QAU10" s="9"/>
      <c r="QAV10" s="9"/>
      <c r="QAW10" s="9"/>
      <c r="QAX10" s="9"/>
      <c r="QAY10" s="9"/>
      <c r="QAZ10" s="9"/>
      <c r="QBA10" s="9"/>
      <c r="QBB10" s="9"/>
      <c r="QBC10" s="9"/>
      <c r="QBD10" s="9"/>
      <c r="QBE10" s="9"/>
      <c r="QBF10" s="9"/>
      <c r="QBG10" s="9"/>
      <c r="QBH10" s="9"/>
      <c r="QBI10" s="9"/>
      <c r="QBJ10" s="9"/>
      <c r="QBK10" s="9"/>
      <c r="QBL10" s="9"/>
      <c r="QBM10" s="9"/>
      <c r="QBN10" s="9"/>
      <c r="QBO10" s="9"/>
      <c r="QBP10" s="9"/>
      <c r="QBQ10" s="9"/>
      <c r="QBR10" s="9"/>
      <c r="QBS10" s="9"/>
      <c r="QBT10" s="9"/>
      <c r="QBU10" s="9"/>
      <c r="QBV10" s="9"/>
      <c r="QBW10" s="9"/>
      <c r="QBX10" s="9"/>
      <c r="QBY10" s="9"/>
      <c r="QBZ10" s="9"/>
      <c r="QCA10" s="9"/>
      <c r="QCB10" s="9"/>
      <c r="QCC10" s="9"/>
      <c r="QCD10" s="9"/>
      <c r="QCE10" s="9"/>
      <c r="QCF10" s="9"/>
      <c r="QCG10" s="9"/>
      <c r="QCH10" s="9"/>
      <c r="QCI10" s="9"/>
      <c r="QCJ10" s="9"/>
      <c r="QCK10" s="9"/>
      <c r="QCL10" s="9"/>
      <c r="QCM10" s="9"/>
      <c r="QCN10" s="9"/>
      <c r="QCO10" s="9"/>
      <c r="QCP10" s="9"/>
      <c r="QCQ10" s="9"/>
      <c r="QCR10" s="9"/>
      <c r="QCS10" s="9"/>
      <c r="QCT10" s="9"/>
      <c r="QCU10" s="9"/>
      <c r="QCV10" s="9"/>
      <c r="QCW10" s="9"/>
      <c r="QCX10" s="9"/>
      <c r="QCY10" s="9"/>
      <c r="QCZ10" s="9"/>
      <c r="QDA10" s="9"/>
      <c r="QDB10" s="9"/>
      <c r="QDC10" s="9"/>
      <c r="QDD10" s="9"/>
      <c r="QDE10" s="9"/>
      <c r="QDF10" s="9"/>
      <c r="QDG10" s="9"/>
      <c r="QDH10" s="9"/>
      <c r="QDI10" s="9"/>
      <c r="QDJ10" s="9"/>
      <c r="QDK10" s="9"/>
      <c r="QDL10" s="9"/>
      <c r="QDM10" s="9"/>
      <c r="QDN10" s="9"/>
      <c r="QDO10" s="9"/>
      <c r="QDP10" s="9"/>
      <c r="QDQ10" s="9"/>
      <c r="QDR10" s="9"/>
      <c r="QDS10" s="9"/>
      <c r="QDT10" s="9"/>
      <c r="QDU10" s="9"/>
      <c r="QDV10" s="9"/>
      <c r="QDW10" s="9"/>
      <c r="QDX10" s="9"/>
      <c r="QDY10" s="9"/>
      <c r="QDZ10" s="9"/>
      <c r="QEA10" s="9"/>
      <c r="QEB10" s="9"/>
      <c r="QEC10" s="9"/>
      <c r="QED10" s="9"/>
      <c r="QEE10" s="9"/>
      <c r="QEF10" s="9"/>
      <c r="QEG10" s="9"/>
      <c r="QEH10" s="9"/>
      <c r="QEI10" s="9"/>
      <c r="QEJ10" s="9"/>
      <c r="QEK10" s="9"/>
      <c r="QEL10" s="9"/>
      <c r="QEM10" s="9"/>
      <c r="QEN10" s="9"/>
      <c r="QEO10" s="9"/>
      <c r="QEP10" s="9"/>
      <c r="QEQ10" s="9"/>
      <c r="QER10" s="9"/>
      <c r="QES10" s="9"/>
      <c r="QET10" s="9"/>
      <c r="QEU10" s="9"/>
      <c r="QEV10" s="9"/>
      <c r="QEW10" s="9"/>
      <c r="QEX10" s="9"/>
      <c r="QEY10" s="9"/>
      <c r="QEZ10" s="9"/>
      <c r="QFA10" s="9"/>
      <c r="QFB10" s="9"/>
      <c r="QFC10" s="9"/>
      <c r="QFD10" s="9"/>
      <c r="QFE10" s="9"/>
      <c r="QFF10" s="9"/>
      <c r="QFG10" s="9"/>
      <c r="QFH10" s="9"/>
      <c r="QFI10" s="9"/>
      <c r="QFJ10" s="9"/>
      <c r="QFK10" s="9"/>
      <c r="QFL10" s="9"/>
      <c r="QFM10" s="9"/>
      <c r="QFN10" s="9"/>
      <c r="QFO10" s="9"/>
      <c r="QFP10" s="9"/>
      <c r="QFQ10" s="9"/>
      <c r="QFR10" s="9"/>
      <c r="QFS10" s="9"/>
      <c r="QFT10" s="9"/>
      <c r="QFU10" s="9"/>
      <c r="QFV10" s="9"/>
      <c r="QFW10" s="9"/>
      <c r="QFX10" s="9"/>
      <c r="QFY10" s="9"/>
      <c r="QFZ10" s="9"/>
      <c r="QGA10" s="9"/>
      <c r="QGB10" s="9"/>
      <c r="QGC10" s="9"/>
      <c r="QGD10" s="9"/>
      <c r="QGE10" s="9"/>
      <c r="QGF10" s="9"/>
      <c r="QGG10" s="9"/>
      <c r="QGH10" s="9"/>
      <c r="QGI10" s="9"/>
      <c r="QGJ10" s="9"/>
      <c r="QGK10" s="9"/>
      <c r="QGL10" s="9"/>
      <c r="QGM10" s="9"/>
      <c r="QGN10" s="9"/>
      <c r="QGO10" s="9"/>
      <c r="QGP10" s="9"/>
      <c r="QGQ10" s="9"/>
      <c r="QGR10" s="9"/>
      <c r="QGS10" s="9"/>
      <c r="QGT10" s="9"/>
      <c r="QGU10" s="9"/>
      <c r="QGV10" s="9"/>
      <c r="QGW10" s="9"/>
      <c r="QGX10" s="9"/>
      <c r="QGY10" s="9"/>
      <c r="QGZ10" s="9"/>
      <c r="QHA10" s="9"/>
      <c r="QHB10" s="9"/>
      <c r="QHC10" s="9"/>
      <c r="QHD10" s="9"/>
      <c r="QHE10" s="9"/>
      <c r="QHF10" s="9"/>
      <c r="QHG10" s="9"/>
      <c r="QHH10" s="9"/>
      <c r="QHI10" s="9"/>
      <c r="QHJ10" s="9"/>
      <c r="QHK10" s="9"/>
      <c r="QHL10" s="9"/>
      <c r="QHM10" s="9"/>
      <c r="QHN10" s="9"/>
      <c r="QHO10" s="9"/>
      <c r="QHP10" s="9"/>
      <c r="QHQ10" s="9"/>
      <c r="QHR10" s="9"/>
      <c r="QHS10" s="9"/>
      <c r="QHT10" s="9"/>
      <c r="QHU10" s="9"/>
      <c r="QHV10" s="9"/>
      <c r="QHW10" s="9"/>
      <c r="QHX10" s="9"/>
      <c r="QHY10" s="9"/>
      <c r="QHZ10" s="9"/>
      <c r="QIA10" s="9"/>
      <c r="QIB10" s="9"/>
      <c r="QIC10" s="9"/>
      <c r="QID10" s="9"/>
      <c r="QIE10" s="9"/>
      <c r="QIF10" s="9"/>
      <c r="QIG10" s="9"/>
      <c r="QIH10" s="9"/>
      <c r="QII10" s="9"/>
      <c r="QIJ10" s="9"/>
      <c r="QIK10" s="9"/>
      <c r="QIL10" s="9"/>
      <c r="QIM10" s="9"/>
      <c r="QIN10" s="9"/>
      <c r="QIO10" s="9"/>
      <c r="QIP10" s="9"/>
      <c r="QIQ10" s="9"/>
      <c r="QIR10" s="9"/>
      <c r="QIS10" s="9"/>
      <c r="QIT10" s="9"/>
      <c r="QIU10" s="9"/>
      <c r="QIV10" s="9"/>
      <c r="QIW10" s="9"/>
      <c r="QIX10" s="9"/>
      <c r="QIY10" s="9"/>
      <c r="QIZ10" s="9"/>
      <c r="QJA10" s="9"/>
      <c r="QJB10" s="9"/>
      <c r="QJC10" s="9"/>
      <c r="QJD10" s="9"/>
      <c r="QJE10" s="9"/>
      <c r="QJF10" s="9"/>
      <c r="QJG10" s="9"/>
      <c r="QJH10" s="9"/>
      <c r="QJI10" s="9"/>
      <c r="QJJ10" s="9"/>
      <c r="QJK10" s="9"/>
      <c r="QJL10" s="9"/>
      <c r="QJM10" s="9"/>
      <c r="QJN10" s="9"/>
      <c r="QJO10" s="9"/>
      <c r="QJP10" s="9"/>
      <c r="QJQ10" s="9"/>
      <c r="QJR10" s="9"/>
      <c r="QJS10" s="9"/>
      <c r="QJT10" s="9"/>
      <c r="QJU10" s="9"/>
      <c r="QJV10" s="9"/>
      <c r="QJW10" s="9"/>
      <c r="QJX10" s="9"/>
      <c r="QJY10" s="9"/>
      <c r="QJZ10" s="9"/>
      <c r="QKA10" s="9"/>
      <c r="QKB10" s="9"/>
      <c r="QKC10" s="9"/>
      <c r="QKD10" s="9"/>
      <c r="QKE10" s="9"/>
      <c r="QKF10" s="9"/>
      <c r="QKG10" s="9"/>
      <c r="QKH10" s="9"/>
      <c r="QKI10" s="9"/>
      <c r="QKJ10" s="9"/>
      <c r="QKK10" s="9"/>
      <c r="QKL10" s="9"/>
      <c r="QKM10" s="9"/>
      <c r="QKN10" s="9"/>
      <c r="QKO10" s="9"/>
      <c r="QKP10" s="9"/>
      <c r="QKQ10" s="9"/>
      <c r="QKR10" s="9"/>
      <c r="QKS10" s="9"/>
      <c r="QKT10" s="9"/>
      <c r="QKU10" s="9"/>
      <c r="QKV10" s="9"/>
      <c r="QKW10" s="9"/>
      <c r="QKX10" s="9"/>
      <c r="QKY10" s="9"/>
      <c r="QKZ10" s="9"/>
      <c r="QLA10" s="9"/>
      <c r="QLB10" s="9"/>
      <c r="QLC10" s="9"/>
      <c r="QLD10" s="9"/>
      <c r="QLE10" s="9"/>
      <c r="QLF10" s="9"/>
      <c r="QLG10" s="9"/>
      <c r="QLH10" s="9"/>
      <c r="QLI10" s="9"/>
      <c r="QLJ10" s="9"/>
      <c r="QLK10" s="9"/>
      <c r="QLL10" s="9"/>
      <c r="QLM10" s="9"/>
      <c r="QLN10" s="9"/>
      <c r="QLO10" s="9"/>
      <c r="QLP10" s="9"/>
      <c r="QLQ10" s="9"/>
      <c r="QLR10" s="9"/>
      <c r="QLS10" s="9"/>
      <c r="QLT10" s="9"/>
      <c r="QLU10" s="9"/>
      <c r="QLV10" s="9"/>
      <c r="QLW10" s="9"/>
      <c r="QLX10" s="9"/>
      <c r="QLY10" s="9"/>
      <c r="QLZ10" s="9"/>
      <c r="QMA10" s="9"/>
      <c r="QMB10" s="9"/>
      <c r="QMC10" s="9"/>
      <c r="QMD10" s="9"/>
      <c r="QME10" s="9"/>
      <c r="QMF10" s="9"/>
      <c r="QMG10" s="9"/>
      <c r="QMH10" s="9"/>
      <c r="QMI10" s="9"/>
      <c r="QMJ10" s="9"/>
      <c r="QMK10" s="9"/>
      <c r="QML10" s="9"/>
      <c r="QMM10" s="9"/>
      <c r="QMN10" s="9"/>
      <c r="QMO10" s="9"/>
      <c r="QMP10" s="9"/>
      <c r="QMQ10" s="9"/>
      <c r="QMR10" s="9"/>
      <c r="QMS10" s="9"/>
      <c r="QMT10" s="9"/>
      <c r="QMU10" s="9"/>
      <c r="QMV10" s="9"/>
      <c r="QMW10" s="9"/>
      <c r="QMX10" s="9"/>
      <c r="QMY10" s="9"/>
      <c r="QMZ10" s="9"/>
      <c r="QNA10" s="9"/>
      <c r="QNB10" s="9"/>
      <c r="QNC10" s="9"/>
      <c r="QND10" s="9"/>
      <c r="QNE10" s="9"/>
      <c r="QNF10" s="9"/>
      <c r="QNG10" s="9"/>
      <c r="QNH10" s="9"/>
      <c r="QNI10" s="9"/>
      <c r="QNJ10" s="9"/>
      <c r="QNK10" s="9"/>
      <c r="QNL10" s="9"/>
      <c r="QNM10" s="9"/>
      <c r="QNN10" s="9"/>
      <c r="QNO10" s="9"/>
      <c r="QNP10" s="9"/>
      <c r="QNQ10" s="9"/>
      <c r="QNR10" s="9"/>
      <c r="QNS10" s="9"/>
      <c r="QNT10" s="9"/>
      <c r="QNU10" s="9"/>
      <c r="QNV10" s="9"/>
      <c r="QNW10" s="9"/>
      <c r="QNX10" s="9"/>
      <c r="QNY10" s="9"/>
      <c r="QNZ10" s="9"/>
      <c r="QOA10" s="9"/>
      <c r="QOB10" s="9"/>
      <c r="QOC10" s="9"/>
      <c r="QOD10" s="9"/>
      <c r="QOE10" s="9"/>
      <c r="QOF10" s="9"/>
      <c r="QOG10" s="9"/>
      <c r="QOH10" s="9"/>
      <c r="QOI10" s="9"/>
      <c r="QOJ10" s="9"/>
      <c r="QOK10" s="9"/>
      <c r="QOL10" s="9"/>
      <c r="QOM10" s="9"/>
      <c r="QON10" s="9"/>
      <c r="QOO10" s="9"/>
      <c r="QOP10" s="9"/>
      <c r="QOQ10" s="9"/>
      <c r="QOR10" s="9"/>
      <c r="QOS10" s="9"/>
      <c r="QOT10" s="9"/>
      <c r="QOU10" s="9"/>
      <c r="QOV10" s="9"/>
      <c r="QOW10" s="9"/>
      <c r="QOX10" s="9"/>
      <c r="QOY10" s="9"/>
      <c r="QOZ10" s="9"/>
      <c r="QPA10" s="9"/>
      <c r="QPB10" s="9"/>
      <c r="QPC10" s="9"/>
      <c r="QPD10" s="9"/>
      <c r="QPE10" s="9"/>
      <c r="QPF10" s="9"/>
      <c r="QPG10" s="9"/>
      <c r="QPH10" s="9"/>
      <c r="QPI10" s="9"/>
      <c r="QPJ10" s="9"/>
      <c r="QPK10" s="9"/>
      <c r="QPL10" s="9"/>
      <c r="QPM10" s="9"/>
      <c r="QPN10" s="9"/>
      <c r="QPO10" s="9"/>
      <c r="QPP10" s="9"/>
      <c r="QPQ10" s="9"/>
      <c r="QPR10" s="9"/>
      <c r="QPS10" s="9"/>
      <c r="QPT10" s="9"/>
      <c r="QPU10" s="9"/>
      <c r="QPV10" s="9"/>
      <c r="QPW10" s="9"/>
      <c r="QPX10" s="9"/>
      <c r="QPY10" s="9"/>
      <c r="QPZ10" s="9"/>
      <c r="QQA10" s="9"/>
      <c r="QQB10" s="9"/>
      <c r="QQC10" s="9"/>
      <c r="QQD10" s="9"/>
      <c r="QQE10" s="9"/>
      <c r="QQF10" s="9"/>
      <c r="QQG10" s="9"/>
      <c r="QQH10" s="9"/>
      <c r="QQI10" s="9"/>
      <c r="QQJ10" s="9"/>
      <c r="QQK10" s="9"/>
      <c r="QQL10" s="9"/>
      <c r="QQM10" s="9"/>
      <c r="QQN10" s="9"/>
      <c r="QQO10" s="9"/>
      <c r="QQP10" s="9"/>
      <c r="QQQ10" s="9"/>
      <c r="QQR10" s="9"/>
      <c r="QQS10" s="9"/>
      <c r="QQT10" s="9"/>
      <c r="QQU10" s="9"/>
      <c r="QQV10" s="9"/>
      <c r="QQW10" s="9"/>
      <c r="QQX10" s="9"/>
      <c r="QQY10" s="9"/>
      <c r="QQZ10" s="9"/>
      <c r="QRA10" s="9"/>
      <c r="QRB10" s="9"/>
      <c r="QRC10" s="9"/>
      <c r="QRD10" s="9"/>
      <c r="QRE10" s="9"/>
      <c r="QRF10" s="9"/>
      <c r="QRG10" s="9"/>
      <c r="QRH10" s="9"/>
      <c r="QRI10" s="9"/>
      <c r="QRJ10" s="9"/>
      <c r="QRK10" s="9"/>
      <c r="QRL10" s="9"/>
      <c r="QRM10" s="9"/>
      <c r="QRN10" s="9"/>
      <c r="QRO10" s="9"/>
      <c r="QRP10" s="9"/>
      <c r="QRQ10" s="9"/>
      <c r="QRR10" s="9"/>
      <c r="QRS10" s="9"/>
      <c r="QRT10" s="9"/>
      <c r="QRU10" s="9"/>
      <c r="QRV10" s="9"/>
      <c r="QRW10" s="9"/>
      <c r="QRX10" s="9"/>
      <c r="QRY10" s="9"/>
      <c r="QRZ10" s="9"/>
      <c r="QSA10" s="9"/>
      <c r="QSB10" s="9"/>
      <c r="QSC10" s="9"/>
      <c r="QSD10" s="9"/>
      <c r="QSE10" s="9"/>
      <c r="QSF10" s="9"/>
      <c r="QSG10" s="9"/>
      <c r="QSH10" s="9"/>
      <c r="QSI10" s="9"/>
      <c r="QSJ10" s="9"/>
      <c r="QSK10" s="9"/>
      <c r="QSL10" s="9"/>
      <c r="QSM10" s="9"/>
      <c r="QSN10" s="9"/>
      <c r="QSO10" s="9"/>
      <c r="QSP10" s="9"/>
      <c r="QSQ10" s="9"/>
      <c r="QSR10" s="9"/>
      <c r="QSS10" s="9"/>
      <c r="QST10" s="9"/>
      <c r="QSU10" s="9"/>
      <c r="QSV10" s="9"/>
      <c r="QSW10" s="9"/>
      <c r="QSX10" s="9"/>
      <c r="QSY10" s="9"/>
      <c r="QSZ10" s="9"/>
      <c r="QTA10" s="9"/>
      <c r="QTB10" s="9"/>
      <c r="QTC10" s="9"/>
      <c r="QTD10" s="9"/>
      <c r="QTE10" s="9"/>
      <c r="QTF10" s="9"/>
      <c r="QTG10" s="9"/>
      <c r="QTH10" s="9"/>
      <c r="QTI10" s="9"/>
      <c r="QTJ10" s="9"/>
      <c r="QTK10" s="9"/>
      <c r="QTL10" s="9"/>
      <c r="QTM10" s="9"/>
      <c r="QTN10" s="9"/>
      <c r="QTO10" s="9"/>
      <c r="QTP10" s="9"/>
      <c r="QTQ10" s="9"/>
      <c r="QTR10" s="9"/>
      <c r="QTS10" s="9"/>
      <c r="QTT10" s="9"/>
      <c r="QTU10" s="9"/>
      <c r="QTV10" s="9"/>
      <c r="QTW10" s="9"/>
      <c r="QTX10" s="9"/>
      <c r="QTY10" s="9"/>
      <c r="QTZ10" s="9"/>
      <c r="QUA10" s="9"/>
      <c r="QUB10" s="9"/>
      <c r="QUC10" s="9"/>
      <c r="QUD10" s="9"/>
      <c r="QUE10" s="9"/>
      <c r="QUF10" s="9"/>
      <c r="QUG10" s="9"/>
      <c r="QUH10" s="9"/>
      <c r="QUI10" s="9"/>
      <c r="QUJ10" s="9"/>
      <c r="QUK10" s="9"/>
      <c r="QUL10" s="9"/>
      <c r="QUM10" s="9"/>
      <c r="QUN10" s="9"/>
      <c r="QUO10" s="9"/>
      <c r="QUP10" s="9"/>
      <c r="QUQ10" s="9"/>
      <c r="QUR10" s="9"/>
      <c r="QUS10" s="9"/>
      <c r="QUT10" s="9"/>
      <c r="QUU10" s="9"/>
      <c r="QUV10" s="9"/>
      <c r="QUW10" s="9"/>
      <c r="QUX10" s="9"/>
      <c r="QUY10" s="9"/>
      <c r="QUZ10" s="9"/>
      <c r="QVA10" s="9"/>
      <c r="QVB10" s="9"/>
      <c r="QVC10" s="9"/>
      <c r="QVD10" s="9"/>
      <c r="QVE10" s="9"/>
      <c r="QVF10" s="9"/>
      <c r="QVG10" s="9"/>
      <c r="QVH10" s="9"/>
      <c r="QVI10" s="9"/>
      <c r="QVJ10" s="9"/>
      <c r="QVK10" s="9"/>
      <c r="QVL10" s="9"/>
      <c r="QVM10" s="9"/>
      <c r="QVN10" s="9"/>
      <c r="QVO10" s="9"/>
      <c r="QVP10" s="9"/>
      <c r="QVQ10" s="9"/>
      <c r="QVR10" s="9"/>
      <c r="QVS10" s="9"/>
      <c r="QVT10" s="9"/>
      <c r="QVU10" s="9"/>
      <c r="QVV10" s="9"/>
      <c r="QVW10" s="9"/>
      <c r="QVX10" s="9"/>
      <c r="QVY10" s="9"/>
      <c r="QVZ10" s="9"/>
      <c r="QWA10" s="9"/>
      <c r="QWB10" s="9"/>
      <c r="QWC10" s="9"/>
      <c r="QWD10" s="9"/>
      <c r="QWE10" s="9"/>
      <c r="QWF10" s="9"/>
      <c r="QWG10" s="9"/>
      <c r="QWH10" s="9"/>
      <c r="QWI10" s="9"/>
      <c r="QWJ10" s="9"/>
      <c r="QWK10" s="9"/>
      <c r="QWL10" s="9"/>
      <c r="QWM10" s="9"/>
      <c r="QWN10" s="9"/>
      <c r="QWO10" s="9"/>
      <c r="QWP10" s="9"/>
      <c r="QWQ10" s="9"/>
      <c r="QWR10" s="9"/>
      <c r="QWS10" s="9"/>
      <c r="QWT10" s="9"/>
      <c r="QWU10" s="9"/>
      <c r="QWV10" s="9"/>
      <c r="QWW10" s="9"/>
      <c r="QWX10" s="9"/>
      <c r="QWY10" s="9"/>
      <c r="QWZ10" s="9"/>
      <c r="QXA10" s="9"/>
      <c r="QXB10" s="9"/>
      <c r="QXC10" s="9"/>
      <c r="QXD10" s="9"/>
      <c r="QXE10" s="9"/>
      <c r="QXF10" s="9"/>
      <c r="QXG10" s="9"/>
      <c r="QXH10" s="9"/>
      <c r="QXI10" s="9"/>
      <c r="QXJ10" s="9"/>
      <c r="QXK10" s="9"/>
      <c r="QXL10" s="9"/>
      <c r="QXM10" s="9"/>
      <c r="QXN10" s="9"/>
      <c r="QXO10" s="9"/>
      <c r="QXP10" s="9"/>
      <c r="QXQ10" s="9"/>
      <c r="QXR10" s="9"/>
      <c r="QXS10" s="9"/>
      <c r="QXT10" s="9"/>
      <c r="QXU10" s="9"/>
      <c r="QXV10" s="9"/>
      <c r="QXW10" s="9"/>
      <c r="QXX10" s="9"/>
      <c r="QXY10" s="9"/>
      <c r="QXZ10" s="9"/>
      <c r="QYA10" s="9"/>
      <c r="QYB10" s="9"/>
      <c r="QYC10" s="9"/>
      <c r="QYD10" s="9"/>
      <c r="QYE10" s="9"/>
      <c r="QYF10" s="9"/>
      <c r="QYG10" s="9"/>
      <c r="QYH10" s="9"/>
      <c r="QYI10" s="9"/>
      <c r="QYJ10" s="9"/>
      <c r="QYK10" s="9"/>
      <c r="QYL10" s="9"/>
      <c r="QYM10" s="9"/>
      <c r="QYN10" s="9"/>
      <c r="QYO10" s="9"/>
      <c r="QYP10" s="9"/>
      <c r="QYQ10" s="9"/>
      <c r="QYR10" s="9"/>
      <c r="QYS10" s="9"/>
      <c r="QYT10" s="9"/>
      <c r="QYU10" s="9"/>
      <c r="QYV10" s="9"/>
      <c r="QYW10" s="9"/>
      <c r="QYX10" s="9"/>
      <c r="QYY10" s="9"/>
      <c r="QYZ10" s="9"/>
      <c r="QZA10" s="9"/>
      <c r="QZB10" s="9"/>
      <c r="QZC10" s="9"/>
      <c r="QZD10" s="9"/>
      <c r="QZE10" s="9"/>
      <c r="QZF10" s="9"/>
      <c r="QZG10" s="9"/>
      <c r="QZH10" s="9"/>
      <c r="QZI10" s="9"/>
      <c r="QZJ10" s="9"/>
      <c r="QZK10" s="9"/>
      <c r="QZL10" s="9"/>
      <c r="QZM10" s="9"/>
      <c r="QZN10" s="9"/>
      <c r="QZO10" s="9"/>
      <c r="QZP10" s="9"/>
      <c r="QZQ10" s="9"/>
      <c r="QZR10" s="9"/>
      <c r="QZS10" s="9"/>
      <c r="QZT10" s="9"/>
      <c r="QZU10" s="9"/>
      <c r="QZV10" s="9"/>
      <c r="QZW10" s="9"/>
      <c r="QZX10" s="9"/>
      <c r="QZY10" s="9"/>
      <c r="QZZ10" s="9"/>
      <c r="RAA10" s="9"/>
      <c r="RAB10" s="9"/>
      <c r="RAC10" s="9"/>
      <c r="RAD10" s="9"/>
      <c r="RAE10" s="9"/>
      <c r="RAF10" s="9"/>
      <c r="RAG10" s="9"/>
      <c r="RAH10" s="9"/>
      <c r="RAI10" s="9"/>
      <c r="RAJ10" s="9"/>
      <c r="RAK10" s="9"/>
      <c r="RAL10" s="9"/>
      <c r="RAM10" s="9"/>
      <c r="RAN10" s="9"/>
      <c r="RAO10" s="9"/>
      <c r="RAP10" s="9"/>
      <c r="RAQ10" s="9"/>
      <c r="RAR10" s="9"/>
      <c r="RAS10" s="9"/>
      <c r="RAT10" s="9"/>
      <c r="RAU10" s="9"/>
      <c r="RAV10" s="9"/>
      <c r="RAW10" s="9"/>
      <c r="RAX10" s="9"/>
      <c r="RAY10" s="9"/>
      <c r="RAZ10" s="9"/>
      <c r="RBA10" s="9"/>
      <c r="RBB10" s="9"/>
      <c r="RBC10" s="9"/>
      <c r="RBD10" s="9"/>
      <c r="RBE10" s="9"/>
      <c r="RBF10" s="9"/>
      <c r="RBG10" s="9"/>
      <c r="RBH10" s="9"/>
      <c r="RBI10" s="9"/>
      <c r="RBJ10" s="9"/>
      <c r="RBK10" s="9"/>
      <c r="RBL10" s="9"/>
      <c r="RBM10" s="9"/>
      <c r="RBN10" s="9"/>
      <c r="RBO10" s="9"/>
      <c r="RBP10" s="9"/>
      <c r="RBQ10" s="9"/>
      <c r="RBR10" s="9"/>
      <c r="RBS10" s="9"/>
      <c r="RBT10" s="9"/>
      <c r="RBU10" s="9"/>
      <c r="RBV10" s="9"/>
      <c r="RBW10" s="9"/>
      <c r="RBX10" s="9"/>
      <c r="RBY10" s="9"/>
      <c r="RBZ10" s="9"/>
      <c r="RCA10" s="9"/>
      <c r="RCB10" s="9"/>
      <c r="RCC10" s="9"/>
      <c r="RCD10" s="9"/>
      <c r="RCE10" s="9"/>
      <c r="RCF10" s="9"/>
      <c r="RCG10" s="9"/>
      <c r="RCH10" s="9"/>
      <c r="RCI10" s="9"/>
      <c r="RCJ10" s="9"/>
      <c r="RCK10" s="9"/>
      <c r="RCL10" s="9"/>
      <c r="RCM10" s="9"/>
      <c r="RCN10" s="9"/>
      <c r="RCO10" s="9"/>
      <c r="RCP10" s="9"/>
      <c r="RCQ10" s="9"/>
      <c r="RCR10" s="9"/>
      <c r="RCS10" s="9"/>
      <c r="RCT10" s="9"/>
      <c r="RCU10" s="9"/>
      <c r="RCV10" s="9"/>
      <c r="RCW10" s="9"/>
      <c r="RCX10" s="9"/>
      <c r="RCY10" s="9"/>
      <c r="RCZ10" s="9"/>
      <c r="RDA10" s="9"/>
      <c r="RDB10" s="9"/>
      <c r="RDC10" s="9"/>
      <c r="RDD10" s="9"/>
      <c r="RDE10" s="9"/>
      <c r="RDF10" s="9"/>
      <c r="RDG10" s="9"/>
      <c r="RDH10" s="9"/>
      <c r="RDI10" s="9"/>
      <c r="RDJ10" s="9"/>
      <c r="RDK10" s="9"/>
      <c r="RDL10" s="9"/>
      <c r="RDM10" s="9"/>
      <c r="RDN10" s="9"/>
      <c r="RDO10" s="9"/>
      <c r="RDP10" s="9"/>
      <c r="RDQ10" s="9"/>
      <c r="RDR10" s="9"/>
      <c r="RDS10" s="9"/>
      <c r="RDT10" s="9"/>
      <c r="RDU10" s="9"/>
      <c r="RDV10" s="9"/>
      <c r="RDW10" s="9"/>
      <c r="RDX10" s="9"/>
      <c r="RDY10" s="9"/>
      <c r="RDZ10" s="9"/>
      <c r="REA10" s="9"/>
      <c r="REB10" s="9"/>
      <c r="REC10" s="9"/>
      <c r="RED10" s="9"/>
      <c r="REE10" s="9"/>
      <c r="REF10" s="9"/>
      <c r="REG10" s="9"/>
      <c r="REH10" s="9"/>
      <c r="REI10" s="9"/>
      <c r="REJ10" s="9"/>
      <c r="REK10" s="9"/>
      <c r="REL10" s="9"/>
      <c r="REM10" s="9"/>
      <c r="REN10" s="9"/>
      <c r="REO10" s="9"/>
      <c r="REP10" s="9"/>
      <c r="REQ10" s="9"/>
      <c r="RER10" s="9"/>
      <c r="RES10" s="9"/>
      <c r="RET10" s="9"/>
      <c r="REU10" s="9"/>
      <c r="REV10" s="9"/>
      <c r="REW10" s="9"/>
      <c r="REX10" s="9"/>
      <c r="REY10" s="9"/>
      <c r="REZ10" s="9"/>
      <c r="RFA10" s="9"/>
      <c r="RFB10" s="9"/>
      <c r="RFC10" s="9"/>
      <c r="RFD10" s="9"/>
      <c r="RFE10" s="9"/>
      <c r="RFF10" s="9"/>
      <c r="RFG10" s="9"/>
      <c r="RFH10" s="9"/>
      <c r="RFI10" s="9"/>
      <c r="RFJ10" s="9"/>
      <c r="RFK10" s="9"/>
      <c r="RFL10" s="9"/>
      <c r="RFM10" s="9"/>
      <c r="RFN10" s="9"/>
      <c r="RFO10" s="9"/>
      <c r="RFP10" s="9"/>
      <c r="RFQ10" s="9"/>
      <c r="RFR10" s="9"/>
      <c r="RFS10" s="9"/>
      <c r="RFT10" s="9"/>
      <c r="RFU10" s="9"/>
      <c r="RFV10" s="9"/>
      <c r="RFW10" s="9"/>
      <c r="RFX10" s="9"/>
      <c r="RFY10" s="9"/>
      <c r="RFZ10" s="9"/>
      <c r="RGA10" s="9"/>
      <c r="RGB10" s="9"/>
      <c r="RGC10" s="9"/>
      <c r="RGD10" s="9"/>
      <c r="RGE10" s="9"/>
      <c r="RGF10" s="9"/>
      <c r="RGG10" s="9"/>
      <c r="RGH10" s="9"/>
      <c r="RGI10" s="9"/>
      <c r="RGJ10" s="9"/>
      <c r="RGK10" s="9"/>
      <c r="RGL10" s="9"/>
      <c r="RGM10" s="9"/>
      <c r="RGN10" s="9"/>
      <c r="RGO10" s="9"/>
      <c r="RGP10" s="9"/>
      <c r="RGQ10" s="9"/>
      <c r="RGR10" s="9"/>
      <c r="RGS10" s="9"/>
      <c r="RGT10" s="9"/>
      <c r="RGU10" s="9"/>
      <c r="RGV10" s="9"/>
      <c r="RGW10" s="9"/>
      <c r="RGX10" s="9"/>
      <c r="RGY10" s="9"/>
      <c r="RGZ10" s="9"/>
      <c r="RHA10" s="9"/>
      <c r="RHB10" s="9"/>
      <c r="RHC10" s="9"/>
      <c r="RHD10" s="9"/>
      <c r="RHE10" s="9"/>
      <c r="RHF10" s="9"/>
      <c r="RHG10" s="9"/>
      <c r="RHH10" s="9"/>
      <c r="RHI10" s="9"/>
      <c r="RHJ10" s="9"/>
      <c r="RHK10" s="9"/>
      <c r="RHL10" s="9"/>
      <c r="RHM10" s="9"/>
      <c r="RHN10" s="9"/>
      <c r="RHO10" s="9"/>
      <c r="RHP10" s="9"/>
      <c r="RHQ10" s="9"/>
      <c r="RHR10" s="9"/>
      <c r="RHS10" s="9"/>
      <c r="RHT10" s="9"/>
      <c r="RHU10" s="9"/>
      <c r="RHV10" s="9"/>
      <c r="RHW10" s="9"/>
      <c r="RHX10" s="9"/>
      <c r="RHY10" s="9"/>
      <c r="RHZ10" s="9"/>
      <c r="RIA10" s="9"/>
      <c r="RIB10" s="9"/>
      <c r="RIC10" s="9"/>
      <c r="RID10" s="9"/>
      <c r="RIE10" s="9"/>
      <c r="RIF10" s="9"/>
      <c r="RIG10" s="9"/>
      <c r="RIH10" s="9"/>
      <c r="RII10" s="9"/>
      <c r="RIJ10" s="9"/>
      <c r="RIK10" s="9"/>
      <c r="RIL10" s="9"/>
      <c r="RIM10" s="9"/>
      <c r="RIN10" s="9"/>
      <c r="RIO10" s="9"/>
      <c r="RIP10" s="9"/>
      <c r="RIQ10" s="9"/>
      <c r="RIR10" s="9"/>
      <c r="RIS10" s="9"/>
      <c r="RIT10" s="9"/>
      <c r="RIU10" s="9"/>
      <c r="RIV10" s="9"/>
      <c r="RIW10" s="9"/>
      <c r="RIX10" s="9"/>
      <c r="RIY10" s="9"/>
      <c r="RIZ10" s="9"/>
      <c r="RJA10" s="9"/>
      <c r="RJB10" s="9"/>
      <c r="RJC10" s="9"/>
      <c r="RJD10" s="9"/>
      <c r="RJE10" s="9"/>
      <c r="RJF10" s="9"/>
      <c r="RJG10" s="9"/>
      <c r="RJH10" s="9"/>
      <c r="RJI10" s="9"/>
      <c r="RJJ10" s="9"/>
      <c r="RJK10" s="9"/>
      <c r="RJL10" s="9"/>
      <c r="RJM10" s="9"/>
      <c r="RJN10" s="9"/>
      <c r="RJO10" s="9"/>
      <c r="RJP10" s="9"/>
      <c r="RJQ10" s="9"/>
      <c r="RJR10" s="9"/>
      <c r="RJS10" s="9"/>
      <c r="RJT10" s="9"/>
      <c r="RJU10" s="9"/>
      <c r="RJV10" s="9"/>
      <c r="RJW10" s="9"/>
      <c r="RJX10" s="9"/>
      <c r="RJY10" s="9"/>
      <c r="RJZ10" s="9"/>
      <c r="RKA10" s="9"/>
      <c r="RKB10" s="9"/>
      <c r="RKC10" s="9"/>
      <c r="RKD10" s="9"/>
      <c r="RKE10" s="9"/>
      <c r="RKF10" s="9"/>
      <c r="RKG10" s="9"/>
      <c r="RKH10" s="9"/>
      <c r="RKI10" s="9"/>
      <c r="RKJ10" s="9"/>
      <c r="RKK10" s="9"/>
      <c r="RKL10" s="9"/>
      <c r="RKM10" s="9"/>
      <c r="RKN10" s="9"/>
      <c r="RKO10" s="9"/>
      <c r="RKP10" s="9"/>
      <c r="RKQ10" s="9"/>
      <c r="RKR10" s="9"/>
      <c r="RKS10" s="9"/>
      <c r="RKT10" s="9"/>
      <c r="RKU10" s="9"/>
      <c r="RKV10" s="9"/>
      <c r="RKW10" s="9"/>
      <c r="RKX10" s="9"/>
      <c r="RKY10" s="9"/>
      <c r="RKZ10" s="9"/>
      <c r="RLA10" s="9"/>
      <c r="RLB10" s="9"/>
      <c r="RLC10" s="9"/>
      <c r="RLD10" s="9"/>
      <c r="RLE10" s="9"/>
      <c r="RLF10" s="9"/>
      <c r="RLG10" s="9"/>
      <c r="RLH10" s="9"/>
      <c r="RLI10" s="9"/>
      <c r="RLJ10" s="9"/>
      <c r="RLK10" s="9"/>
      <c r="RLL10" s="9"/>
      <c r="RLM10" s="9"/>
      <c r="RLN10" s="9"/>
      <c r="RLO10" s="9"/>
      <c r="RLP10" s="9"/>
      <c r="RLQ10" s="9"/>
      <c r="RLR10" s="9"/>
      <c r="RLS10" s="9"/>
      <c r="RLT10" s="9"/>
      <c r="RLU10" s="9"/>
      <c r="RLV10" s="9"/>
      <c r="RLW10" s="9"/>
      <c r="RLX10" s="9"/>
      <c r="RLY10" s="9"/>
      <c r="RLZ10" s="9"/>
      <c r="RMA10" s="9"/>
      <c r="RMB10" s="9"/>
      <c r="RMC10" s="9"/>
      <c r="RMD10" s="9"/>
      <c r="RME10" s="9"/>
      <c r="RMF10" s="9"/>
      <c r="RMG10" s="9"/>
      <c r="RMH10" s="9"/>
      <c r="RMI10" s="9"/>
      <c r="RMJ10" s="9"/>
      <c r="RMK10" s="9"/>
      <c r="RML10" s="9"/>
      <c r="RMM10" s="9"/>
      <c r="RMN10" s="9"/>
      <c r="RMO10" s="9"/>
      <c r="RMP10" s="9"/>
      <c r="RMQ10" s="9"/>
      <c r="RMR10" s="9"/>
      <c r="RMS10" s="9"/>
      <c r="RMT10" s="9"/>
      <c r="RMU10" s="9"/>
      <c r="RMV10" s="9"/>
      <c r="RMW10" s="9"/>
      <c r="RMX10" s="9"/>
      <c r="RMY10" s="9"/>
      <c r="RMZ10" s="9"/>
      <c r="RNA10" s="9"/>
      <c r="RNB10" s="9"/>
      <c r="RNC10" s="9"/>
      <c r="RND10" s="9"/>
      <c r="RNE10" s="9"/>
      <c r="RNF10" s="9"/>
      <c r="RNG10" s="9"/>
      <c r="RNH10" s="9"/>
      <c r="RNI10" s="9"/>
      <c r="RNJ10" s="9"/>
      <c r="RNK10" s="9"/>
      <c r="RNL10" s="9"/>
      <c r="RNM10" s="9"/>
      <c r="RNN10" s="9"/>
      <c r="RNO10" s="9"/>
      <c r="RNP10" s="9"/>
      <c r="RNQ10" s="9"/>
      <c r="RNR10" s="9"/>
      <c r="RNS10" s="9"/>
      <c r="RNT10" s="9"/>
      <c r="RNU10" s="9"/>
      <c r="RNV10" s="9"/>
      <c r="RNW10" s="9"/>
      <c r="RNX10" s="9"/>
      <c r="RNY10" s="9"/>
      <c r="RNZ10" s="9"/>
      <c r="ROA10" s="9"/>
      <c r="ROB10" s="9"/>
      <c r="ROC10" s="9"/>
      <c r="ROD10" s="9"/>
      <c r="ROE10" s="9"/>
      <c r="ROF10" s="9"/>
      <c r="ROG10" s="9"/>
      <c r="ROH10" s="9"/>
      <c r="ROI10" s="9"/>
      <c r="ROJ10" s="9"/>
      <c r="ROK10" s="9"/>
      <c r="ROL10" s="9"/>
      <c r="ROM10" s="9"/>
      <c r="RON10" s="9"/>
      <c r="ROO10" s="9"/>
      <c r="ROP10" s="9"/>
      <c r="ROQ10" s="9"/>
      <c r="ROR10" s="9"/>
      <c r="ROS10" s="9"/>
      <c r="ROT10" s="9"/>
      <c r="ROU10" s="9"/>
      <c r="ROV10" s="9"/>
      <c r="ROW10" s="9"/>
      <c r="ROX10" s="9"/>
      <c r="ROY10" s="9"/>
      <c r="ROZ10" s="9"/>
      <c r="RPA10" s="9"/>
      <c r="RPB10" s="9"/>
      <c r="RPC10" s="9"/>
      <c r="RPD10" s="9"/>
      <c r="RPE10" s="9"/>
      <c r="RPF10" s="9"/>
      <c r="RPG10" s="9"/>
      <c r="RPH10" s="9"/>
      <c r="RPI10" s="9"/>
      <c r="RPJ10" s="9"/>
      <c r="RPK10" s="9"/>
      <c r="RPL10" s="9"/>
      <c r="RPM10" s="9"/>
      <c r="RPN10" s="9"/>
      <c r="RPO10" s="9"/>
      <c r="RPP10" s="9"/>
      <c r="RPQ10" s="9"/>
      <c r="RPR10" s="9"/>
      <c r="RPS10" s="9"/>
      <c r="RPT10" s="9"/>
      <c r="RPU10" s="9"/>
      <c r="RPV10" s="9"/>
      <c r="RPW10" s="9"/>
      <c r="RPX10" s="9"/>
      <c r="RPY10" s="9"/>
      <c r="RPZ10" s="9"/>
      <c r="RQA10" s="9"/>
      <c r="RQB10" s="9"/>
      <c r="RQC10" s="9"/>
      <c r="RQD10" s="9"/>
      <c r="RQE10" s="9"/>
      <c r="RQF10" s="9"/>
      <c r="RQG10" s="9"/>
      <c r="RQH10" s="9"/>
      <c r="RQI10" s="9"/>
      <c r="RQJ10" s="9"/>
      <c r="RQK10" s="9"/>
      <c r="RQL10" s="9"/>
      <c r="RQM10" s="9"/>
      <c r="RQN10" s="9"/>
      <c r="RQO10" s="9"/>
      <c r="RQP10" s="9"/>
      <c r="RQQ10" s="9"/>
      <c r="RQR10" s="9"/>
      <c r="RQS10" s="9"/>
      <c r="RQT10" s="9"/>
      <c r="RQU10" s="9"/>
      <c r="RQV10" s="9"/>
      <c r="RQW10" s="9"/>
      <c r="RQX10" s="9"/>
      <c r="RQY10" s="9"/>
      <c r="RQZ10" s="9"/>
      <c r="RRA10" s="9"/>
      <c r="RRB10" s="9"/>
      <c r="RRC10" s="9"/>
      <c r="RRD10" s="9"/>
      <c r="RRE10" s="9"/>
      <c r="RRF10" s="9"/>
      <c r="RRG10" s="9"/>
      <c r="RRH10" s="9"/>
      <c r="RRI10" s="9"/>
      <c r="RRJ10" s="9"/>
      <c r="RRK10" s="9"/>
      <c r="RRL10" s="9"/>
      <c r="RRM10" s="9"/>
      <c r="RRN10" s="9"/>
      <c r="RRO10" s="9"/>
      <c r="RRP10" s="9"/>
      <c r="RRQ10" s="9"/>
      <c r="RRR10" s="9"/>
      <c r="RRS10" s="9"/>
      <c r="RRT10" s="9"/>
      <c r="RRU10" s="9"/>
      <c r="RRV10" s="9"/>
      <c r="RRW10" s="9"/>
      <c r="RRX10" s="9"/>
      <c r="RRY10" s="9"/>
      <c r="RRZ10" s="9"/>
      <c r="RSA10" s="9"/>
      <c r="RSB10" s="9"/>
      <c r="RSC10" s="9"/>
      <c r="RSD10" s="9"/>
      <c r="RSE10" s="9"/>
      <c r="RSF10" s="9"/>
      <c r="RSG10" s="9"/>
      <c r="RSH10" s="9"/>
      <c r="RSI10" s="9"/>
      <c r="RSJ10" s="9"/>
      <c r="RSK10" s="9"/>
      <c r="RSL10" s="9"/>
      <c r="RSM10" s="9"/>
      <c r="RSN10" s="9"/>
      <c r="RSO10" s="9"/>
      <c r="RSP10" s="9"/>
      <c r="RSQ10" s="9"/>
      <c r="RSR10" s="9"/>
      <c r="RSS10" s="9"/>
      <c r="RST10" s="9"/>
      <c r="RSU10" s="9"/>
      <c r="RSV10" s="9"/>
      <c r="RSW10" s="9"/>
      <c r="RSX10" s="9"/>
      <c r="RSY10" s="9"/>
      <c r="RSZ10" s="9"/>
      <c r="RTA10" s="9"/>
      <c r="RTB10" s="9"/>
      <c r="RTC10" s="9"/>
      <c r="RTD10" s="9"/>
      <c r="RTE10" s="9"/>
      <c r="RTF10" s="9"/>
      <c r="RTG10" s="9"/>
      <c r="RTH10" s="9"/>
      <c r="RTI10" s="9"/>
      <c r="RTJ10" s="9"/>
      <c r="RTK10" s="9"/>
      <c r="RTL10" s="9"/>
      <c r="RTM10" s="9"/>
      <c r="RTN10" s="9"/>
      <c r="RTO10" s="9"/>
      <c r="RTP10" s="9"/>
      <c r="RTQ10" s="9"/>
      <c r="RTR10" s="9"/>
      <c r="RTS10" s="9"/>
      <c r="RTT10" s="9"/>
      <c r="RTU10" s="9"/>
      <c r="RTV10" s="9"/>
      <c r="RTW10" s="9"/>
      <c r="RTX10" s="9"/>
      <c r="RTY10" s="9"/>
      <c r="RTZ10" s="9"/>
      <c r="RUA10" s="9"/>
      <c r="RUB10" s="9"/>
      <c r="RUC10" s="9"/>
      <c r="RUD10" s="9"/>
      <c r="RUE10" s="9"/>
      <c r="RUF10" s="9"/>
      <c r="RUG10" s="9"/>
      <c r="RUH10" s="9"/>
      <c r="RUI10" s="9"/>
      <c r="RUJ10" s="9"/>
      <c r="RUK10" s="9"/>
      <c r="RUL10" s="9"/>
      <c r="RUM10" s="9"/>
      <c r="RUN10" s="9"/>
      <c r="RUO10" s="9"/>
      <c r="RUP10" s="9"/>
      <c r="RUQ10" s="9"/>
      <c r="RUR10" s="9"/>
      <c r="RUS10" s="9"/>
      <c r="RUT10" s="9"/>
      <c r="RUU10" s="9"/>
      <c r="RUV10" s="9"/>
      <c r="RUW10" s="9"/>
      <c r="RUX10" s="9"/>
      <c r="RUY10" s="9"/>
      <c r="RUZ10" s="9"/>
      <c r="RVA10" s="9"/>
      <c r="RVB10" s="9"/>
      <c r="RVC10" s="9"/>
      <c r="RVD10" s="9"/>
      <c r="RVE10" s="9"/>
      <c r="RVF10" s="9"/>
      <c r="RVG10" s="9"/>
      <c r="RVH10" s="9"/>
      <c r="RVI10" s="9"/>
      <c r="RVJ10" s="9"/>
      <c r="RVK10" s="9"/>
      <c r="RVL10" s="9"/>
      <c r="RVM10" s="9"/>
      <c r="RVN10" s="9"/>
      <c r="RVO10" s="9"/>
      <c r="RVP10" s="9"/>
      <c r="RVQ10" s="9"/>
      <c r="RVR10" s="9"/>
      <c r="RVS10" s="9"/>
      <c r="RVT10" s="9"/>
      <c r="RVU10" s="9"/>
      <c r="RVV10" s="9"/>
      <c r="RVW10" s="9"/>
      <c r="RVX10" s="9"/>
      <c r="RVY10" s="9"/>
      <c r="RVZ10" s="9"/>
      <c r="RWA10" s="9"/>
      <c r="RWB10" s="9"/>
      <c r="RWC10" s="9"/>
      <c r="RWD10" s="9"/>
      <c r="RWE10" s="9"/>
      <c r="RWF10" s="9"/>
      <c r="RWG10" s="9"/>
      <c r="RWH10" s="9"/>
      <c r="RWI10" s="9"/>
      <c r="RWJ10" s="9"/>
      <c r="RWK10" s="9"/>
      <c r="RWL10" s="9"/>
      <c r="RWM10" s="9"/>
      <c r="RWN10" s="9"/>
      <c r="RWO10" s="9"/>
      <c r="RWP10" s="9"/>
      <c r="RWQ10" s="9"/>
      <c r="RWR10" s="9"/>
      <c r="RWS10" s="9"/>
      <c r="RWT10" s="9"/>
      <c r="RWU10" s="9"/>
      <c r="RWV10" s="9"/>
      <c r="RWW10" s="9"/>
      <c r="RWX10" s="9"/>
      <c r="RWY10" s="9"/>
      <c r="RWZ10" s="9"/>
      <c r="RXA10" s="9"/>
      <c r="RXB10" s="9"/>
      <c r="RXC10" s="9"/>
      <c r="RXD10" s="9"/>
      <c r="RXE10" s="9"/>
      <c r="RXF10" s="9"/>
      <c r="RXG10" s="9"/>
      <c r="RXH10" s="9"/>
      <c r="RXI10" s="9"/>
      <c r="RXJ10" s="9"/>
      <c r="RXK10" s="9"/>
      <c r="RXL10" s="9"/>
      <c r="RXM10" s="9"/>
      <c r="RXN10" s="9"/>
      <c r="RXO10" s="9"/>
      <c r="RXP10" s="9"/>
      <c r="RXQ10" s="9"/>
      <c r="RXR10" s="9"/>
      <c r="RXS10" s="9"/>
      <c r="RXT10" s="9"/>
      <c r="RXU10" s="9"/>
      <c r="RXV10" s="9"/>
      <c r="RXW10" s="9"/>
      <c r="RXX10" s="9"/>
      <c r="RXY10" s="9"/>
      <c r="RXZ10" s="9"/>
      <c r="RYA10" s="9"/>
      <c r="RYB10" s="9"/>
      <c r="RYC10" s="9"/>
      <c r="RYD10" s="9"/>
      <c r="RYE10" s="9"/>
      <c r="RYF10" s="9"/>
      <c r="RYG10" s="9"/>
      <c r="RYH10" s="9"/>
      <c r="RYI10" s="9"/>
      <c r="RYJ10" s="9"/>
      <c r="RYK10" s="9"/>
      <c r="RYL10" s="9"/>
      <c r="RYM10" s="9"/>
      <c r="RYN10" s="9"/>
      <c r="RYO10" s="9"/>
      <c r="RYP10" s="9"/>
      <c r="RYQ10" s="9"/>
      <c r="RYR10" s="9"/>
      <c r="RYS10" s="9"/>
      <c r="RYT10" s="9"/>
      <c r="RYU10" s="9"/>
      <c r="RYV10" s="9"/>
      <c r="RYW10" s="9"/>
      <c r="RYX10" s="9"/>
      <c r="RYY10" s="9"/>
      <c r="RYZ10" s="9"/>
      <c r="RZA10" s="9"/>
      <c r="RZB10" s="9"/>
      <c r="RZC10" s="9"/>
      <c r="RZD10" s="9"/>
      <c r="RZE10" s="9"/>
      <c r="RZF10" s="9"/>
      <c r="RZG10" s="9"/>
      <c r="RZH10" s="9"/>
      <c r="RZI10" s="9"/>
      <c r="RZJ10" s="9"/>
      <c r="RZK10" s="9"/>
      <c r="RZL10" s="9"/>
      <c r="RZM10" s="9"/>
      <c r="RZN10" s="9"/>
      <c r="RZO10" s="9"/>
      <c r="RZP10" s="9"/>
      <c r="RZQ10" s="9"/>
      <c r="RZR10" s="9"/>
      <c r="RZS10" s="9"/>
      <c r="RZT10" s="9"/>
      <c r="RZU10" s="9"/>
      <c r="RZV10" s="9"/>
      <c r="RZW10" s="9"/>
      <c r="RZX10" s="9"/>
      <c r="RZY10" s="9"/>
      <c r="RZZ10" s="9"/>
      <c r="SAA10" s="9"/>
      <c r="SAB10" s="9"/>
      <c r="SAC10" s="9"/>
      <c r="SAD10" s="9"/>
      <c r="SAE10" s="9"/>
      <c r="SAF10" s="9"/>
      <c r="SAG10" s="9"/>
      <c r="SAH10" s="9"/>
      <c r="SAI10" s="9"/>
      <c r="SAJ10" s="9"/>
      <c r="SAK10" s="9"/>
      <c r="SAL10" s="9"/>
      <c r="SAM10" s="9"/>
      <c r="SAN10" s="9"/>
      <c r="SAO10" s="9"/>
      <c r="SAP10" s="9"/>
      <c r="SAQ10" s="9"/>
      <c r="SAR10" s="9"/>
      <c r="SAS10" s="9"/>
      <c r="SAT10" s="9"/>
      <c r="SAU10" s="9"/>
      <c r="SAV10" s="9"/>
      <c r="SAW10" s="9"/>
      <c r="SAX10" s="9"/>
      <c r="SAY10" s="9"/>
      <c r="SAZ10" s="9"/>
      <c r="SBA10" s="9"/>
      <c r="SBB10" s="9"/>
      <c r="SBC10" s="9"/>
      <c r="SBD10" s="9"/>
      <c r="SBE10" s="9"/>
      <c r="SBF10" s="9"/>
      <c r="SBG10" s="9"/>
      <c r="SBH10" s="9"/>
      <c r="SBI10" s="9"/>
      <c r="SBJ10" s="9"/>
      <c r="SBK10" s="9"/>
      <c r="SBL10" s="9"/>
      <c r="SBM10" s="9"/>
      <c r="SBN10" s="9"/>
      <c r="SBO10" s="9"/>
      <c r="SBP10" s="9"/>
      <c r="SBQ10" s="9"/>
      <c r="SBR10" s="9"/>
      <c r="SBS10" s="9"/>
      <c r="SBT10" s="9"/>
      <c r="SBU10" s="9"/>
      <c r="SBV10" s="9"/>
      <c r="SBW10" s="9"/>
      <c r="SBX10" s="9"/>
      <c r="SBY10" s="9"/>
      <c r="SBZ10" s="9"/>
      <c r="SCA10" s="9"/>
      <c r="SCB10" s="9"/>
      <c r="SCC10" s="9"/>
      <c r="SCD10" s="9"/>
      <c r="SCE10" s="9"/>
      <c r="SCF10" s="9"/>
      <c r="SCG10" s="9"/>
      <c r="SCH10" s="9"/>
      <c r="SCI10" s="9"/>
      <c r="SCJ10" s="9"/>
      <c r="SCK10" s="9"/>
      <c r="SCL10" s="9"/>
      <c r="SCM10" s="9"/>
      <c r="SCN10" s="9"/>
      <c r="SCO10" s="9"/>
      <c r="SCP10" s="9"/>
      <c r="SCQ10" s="9"/>
      <c r="SCR10" s="9"/>
      <c r="SCS10" s="9"/>
      <c r="SCT10" s="9"/>
      <c r="SCU10" s="9"/>
      <c r="SCV10" s="9"/>
      <c r="SCW10" s="9"/>
      <c r="SCX10" s="9"/>
      <c r="SCY10" s="9"/>
      <c r="SCZ10" s="9"/>
      <c r="SDA10" s="9"/>
      <c r="SDB10" s="9"/>
      <c r="SDC10" s="9"/>
      <c r="SDD10" s="9"/>
      <c r="SDE10" s="9"/>
      <c r="SDF10" s="9"/>
      <c r="SDG10" s="9"/>
      <c r="SDH10" s="9"/>
      <c r="SDI10" s="9"/>
      <c r="SDJ10" s="9"/>
      <c r="SDK10" s="9"/>
      <c r="SDL10" s="9"/>
      <c r="SDM10" s="9"/>
      <c r="SDN10" s="9"/>
      <c r="SDO10" s="9"/>
      <c r="SDP10" s="9"/>
      <c r="SDQ10" s="9"/>
      <c r="SDR10" s="9"/>
      <c r="SDS10" s="9"/>
      <c r="SDT10" s="9"/>
      <c r="SDU10" s="9"/>
      <c r="SDV10" s="9"/>
      <c r="SDW10" s="9"/>
      <c r="SDX10" s="9"/>
      <c r="SDY10" s="9"/>
      <c r="SDZ10" s="9"/>
      <c r="SEA10" s="9"/>
      <c r="SEB10" s="9"/>
      <c r="SEC10" s="9"/>
      <c r="SED10" s="9"/>
      <c r="SEE10" s="9"/>
      <c r="SEF10" s="9"/>
      <c r="SEG10" s="9"/>
      <c r="SEH10" s="9"/>
      <c r="SEI10" s="9"/>
      <c r="SEJ10" s="9"/>
      <c r="SEK10" s="9"/>
      <c r="SEL10" s="9"/>
      <c r="SEM10" s="9"/>
      <c r="SEN10" s="9"/>
      <c r="SEO10" s="9"/>
      <c r="SEP10" s="9"/>
      <c r="SEQ10" s="9"/>
      <c r="SER10" s="9"/>
      <c r="SES10" s="9"/>
      <c r="SET10" s="9"/>
      <c r="SEU10" s="9"/>
      <c r="SEV10" s="9"/>
      <c r="SEW10" s="9"/>
      <c r="SEX10" s="9"/>
      <c r="SEY10" s="9"/>
      <c r="SEZ10" s="9"/>
      <c r="SFA10" s="9"/>
      <c r="SFB10" s="9"/>
      <c r="SFC10" s="9"/>
      <c r="SFD10" s="9"/>
      <c r="SFE10" s="9"/>
      <c r="SFF10" s="9"/>
      <c r="SFG10" s="9"/>
      <c r="SFH10" s="9"/>
      <c r="SFI10" s="9"/>
      <c r="SFJ10" s="9"/>
      <c r="SFK10" s="9"/>
      <c r="SFL10" s="9"/>
      <c r="SFM10" s="9"/>
      <c r="SFN10" s="9"/>
      <c r="SFO10" s="9"/>
      <c r="SFP10" s="9"/>
      <c r="SFQ10" s="9"/>
      <c r="SFR10" s="9"/>
      <c r="SFS10" s="9"/>
      <c r="SFT10" s="9"/>
      <c r="SFU10" s="9"/>
      <c r="SFV10" s="9"/>
      <c r="SFW10" s="9"/>
      <c r="SFX10" s="9"/>
      <c r="SFY10" s="9"/>
      <c r="SFZ10" s="9"/>
      <c r="SGA10" s="9"/>
      <c r="SGB10" s="9"/>
      <c r="SGC10" s="9"/>
      <c r="SGD10" s="9"/>
      <c r="SGE10" s="9"/>
      <c r="SGF10" s="9"/>
      <c r="SGG10" s="9"/>
      <c r="SGH10" s="9"/>
      <c r="SGI10" s="9"/>
      <c r="SGJ10" s="9"/>
      <c r="SGK10" s="9"/>
      <c r="SGL10" s="9"/>
      <c r="SGM10" s="9"/>
      <c r="SGN10" s="9"/>
      <c r="SGO10" s="9"/>
      <c r="SGP10" s="9"/>
      <c r="SGQ10" s="9"/>
      <c r="SGR10" s="9"/>
      <c r="SGS10" s="9"/>
      <c r="SGT10" s="9"/>
      <c r="SGU10" s="9"/>
      <c r="SGV10" s="9"/>
      <c r="SGW10" s="9"/>
      <c r="SGX10" s="9"/>
      <c r="SGY10" s="9"/>
      <c r="SGZ10" s="9"/>
      <c r="SHA10" s="9"/>
      <c r="SHB10" s="9"/>
      <c r="SHC10" s="9"/>
      <c r="SHD10" s="9"/>
      <c r="SHE10" s="9"/>
      <c r="SHF10" s="9"/>
      <c r="SHG10" s="9"/>
      <c r="SHH10" s="9"/>
      <c r="SHI10" s="9"/>
      <c r="SHJ10" s="9"/>
      <c r="SHK10" s="9"/>
      <c r="SHL10" s="9"/>
      <c r="SHM10" s="9"/>
      <c r="SHN10" s="9"/>
      <c r="SHO10" s="9"/>
      <c r="SHP10" s="9"/>
      <c r="SHQ10" s="9"/>
      <c r="SHR10" s="9"/>
      <c r="SHS10" s="9"/>
      <c r="SHT10" s="9"/>
      <c r="SHU10" s="9"/>
      <c r="SHV10" s="9"/>
      <c r="SHW10" s="9"/>
      <c r="SHX10" s="9"/>
      <c r="SHY10" s="9"/>
      <c r="SHZ10" s="9"/>
      <c r="SIA10" s="9"/>
      <c r="SIB10" s="9"/>
      <c r="SIC10" s="9"/>
      <c r="SID10" s="9"/>
      <c r="SIE10" s="9"/>
      <c r="SIF10" s="9"/>
      <c r="SIG10" s="9"/>
      <c r="SIH10" s="9"/>
      <c r="SII10" s="9"/>
      <c r="SIJ10" s="9"/>
      <c r="SIK10" s="9"/>
      <c r="SIL10" s="9"/>
      <c r="SIM10" s="9"/>
      <c r="SIN10" s="9"/>
      <c r="SIO10" s="9"/>
      <c r="SIP10" s="9"/>
      <c r="SIQ10" s="9"/>
      <c r="SIR10" s="9"/>
      <c r="SIS10" s="9"/>
      <c r="SIT10" s="9"/>
      <c r="SIU10" s="9"/>
      <c r="SIV10" s="9"/>
      <c r="SIW10" s="9"/>
      <c r="SIX10" s="9"/>
      <c r="SIY10" s="9"/>
      <c r="SIZ10" s="9"/>
      <c r="SJA10" s="9"/>
      <c r="SJB10" s="9"/>
      <c r="SJC10" s="9"/>
      <c r="SJD10" s="9"/>
      <c r="SJE10" s="9"/>
      <c r="SJF10" s="9"/>
      <c r="SJG10" s="9"/>
      <c r="SJH10" s="9"/>
      <c r="SJI10" s="9"/>
      <c r="SJJ10" s="9"/>
      <c r="SJK10" s="9"/>
      <c r="SJL10" s="9"/>
      <c r="SJM10" s="9"/>
      <c r="SJN10" s="9"/>
      <c r="SJO10" s="9"/>
      <c r="SJP10" s="9"/>
      <c r="SJQ10" s="9"/>
      <c r="SJR10" s="9"/>
      <c r="SJS10" s="9"/>
      <c r="SJT10" s="9"/>
      <c r="SJU10" s="9"/>
      <c r="SJV10" s="9"/>
      <c r="SJW10" s="9"/>
      <c r="SJX10" s="9"/>
      <c r="SJY10" s="9"/>
      <c r="SJZ10" s="9"/>
      <c r="SKA10" s="9"/>
      <c r="SKB10" s="9"/>
      <c r="SKC10" s="9"/>
      <c r="SKD10" s="9"/>
      <c r="SKE10" s="9"/>
      <c r="SKF10" s="9"/>
      <c r="SKG10" s="9"/>
      <c r="SKH10" s="9"/>
      <c r="SKI10" s="9"/>
      <c r="SKJ10" s="9"/>
      <c r="SKK10" s="9"/>
      <c r="SKL10" s="9"/>
      <c r="SKM10" s="9"/>
      <c r="SKN10" s="9"/>
      <c r="SKO10" s="9"/>
      <c r="SKP10" s="9"/>
      <c r="SKQ10" s="9"/>
      <c r="SKR10" s="9"/>
      <c r="SKS10" s="9"/>
      <c r="SKT10" s="9"/>
      <c r="SKU10" s="9"/>
      <c r="SKV10" s="9"/>
      <c r="SKW10" s="9"/>
      <c r="SKX10" s="9"/>
      <c r="SKY10" s="9"/>
      <c r="SKZ10" s="9"/>
      <c r="SLA10" s="9"/>
      <c r="SLB10" s="9"/>
      <c r="SLC10" s="9"/>
      <c r="SLD10" s="9"/>
      <c r="SLE10" s="9"/>
      <c r="SLF10" s="9"/>
      <c r="SLG10" s="9"/>
      <c r="SLH10" s="9"/>
      <c r="SLI10" s="9"/>
      <c r="SLJ10" s="9"/>
      <c r="SLK10" s="9"/>
      <c r="SLL10" s="9"/>
      <c r="SLM10" s="9"/>
      <c r="SLN10" s="9"/>
      <c r="SLO10" s="9"/>
      <c r="SLP10" s="9"/>
      <c r="SLQ10" s="9"/>
      <c r="SLR10" s="9"/>
      <c r="SLS10" s="9"/>
      <c r="SLT10" s="9"/>
      <c r="SLU10" s="9"/>
      <c r="SLV10" s="9"/>
      <c r="SLW10" s="9"/>
      <c r="SLX10" s="9"/>
      <c r="SLY10" s="9"/>
      <c r="SLZ10" s="9"/>
      <c r="SMA10" s="9"/>
      <c r="SMB10" s="9"/>
      <c r="SMC10" s="9"/>
      <c r="SMD10" s="9"/>
      <c r="SME10" s="9"/>
      <c r="SMF10" s="9"/>
      <c r="SMG10" s="9"/>
      <c r="SMH10" s="9"/>
      <c r="SMI10" s="9"/>
      <c r="SMJ10" s="9"/>
      <c r="SMK10" s="9"/>
      <c r="SML10" s="9"/>
      <c r="SMM10" s="9"/>
      <c r="SMN10" s="9"/>
      <c r="SMO10" s="9"/>
      <c r="SMP10" s="9"/>
      <c r="SMQ10" s="9"/>
      <c r="SMR10" s="9"/>
      <c r="SMS10" s="9"/>
      <c r="SMT10" s="9"/>
      <c r="SMU10" s="9"/>
      <c r="SMV10" s="9"/>
      <c r="SMW10" s="9"/>
      <c r="SMX10" s="9"/>
      <c r="SMY10" s="9"/>
      <c r="SMZ10" s="9"/>
      <c r="SNA10" s="9"/>
      <c r="SNB10" s="9"/>
      <c r="SNC10" s="9"/>
      <c r="SND10" s="9"/>
      <c r="SNE10" s="9"/>
      <c r="SNF10" s="9"/>
      <c r="SNG10" s="9"/>
      <c r="SNH10" s="9"/>
      <c r="SNI10" s="9"/>
      <c r="SNJ10" s="9"/>
      <c r="SNK10" s="9"/>
      <c r="SNL10" s="9"/>
      <c r="SNM10" s="9"/>
      <c r="SNN10" s="9"/>
      <c r="SNO10" s="9"/>
      <c r="SNP10" s="9"/>
      <c r="SNQ10" s="9"/>
      <c r="SNR10" s="9"/>
      <c r="SNS10" s="9"/>
      <c r="SNT10" s="9"/>
      <c r="SNU10" s="9"/>
      <c r="SNV10" s="9"/>
      <c r="SNW10" s="9"/>
      <c r="SNX10" s="9"/>
      <c r="SNY10" s="9"/>
      <c r="SNZ10" s="9"/>
      <c r="SOA10" s="9"/>
      <c r="SOB10" s="9"/>
      <c r="SOC10" s="9"/>
      <c r="SOD10" s="9"/>
      <c r="SOE10" s="9"/>
      <c r="SOF10" s="9"/>
      <c r="SOG10" s="9"/>
      <c r="SOH10" s="9"/>
      <c r="SOI10" s="9"/>
      <c r="SOJ10" s="9"/>
      <c r="SOK10" s="9"/>
      <c r="SOL10" s="9"/>
      <c r="SOM10" s="9"/>
      <c r="SON10" s="9"/>
      <c r="SOO10" s="9"/>
      <c r="SOP10" s="9"/>
      <c r="SOQ10" s="9"/>
      <c r="SOR10" s="9"/>
      <c r="SOS10" s="9"/>
      <c r="SOT10" s="9"/>
      <c r="SOU10" s="9"/>
      <c r="SOV10" s="9"/>
      <c r="SOW10" s="9"/>
      <c r="SOX10" s="9"/>
      <c r="SOY10" s="9"/>
      <c r="SOZ10" s="9"/>
      <c r="SPA10" s="9"/>
      <c r="SPB10" s="9"/>
      <c r="SPC10" s="9"/>
      <c r="SPD10" s="9"/>
      <c r="SPE10" s="9"/>
      <c r="SPF10" s="9"/>
      <c r="SPG10" s="9"/>
      <c r="SPH10" s="9"/>
      <c r="SPI10" s="9"/>
      <c r="SPJ10" s="9"/>
      <c r="SPK10" s="9"/>
      <c r="SPL10" s="9"/>
      <c r="SPM10" s="9"/>
      <c r="SPN10" s="9"/>
      <c r="SPO10" s="9"/>
      <c r="SPP10" s="9"/>
      <c r="SPQ10" s="9"/>
      <c r="SPR10" s="9"/>
      <c r="SPS10" s="9"/>
      <c r="SPT10" s="9"/>
      <c r="SPU10" s="9"/>
      <c r="SPV10" s="9"/>
      <c r="SPW10" s="9"/>
      <c r="SPX10" s="9"/>
      <c r="SPY10" s="9"/>
      <c r="SPZ10" s="9"/>
      <c r="SQA10" s="9"/>
      <c r="SQB10" s="9"/>
      <c r="SQC10" s="9"/>
      <c r="SQD10" s="9"/>
      <c r="SQE10" s="9"/>
      <c r="SQF10" s="9"/>
      <c r="SQG10" s="9"/>
      <c r="SQH10" s="9"/>
      <c r="SQI10" s="9"/>
      <c r="SQJ10" s="9"/>
      <c r="SQK10" s="9"/>
      <c r="SQL10" s="9"/>
      <c r="SQM10" s="9"/>
      <c r="SQN10" s="9"/>
      <c r="SQO10" s="9"/>
      <c r="SQP10" s="9"/>
      <c r="SQQ10" s="9"/>
      <c r="SQR10" s="9"/>
      <c r="SQS10" s="9"/>
      <c r="SQT10" s="9"/>
      <c r="SQU10" s="9"/>
      <c r="SQV10" s="9"/>
      <c r="SQW10" s="9"/>
      <c r="SQX10" s="9"/>
      <c r="SQY10" s="9"/>
      <c r="SQZ10" s="9"/>
      <c r="SRA10" s="9"/>
      <c r="SRB10" s="9"/>
      <c r="SRC10" s="9"/>
      <c r="SRD10" s="9"/>
      <c r="SRE10" s="9"/>
      <c r="SRF10" s="9"/>
      <c r="SRG10" s="9"/>
      <c r="SRH10" s="9"/>
      <c r="SRI10" s="9"/>
      <c r="SRJ10" s="9"/>
      <c r="SRK10" s="9"/>
      <c r="SRL10" s="9"/>
      <c r="SRM10" s="9"/>
      <c r="SRN10" s="9"/>
      <c r="SRO10" s="9"/>
      <c r="SRP10" s="9"/>
      <c r="SRQ10" s="9"/>
      <c r="SRR10" s="9"/>
      <c r="SRS10" s="9"/>
      <c r="SRT10" s="9"/>
      <c r="SRU10" s="9"/>
      <c r="SRV10" s="9"/>
      <c r="SRW10" s="9"/>
      <c r="SRX10" s="9"/>
      <c r="SRY10" s="9"/>
      <c r="SRZ10" s="9"/>
      <c r="SSA10" s="9"/>
      <c r="SSB10" s="9"/>
      <c r="SSC10" s="9"/>
      <c r="SSD10" s="9"/>
      <c r="SSE10" s="9"/>
      <c r="SSF10" s="9"/>
      <c r="SSG10" s="9"/>
      <c r="SSH10" s="9"/>
      <c r="SSI10" s="9"/>
      <c r="SSJ10" s="9"/>
      <c r="SSK10" s="9"/>
      <c r="SSL10" s="9"/>
      <c r="SSM10" s="9"/>
      <c r="SSN10" s="9"/>
      <c r="SSO10" s="9"/>
      <c r="SSP10" s="9"/>
      <c r="SSQ10" s="9"/>
      <c r="SSR10" s="9"/>
      <c r="SSS10" s="9"/>
      <c r="SST10" s="9"/>
      <c r="SSU10" s="9"/>
      <c r="SSV10" s="9"/>
      <c r="SSW10" s="9"/>
      <c r="SSX10" s="9"/>
      <c r="SSY10" s="9"/>
      <c r="SSZ10" s="9"/>
      <c r="STA10" s="9"/>
      <c r="STB10" s="9"/>
      <c r="STC10" s="9"/>
      <c r="STD10" s="9"/>
      <c r="STE10" s="9"/>
      <c r="STF10" s="9"/>
      <c r="STG10" s="9"/>
      <c r="STH10" s="9"/>
      <c r="STI10" s="9"/>
      <c r="STJ10" s="9"/>
      <c r="STK10" s="9"/>
      <c r="STL10" s="9"/>
      <c r="STM10" s="9"/>
      <c r="STN10" s="9"/>
      <c r="STO10" s="9"/>
      <c r="STP10" s="9"/>
      <c r="STQ10" s="9"/>
      <c r="STR10" s="9"/>
      <c r="STS10" s="9"/>
      <c r="STT10" s="9"/>
      <c r="STU10" s="9"/>
      <c r="STV10" s="9"/>
      <c r="STW10" s="9"/>
      <c r="STX10" s="9"/>
      <c r="STY10" s="9"/>
      <c r="STZ10" s="9"/>
      <c r="SUA10" s="9"/>
      <c r="SUB10" s="9"/>
      <c r="SUC10" s="9"/>
      <c r="SUD10" s="9"/>
      <c r="SUE10" s="9"/>
      <c r="SUF10" s="9"/>
      <c r="SUG10" s="9"/>
      <c r="SUH10" s="9"/>
      <c r="SUI10" s="9"/>
      <c r="SUJ10" s="9"/>
      <c r="SUK10" s="9"/>
      <c r="SUL10" s="9"/>
      <c r="SUM10" s="9"/>
      <c r="SUN10" s="9"/>
      <c r="SUO10" s="9"/>
      <c r="SUP10" s="9"/>
      <c r="SUQ10" s="9"/>
      <c r="SUR10" s="9"/>
      <c r="SUS10" s="9"/>
      <c r="SUT10" s="9"/>
      <c r="SUU10" s="9"/>
      <c r="SUV10" s="9"/>
      <c r="SUW10" s="9"/>
      <c r="SUX10" s="9"/>
      <c r="SUY10" s="9"/>
      <c r="SUZ10" s="9"/>
      <c r="SVA10" s="9"/>
      <c r="SVB10" s="9"/>
      <c r="SVC10" s="9"/>
      <c r="SVD10" s="9"/>
      <c r="SVE10" s="9"/>
      <c r="SVF10" s="9"/>
      <c r="SVG10" s="9"/>
      <c r="SVH10" s="9"/>
      <c r="SVI10" s="9"/>
      <c r="SVJ10" s="9"/>
      <c r="SVK10" s="9"/>
      <c r="SVL10" s="9"/>
      <c r="SVM10" s="9"/>
      <c r="SVN10" s="9"/>
      <c r="SVO10" s="9"/>
      <c r="SVP10" s="9"/>
      <c r="SVQ10" s="9"/>
      <c r="SVR10" s="9"/>
      <c r="SVS10" s="9"/>
      <c r="SVT10" s="9"/>
      <c r="SVU10" s="9"/>
      <c r="SVV10" s="9"/>
      <c r="SVW10" s="9"/>
      <c r="SVX10" s="9"/>
      <c r="SVY10" s="9"/>
      <c r="SVZ10" s="9"/>
      <c r="SWA10" s="9"/>
      <c r="SWB10" s="9"/>
      <c r="SWC10" s="9"/>
      <c r="SWD10" s="9"/>
      <c r="SWE10" s="9"/>
      <c r="SWF10" s="9"/>
      <c r="SWG10" s="9"/>
      <c r="SWH10" s="9"/>
      <c r="SWI10" s="9"/>
      <c r="SWJ10" s="9"/>
      <c r="SWK10" s="9"/>
      <c r="SWL10" s="9"/>
      <c r="SWM10" s="9"/>
      <c r="SWN10" s="9"/>
      <c r="SWO10" s="9"/>
      <c r="SWP10" s="9"/>
      <c r="SWQ10" s="9"/>
      <c r="SWR10" s="9"/>
      <c r="SWS10" s="9"/>
      <c r="SWT10" s="9"/>
      <c r="SWU10" s="9"/>
      <c r="SWV10" s="9"/>
      <c r="SWW10" s="9"/>
      <c r="SWX10" s="9"/>
      <c r="SWY10" s="9"/>
      <c r="SWZ10" s="9"/>
      <c r="SXA10" s="9"/>
      <c r="SXB10" s="9"/>
      <c r="SXC10" s="9"/>
      <c r="SXD10" s="9"/>
      <c r="SXE10" s="9"/>
      <c r="SXF10" s="9"/>
      <c r="SXG10" s="9"/>
      <c r="SXH10" s="9"/>
      <c r="SXI10" s="9"/>
      <c r="SXJ10" s="9"/>
      <c r="SXK10" s="9"/>
      <c r="SXL10" s="9"/>
      <c r="SXM10" s="9"/>
      <c r="SXN10" s="9"/>
      <c r="SXO10" s="9"/>
      <c r="SXP10" s="9"/>
      <c r="SXQ10" s="9"/>
      <c r="SXR10" s="9"/>
      <c r="SXS10" s="9"/>
      <c r="SXT10" s="9"/>
      <c r="SXU10" s="9"/>
      <c r="SXV10" s="9"/>
      <c r="SXW10" s="9"/>
      <c r="SXX10" s="9"/>
      <c r="SXY10" s="9"/>
      <c r="SXZ10" s="9"/>
      <c r="SYA10" s="9"/>
      <c r="SYB10" s="9"/>
      <c r="SYC10" s="9"/>
      <c r="SYD10" s="9"/>
      <c r="SYE10" s="9"/>
      <c r="SYF10" s="9"/>
      <c r="SYG10" s="9"/>
      <c r="SYH10" s="9"/>
      <c r="SYI10" s="9"/>
      <c r="SYJ10" s="9"/>
      <c r="SYK10" s="9"/>
      <c r="SYL10" s="9"/>
      <c r="SYM10" s="9"/>
      <c r="SYN10" s="9"/>
      <c r="SYO10" s="9"/>
      <c r="SYP10" s="9"/>
      <c r="SYQ10" s="9"/>
      <c r="SYR10" s="9"/>
      <c r="SYS10" s="9"/>
      <c r="SYT10" s="9"/>
      <c r="SYU10" s="9"/>
      <c r="SYV10" s="9"/>
      <c r="SYW10" s="9"/>
      <c r="SYX10" s="9"/>
      <c r="SYY10" s="9"/>
      <c r="SYZ10" s="9"/>
      <c r="SZA10" s="9"/>
      <c r="SZB10" s="9"/>
      <c r="SZC10" s="9"/>
      <c r="SZD10" s="9"/>
      <c r="SZE10" s="9"/>
      <c r="SZF10" s="9"/>
      <c r="SZG10" s="9"/>
      <c r="SZH10" s="9"/>
      <c r="SZI10" s="9"/>
      <c r="SZJ10" s="9"/>
      <c r="SZK10" s="9"/>
      <c r="SZL10" s="9"/>
      <c r="SZM10" s="9"/>
      <c r="SZN10" s="9"/>
      <c r="SZO10" s="9"/>
      <c r="SZP10" s="9"/>
      <c r="SZQ10" s="9"/>
      <c r="SZR10" s="9"/>
      <c r="SZS10" s="9"/>
      <c r="SZT10" s="9"/>
      <c r="SZU10" s="9"/>
      <c r="SZV10" s="9"/>
      <c r="SZW10" s="9"/>
      <c r="SZX10" s="9"/>
      <c r="SZY10" s="9"/>
      <c r="SZZ10" s="9"/>
      <c r="TAA10" s="9"/>
      <c r="TAB10" s="9"/>
      <c r="TAC10" s="9"/>
      <c r="TAD10" s="9"/>
      <c r="TAE10" s="9"/>
      <c r="TAF10" s="9"/>
      <c r="TAG10" s="9"/>
      <c r="TAH10" s="9"/>
      <c r="TAI10" s="9"/>
      <c r="TAJ10" s="9"/>
      <c r="TAK10" s="9"/>
      <c r="TAL10" s="9"/>
      <c r="TAM10" s="9"/>
      <c r="TAN10" s="9"/>
      <c r="TAO10" s="9"/>
      <c r="TAP10" s="9"/>
      <c r="TAQ10" s="9"/>
      <c r="TAR10" s="9"/>
      <c r="TAS10" s="9"/>
      <c r="TAT10" s="9"/>
      <c r="TAU10" s="9"/>
      <c r="TAV10" s="9"/>
      <c r="TAW10" s="9"/>
      <c r="TAX10" s="9"/>
      <c r="TAY10" s="9"/>
      <c r="TAZ10" s="9"/>
      <c r="TBA10" s="9"/>
      <c r="TBB10" s="9"/>
      <c r="TBC10" s="9"/>
      <c r="TBD10" s="9"/>
      <c r="TBE10" s="9"/>
      <c r="TBF10" s="9"/>
      <c r="TBG10" s="9"/>
      <c r="TBH10" s="9"/>
      <c r="TBI10" s="9"/>
      <c r="TBJ10" s="9"/>
      <c r="TBK10" s="9"/>
      <c r="TBL10" s="9"/>
      <c r="TBM10" s="9"/>
      <c r="TBN10" s="9"/>
      <c r="TBO10" s="9"/>
      <c r="TBP10" s="9"/>
      <c r="TBQ10" s="9"/>
      <c r="TBR10" s="9"/>
      <c r="TBS10" s="9"/>
      <c r="TBT10" s="9"/>
      <c r="TBU10" s="9"/>
      <c r="TBV10" s="9"/>
      <c r="TBW10" s="9"/>
      <c r="TBX10" s="9"/>
      <c r="TBY10" s="9"/>
      <c r="TBZ10" s="9"/>
      <c r="TCA10" s="9"/>
      <c r="TCB10" s="9"/>
      <c r="TCC10" s="9"/>
      <c r="TCD10" s="9"/>
      <c r="TCE10" s="9"/>
      <c r="TCF10" s="9"/>
      <c r="TCG10" s="9"/>
      <c r="TCH10" s="9"/>
      <c r="TCI10" s="9"/>
      <c r="TCJ10" s="9"/>
      <c r="TCK10" s="9"/>
      <c r="TCL10" s="9"/>
      <c r="TCM10" s="9"/>
      <c r="TCN10" s="9"/>
      <c r="TCO10" s="9"/>
      <c r="TCP10" s="9"/>
      <c r="TCQ10" s="9"/>
      <c r="TCR10" s="9"/>
      <c r="TCS10" s="9"/>
      <c r="TCT10" s="9"/>
      <c r="TCU10" s="9"/>
      <c r="TCV10" s="9"/>
      <c r="TCW10" s="9"/>
      <c r="TCX10" s="9"/>
      <c r="TCY10" s="9"/>
      <c r="TCZ10" s="9"/>
      <c r="TDA10" s="9"/>
      <c r="TDB10" s="9"/>
      <c r="TDC10" s="9"/>
      <c r="TDD10" s="9"/>
      <c r="TDE10" s="9"/>
      <c r="TDF10" s="9"/>
      <c r="TDG10" s="9"/>
      <c r="TDH10" s="9"/>
      <c r="TDI10" s="9"/>
      <c r="TDJ10" s="9"/>
      <c r="TDK10" s="9"/>
      <c r="TDL10" s="9"/>
      <c r="TDM10" s="9"/>
      <c r="TDN10" s="9"/>
      <c r="TDO10" s="9"/>
      <c r="TDP10" s="9"/>
      <c r="TDQ10" s="9"/>
      <c r="TDR10" s="9"/>
      <c r="TDS10" s="9"/>
      <c r="TDT10" s="9"/>
      <c r="TDU10" s="9"/>
      <c r="TDV10" s="9"/>
      <c r="TDW10" s="9"/>
      <c r="TDX10" s="9"/>
      <c r="TDY10" s="9"/>
      <c r="TDZ10" s="9"/>
      <c r="TEA10" s="9"/>
      <c r="TEB10" s="9"/>
      <c r="TEC10" s="9"/>
      <c r="TED10" s="9"/>
      <c r="TEE10" s="9"/>
      <c r="TEF10" s="9"/>
      <c r="TEG10" s="9"/>
      <c r="TEH10" s="9"/>
      <c r="TEI10" s="9"/>
      <c r="TEJ10" s="9"/>
      <c r="TEK10" s="9"/>
      <c r="TEL10" s="9"/>
      <c r="TEM10" s="9"/>
      <c r="TEN10" s="9"/>
      <c r="TEO10" s="9"/>
      <c r="TEP10" s="9"/>
      <c r="TEQ10" s="9"/>
      <c r="TER10" s="9"/>
      <c r="TES10" s="9"/>
      <c r="TET10" s="9"/>
      <c r="TEU10" s="9"/>
      <c r="TEV10" s="9"/>
      <c r="TEW10" s="9"/>
      <c r="TEX10" s="9"/>
      <c r="TEY10" s="9"/>
      <c r="TEZ10" s="9"/>
      <c r="TFA10" s="9"/>
      <c r="TFB10" s="9"/>
      <c r="TFC10" s="9"/>
      <c r="TFD10" s="9"/>
      <c r="TFE10" s="9"/>
      <c r="TFF10" s="9"/>
      <c r="TFG10" s="9"/>
      <c r="TFH10" s="9"/>
      <c r="TFI10" s="9"/>
      <c r="TFJ10" s="9"/>
      <c r="TFK10" s="9"/>
      <c r="TFL10" s="9"/>
      <c r="TFM10" s="9"/>
      <c r="TFN10" s="9"/>
      <c r="TFO10" s="9"/>
      <c r="TFP10" s="9"/>
      <c r="TFQ10" s="9"/>
      <c r="TFR10" s="9"/>
      <c r="TFS10" s="9"/>
      <c r="TFT10" s="9"/>
      <c r="TFU10" s="9"/>
      <c r="TFV10" s="9"/>
      <c r="TFW10" s="9"/>
      <c r="TFX10" s="9"/>
      <c r="TFY10" s="9"/>
      <c r="TFZ10" s="9"/>
      <c r="TGA10" s="9"/>
      <c r="TGB10" s="9"/>
      <c r="TGC10" s="9"/>
      <c r="TGD10" s="9"/>
      <c r="TGE10" s="9"/>
      <c r="TGF10" s="9"/>
      <c r="TGG10" s="9"/>
      <c r="TGH10" s="9"/>
      <c r="TGI10" s="9"/>
      <c r="TGJ10" s="9"/>
      <c r="TGK10" s="9"/>
      <c r="TGL10" s="9"/>
      <c r="TGM10" s="9"/>
      <c r="TGN10" s="9"/>
      <c r="TGO10" s="9"/>
      <c r="TGP10" s="9"/>
      <c r="TGQ10" s="9"/>
      <c r="TGR10" s="9"/>
      <c r="TGS10" s="9"/>
      <c r="TGT10" s="9"/>
      <c r="TGU10" s="9"/>
      <c r="TGV10" s="9"/>
      <c r="TGW10" s="9"/>
      <c r="TGX10" s="9"/>
      <c r="TGY10" s="9"/>
      <c r="TGZ10" s="9"/>
      <c r="THA10" s="9"/>
      <c r="THB10" s="9"/>
      <c r="THC10" s="9"/>
      <c r="THD10" s="9"/>
      <c r="THE10" s="9"/>
      <c r="THF10" s="9"/>
      <c r="THG10" s="9"/>
      <c r="THH10" s="9"/>
      <c r="THI10" s="9"/>
      <c r="THJ10" s="9"/>
      <c r="THK10" s="9"/>
      <c r="THL10" s="9"/>
      <c r="THM10" s="9"/>
      <c r="THN10" s="9"/>
      <c r="THO10" s="9"/>
      <c r="THP10" s="9"/>
      <c r="THQ10" s="9"/>
      <c r="THR10" s="9"/>
      <c r="THS10" s="9"/>
      <c r="THT10" s="9"/>
      <c r="THU10" s="9"/>
      <c r="THV10" s="9"/>
      <c r="THW10" s="9"/>
      <c r="THX10" s="9"/>
      <c r="THY10" s="9"/>
      <c r="THZ10" s="9"/>
      <c r="TIA10" s="9"/>
      <c r="TIB10" s="9"/>
      <c r="TIC10" s="9"/>
      <c r="TID10" s="9"/>
      <c r="TIE10" s="9"/>
      <c r="TIF10" s="9"/>
      <c r="TIG10" s="9"/>
      <c r="TIH10" s="9"/>
      <c r="TII10" s="9"/>
      <c r="TIJ10" s="9"/>
      <c r="TIK10" s="9"/>
      <c r="TIL10" s="9"/>
      <c r="TIM10" s="9"/>
      <c r="TIN10" s="9"/>
      <c r="TIO10" s="9"/>
      <c r="TIP10" s="9"/>
      <c r="TIQ10" s="9"/>
      <c r="TIR10" s="9"/>
      <c r="TIS10" s="9"/>
      <c r="TIT10" s="9"/>
      <c r="TIU10" s="9"/>
      <c r="TIV10" s="9"/>
      <c r="TIW10" s="9"/>
      <c r="TIX10" s="9"/>
      <c r="TIY10" s="9"/>
      <c r="TIZ10" s="9"/>
      <c r="TJA10" s="9"/>
      <c r="TJB10" s="9"/>
      <c r="TJC10" s="9"/>
      <c r="TJD10" s="9"/>
      <c r="TJE10" s="9"/>
      <c r="TJF10" s="9"/>
      <c r="TJG10" s="9"/>
      <c r="TJH10" s="9"/>
      <c r="TJI10" s="9"/>
      <c r="TJJ10" s="9"/>
      <c r="TJK10" s="9"/>
      <c r="TJL10" s="9"/>
      <c r="TJM10" s="9"/>
      <c r="TJN10" s="9"/>
      <c r="TJO10" s="9"/>
      <c r="TJP10" s="9"/>
      <c r="TJQ10" s="9"/>
      <c r="TJR10" s="9"/>
      <c r="TJS10" s="9"/>
      <c r="TJT10" s="9"/>
      <c r="TJU10" s="9"/>
      <c r="TJV10" s="9"/>
      <c r="TJW10" s="9"/>
      <c r="TJX10" s="9"/>
      <c r="TJY10" s="9"/>
      <c r="TJZ10" s="9"/>
      <c r="TKA10" s="9"/>
      <c r="TKB10" s="9"/>
      <c r="TKC10" s="9"/>
      <c r="TKD10" s="9"/>
      <c r="TKE10" s="9"/>
      <c r="TKF10" s="9"/>
      <c r="TKG10" s="9"/>
      <c r="TKH10" s="9"/>
      <c r="TKI10" s="9"/>
      <c r="TKJ10" s="9"/>
      <c r="TKK10" s="9"/>
      <c r="TKL10" s="9"/>
      <c r="TKM10" s="9"/>
      <c r="TKN10" s="9"/>
      <c r="TKO10" s="9"/>
      <c r="TKP10" s="9"/>
      <c r="TKQ10" s="9"/>
      <c r="TKR10" s="9"/>
      <c r="TKS10" s="9"/>
      <c r="TKT10" s="9"/>
      <c r="TKU10" s="9"/>
      <c r="TKV10" s="9"/>
      <c r="TKW10" s="9"/>
      <c r="TKX10" s="9"/>
      <c r="TKY10" s="9"/>
      <c r="TKZ10" s="9"/>
      <c r="TLA10" s="9"/>
      <c r="TLB10" s="9"/>
      <c r="TLC10" s="9"/>
      <c r="TLD10" s="9"/>
      <c r="TLE10" s="9"/>
      <c r="TLF10" s="9"/>
      <c r="TLG10" s="9"/>
      <c r="TLH10" s="9"/>
      <c r="TLI10" s="9"/>
      <c r="TLJ10" s="9"/>
      <c r="TLK10" s="9"/>
      <c r="TLL10" s="9"/>
      <c r="TLM10" s="9"/>
      <c r="TLN10" s="9"/>
      <c r="TLO10" s="9"/>
      <c r="TLP10" s="9"/>
      <c r="TLQ10" s="9"/>
      <c r="TLR10" s="9"/>
      <c r="TLS10" s="9"/>
      <c r="TLT10" s="9"/>
      <c r="TLU10" s="9"/>
      <c r="TLV10" s="9"/>
      <c r="TLW10" s="9"/>
      <c r="TLX10" s="9"/>
      <c r="TLY10" s="9"/>
      <c r="TLZ10" s="9"/>
      <c r="TMA10" s="9"/>
      <c r="TMB10" s="9"/>
      <c r="TMC10" s="9"/>
      <c r="TMD10" s="9"/>
      <c r="TME10" s="9"/>
      <c r="TMF10" s="9"/>
      <c r="TMG10" s="9"/>
      <c r="TMH10" s="9"/>
      <c r="TMI10" s="9"/>
      <c r="TMJ10" s="9"/>
      <c r="TMK10" s="9"/>
      <c r="TML10" s="9"/>
      <c r="TMM10" s="9"/>
      <c r="TMN10" s="9"/>
      <c r="TMO10" s="9"/>
      <c r="TMP10" s="9"/>
      <c r="TMQ10" s="9"/>
      <c r="TMR10" s="9"/>
      <c r="TMS10" s="9"/>
      <c r="TMT10" s="9"/>
      <c r="TMU10" s="9"/>
      <c r="TMV10" s="9"/>
      <c r="TMW10" s="9"/>
      <c r="TMX10" s="9"/>
      <c r="TMY10" s="9"/>
      <c r="TMZ10" s="9"/>
      <c r="TNA10" s="9"/>
      <c r="TNB10" s="9"/>
      <c r="TNC10" s="9"/>
      <c r="TND10" s="9"/>
      <c r="TNE10" s="9"/>
      <c r="TNF10" s="9"/>
      <c r="TNG10" s="9"/>
      <c r="TNH10" s="9"/>
      <c r="TNI10" s="9"/>
      <c r="TNJ10" s="9"/>
      <c r="TNK10" s="9"/>
      <c r="TNL10" s="9"/>
      <c r="TNM10" s="9"/>
      <c r="TNN10" s="9"/>
      <c r="TNO10" s="9"/>
      <c r="TNP10" s="9"/>
      <c r="TNQ10" s="9"/>
      <c r="TNR10" s="9"/>
      <c r="TNS10" s="9"/>
      <c r="TNT10" s="9"/>
      <c r="TNU10" s="9"/>
      <c r="TNV10" s="9"/>
      <c r="TNW10" s="9"/>
      <c r="TNX10" s="9"/>
      <c r="TNY10" s="9"/>
      <c r="TNZ10" s="9"/>
      <c r="TOA10" s="9"/>
      <c r="TOB10" s="9"/>
      <c r="TOC10" s="9"/>
      <c r="TOD10" s="9"/>
      <c r="TOE10" s="9"/>
      <c r="TOF10" s="9"/>
      <c r="TOG10" s="9"/>
      <c r="TOH10" s="9"/>
      <c r="TOI10" s="9"/>
      <c r="TOJ10" s="9"/>
      <c r="TOK10" s="9"/>
      <c r="TOL10" s="9"/>
      <c r="TOM10" s="9"/>
      <c r="TON10" s="9"/>
      <c r="TOO10" s="9"/>
      <c r="TOP10" s="9"/>
      <c r="TOQ10" s="9"/>
      <c r="TOR10" s="9"/>
      <c r="TOS10" s="9"/>
      <c r="TOT10" s="9"/>
      <c r="TOU10" s="9"/>
      <c r="TOV10" s="9"/>
      <c r="TOW10" s="9"/>
      <c r="TOX10" s="9"/>
      <c r="TOY10" s="9"/>
      <c r="TOZ10" s="9"/>
      <c r="TPA10" s="9"/>
      <c r="TPB10" s="9"/>
      <c r="TPC10" s="9"/>
      <c r="TPD10" s="9"/>
      <c r="TPE10" s="9"/>
      <c r="TPF10" s="9"/>
      <c r="TPG10" s="9"/>
      <c r="TPH10" s="9"/>
      <c r="TPI10" s="9"/>
      <c r="TPJ10" s="9"/>
      <c r="TPK10" s="9"/>
      <c r="TPL10" s="9"/>
      <c r="TPM10" s="9"/>
      <c r="TPN10" s="9"/>
      <c r="TPO10" s="9"/>
      <c r="TPP10" s="9"/>
      <c r="TPQ10" s="9"/>
      <c r="TPR10" s="9"/>
      <c r="TPS10" s="9"/>
      <c r="TPT10" s="9"/>
      <c r="TPU10" s="9"/>
      <c r="TPV10" s="9"/>
      <c r="TPW10" s="9"/>
      <c r="TPX10" s="9"/>
      <c r="TPY10" s="9"/>
      <c r="TPZ10" s="9"/>
      <c r="TQA10" s="9"/>
      <c r="TQB10" s="9"/>
      <c r="TQC10" s="9"/>
      <c r="TQD10" s="9"/>
      <c r="TQE10" s="9"/>
      <c r="TQF10" s="9"/>
      <c r="TQG10" s="9"/>
      <c r="TQH10" s="9"/>
      <c r="TQI10" s="9"/>
      <c r="TQJ10" s="9"/>
      <c r="TQK10" s="9"/>
      <c r="TQL10" s="9"/>
      <c r="TQM10" s="9"/>
      <c r="TQN10" s="9"/>
      <c r="TQO10" s="9"/>
      <c r="TQP10" s="9"/>
      <c r="TQQ10" s="9"/>
      <c r="TQR10" s="9"/>
      <c r="TQS10" s="9"/>
      <c r="TQT10" s="9"/>
      <c r="TQU10" s="9"/>
      <c r="TQV10" s="9"/>
      <c r="TQW10" s="9"/>
      <c r="TQX10" s="9"/>
      <c r="TQY10" s="9"/>
      <c r="TQZ10" s="9"/>
      <c r="TRA10" s="9"/>
      <c r="TRB10" s="9"/>
      <c r="TRC10" s="9"/>
      <c r="TRD10" s="9"/>
      <c r="TRE10" s="9"/>
      <c r="TRF10" s="9"/>
      <c r="TRG10" s="9"/>
      <c r="TRH10" s="9"/>
      <c r="TRI10" s="9"/>
      <c r="TRJ10" s="9"/>
      <c r="TRK10" s="9"/>
      <c r="TRL10" s="9"/>
      <c r="TRM10" s="9"/>
      <c r="TRN10" s="9"/>
      <c r="TRO10" s="9"/>
      <c r="TRP10" s="9"/>
      <c r="TRQ10" s="9"/>
      <c r="TRR10" s="9"/>
      <c r="TRS10" s="9"/>
      <c r="TRT10" s="9"/>
      <c r="TRU10" s="9"/>
      <c r="TRV10" s="9"/>
      <c r="TRW10" s="9"/>
      <c r="TRX10" s="9"/>
      <c r="TRY10" s="9"/>
      <c r="TRZ10" s="9"/>
      <c r="TSA10" s="9"/>
      <c r="TSB10" s="9"/>
      <c r="TSC10" s="9"/>
      <c r="TSD10" s="9"/>
      <c r="TSE10" s="9"/>
      <c r="TSF10" s="9"/>
      <c r="TSG10" s="9"/>
      <c r="TSH10" s="9"/>
      <c r="TSI10" s="9"/>
      <c r="TSJ10" s="9"/>
      <c r="TSK10" s="9"/>
      <c r="TSL10" s="9"/>
      <c r="TSM10" s="9"/>
      <c r="TSN10" s="9"/>
      <c r="TSO10" s="9"/>
      <c r="TSP10" s="9"/>
      <c r="TSQ10" s="9"/>
      <c r="TSR10" s="9"/>
      <c r="TSS10" s="9"/>
      <c r="TST10" s="9"/>
      <c r="TSU10" s="9"/>
      <c r="TSV10" s="9"/>
      <c r="TSW10" s="9"/>
      <c r="TSX10" s="9"/>
      <c r="TSY10" s="9"/>
      <c r="TSZ10" s="9"/>
      <c r="TTA10" s="9"/>
      <c r="TTB10" s="9"/>
      <c r="TTC10" s="9"/>
      <c r="TTD10" s="9"/>
      <c r="TTE10" s="9"/>
      <c r="TTF10" s="9"/>
      <c r="TTG10" s="9"/>
      <c r="TTH10" s="9"/>
      <c r="TTI10" s="9"/>
      <c r="TTJ10" s="9"/>
      <c r="TTK10" s="9"/>
      <c r="TTL10" s="9"/>
      <c r="TTM10" s="9"/>
      <c r="TTN10" s="9"/>
      <c r="TTO10" s="9"/>
      <c r="TTP10" s="9"/>
      <c r="TTQ10" s="9"/>
      <c r="TTR10" s="9"/>
      <c r="TTS10" s="9"/>
      <c r="TTT10" s="9"/>
      <c r="TTU10" s="9"/>
      <c r="TTV10" s="9"/>
      <c r="TTW10" s="9"/>
      <c r="TTX10" s="9"/>
      <c r="TTY10" s="9"/>
      <c r="TTZ10" s="9"/>
      <c r="TUA10" s="9"/>
      <c r="TUB10" s="9"/>
      <c r="TUC10" s="9"/>
      <c r="TUD10" s="9"/>
      <c r="TUE10" s="9"/>
      <c r="TUF10" s="9"/>
      <c r="TUG10" s="9"/>
      <c r="TUH10" s="9"/>
      <c r="TUI10" s="9"/>
      <c r="TUJ10" s="9"/>
      <c r="TUK10" s="9"/>
      <c r="TUL10" s="9"/>
      <c r="TUM10" s="9"/>
      <c r="TUN10" s="9"/>
      <c r="TUO10" s="9"/>
      <c r="TUP10" s="9"/>
      <c r="TUQ10" s="9"/>
      <c r="TUR10" s="9"/>
      <c r="TUS10" s="9"/>
      <c r="TUT10" s="9"/>
      <c r="TUU10" s="9"/>
      <c r="TUV10" s="9"/>
      <c r="TUW10" s="9"/>
      <c r="TUX10" s="9"/>
      <c r="TUY10" s="9"/>
      <c r="TUZ10" s="9"/>
      <c r="TVA10" s="9"/>
      <c r="TVB10" s="9"/>
      <c r="TVC10" s="9"/>
      <c r="TVD10" s="9"/>
      <c r="TVE10" s="9"/>
      <c r="TVF10" s="9"/>
      <c r="TVG10" s="9"/>
      <c r="TVH10" s="9"/>
      <c r="TVI10" s="9"/>
      <c r="TVJ10" s="9"/>
      <c r="TVK10" s="9"/>
      <c r="TVL10" s="9"/>
      <c r="TVM10" s="9"/>
      <c r="TVN10" s="9"/>
      <c r="TVO10" s="9"/>
      <c r="TVP10" s="9"/>
      <c r="TVQ10" s="9"/>
      <c r="TVR10" s="9"/>
      <c r="TVS10" s="9"/>
      <c r="TVT10" s="9"/>
      <c r="TVU10" s="9"/>
      <c r="TVV10" s="9"/>
      <c r="TVW10" s="9"/>
      <c r="TVX10" s="9"/>
      <c r="TVY10" s="9"/>
      <c r="TVZ10" s="9"/>
      <c r="TWA10" s="9"/>
      <c r="TWB10" s="9"/>
      <c r="TWC10" s="9"/>
      <c r="TWD10" s="9"/>
      <c r="TWE10" s="9"/>
      <c r="TWF10" s="9"/>
      <c r="TWG10" s="9"/>
      <c r="TWH10" s="9"/>
      <c r="TWI10" s="9"/>
      <c r="TWJ10" s="9"/>
      <c r="TWK10" s="9"/>
      <c r="TWL10" s="9"/>
      <c r="TWM10" s="9"/>
      <c r="TWN10" s="9"/>
      <c r="TWO10" s="9"/>
      <c r="TWP10" s="9"/>
      <c r="TWQ10" s="9"/>
      <c r="TWR10" s="9"/>
      <c r="TWS10" s="9"/>
      <c r="TWT10" s="9"/>
      <c r="TWU10" s="9"/>
      <c r="TWV10" s="9"/>
      <c r="TWW10" s="9"/>
      <c r="TWX10" s="9"/>
      <c r="TWY10" s="9"/>
      <c r="TWZ10" s="9"/>
      <c r="TXA10" s="9"/>
      <c r="TXB10" s="9"/>
      <c r="TXC10" s="9"/>
      <c r="TXD10" s="9"/>
      <c r="TXE10" s="9"/>
      <c r="TXF10" s="9"/>
      <c r="TXG10" s="9"/>
      <c r="TXH10" s="9"/>
      <c r="TXI10" s="9"/>
      <c r="TXJ10" s="9"/>
      <c r="TXK10" s="9"/>
      <c r="TXL10" s="9"/>
      <c r="TXM10" s="9"/>
      <c r="TXN10" s="9"/>
      <c r="TXO10" s="9"/>
      <c r="TXP10" s="9"/>
      <c r="TXQ10" s="9"/>
      <c r="TXR10" s="9"/>
      <c r="TXS10" s="9"/>
      <c r="TXT10" s="9"/>
      <c r="TXU10" s="9"/>
      <c r="TXV10" s="9"/>
      <c r="TXW10" s="9"/>
      <c r="TXX10" s="9"/>
      <c r="TXY10" s="9"/>
      <c r="TXZ10" s="9"/>
      <c r="TYA10" s="9"/>
      <c r="TYB10" s="9"/>
      <c r="TYC10" s="9"/>
      <c r="TYD10" s="9"/>
      <c r="TYE10" s="9"/>
      <c r="TYF10" s="9"/>
      <c r="TYG10" s="9"/>
      <c r="TYH10" s="9"/>
      <c r="TYI10" s="9"/>
      <c r="TYJ10" s="9"/>
      <c r="TYK10" s="9"/>
      <c r="TYL10" s="9"/>
      <c r="TYM10" s="9"/>
      <c r="TYN10" s="9"/>
      <c r="TYO10" s="9"/>
      <c r="TYP10" s="9"/>
      <c r="TYQ10" s="9"/>
      <c r="TYR10" s="9"/>
      <c r="TYS10" s="9"/>
      <c r="TYT10" s="9"/>
      <c r="TYU10" s="9"/>
      <c r="TYV10" s="9"/>
      <c r="TYW10" s="9"/>
      <c r="TYX10" s="9"/>
      <c r="TYY10" s="9"/>
      <c r="TYZ10" s="9"/>
      <c r="TZA10" s="9"/>
      <c r="TZB10" s="9"/>
      <c r="TZC10" s="9"/>
      <c r="TZD10" s="9"/>
      <c r="TZE10" s="9"/>
      <c r="TZF10" s="9"/>
      <c r="TZG10" s="9"/>
      <c r="TZH10" s="9"/>
      <c r="TZI10" s="9"/>
      <c r="TZJ10" s="9"/>
      <c r="TZK10" s="9"/>
      <c r="TZL10" s="9"/>
      <c r="TZM10" s="9"/>
      <c r="TZN10" s="9"/>
      <c r="TZO10" s="9"/>
      <c r="TZP10" s="9"/>
      <c r="TZQ10" s="9"/>
      <c r="TZR10" s="9"/>
      <c r="TZS10" s="9"/>
      <c r="TZT10" s="9"/>
      <c r="TZU10" s="9"/>
      <c r="TZV10" s="9"/>
      <c r="TZW10" s="9"/>
      <c r="TZX10" s="9"/>
      <c r="TZY10" s="9"/>
      <c r="TZZ10" s="9"/>
      <c r="UAA10" s="9"/>
      <c r="UAB10" s="9"/>
      <c r="UAC10" s="9"/>
      <c r="UAD10" s="9"/>
      <c r="UAE10" s="9"/>
      <c r="UAF10" s="9"/>
      <c r="UAG10" s="9"/>
      <c r="UAH10" s="9"/>
      <c r="UAI10" s="9"/>
      <c r="UAJ10" s="9"/>
      <c r="UAK10" s="9"/>
      <c r="UAL10" s="9"/>
      <c r="UAM10" s="9"/>
      <c r="UAN10" s="9"/>
      <c r="UAO10" s="9"/>
      <c r="UAP10" s="9"/>
      <c r="UAQ10" s="9"/>
      <c r="UAR10" s="9"/>
      <c r="UAS10" s="9"/>
      <c r="UAT10" s="9"/>
      <c r="UAU10" s="9"/>
      <c r="UAV10" s="9"/>
      <c r="UAW10" s="9"/>
      <c r="UAX10" s="9"/>
      <c r="UAY10" s="9"/>
      <c r="UAZ10" s="9"/>
      <c r="UBA10" s="9"/>
      <c r="UBB10" s="9"/>
      <c r="UBC10" s="9"/>
      <c r="UBD10" s="9"/>
      <c r="UBE10" s="9"/>
      <c r="UBF10" s="9"/>
      <c r="UBG10" s="9"/>
      <c r="UBH10" s="9"/>
      <c r="UBI10" s="9"/>
      <c r="UBJ10" s="9"/>
      <c r="UBK10" s="9"/>
      <c r="UBL10" s="9"/>
      <c r="UBM10" s="9"/>
      <c r="UBN10" s="9"/>
      <c r="UBO10" s="9"/>
      <c r="UBP10" s="9"/>
      <c r="UBQ10" s="9"/>
      <c r="UBR10" s="9"/>
      <c r="UBS10" s="9"/>
      <c r="UBT10" s="9"/>
      <c r="UBU10" s="9"/>
      <c r="UBV10" s="9"/>
      <c r="UBW10" s="9"/>
      <c r="UBX10" s="9"/>
      <c r="UBY10" s="9"/>
      <c r="UBZ10" s="9"/>
      <c r="UCA10" s="9"/>
      <c r="UCB10" s="9"/>
      <c r="UCC10" s="9"/>
      <c r="UCD10" s="9"/>
      <c r="UCE10" s="9"/>
      <c r="UCF10" s="9"/>
      <c r="UCG10" s="9"/>
      <c r="UCH10" s="9"/>
      <c r="UCI10" s="9"/>
      <c r="UCJ10" s="9"/>
      <c r="UCK10" s="9"/>
      <c r="UCL10" s="9"/>
      <c r="UCM10" s="9"/>
      <c r="UCN10" s="9"/>
      <c r="UCO10" s="9"/>
      <c r="UCP10" s="9"/>
      <c r="UCQ10" s="9"/>
      <c r="UCR10" s="9"/>
      <c r="UCS10" s="9"/>
      <c r="UCT10" s="9"/>
      <c r="UCU10" s="9"/>
      <c r="UCV10" s="9"/>
      <c r="UCW10" s="9"/>
      <c r="UCX10" s="9"/>
      <c r="UCY10" s="9"/>
      <c r="UCZ10" s="9"/>
      <c r="UDA10" s="9"/>
      <c r="UDB10" s="9"/>
      <c r="UDC10" s="9"/>
      <c r="UDD10" s="9"/>
      <c r="UDE10" s="9"/>
      <c r="UDF10" s="9"/>
      <c r="UDG10" s="9"/>
      <c r="UDH10" s="9"/>
      <c r="UDI10" s="9"/>
      <c r="UDJ10" s="9"/>
      <c r="UDK10" s="9"/>
      <c r="UDL10" s="9"/>
      <c r="UDM10" s="9"/>
      <c r="UDN10" s="9"/>
      <c r="UDO10" s="9"/>
      <c r="UDP10" s="9"/>
      <c r="UDQ10" s="9"/>
      <c r="UDR10" s="9"/>
      <c r="UDS10" s="9"/>
      <c r="UDT10" s="9"/>
      <c r="UDU10" s="9"/>
      <c r="UDV10" s="9"/>
      <c r="UDW10" s="9"/>
      <c r="UDX10" s="9"/>
      <c r="UDY10" s="9"/>
      <c r="UDZ10" s="9"/>
      <c r="UEA10" s="9"/>
      <c r="UEB10" s="9"/>
      <c r="UEC10" s="9"/>
      <c r="UED10" s="9"/>
      <c r="UEE10" s="9"/>
      <c r="UEF10" s="9"/>
      <c r="UEG10" s="9"/>
      <c r="UEH10" s="9"/>
      <c r="UEI10" s="9"/>
      <c r="UEJ10" s="9"/>
      <c r="UEK10" s="9"/>
      <c r="UEL10" s="9"/>
      <c r="UEM10" s="9"/>
      <c r="UEN10" s="9"/>
      <c r="UEO10" s="9"/>
      <c r="UEP10" s="9"/>
      <c r="UEQ10" s="9"/>
      <c r="UER10" s="9"/>
      <c r="UES10" s="9"/>
      <c r="UET10" s="9"/>
      <c r="UEU10" s="9"/>
      <c r="UEV10" s="9"/>
      <c r="UEW10" s="9"/>
      <c r="UEX10" s="9"/>
      <c r="UEY10" s="9"/>
      <c r="UEZ10" s="9"/>
      <c r="UFA10" s="9"/>
      <c r="UFB10" s="9"/>
      <c r="UFC10" s="9"/>
      <c r="UFD10" s="9"/>
      <c r="UFE10" s="9"/>
      <c r="UFF10" s="9"/>
      <c r="UFG10" s="9"/>
      <c r="UFH10" s="9"/>
      <c r="UFI10" s="9"/>
      <c r="UFJ10" s="9"/>
      <c r="UFK10" s="9"/>
      <c r="UFL10" s="9"/>
      <c r="UFM10" s="9"/>
      <c r="UFN10" s="9"/>
      <c r="UFO10" s="9"/>
      <c r="UFP10" s="9"/>
      <c r="UFQ10" s="9"/>
      <c r="UFR10" s="9"/>
      <c r="UFS10" s="9"/>
      <c r="UFT10" s="9"/>
      <c r="UFU10" s="9"/>
      <c r="UFV10" s="9"/>
      <c r="UFW10" s="9"/>
      <c r="UFX10" s="9"/>
      <c r="UFY10" s="9"/>
      <c r="UFZ10" s="9"/>
      <c r="UGA10" s="9"/>
      <c r="UGB10" s="9"/>
      <c r="UGC10" s="9"/>
      <c r="UGD10" s="9"/>
      <c r="UGE10" s="9"/>
      <c r="UGF10" s="9"/>
      <c r="UGG10" s="9"/>
      <c r="UGH10" s="9"/>
      <c r="UGI10" s="9"/>
      <c r="UGJ10" s="9"/>
      <c r="UGK10" s="9"/>
      <c r="UGL10" s="9"/>
      <c r="UGM10" s="9"/>
      <c r="UGN10" s="9"/>
      <c r="UGO10" s="9"/>
      <c r="UGP10" s="9"/>
      <c r="UGQ10" s="9"/>
      <c r="UGR10" s="9"/>
      <c r="UGS10" s="9"/>
      <c r="UGT10" s="9"/>
      <c r="UGU10" s="9"/>
      <c r="UGV10" s="9"/>
      <c r="UGW10" s="9"/>
      <c r="UGX10" s="9"/>
      <c r="UGY10" s="9"/>
      <c r="UGZ10" s="9"/>
      <c r="UHA10" s="9"/>
      <c r="UHB10" s="9"/>
      <c r="UHC10" s="9"/>
      <c r="UHD10" s="9"/>
      <c r="UHE10" s="9"/>
      <c r="UHF10" s="9"/>
      <c r="UHG10" s="9"/>
      <c r="UHH10" s="9"/>
      <c r="UHI10" s="9"/>
      <c r="UHJ10" s="9"/>
      <c r="UHK10" s="9"/>
      <c r="UHL10" s="9"/>
      <c r="UHM10" s="9"/>
      <c r="UHN10" s="9"/>
      <c r="UHO10" s="9"/>
      <c r="UHP10" s="9"/>
      <c r="UHQ10" s="9"/>
      <c r="UHR10" s="9"/>
      <c r="UHS10" s="9"/>
      <c r="UHT10" s="9"/>
      <c r="UHU10" s="9"/>
      <c r="UHV10" s="9"/>
      <c r="UHW10" s="9"/>
      <c r="UHX10" s="9"/>
      <c r="UHY10" s="9"/>
      <c r="UHZ10" s="9"/>
      <c r="UIA10" s="9"/>
      <c r="UIB10" s="9"/>
      <c r="UIC10" s="9"/>
      <c r="UID10" s="9"/>
      <c r="UIE10" s="9"/>
      <c r="UIF10" s="9"/>
      <c r="UIG10" s="9"/>
      <c r="UIH10" s="9"/>
      <c r="UII10" s="9"/>
      <c r="UIJ10" s="9"/>
      <c r="UIK10" s="9"/>
      <c r="UIL10" s="9"/>
      <c r="UIM10" s="9"/>
      <c r="UIN10" s="9"/>
      <c r="UIO10" s="9"/>
      <c r="UIP10" s="9"/>
      <c r="UIQ10" s="9"/>
      <c r="UIR10" s="9"/>
      <c r="UIS10" s="9"/>
      <c r="UIT10" s="9"/>
      <c r="UIU10" s="9"/>
      <c r="UIV10" s="9"/>
      <c r="UIW10" s="9"/>
      <c r="UIX10" s="9"/>
      <c r="UIY10" s="9"/>
      <c r="UIZ10" s="9"/>
      <c r="UJA10" s="9"/>
      <c r="UJB10" s="9"/>
      <c r="UJC10" s="9"/>
      <c r="UJD10" s="9"/>
      <c r="UJE10" s="9"/>
      <c r="UJF10" s="9"/>
      <c r="UJG10" s="9"/>
      <c r="UJH10" s="9"/>
      <c r="UJI10" s="9"/>
      <c r="UJJ10" s="9"/>
      <c r="UJK10" s="9"/>
      <c r="UJL10" s="9"/>
      <c r="UJM10" s="9"/>
      <c r="UJN10" s="9"/>
      <c r="UJO10" s="9"/>
      <c r="UJP10" s="9"/>
      <c r="UJQ10" s="9"/>
      <c r="UJR10" s="9"/>
      <c r="UJS10" s="9"/>
      <c r="UJT10" s="9"/>
      <c r="UJU10" s="9"/>
      <c r="UJV10" s="9"/>
      <c r="UJW10" s="9"/>
      <c r="UJX10" s="9"/>
      <c r="UJY10" s="9"/>
      <c r="UJZ10" s="9"/>
      <c r="UKA10" s="9"/>
      <c r="UKB10" s="9"/>
      <c r="UKC10" s="9"/>
      <c r="UKD10" s="9"/>
      <c r="UKE10" s="9"/>
      <c r="UKF10" s="9"/>
      <c r="UKG10" s="9"/>
      <c r="UKH10" s="9"/>
      <c r="UKI10" s="9"/>
      <c r="UKJ10" s="9"/>
      <c r="UKK10" s="9"/>
      <c r="UKL10" s="9"/>
      <c r="UKM10" s="9"/>
      <c r="UKN10" s="9"/>
      <c r="UKO10" s="9"/>
      <c r="UKP10" s="9"/>
      <c r="UKQ10" s="9"/>
      <c r="UKR10" s="9"/>
      <c r="UKS10" s="9"/>
      <c r="UKT10" s="9"/>
      <c r="UKU10" s="9"/>
      <c r="UKV10" s="9"/>
      <c r="UKW10" s="9"/>
      <c r="UKX10" s="9"/>
      <c r="UKY10" s="9"/>
      <c r="UKZ10" s="9"/>
      <c r="ULA10" s="9"/>
      <c r="ULB10" s="9"/>
      <c r="ULC10" s="9"/>
      <c r="ULD10" s="9"/>
      <c r="ULE10" s="9"/>
      <c r="ULF10" s="9"/>
      <c r="ULG10" s="9"/>
      <c r="ULH10" s="9"/>
      <c r="ULI10" s="9"/>
      <c r="ULJ10" s="9"/>
      <c r="ULK10" s="9"/>
      <c r="ULL10" s="9"/>
      <c r="ULM10" s="9"/>
      <c r="ULN10" s="9"/>
      <c r="ULO10" s="9"/>
      <c r="ULP10" s="9"/>
      <c r="ULQ10" s="9"/>
      <c r="ULR10" s="9"/>
      <c r="ULS10" s="9"/>
      <c r="ULT10" s="9"/>
      <c r="ULU10" s="9"/>
      <c r="ULV10" s="9"/>
      <c r="ULW10" s="9"/>
      <c r="ULX10" s="9"/>
      <c r="ULY10" s="9"/>
      <c r="ULZ10" s="9"/>
      <c r="UMA10" s="9"/>
      <c r="UMB10" s="9"/>
      <c r="UMC10" s="9"/>
      <c r="UMD10" s="9"/>
      <c r="UME10" s="9"/>
      <c r="UMF10" s="9"/>
      <c r="UMG10" s="9"/>
      <c r="UMH10" s="9"/>
      <c r="UMI10" s="9"/>
      <c r="UMJ10" s="9"/>
      <c r="UMK10" s="9"/>
      <c r="UML10" s="9"/>
      <c r="UMM10" s="9"/>
      <c r="UMN10" s="9"/>
      <c r="UMO10" s="9"/>
      <c r="UMP10" s="9"/>
      <c r="UMQ10" s="9"/>
      <c r="UMR10" s="9"/>
      <c r="UMS10" s="9"/>
      <c r="UMT10" s="9"/>
      <c r="UMU10" s="9"/>
      <c r="UMV10" s="9"/>
      <c r="UMW10" s="9"/>
      <c r="UMX10" s="9"/>
      <c r="UMY10" s="9"/>
      <c r="UMZ10" s="9"/>
      <c r="UNA10" s="9"/>
      <c r="UNB10" s="9"/>
      <c r="UNC10" s="9"/>
      <c r="UND10" s="9"/>
      <c r="UNE10" s="9"/>
      <c r="UNF10" s="9"/>
      <c r="UNG10" s="9"/>
      <c r="UNH10" s="9"/>
      <c r="UNI10" s="9"/>
      <c r="UNJ10" s="9"/>
      <c r="UNK10" s="9"/>
      <c r="UNL10" s="9"/>
      <c r="UNM10" s="9"/>
      <c r="UNN10" s="9"/>
      <c r="UNO10" s="9"/>
      <c r="UNP10" s="9"/>
      <c r="UNQ10" s="9"/>
      <c r="UNR10" s="9"/>
      <c r="UNS10" s="9"/>
      <c r="UNT10" s="9"/>
      <c r="UNU10" s="9"/>
      <c r="UNV10" s="9"/>
      <c r="UNW10" s="9"/>
      <c r="UNX10" s="9"/>
      <c r="UNY10" s="9"/>
      <c r="UNZ10" s="9"/>
      <c r="UOA10" s="9"/>
      <c r="UOB10" s="9"/>
      <c r="UOC10" s="9"/>
      <c r="UOD10" s="9"/>
      <c r="UOE10" s="9"/>
      <c r="UOF10" s="9"/>
      <c r="UOG10" s="9"/>
      <c r="UOH10" s="9"/>
      <c r="UOI10" s="9"/>
      <c r="UOJ10" s="9"/>
      <c r="UOK10" s="9"/>
      <c r="UOL10" s="9"/>
      <c r="UOM10" s="9"/>
      <c r="UON10" s="9"/>
      <c r="UOO10" s="9"/>
      <c r="UOP10" s="9"/>
      <c r="UOQ10" s="9"/>
      <c r="UOR10" s="9"/>
      <c r="UOS10" s="9"/>
      <c r="UOT10" s="9"/>
      <c r="UOU10" s="9"/>
      <c r="UOV10" s="9"/>
      <c r="UOW10" s="9"/>
      <c r="UOX10" s="9"/>
      <c r="UOY10" s="9"/>
      <c r="UOZ10" s="9"/>
      <c r="UPA10" s="9"/>
      <c r="UPB10" s="9"/>
      <c r="UPC10" s="9"/>
      <c r="UPD10" s="9"/>
      <c r="UPE10" s="9"/>
      <c r="UPF10" s="9"/>
      <c r="UPG10" s="9"/>
      <c r="UPH10" s="9"/>
      <c r="UPI10" s="9"/>
      <c r="UPJ10" s="9"/>
      <c r="UPK10" s="9"/>
      <c r="UPL10" s="9"/>
      <c r="UPM10" s="9"/>
      <c r="UPN10" s="9"/>
      <c r="UPO10" s="9"/>
      <c r="UPP10" s="9"/>
      <c r="UPQ10" s="9"/>
      <c r="UPR10" s="9"/>
      <c r="UPS10" s="9"/>
      <c r="UPT10" s="9"/>
      <c r="UPU10" s="9"/>
      <c r="UPV10" s="9"/>
      <c r="UPW10" s="9"/>
      <c r="UPX10" s="9"/>
      <c r="UPY10" s="9"/>
      <c r="UPZ10" s="9"/>
      <c r="UQA10" s="9"/>
      <c r="UQB10" s="9"/>
      <c r="UQC10" s="9"/>
      <c r="UQD10" s="9"/>
      <c r="UQE10" s="9"/>
      <c r="UQF10" s="9"/>
      <c r="UQG10" s="9"/>
      <c r="UQH10" s="9"/>
      <c r="UQI10" s="9"/>
      <c r="UQJ10" s="9"/>
      <c r="UQK10" s="9"/>
      <c r="UQL10" s="9"/>
      <c r="UQM10" s="9"/>
      <c r="UQN10" s="9"/>
      <c r="UQO10" s="9"/>
      <c r="UQP10" s="9"/>
      <c r="UQQ10" s="9"/>
      <c r="UQR10" s="9"/>
      <c r="UQS10" s="9"/>
      <c r="UQT10" s="9"/>
      <c r="UQU10" s="9"/>
      <c r="UQV10" s="9"/>
      <c r="UQW10" s="9"/>
      <c r="UQX10" s="9"/>
      <c r="UQY10" s="9"/>
      <c r="UQZ10" s="9"/>
      <c r="URA10" s="9"/>
      <c r="URB10" s="9"/>
      <c r="URC10" s="9"/>
      <c r="URD10" s="9"/>
      <c r="URE10" s="9"/>
      <c r="URF10" s="9"/>
      <c r="URG10" s="9"/>
      <c r="URH10" s="9"/>
      <c r="URI10" s="9"/>
      <c r="URJ10" s="9"/>
      <c r="URK10" s="9"/>
      <c r="URL10" s="9"/>
      <c r="URM10" s="9"/>
      <c r="URN10" s="9"/>
      <c r="URO10" s="9"/>
      <c r="URP10" s="9"/>
      <c r="URQ10" s="9"/>
      <c r="URR10" s="9"/>
      <c r="URS10" s="9"/>
      <c r="URT10" s="9"/>
      <c r="URU10" s="9"/>
      <c r="URV10" s="9"/>
      <c r="URW10" s="9"/>
      <c r="URX10" s="9"/>
      <c r="URY10" s="9"/>
      <c r="URZ10" s="9"/>
      <c r="USA10" s="9"/>
      <c r="USB10" s="9"/>
      <c r="USC10" s="9"/>
      <c r="USD10" s="9"/>
      <c r="USE10" s="9"/>
      <c r="USF10" s="9"/>
      <c r="USG10" s="9"/>
      <c r="USH10" s="9"/>
      <c r="USI10" s="9"/>
      <c r="USJ10" s="9"/>
      <c r="USK10" s="9"/>
      <c r="USL10" s="9"/>
      <c r="USM10" s="9"/>
      <c r="USN10" s="9"/>
      <c r="USO10" s="9"/>
      <c r="USP10" s="9"/>
      <c r="USQ10" s="9"/>
      <c r="USR10" s="9"/>
      <c r="USS10" s="9"/>
      <c r="UST10" s="9"/>
      <c r="USU10" s="9"/>
      <c r="USV10" s="9"/>
      <c r="USW10" s="9"/>
      <c r="USX10" s="9"/>
      <c r="USY10" s="9"/>
      <c r="USZ10" s="9"/>
      <c r="UTA10" s="9"/>
      <c r="UTB10" s="9"/>
      <c r="UTC10" s="9"/>
      <c r="UTD10" s="9"/>
      <c r="UTE10" s="9"/>
      <c r="UTF10" s="9"/>
      <c r="UTG10" s="9"/>
      <c r="UTH10" s="9"/>
      <c r="UTI10" s="9"/>
      <c r="UTJ10" s="9"/>
      <c r="UTK10" s="9"/>
      <c r="UTL10" s="9"/>
      <c r="UTM10" s="9"/>
      <c r="UTN10" s="9"/>
      <c r="UTO10" s="9"/>
      <c r="UTP10" s="9"/>
      <c r="UTQ10" s="9"/>
      <c r="UTR10" s="9"/>
      <c r="UTS10" s="9"/>
      <c r="UTT10" s="9"/>
      <c r="UTU10" s="9"/>
      <c r="UTV10" s="9"/>
      <c r="UTW10" s="9"/>
      <c r="UTX10" s="9"/>
      <c r="UTY10" s="9"/>
      <c r="UTZ10" s="9"/>
      <c r="UUA10" s="9"/>
      <c r="UUB10" s="9"/>
      <c r="UUC10" s="9"/>
      <c r="UUD10" s="9"/>
      <c r="UUE10" s="9"/>
      <c r="UUF10" s="9"/>
      <c r="UUG10" s="9"/>
      <c r="UUH10" s="9"/>
      <c r="UUI10" s="9"/>
      <c r="UUJ10" s="9"/>
      <c r="UUK10" s="9"/>
      <c r="UUL10" s="9"/>
      <c r="UUM10" s="9"/>
      <c r="UUN10" s="9"/>
      <c r="UUO10" s="9"/>
      <c r="UUP10" s="9"/>
      <c r="UUQ10" s="9"/>
      <c r="UUR10" s="9"/>
      <c r="UUS10" s="9"/>
      <c r="UUT10" s="9"/>
      <c r="UUU10" s="9"/>
      <c r="UUV10" s="9"/>
      <c r="UUW10" s="9"/>
      <c r="UUX10" s="9"/>
      <c r="UUY10" s="9"/>
      <c r="UUZ10" s="9"/>
      <c r="UVA10" s="9"/>
      <c r="UVB10" s="9"/>
      <c r="UVC10" s="9"/>
      <c r="UVD10" s="9"/>
      <c r="UVE10" s="9"/>
      <c r="UVF10" s="9"/>
      <c r="UVG10" s="9"/>
      <c r="UVH10" s="9"/>
      <c r="UVI10" s="9"/>
      <c r="UVJ10" s="9"/>
      <c r="UVK10" s="9"/>
      <c r="UVL10" s="9"/>
      <c r="UVM10" s="9"/>
      <c r="UVN10" s="9"/>
      <c r="UVO10" s="9"/>
      <c r="UVP10" s="9"/>
      <c r="UVQ10" s="9"/>
      <c r="UVR10" s="9"/>
      <c r="UVS10" s="9"/>
      <c r="UVT10" s="9"/>
      <c r="UVU10" s="9"/>
      <c r="UVV10" s="9"/>
      <c r="UVW10" s="9"/>
      <c r="UVX10" s="9"/>
      <c r="UVY10" s="9"/>
      <c r="UVZ10" s="9"/>
      <c r="UWA10" s="9"/>
      <c r="UWB10" s="9"/>
      <c r="UWC10" s="9"/>
      <c r="UWD10" s="9"/>
      <c r="UWE10" s="9"/>
      <c r="UWF10" s="9"/>
      <c r="UWG10" s="9"/>
      <c r="UWH10" s="9"/>
      <c r="UWI10" s="9"/>
      <c r="UWJ10" s="9"/>
      <c r="UWK10" s="9"/>
      <c r="UWL10" s="9"/>
      <c r="UWM10" s="9"/>
      <c r="UWN10" s="9"/>
      <c r="UWO10" s="9"/>
      <c r="UWP10" s="9"/>
      <c r="UWQ10" s="9"/>
      <c r="UWR10" s="9"/>
      <c r="UWS10" s="9"/>
      <c r="UWT10" s="9"/>
      <c r="UWU10" s="9"/>
      <c r="UWV10" s="9"/>
      <c r="UWW10" s="9"/>
      <c r="UWX10" s="9"/>
      <c r="UWY10" s="9"/>
      <c r="UWZ10" s="9"/>
      <c r="UXA10" s="9"/>
      <c r="UXB10" s="9"/>
      <c r="UXC10" s="9"/>
      <c r="UXD10" s="9"/>
      <c r="UXE10" s="9"/>
      <c r="UXF10" s="9"/>
      <c r="UXG10" s="9"/>
      <c r="UXH10" s="9"/>
      <c r="UXI10" s="9"/>
      <c r="UXJ10" s="9"/>
      <c r="UXK10" s="9"/>
      <c r="UXL10" s="9"/>
      <c r="UXM10" s="9"/>
      <c r="UXN10" s="9"/>
      <c r="UXO10" s="9"/>
      <c r="UXP10" s="9"/>
      <c r="UXQ10" s="9"/>
      <c r="UXR10" s="9"/>
      <c r="UXS10" s="9"/>
      <c r="UXT10" s="9"/>
      <c r="UXU10" s="9"/>
      <c r="UXV10" s="9"/>
      <c r="UXW10" s="9"/>
      <c r="UXX10" s="9"/>
      <c r="UXY10" s="9"/>
      <c r="UXZ10" s="9"/>
      <c r="UYA10" s="9"/>
      <c r="UYB10" s="9"/>
      <c r="UYC10" s="9"/>
      <c r="UYD10" s="9"/>
      <c r="UYE10" s="9"/>
      <c r="UYF10" s="9"/>
      <c r="UYG10" s="9"/>
      <c r="UYH10" s="9"/>
      <c r="UYI10" s="9"/>
      <c r="UYJ10" s="9"/>
      <c r="UYK10" s="9"/>
      <c r="UYL10" s="9"/>
      <c r="UYM10" s="9"/>
      <c r="UYN10" s="9"/>
      <c r="UYO10" s="9"/>
      <c r="UYP10" s="9"/>
      <c r="UYQ10" s="9"/>
      <c r="UYR10" s="9"/>
      <c r="UYS10" s="9"/>
      <c r="UYT10" s="9"/>
      <c r="UYU10" s="9"/>
      <c r="UYV10" s="9"/>
      <c r="UYW10" s="9"/>
      <c r="UYX10" s="9"/>
      <c r="UYY10" s="9"/>
      <c r="UYZ10" s="9"/>
      <c r="UZA10" s="9"/>
      <c r="UZB10" s="9"/>
      <c r="UZC10" s="9"/>
      <c r="UZD10" s="9"/>
      <c r="UZE10" s="9"/>
      <c r="UZF10" s="9"/>
      <c r="UZG10" s="9"/>
      <c r="UZH10" s="9"/>
      <c r="UZI10" s="9"/>
      <c r="UZJ10" s="9"/>
      <c r="UZK10" s="9"/>
      <c r="UZL10" s="9"/>
      <c r="UZM10" s="9"/>
      <c r="UZN10" s="9"/>
      <c r="UZO10" s="9"/>
      <c r="UZP10" s="9"/>
      <c r="UZQ10" s="9"/>
      <c r="UZR10" s="9"/>
      <c r="UZS10" s="9"/>
      <c r="UZT10" s="9"/>
      <c r="UZU10" s="9"/>
      <c r="UZV10" s="9"/>
      <c r="UZW10" s="9"/>
      <c r="UZX10" s="9"/>
      <c r="UZY10" s="9"/>
      <c r="UZZ10" s="9"/>
      <c r="VAA10" s="9"/>
      <c r="VAB10" s="9"/>
      <c r="VAC10" s="9"/>
      <c r="VAD10" s="9"/>
      <c r="VAE10" s="9"/>
      <c r="VAF10" s="9"/>
      <c r="VAG10" s="9"/>
      <c r="VAH10" s="9"/>
      <c r="VAI10" s="9"/>
      <c r="VAJ10" s="9"/>
      <c r="VAK10" s="9"/>
      <c r="VAL10" s="9"/>
      <c r="VAM10" s="9"/>
      <c r="VAN10" s="9"/>
      <c r="VAO10" s="9"/>
      <c r="VAP10" s="9"/>
      <c r="VAQ10" s="9"/>
      <c r="VAR10" s="9"/>
      <c r="VAS10" s="9"/>
      <c r="VAT10" s="9"/>
      <c r="VAU10" s="9"/>
      <c r="VAV10" s="9"/>
      <c r="VAW10" s="9"/>
      <c r="VAX10" s="9"/>
      <c r="VAY10" s="9"/>
      <c r="VAZ10" s="9"/>
      <c r="VBA10" s="9"/>
      <c r="VBB10" s="9"/>
      <c r="VBC10" s="9"/>
      <c r="VBD10" s="9"/>
      <c r="VBE10" s="9"/>
      <c r="VBF10" s="9"/>
      <c r="VBG10" s="9"/>
      <c r="VBH10" s="9"/>
      <c r="VBI10" s="9"/>
      <c r="VBJ10" s="9"/>
      <c r="VBK10" s="9"/>
      <c r="VBL10" s="9"/>
      <c r="VBM10" s="9"/>
      <c r="VBN10" s="9"/>
      <c r="VBO10" s="9"/>
      <c r="VBP10" s="9"/>
      <c r="VBQ10" s="9"/>
      <c r="VBR10" s="9"/>
      <c r="VBS10" s="9"/>
      <c r="VBT10" s="9"/>
      <c r="VBU10" s="9"/>
      <c r="VBV10" s="9"/>
      <c r="VBW10" s="9"/>
      <c r="VBX10" s="9"/>
      <c r="VBY10" s="9"/>
      <c r="VBZ10" s="9"/>
      <c r="VCA10" s="9"/>
      <c r="VCB10" s="9"/>
      <c r="VCC10" s="9"/>
      <c r="VCD10" s="9"/>
      <c r="VCE10" s="9"/>
      <c r="VCF10" s="9"/>
      <c r="VCG10" s="9"/>
      <c r="VCH10" s="9"/>
      <c r="VCI10" s="9"/>
      <c r="VCJ10" s="9"/>
      <c r="VCK10" s="9"/>
      <c r="VCL10" s="9"/>
      <c r="VCM10" s="9"/>
      <c r="VCN10" s="9"/>
      <c r="VCO10" s="9"/>
      <c r="VCP10" s="9"/>
      <c r="VCQ10" s="9"/>
      <c r="VCR10" s="9"/>
      <c r="VCS10" s="9"/>
      <c r="VCT10" s="9"/>
      <c r="VCU10" s="9"/>
      <c r="VCV10" s="9"/>
      <c r="VCW10" s="9"/>
      <c r="VCX10" s="9"/>
      <c r="VCY10" s="9"/>
      <c r="VCZ10" s="9"/>
      <c r="VDA10" s="9"/>
      <c r="VDB10" s="9"/>
      <c r="VDC10" s="9"/>
      <c r="VDD10" s="9"/>
      <c r="VDE10" s="9"/>
      <c r="VDF10" s="9"/>
      <c r="VDG10" s="9"/>
      <c r="VDH10" s="9"/>
      <c r="VDI10" s="9"/>
      <c r="VDJ10" s="9"/>
      <c r="VDK10" s="9"/>
      <c r="VDL10" s="9"/>
      <c r="VDM10" s="9"/>
      <c r="VDN10" s="9"/>
      <c r="VDO10" s="9"/>
      <c r="VDP10" s="9"/>
      <c r="VDQ10" s="9"/>
      <c r="VDR10" s="9"/>
      <c r="VDS10" s="9"/>
      <c r="VDT10" s="9"/>
      <c r="VDU10" s="9"/>
      <c r="VDV10" s="9"/>
      <c r="VDW10" s="9"/>
      <c r="VDX10" s="9"/>
      <c r="VDY10" s="9"/>
      <c r="VDZ10" s="9"/>
      <c r="VEA10" s="9"/>
      <c r="VEB10" s="9"/>
      <c r="VEC10" s="9"/>
      <c r="VED10" s="9"/>
      <c r="VEE10" s="9"/>
      <c r="VEF10" s="9"/>
      <c r="VEG10" s="9"/>
      <c r="VEH10" s="9"/>
      <c r="VEI10" s="9"/>
      <c r="VEJ10" s="9"/>
      <c r="VEK10" s="9"/>
      <c r="VEL10" s="9"/>
      <c r="VEM10" s="9"/>
      <c r="VEN10" s="9"/>
      <c r="VEO10" s="9"/>
      <c r="VEP10" s="9"/>
      <c r="VEQ10" s="9"/>
      <c r="VER10" s="9"/>
      <c r="VES10" s="9"/>
      <c r="VET10" s="9"/>
      <c r="VEU10" s="9"/>
      <c r="VEV10" s="9"/>
      <c r="VEW10" s="9"/>
      <c r="VEX10" s="9"/>
      <c r="VEY10" s="9"/>
      <c r="VEZ10" s="9"/>
      <c r="VFA10" s="9"/>
      <c r="VFB10" s="9"/>
      <c r="VFC10" s="9"/>
      <c r="VFD10" s="9"/>
      <c r="VFE10" s="9"/>
      <c r="VFF10" s="9"/>
      <c r="VFG10" s="9"/>
      <c r="VFH10" s="9"/>
      <c r="VFI10" s="9"/>
      <c r="VFJ10" s="9"/>
      <c r="VFK10" s="9"/>
      <c r="VFL10" s="9"/>
      <c r="VFM10" s="9"/>
      <c r="VFN10" s="9"/>
      <c r="VFO10" s="9"/>
      <c r="VFP10" s="9"/>
      <c r="VFQ10" s="9"/>
      <c r="VFR10" s="9"/>
      <c r="VFS10" s="9"/>
      <c r="VFT10" s="9"/>
      <c r="VFU10" s="9"/>
      <c r="VFV10" s="9"/>
      <c r="VFW10" s="9"/>
      <c r="VFX10" s="9"/>
      <c r="VFY10" s="9"/>
      <c r="VFZ10" s="9"/>
      <c r="VGA10" s="9"/>
      <c r="VGB10" s="9"/>
      <c r="VGC10" s="9"/>
      <c r="VGD10" s="9"/>
      <c r="VGE10" s="9"/>
      <c r="VGF10" s="9"/>
      <c r="VGG10" s="9"/>
      <c r="VGH10" s="9"/>
      <c r="VGI10" s="9"/>
      <c r="VGJ10" s="9"/>
      <c r="VGK10" s="9"/>
      <c r="VGL10" s="9"/>
      <c r="VGM10" s="9"/>
      <c r="VGN10" s="9"/>
      <c r="VGO10" s="9"/>
      <c r="VGP10" s="9"/>
      <c r="VGQ10" s="9"/>
      <c r="VGR10" s="9"/>
      <c r="VGS10" s="9"/>
      <c r="VGT10" s="9"/>
      <c r="VGU10" s="9"/>
      <c r="VGV10" s="9"/>
      <c r="VGW10" s="9"/>
      <c r="VGX10" s="9"/>
      <c r="VGY10" s="9"/>
      <c r="VGZ10" s="9"/>
      <c r="VHA10" s="9"/>
      <c r="VHB10" s="9"/>
      <c r="VHC10" s="9"/>
      <c r="VHD10" s="9"/>
      <c r="VHE10" s="9"/>
      <c r="VHF10" s="9"/>
      <c r="VHG10" s="9"/>
      <c r="VHH10" s="9"/>
      <c r="VHI10" s="9"/>
      <c r="VHJ10" s="9"/>
      <c r="VHK10" s="9"/>
      <c r="VHL10" s="9"/>
      <c r="VHM10" s="9"/>
      <c r="VHN10" s="9"/>
      <c r="VHO10" s="9"/>
      <c r="VHP10" s="9"/>
      <c r="VHQ10" s="9"/>
      <c r="VHR10" s="9"/>
      <c r="VHS10" s="9"/>
      <c r="VHT10" s="9"/>
      <c r="VHU10" s="9"/>
      <c r="VHV10" s="9"/>
      <c r="VHW10" s="9"/>
      <c r="VHX10" s="9"/>
      <c r="VHY10" s="9"/>
      <c r="VHZ10" s="9"/>
      <c r="VIA10" s="9"/>
      <c r="VIB10" s="9"/>
      <c r="VIC10" s="9"/>
      <c r="VID10" s="9"/>
      <c r="VIE10" s="9"/>
      <c r="VIF10" s="9"/>
      <c r="VIG10" s="9"/>
      <c r="VIH10" s="9"/>
      <c r="VII10" s="9"/>
      <c r="VIJ10" s="9"/>
      <c r="VIK10" s="9"/>
      <c r="VIL10" s="9"/>
      <c r="VIM10" s="9"/>
      <c r="VIN10" s="9"/>
      <c r="VIO10" s="9"/>
      <c r="VIP10" s="9"/>
      <c r="VIQ10" s="9"/>
      <c r="VIR10" s="9"/>
      <c r="VIS10" s="9"/>
      <c r="VIT10" s="9"/>
      <c r="VIU10" s="9"/>
      <c r="VIV10" s="9"/>
      <c r="VIW10" s="9"/>
      <c r="VIX10" s="9"/>
      <c r="VIY10" s="9"/>
      <c r="VIZ10" s="9"/>
      <c r="VJA10" s="9"/>
      <c r="VJB10" s="9"/>
      <c r="VJC10" s="9"/>
      <c r="VJD10" s="9"/>
      <c r="VJE10" s="9"/>
      <c r="VJF10" s="9"/>
      <c r="VJG10" s="9"/>
      <c r="VJH10" s="9"/>
      <c r="VJI10" s="9"/>
      <c r="VJJ10" s="9"/>
      <c r="VJK10" s="9"/>
      <c r="VJL10" s="9"/>
      <c r="VJM10" s="9"/>
      <c r="VJN10" s="9"/>
      <c r="VJO10" s="9"/>
      <c r="VJP10" s="9"/>
      <c r="VJQ10" s="9"/>
      <c r="VJR10" s="9"/>
      <c r="VJS10" s="9"/>
      <c r="VJT10" s="9"/>
      <c r="VJU10" s="9"/>
      <c r="VJV10" s="9"/>
      <c r="VJW10" s="9"/>
      <c r="VJX10" s="9"/>
      <c r="VJY10" s="9"/>
      <c r="VJZ10" s="9"/>
      <c r="VKA10" s="9"/>
      <c r="VKB10" s="9"/>
      <c r="VKC10" s="9"/>
      <c r="VKD10" s="9"/>
      <c r="VKE10" s="9"/>
      <c r="VKF10" s="9"/>
      <c r="VKG10" s="9"/>
      <c r="VKH10" s="9"/>
      <c r="VKI10" s="9"/>
      <c r="VKJ10" s="9"/>
      <c r="VKK10" s="9"/>
      <c r="VKL10" s="9"/>
      <c r="VKM10" s="9"/>
      <c r="VKN10" s="9"/>
      <c r="VKO10" s="9"/>
      <c r="VKP10" s="9"/>
      <c r="VKQ10" s="9"/>
      <c r="VKR10" s="9"/>
      <c r="VKS10" s="9"/>
      <c r="VKT10" s="9"/>
      <c r="VKU10" s="9"/>
      <c r="VKV10" s="9"/>
      <c r="VKW10" s="9"/>
      <c r="VKX10" s="9"/>
      <c r="VKY10" s="9"/>
      <c r="VKZ10" s="9"/>
      <c r="VLA10" s="9"/>
      <c r="VLB10" s="9"/>
      <c r="VLC10" s="9"/>
      <c r="VLD10" s="9"/>
      <c r="VLE10" s="9"/>
      <c r="VLF10" s="9"/>
      <c r="VLG10" s="9"/>
      <c r="VLH10" s="9"/>
      <c r="VLI10" s="9"/>
      <c r="VLJ10" s="9"/>
      <c r="VLK10" s="9"/>
      <c r="VLL10" s="9"/>
      <c r="VLM10" s="9"/>
      <c r="VLN10" s="9"/>
      <c r="VLO10" s="9"/>
      <c r="VLP10" s="9"/>
      <c r="VLQ10" s="9"/>
      <c r="VLR10" s="9"/>
      <c r="VLS10" s="9"/>
      <c r="VLT10" s="9"/>
      <c r="VLU10" s="9"/>
      <c r="VLV10" s="9"/>
      <c r="VLW10" s="9"/>
      <c r="VLX10" s="9"/>
      <c r="VLY10" s="9"/>
      <c r="VLZ10" s="9"/>
      <c r="VMA10" s="9"/>
      <c r="VMB10" s="9"/>
      <c r="VMC10" s="9"/>
      <c r="VMD10" s="9"/>
      <c r="VME10" s="9"/>
      <c r="VMF10" s="9"/>
      <c r="VMG10" s="9"/>
      <c r="VMH10" s="9"/>
      <c r="VMI10" s="9"/>
      <c r="VMJ10" s="9"/>
      <c r="VMK10" s="9"/>
      <c r="VML10" s="9"/>
      <c r="VMM10" s="9"/>
      <c r="VMN10" s="9"/>
      <c r="VMO10" s="9"/>
      <c r="VMP10" s="9"/>
      <c r="VMQ10" s="9"/>
      <c r="VMR10" s="9"/>
      <c r="VMS10" s="9"/>
      <c r="VMT10" s="9"/>
      <c r="VMU10" s="9"/>
      <c r="VMV10" s="9"/>
      <c r="VMW10" s="9"/>
      <c r="VMX10" s="9"/>
      <c r="VMY10" s="9"/>
      <c r="VMZ10" s="9"/>
      <c r="VNA10" s="9"/>
      <c r="VNB10" s="9"/>
      <c r="VNC10" s="9"/>
      <c r="VND10" s="9"/>
      <c r="VNE10" s="9"/>
      <c r="VNF10" s="9"/>
      <c r="VNG10" s="9"/>
      <c r="VNH10" s="9"/>
      <c r="VNI10" s="9"/>
      <c r="VNJ10" s="9"/>
      <c r="VNK10" s="9"/>
      <c r="VNL10" s="9"/>
      <c r="VNM10" s="9"/>
      <c r="VNN10" s="9"/>
      <c r="VNO10" s="9"/>
      <c r="VNP10" s="9"/>
      <c r="VNQ10" s="9"/>
      <c r="VNR10" s="9"/>
      <c r="VNS10" s="9"/>
      <c r="VNT10" s="9"/>
      <c r="VNU10" s="9"/>
      <c r="VNV10" s="9"/>
      <c r="VNW10" s="9"/>
      <c r="VNX10" s="9"/>
      <c r="VNY10" s="9"/>
      <c r="VNZ10" s="9"/>
      <c r="VOA10" s="9"/>
      <c r="VOB10" s="9"/>
      <c r="VOC10" s="9"/>
      <c r="VOD10" s="9"/>
      <c r="VOE10" s="9"/>
      <c r="VOF10" s="9"/>
      <c r="VOG10" s="9"/>
      <c r="VOH10" s="9"/>
      <c r="VOI10" s="9"/>
      <c r="VOJ10" s="9"/>
      <c r="VOK10" s="9"/>
      <c r="VOL10" s="9"/>
      <c r="VOM10" s="9"/>
      <c r="VON10" s="9"/>
      <c r="VOO10" s="9"/>
      <c r="VOP10" s="9"/>
      <c r="VOQ10" s="9"/>
      <c r="VOR10" s="9"/>
      <c r="VOS10" s="9"/>
      <c r="VOT10" s="9"/>
      <c r="VOU10" s="9"/>
      <c r="VOV10" s="9"/>
      <c r="VOW10" s="9"/>
      <c r="VOX10" s="9"/>
      <c r="VOY10" s="9"/>
      <c r="VOZ10" s="9"/>
      <c r="VPA10" s="9"/>
      <c r="VPB10" s="9"/>
      <c r="VPC10" s="9"/>
      <c r="VPD10" s="9"/>
      <c r="VPE10" s="9"/>
      <c r="VPF10" s="9"/>
      <c r="VPG10" s="9"/>
      <c r="VPH10" s="9"/>
      <c r="VPI10" s="9"/>
      <c r="VPJ10" s="9"/>
      <c r="VPK10" s="9"/>
      <c r="VPL10" s="9"/>
      <c r="VPM10" s="9"/>
      <c r="VPN10" s="9"/>
      <c r="VPO10" s="9"/>
      <c r="VPP10" s="9"/>
      <c r="VPQ10" s="9"/>
      <c r="VPR10" s="9"/>
      <c r="VPS10" s="9"/>
      <c r="VPT10" s="9"/>
      <c r="VPU10" s="9"/>
      <c r="VPV10" s="9"/>
      <c r="VPW10" s="9"/>
      <c r="VPX10" s="9"/>
      <c r="VPY10" s="9"/>
      <c r="VPZ10" s="9"/>
      <c r="VQA10" s="9"/>
      <c r="VQB10" s="9"/>
      <c r="VQC10" s="9"/>
      <c r="VQD10" s="9"/>
      <c r="VQE10" s="9"/>
      <c r="VQF10" s="9"/>
      <c r="VQG10" s="9"/>
      <c r="VQH10" s="9"/>
      <c r="VQI10" s="9"/>
      <c r="VQJ10" s="9"/>
      <c r="VQK10" s="9"/>
      <c r="VQL10" s="9"/>
      <c r="VQM10" s="9"/>
      <c r="VQN10" s="9"/>
      <c r="VQO10" s="9"/>
      <c r="VQP10" s="9"/>
      <c r="VQQ10" s="9"/>
      <c r="VQR10" s="9"/>
      <c r="VQS10" s="9"/>
      <c r="VQT10" s="9"/>
      <c r="VQU10" s="9"/>
      <c r="VQV10" s="9"/>
      <c r="VQW10" s="9"/>
      <c r="VQX10" s="9"/>
      <c r="VQY10" s="9"/>
      <c r="VQZ10" s="9"/>
      <c r="VRA10" s="9"/>
      <c r="VRB10" s="9"/>
      <c r="VRC10" s="9"/>
      <c r="VRD10" s="9"/>
      <c r="VRE10" s="9"/>
      <c r="VRF10" s="9"/>
      <c r="VRG10" s="9"/>
      <c r="VRH10" s="9"/>
      <c r="VRI10" s="9"/>
      <c r="VRJ10" s="9"/>
      <c r="VRK10" s="9"/>
      <c r="VRL10" s="9"/>
      <c r="VRM10" s="9"/>
      <c r="VRN10" s="9"/>
      <c r="VRO10" s="9"/>
      <c r="VRP10" s="9"/>
      <c r="VRQ10" s="9"/>
      <c r="VRR10" s="9"/>
      <c r="VRS10" s="9"/>
      <c r="VRT10" s="9"/>
      <c r="VRU10" s="9"/>
      <c r="VRV10" s="9"/>
      <c r="VRW10" s="9"/>
      <c r="VRX10" s="9"/>
      <c r="VRY10" s="9"/>
      <c r="VRZ10" s="9"/>
      <c r="VSA10" s="9"/>
      <c r="VSB10" s="9"/>
      <c r="VSC10" s="9"/>
      <c r="VSD10" s="9"/>
      <c r="VSE10" s="9"/>
      <c r="VSF10" s="9"/>
      <c r="VSG10" s="9"/>
      <c r="VSH10" s="9"/>
      <c r="VSI10" s="9"/>
      <c r="VSJ10" s="9"/>
      <c r="VSK10" s="9"/>
      <c r="VSL10" s="9"/>
      <c r="VSM10" s="9"/>
      <c r="VSN10" s="9"/>
      <c r="VSO10" s="9"/>
      <c r="VSP10" s="9"/>
      <c r="VSQ10" s="9"/>
      <c r="VSR10" s="9"/>
      <c r="VSS10" s="9"/>
      <c r="VST10" s="9"/>
      <c r="VSU10" s="9"/>
      <c r="VSV10" s="9"/>
      <c r="VSW10" s="9"/>
      <c r="VSX10" s="9"/>
      <c r="VSY10" s="9"/>
      <c r="VSZ10" s="9"/>
      <c r="VTA10" s="9"/>
      <c r="VTB10" s="9"/>
      <c r="VTC10" s="9"/>
      <c r="VTD10" s="9"/>
      <c r="VTE10" s="9"/>
      <c r="VTF10" s="9"/>
      <c r="VTG10" s="9"/>
      <c r="VTH10" s="9"/>
      <c r="VTI10" s="9"/>
      <c r="VTJ10" s="9"/>
      <c r="VTK10" s="9"/>
      <c r="VTL10" s="9"/>
      <c r="VTM10" s="9"/>
      <c r="VTN10" s="9"/>
      <c r="VTO10" s="9"/>
      <c r="VTP10" s="9"/>
      <c r="VTQ10" s="9"/>
      <c r="VTR10" s="9"/>
      <c r="VTS10" s="9"/>
      <c r="VTT10" s="9"/>
      <c r="VTU10" s="9"/>
      <c r="VTV10" s="9"/>
      <c r="VTW10" s="9"/>
      <c r="VTX10" s="9"/>
      <c r="VTY10" s="9"/>
      <c r="VTZ10" s="9"/>
      <c r="VUA10" s="9"/>
      <c r="VUB10" s="9"/>
      <c r="VUC10" s="9"/>
      <c r="VUD10" s="9"/>
      <c r="VUE10" s="9"/>
      <c r="VUF10" s="9"/>
      <c r="VUG10" s="9"/>
      <c r="VUH10" s="9"/>
      <c r="VUI10" s="9"/>
      <c r="VUJ10" s="9"/>
      <c r="VUK10" s="9"/>
      <c r="VUL10" s="9"/>
      <c r="VUM10" s="9"/>
      <c r="VUN10" s="9"/>
      <c r="VUO10" s="9"/>
      <c r="VUP10" s="9"/>
      <c r="VUQ10" s="9"/>
      <c r="VUR10" s="9"/>
      <c r="VUS10" s="9"/>
      <c r="VUT10" s="9"/>
      <c r="VUU10" s="9"/>
      <c r="VUV10" s="9"/>
      <c r="VUW10" s="9"/>
      <c r="VUX10" s="9"/>
      <c r="VUY10" s="9"/>
      <c r="VUZ10" s="9"/>
      <c r="VVA10" s="9"/>
      <c r="VVB10" s="9"/>
      <c r="VVC10" s="9"/>
      <c r="VVD10" s="9"/>
      <c r="VVE10" s="9"/>
      <c r="VVF10" s="9"/>
      <c r="VVG10" s="9"/>
      <c r="VVH10" s="9"/>
      <c r="VVI10" s="9"/>
      <c r="VVJ10" s="9"/>
      <c r="VVK10" s="9"/>
      <c r="VVL10" s="9"/>
      <c r="VVM10" s="9"/>
      <c r="VVN10" s="9"/>
      <c r="VVO10" s="9"/>
      <c r="VVP10" s="9"/>
      <c r="VVQ10" s="9"/>
      <c r="VVR10" s="9"/>
      <c r="VVS10" s="9"/>
      <c r="VVT10" s="9"/>
      <c r="VVU10" s="9"/>
      <c r="VVV10" s="9"/>
      <c r="VVW10" s="9"/>
      <c r="VVX10" s="9"/>
      <c r="VVY10" s="9"/>
      <c r="VVZ10" s="9"/>
      <c r="VWA10" s="9"/>
      <c r="VWB10" s="9"/>
      <c r="VWC10" s="9"/>
      <c r="VWD10" s="9"/>
      <c r="VWE10" s="9"/>
      <c r="VWF10" s="9"/>
      <c r="VWG10" s="9"/>
      <c r="VWH10" s="9"/>
      <c r="VWI10" s="9"/>
      <c r="VWJ10" s="9"/>
      <c r="VWK10" s="9"/>
      <c r="VWL10" s="9"/>
      <c r="VWM10" s="9"/>
      <c r="VWN10" s="9"/>
      <c r="VWO10" s="9"/>
      <c r="VWP10" s="9"/>
      <c r="VWQ10" s="9"/>
      <c r="VWR10" s="9"/>
      <c r="VWS10" s="9"/>
      <c r="VWT10" s="9"/>
      <c r="VWU10" s="9"/>
      <c r="VWV10" s="9"/>
      <c r="VWW10" s="9"/>
      <c r="VWX10" s="9"/>
      <c r="VWY10" s="9"/>
      <c r="VWZ10" s="9"/>
      <c r="VXA10" s="9"/>
      <c r="VXB10" s="9"/>
      <c r="VXC10" s="9"/>
      <c r="VXD10" s="9"/>
      <c r="VXE10" s="9"/>
      <c r="VXF10" s="9"/>
      <c r="VXG10" s="9"/>
      <c r="VXH10" s="9"/>
      <c r="VXI10" s="9"/>
      <c r="VXJ10" s="9"/>
      <c r="VXK10" s="9"/>
      <c r="VXL10" s="9"/>
      <c r="VXM10" s="9"/>
      <c r="VXN10" s="9"/>
      <c r="VXO10" s="9"/>
      <c r="VXP10" s="9"/>
      <c r="VXQ10" s="9"/>
      <c r="VXR10" s="9"/>
      <c r="VXS10" s="9"/>
      <c r="VXT10" s="9"/>
      <c r="VXU10" s="9"/>
      <c r="VXV10" s="9"/>
      <c r="VXW10" s="9"/>
      <c r="VXX10" s="9"/>
      <c r="VXY10" s="9"/>
      <c r="VXZ10" s="9"/>
      <c r="VYA10" s="9"/>
      <c r="VYB10" s="9"/>
      <c r="VYC10" s="9"/>
      <c r="VYD10" s="9"/>
      <c r="VYE10" s="9"/>
      <c r="VYF10" s="9"/>
      <c r="VYG10" s="9"/>
      <c r="VYH10" s="9"/>
      <c r="VYI10" s="9"/>
      <c r="VYJ10" s="9"/>
      <c r="VYK10" s="9"/>
      <c r="VYL10" s="9"/>
      <c r="VYM10" s="9"/>
      <c r="VYN10" s="9"/>
      <c r="VYO10" s="9"/>
      <c r="VYP10" s="9"/>
      <c r="VYQ10" s="9"/>
      <c r="VYR10" s="9"/>
      <c r="VYS10" s="9"/>
      <c r="VYT10" s="9"/>
      <c r="VYU10" s="9"/>
      <c r="VYV10" s="9"/>
      <c r="VYW10" s="9"/>
      <c r="VYX10" s="9"/>
      <c r="VYY10" s="9"/>
      <c r="VYZ10" s="9"/>
      <c r="VZA10" s="9"/>
      <c r="VZB10" s="9"/>
      <c r="VZC10" s="9"/>
      <c r="VZD10" s="9"/>
      <c r="VZE10" s="9"/>
      <c r="VZF10" s="9"/>
      <c r="VZG10" s="9"/>
      <c r="VZH10" s="9"/>
      <c r="VZI10" s="9"/>
      <c r="VZJ10" s="9"/>
      <c r="VZK10" s="9"/>
      <c r="VZL10" s="9"/>
      <c r="VZM10" s="9"/>
      <c r="VZN10" s="9"/>
      <c r="VZO10" s="9"/>
      <c r="VZP10" s="9"/>
      <c r="VZQ10" s="9"/>
      <c r="VZR10" s="9"/>
      <c r="VZS10" s="9"/>
      <c r="VZT10" s="9"/>
      <c r="VZU10" s="9"/>
      <c r="VZV10" s="9"/>
      <c r="VZW10" s="9"/>
      <c r="VZX10" s="9"/>
      <c r="VZY10" s="9"/>
      <c r="VZZ10" s="9"/>
      <c r="WAA10" s="9"/>
      <c r="WAB10" s="9"/>
      <c r="WAC10" s="9"/>
      <c r="WAD10" s="9"/>
      <c r="WAE10" s="9"/>
      <c r="WAF10" s="9"/>
      <c r="WAG10" s="9"/>
      <c r="WAH10" s="9"/>
      <c r="WAI10" s="9"/>
      <c r="WAJ10" s="9"/>
      <c r="WAK10" s="9"/>
      <c r="WAL10" s="9"/>
      <c r="WAM10" s="9"/>
      <c r="WAN10" s="9"/>
      <c r="WAO10" s="9"/>
      <c r="WAP10" s="9"/>
      <c r="WAQ10" s="9"/>
      <c r="WAR10" s="9"/>
      <c r="WAS10" s="9"/>
      <c r="WAT10" s="9"/>
      <c r="WAU10" s="9"/>
      <c r="WAV10" s="9"/>
      <c r="WAW10" s="9"/>
      <c r="WAX10" s="9"/>
      <c r="WAY10" s="9"/>
      <c r="WAZ10" s="9"/>
      <c r="WBA10" s="9"/>
      <c r="WBB10" s="9"/>
      <c r="WBC10" s="9"/>
      <c r="WBD10" s="9"/>
      <c r="WBE10" s="9"/>
      <c r="WBF10" s="9"/>
      <c r="WBG10" s="9"/>
      <c r="WBH10" s="9"/>
      <c r="WBI10" s="9"/>
      <c r="WBJ10" s="9"/>
      <c r="WBK10" s="9"/>
      <c r="WBL10" s="9"/>
      <c r="WBM10" s="9"/>
      <c r="WBN10" s="9"/>
      <c r="WBO10" s="9"/>
      <c r="WBP10" s="9"/>
      <c r="WBQ10" s="9"/>
      <c r="WBR10" s="9"/>
      <c r="WBS10" s="9"/>
      <c r="WBT10" s="9"/>
      <c r="WBU10" s="9"/>
      <c r="WBV10" s="9"/>
      <c r="WBW10" s="9"/>
      <c r="WBX10" s="9"/>
      <c r="WBY10" s="9"/>
      <c r="WBZ10" s="9"/>
      <c r="WCA10" s="9"/>
      <c r="WCB10" s="9"/>
      <c r="WCC10" s="9"/>
      <c r="WCD10" s="9"/>
      <c r="WCE10" s="9"/>
      <c r="WCF10" s="9"/>
      <c r="WCG10" s="9"/>
      <c r="WCH10" s="9"/>
      <c r="WCI10" s="9"/>
      <c r="WCJ10" s="9"/>
      <c r="WCK10" s="9"/>
      <c r="WCL10" s="9"/>
      <c r="WCM10" s="9"/>
      <c r="WCN10" s="9"/>
      <c r="WCO10" s="9"/>
      <c r="WCP10" s="9"/>
      <c r="WCQ10" s="9"/>
      <c r="WCR10" s="9"/>
      <c r="WCS10" s="9"/>
      <c r="WCT10" s="9"/>
      <c r="WCU10" s="9"/>
      <c r="WCV10" s="9"/>
      <c r="WCW10" s="9"/>
      <c r="WCX10" s="9"/>
      <c r="WCY10" s="9"/>
      <c r="WCZ10" s="9"/>
      <c r="WDA10" s="9"/>
      <c r="WDB10" s="9"/>
      <c r="WDC10" s="9"/>
      <c r="WDD10" s="9"/>
      <c r="WDE10" s="9"/>
      <c r="WDF10" s="9"/>
      <c r="WDG10" s="9"/>
      <c r="WDH10" s="9"/>
      <c r="WDI10" s="9"/>
      <c r="WDJ10" s="9"/>
      <c r="WDK10" s="9"/>
      <c r="WDL10" s="9"/>
      <c r="WDM10" s="9"/>
      <c r="WDN10" s="9"/>
      <c r="WDO10" s="9"/>
      <c r="WDP10" s="9"/>
      <c r="WDQ10" s="9"/>
      <c r="WDR10" s="9"/>
      <c r="WDS10" s="9"/>
      <c r="WDT10" s="9"/>
      <c r="WDU10" s="9"/>
      <c r="WDV10" s="9"/>
      <c r="WDW10" s="9"/>
      <c r="WDX10" s="9"/>
      <c r="WDY10" s="9"/>
      <c r="WDZ10" s="9"/>
      <c r="WEA10" s="9"/>
      <c r="WEB10" s="9"/>
      <c r="WEC10" s="9"/>
      <c r="WED10" s="9"/>
      <c r="WEE10" s="9"/>
      <c r="WEF10" s="9"/>
      <c r="WEG10" s="9"/>
      <c r="WEH10" s="9"/>
      <c r="WEI10" s="9"/>
      <c r="WEJ10" s="9"/>
      <c r="WEK10" s="9"/>
      <c r="WEL10" s="9"/>
      <c r="WEM10" s="9"/>
      <c r="WEN10" s="9"/>
      <c r="WEO10" s="9"/>
      <c r="WEP10" s="9"/>
      <c r="WEQ10" s="9"/>
      <c r="WER10" s="9"/>
      <c r="WES10" s="9"/>
      <c r="WET10" s="9"/>
      <c r="WEU10" s="9"/>
      <c r="WEV10" s="9"/>
      <c r="WEW10" s="9"/>
      <c r="WEX10" s="9"/>
      <c r="WEY10" s="9"/>
      <c r="WEZ10" s="9"/>
      <c r="WFA10" s="9"/>
      <c r="WFB10" s="9"/>
      <c r="WFC10" s="9"/>
      <c r="WFD10" s="9"/>
      <c r="WFE10" s="9"/>
      <c r="WFF10" s="9"/>
      <c r="WFG10" s="9"/>
      <c r="WFH10" s="9"/>
      <c r="WFI10" s="9"/>
      <c r="WFJ10" s="9"/>
      <c r="WFK10" s="9"/>
      <c r="WFL10" s="9"/>
      <c r="WFM10" s="9"/>
      <c r="WFN10" s="9"/>
      <c r="WFO10" s="9"/>
      <c r="WFP10" s="9"/>
      <c r="WFQ10" s="9"/>
      <c r="WFR10" s="9"/>
      <c r="WFS10" s="9"/>
      <c r="WFT10" s="9"/>
      <c r="WFU10" s="9"/>
      <c r="WFV10" s="9"/>
      <c r="WFW10" s="9"/>
      <c r="WFX10" s="9"/>
      <c r="WFY10" s="9"/>
      <c r="WFZ10" s="9"/>
      <c r="WGA10" s="9"/>
      <c r="WGB10" s="9"/>
      <c r="WGC10" s="9"/>
      <c r="WGD10" s="9"/>
      <c r="WGE10" s="9"/>
      <c r="WGF10" s="9"/>
      <c r="WGG10" s="9"/>
      <c r="WGH10" s="9"/>
      <c r="WGI10" s="9"/>
      <c r="WGJ10" s="9"/>
      <c r="WGK10" s="9"/>
      <c r="WGL10" s="9"/>
      <c r="WGM10" s="9"/>
      <c r="WGN10" s="9"/>
      <c r="WGO10" s="9"/>
      <c r="WGP10" s="9"/>
      <c r="WGQ10" s="9"/>
      <c r="WGR10" s="9"/>
      <c r="WGS10" s="9"/>
      <c r="WGT10" s="9"/>
      <c r="WGU10" s="9"/>
      <c r="WGV10" s="9"/>
      <c r="WGW10" s="9"/>
      <c r="WGX10" s="9"/>
      <c r="WGY10" s="9"/>
      <c r="WGZ10" s="9"/>
      <c r="WHA10" s="9"/>
      <c r="WHB10" s="9"/>
      <c r="WHC10" s="9"/>
      <c r="WHD10" s="9"/>
      <c r="WHE10" s="9"/>
      <c r="WHF10" s="9"/>
      <c r="WHG10" s="9"/>
      <c r="WHH10" s="9"/>
      <c r="WHI10" s="9"/>
      <c r="WHJ10" s="9"/>
      <c r="WHK10" s="9"/>
      <c r="WHL10" s="9"/>
      <c r="WHM10" s="9"/>
      <c r="WHN10" s="9"/>
      <c r="WHO10" s="9"/>
      <c r="WHP10" s="9"/>
      <c r="WHQ10" s="9"/>
      <c r="WHR10" s="9"/>
      <c r="WHS10" s="9"/>
      <c r="WHT10" s="9"/>
      <c r="WHU10" s="9"/>
      <c r="WHV10" s="9"/>
      <c r="WHW10" s="9"/>
      <c r="WHX10" s="9"/>
      <c r="WHY10" s="9"/>
      <c r="WHZ10" s="9"/>
      <c r="WIA10" s="9"/>
      <c r="WIB10" s="9"/>
      <c r="WIC10" s="9"/>
      <c r="WID10" s="9"/>
      <c r="WIE10" s="9"/>
      <c r="WIF10" s="9"/>
      <c r="WIG10" s="9"/>
      <c r="WIH10" s="9"/>
      <c r="WII10" s="9"/>
      <c r="WIJ10" s="9"/>
      <c r="WIK10" s="9"/>
      <c r="WIL10" s="9"/>
      <c r="WIM10" s="9"/>
      <c r="WIN10" s="9"/>
      <c r="WIO10" s="9"/>
      <c r="WIP10" s="9"/>
      <c r="WIQ10" s="9"/>
      <c r="WIR10" s="9"/>
      <c r="WIS10" s="9"/>
      <c r="WIT10" s="9"/>
      <c r="WIU10" s="9"/>
      <c r="WIV10" s="9"/>
      <c r="WIW10" s="9"/>
      <c r="WIX10" s="9"/>
      <c r="WIY10" s="9"/>
      <c r="WIZ10" s="9"/>
      <c r="WJA10" s="9"/>
      <c r="WJB10" s="9"/>
      <c r="WJC10" s="9"/>
      <c r="WJD10" s="9"/>
      <c r="WJE10" s="9"/>
      <c r="WJF10" s="9"/>
      <c r="WJG10" s="9"/>
      <c r="WJH10" s="9"/>
      <c r="WJI10" s="9"/>
      <c r="WJJ10" s="9"/>
      <c r="WJK10" s="9"/>
      <c r="WJL10" s="9"/>
      <c r="WJM10" s="9"/>
      <c r="WJN10" s="9"/>
      <c r="WJO10" s="9"/>
      <c r="WJP10" s="9"/>
      <c r="WJQ10" s="9"/>
      <c r="WJR10" s="9"/>
      <c r="WJS10" s="9"/>
      <c r="WJT10" s="9"/>
      <c r="WJU10" s="9"/>
      <c r="WJV10" s="9"/>
      <c r="WJW10" s="9"/>
      <c r="WJX10" s="9"/>
      <c r="WJY10" s="9"/>
      <c r="WJZ10" s="9"/>
      <c r="WKA10" s="9"/>
      <c r="WKB10" s="9"/>
      <c r="WKC10" s="9"/>
      <c r="WKD10" s="9"/>
      <c r="WKE10" s="9"/>
      <c r="WKF10" s="9"/>
      <c r="WKG10" s="9"/>
      <c r="WKH10" s="9"/>
      <c r="WKI10" s="9"/>
      <c r="WKJ10" s="9"/>
      <c r="WKK10" s="9"/>
      <c r="WKL10" s="9"/>
      <c r="WKM10" s="9"/>
      <c r="WKN10" s="9"/>
      <c r="WKO10" s="9"/>
      <c r="WKP10" s="9"/>
      <c r="WKQ10" s="9"/>
      <c r="WKR10" s="9"/>
      <c r="WKS10" s="9"/>
      <c r="WKT10" s="9"/>
      <c r="WKU10" s="9"/>
      <c r="WKV10" s="9"/>
      <c r="WKW10" s="9"/>
      <c r="WKX10" s="9"/>
      <c r="WKY10" s="9"/>
      <c r="WKZ10" s="9"/>
      <c r="WLA10" s="9"/>
      <c r="WLB10" s="9"/>
      <c r="WLC10" s="9"/>
      <c r="WLD10" s="9"/>
      <c r="WLE10" s="9"/>
      <c r="WLF10" s="9"/>
      <c r="WLG10" s="9"/>
      <c r="WLH10" s="9"/>
      <c r="WLI10" s="9"/>
      <c r="WLJ10" s="9"/>
      <c r="WLK10" s="9"/>
      <c r="WLL10" s="9"/>
      <c r="WLM10" s="9"/>
      <c r="WLN10" s="9"/>
      <c r="WLO10" s="9"/>
      <c r="WLP10" s="9"/>
      <c r="WLQ10" s="9"/>
      <c r="WLR10" s="9"/>
      <c r="WLS10" s="9"/>
      <c r="WLT10" s="9"/>
      <c r="WLU10" s="9"/>
      <c r="WLV10" s="9"/>
      <c r="WLW10" s="9"/>
      <c r="WLX10" s="9"/>
      <c r="WLY10" s="9"/>
      <c r="WLZ10" s="9"/>
      <c r="WMA10" s="9"/>
      <c r="WMB10" s="9"/>
      <c r="WMC10" s="9"/>
      <c r="WMD10" s="9"/>
      <c r="WME10" s="9"/>
      <c r="WMF10" s="9"/>
      <c r="WMG10" s="9"/>
      <c r="WMH10" s="9"/>
      <c r="WMI10" s="9"/>
      <c r="WMJ10" s="9"/>
      <c r="WMK10" s="9"/>
      <c r="WML10" s="9"/>
      <c r="WMM10" s="9"/>
      <c r="WMN10" s="9"/>
      <c r="WMO10" s="9"/>
      <c r="WMP10" s="9"/>
      <c r="WMQ10" s="9"/>
      <c r="WMR10" s="9"/>
      <c r="WMS10" s="9"/>
      <c r="WMT10" s="9"/>
      <c r="WMU10" s="9"/>
      <c r="WMV10" s="9"/>
      <c r="WMW10" s="9"/>
      <c r="WMX10" s="9"/>
      <c r="WMY10" s="9"/>
      <c r="WMZ10" s="9"/>
      <c r="WNA10" s="9"/>
      <c r="WNB10" s="9"/>
      <c r="WNC10" s="9"/>
      <c r="WND10" s="9"/>
      <c r="WNE10" s="9"/>
      <c r="WNF10" s="9"/>
      <c r="WNG10" s="9"/>
      <c r="WNH10" s="9"/>
      <c r="WNI10" s="9"/>
      <c r="WNJ10" s="9"/>
      <c r="WNK10" s="9"/>
      <c r="WNL10" s="9"/>
      <c r="WNM10" s="9"/>
      <c r="WNN10" s="9"/>
      <c r="WNO10" s="9"/>
      <c r="WNP10" s="9"/>
      <c r="WNQ10" s="9"/>
      <c r="WNR10" s="9"/>
      <c r="WNS10" s="9"/>
      <c r="WNT10" s="9"/>
      <c r="WNU10" s="9"/>
      <c r="WNV10" s="9"/>
      <c r="WNW10" s="9"/>
      <c r="WNX10" s="9"/>
      <c r="WNY10" s="9"/>
      <c r="WNZ10" s="9"/>
      <c r="WOA10" s="9"/>
      <c r="WOB10" s="9"/>
      <c r="WOC10" s="9"/>
      <c r="WOD10" s="9"/>
      <c r="WOE10" s="9"/>
      <c r="WOF10" s="9"/>
      <c r="WOG10" s="9"/>
      <c r="WOH10" s="9"/>
      <c r="WOI10" s="9"/>
      <c r="WOJ10" s="9"/>
      <c r="WOK10" s="9"/>
      <c r="WOL10" s="9"/>
      <c r="WOM10" s="9"/>
      <c r="WON10" s="9"/>
      <c r="WOO10" s="9"/>
      <c r="WOP10" s="9"/>
      <c r="WOQ10" s="9"/>
      <c r="WOR10" s="9"/>
      <c r="WOS10" s="9"/>
      <c r="WOT10" s="9"/>
      <c r="WOU10" s="9"/>
      <c r="WOV10" s="9"/>
      <c r="WOW10" s="9"/>
      <c r="WOX10" s="9"/>
      <c r="WOY10" s="9"/>
      <c r="WOZ10" s="9"/>
      <c r="WPA10" s="9"/>
      <c r="WPB10" s="9"/>
      <c r="WPC10" s="9"/>
      <c r="WPD10" s="9"/>
      <c r="WPE10" s="9"/>
      <c r="WPF10" s="9"/>
      <c r="WPG10" s="9"/>
      <c r="WPH10" s="9"/>
      <c r="WPI10" s="9"/>
      <c r="WPJ10" s="9"/>
      <c r="WPK10" s="9"/>
      <c r="WPL10" s="9"/>
      <c r="WPM10" s="9"/>
      <c r="WPN10" s="9"/>
      <c r="WPO10" s="9"/>
      <c r="WPP10" s="9"/>
      <c r="WPQ10" s="9"/>
      <c r="WPR10" s="9"/>
      <c r="WPS10" s="9"/>
      <c r="WPT10" s="9"/>
      <c r="WPU10" s="9"/>
      <c r="WPV10" s="9"/>
      <c r="WPW10" s="9"/>
      <c r="WPX10" s="9"/>
      <c r="WPY10" s="9"/>
      <c r="WPZ10" s="9"/>
      <c r="WQA10" s="9"/>
      <c r="WQB10" s="9"/>
      <c r="WQC10" s="9"/>
      <c r="WQD10" s="9"/>
      <c r="WQE10" s="9"/>
      <c r="WQF10" s="9"/>
      <c r="WQG10" s="9"/>
      <c r="WQH10" s="9"/>
      <c r="WQI10" s="9"/>
      <c r="WQJ10" s="9"/>
      <c r="WQK10" s="9"/>
      <c r="WQL10" s="9"/>
      <c r="WQM10" s="9"/>
      <c r="WQN10" s="9"/>
      <c r="WQO10" s="9"/>
      <c r="WQP10" s="9"/>
      <c r="WQQ10" s="9"/>
      <c r="WQR10" s="9"/>
      <c r="WQS10" s="9"/>
      <c r="WQT10" s="9"/>
      <c r="WQU10" s="9"/>
      <c r="WQV10" s="9"/>
      <c r="WQW10" s="9"/>
      <c r="WQX10" s="9"/>
      <c r="WQY10" s="9"/>
      <c r="WQZ10" s="9"/>
      <c r="WRA10" s="9"/>
      <c r="WRB10" s="9"/>
      <c r="WRC10" s="9"/>
      <c r="WRD10" s="9"/>
      <c r="WRE10" s="9"/>
      <c r="WRF10" s="9"/>
      <c r="WRG10" s="9"/>
      <c r="WRH10" s="9"/>
      <c r="WRI10" s="9"/>
      <c r="WRJ10" s="9"/>
      <c r="WRK10" s="9"/>
      <c r="WRL10" s="9"/>
      <c r="WRM10" s="9"/>
      <c r="WRN10" s="9"/>
      <c r="WRO10" s="9"/>
      <c r="WRP10" s="9"/>
      <c r="WRQ10" s="9"/>
      <c r="WRR10" s="9"/>
      <c r="WRS10" s="9"/>
      <c r="WRT10" s="9"/>
      <c r="WRU10" s="9"/>
      <c r="WRV10" s="9"/>
      <c r="WRW10" s="9"/>
      <c r="WRX10" s="9"/>
      <c r="WRY10" s="9"/>
      <c r="WRZ10" s="9"/>
      <c r="WSA10" s="9"/>
      <c r="WSB10" s="9"/>
      <c r="WSC10" s="9"/>
      <c r="WSD10" s="9"/>
      <c r="WSE10" s="9"/>
      <c r="WSF10" s="9"/>
      <c r="WSG10" s="9"/>
      <c r="WSH10" s="9"/>
      <c r="WSI10" s="9"/>
      <c r="WSJ10" s="9"/>
      <c r="WSK10" s="9"/>
      <c r="WSL10" s="9"/>
      <c r="WSM10" s="9"/>
      <c r="WSN10" s="9"/>
      <c r="WSO10" s="9"/>
      <c r="WSP10" s="9"/>
      <c r="WSQ10" s="9"/>
      <c r="WSR10" s="9"/>
      <c r="WSS10" s="9"/>
      <c r="WST10" s="9"/>
      <c r="WSU10" s="9"/>
      <c r="WSV10" s="9"/>
      <c r="WSW10" s="9"/>
      <c r="WSX10" s="9"/>
      <c r="WSY10" s="9"/>
      <c r="WSZ10" s="9"/>
      <c r="WTA10" s="9"/>
      <c r="WTB10" s="9"/>
      <c r="WTC10" s="9"/>
      <c r="WTD10" s="9"/>
      <c r="WTE10" s="9"/>
      <c r="WTF10" s="9"/>
      <c r="WTG10" s="9"/>
      <c r="WTH10" s="9"/>
      <c r="WTI10" s="9"/>
      <c r="WTJ10" s="9"/>
      <c r="WTK10" s="9"/>
      <c r="WTL10" s="9"/>
      <c r="WTM10" s="9"/>
      <c r="WTN10" s="9"/>
      <c r="WTO10" s="9"/>
      <c r="WTP10" s="9"/>
      <c r="WTQ10" s="9"/>
      <c r="WTR10" s="9"/>
      <c r="WTS10" s="9"/>
      <c r="WTT10" s="9"/>
      <c r="WTU10" s="9"/>
      <c r="WTV10" s="9"/>
      <c r="WTW10" s="9"/>
      <c r="WTX10" s="9"/>
      <c r="WTY10" s="9"/>
      <c r="WTZ10" s="9"/>
      <c r="WUA10" s="9"/>
      <c r="WUB10" s="9"/>
      <c r="WUC10" s="9"/>
      <c r="WUD10" s="9"/>
      <c r="WUE10" s="9"/>
      <c r="WUF10" s="9"/>
      <c r="WUG10" s="9"/>
      <c r="WUH10" s="9"/>
      <c r="WUI10" s="9"/>
      <c r="WUJ10" s="9"/>
      <c r="WUK10" s="9"/>
      <c r="WUL10" s="9"/>
      <c r="WUM10" s="9"/>
      <c r="WUN10" s="9"/>
      <c r="WUO10" s="9"/>
      <c r="WUP10" s="9"/>
      <c r="WUQ10" s="9"/>
      <c r="WUR10" s="9"/>
      <c r="WUS10" s="9"/>
      <c r="WUT10" s="9"/>
      <c r="WUU10" s="9"/>
      <c r="WUV10" s="9"/>
      <c r="WUW10" s="9"/>
      <c r="WUX10" s="9"/>
      <c r="WUY10" s="9"/>
      <c r="WUZ10" s="9"/>
      <c r="WVA10" s="9"/>
      <c r="WVB10" s="9"/>
      <c r="WVC10" s="9"/>
      <c r="WVD10" s="9"/>
      <c r="WVE10" s="9"/>
      <c r="WVF10" s="9"/>
      <c r="WVG10" s="9"/>
      <c r="WVH10" s="9"/>
      <c r="WVI10" s="9"/>
      <c r="WVJ10" s="9"/>
      <c r="WVK10" s="9"/>
      <c r="WVL10" s="9"/>
      <c r="WVM10" s="9"/>
      <c r="WVN10" s="9"/>
      <c r="WVO10" s="9"/>
      <c r="WVP10" s="9"/>
      <c r="WVQ10" s="9"/>
      <c r="WVR10" s="9"/>
      <c r="WVS10" s="9"/>
      <c r="WVT10" s="9"/>
      <c r="WVU10" s="9"/>
      <c r="WVV10" s="9"/>
      <c r="WVW10" s="9"/>
      <c r="WVX10" s="9"/>
      <c r="WVY10" s="9"/>
      <c r="WVZ10" s="9"/>
      <c r="WWA10" s="9"/>
      <c r="WWB10" s="9"/>
      <c r="WWC10" s="9"/>
      <c r="WWD10" s="9"/>
      <c r="WWE10" s="9"/>
      <c r="WWF10" s="9"/>
      <c r="WWG10" s="9"/>
      <c r="WWH10" s="9"/>
      <c r="WWI10" s="9"/>
      <c r="WWJ10" s="9"/>
      <c r="WWK10" s="9"/>
      <c r="WWL10" s="9"/>
      <c r="WWM10" s="9"/>
      <c r="WWN10" s="9"/>
      <c r="WWO10" s="9"/>
      <c r="WWP10" s="9"/>
      <c r="WWQ10" s="9"/>
      <c r="WWR10" s="9"/>
      <c r="WWS10" s="9"/>
      <c r="WWT10" s="9"/>
      <c r="WWU10" s="9"/>
      <c r="WWV10" s="9"/>
      <c r="WWW10" s="9"/>
      <c r="WWX10" s="9"/>
      <c r="WWY10" s="9"/>
      <c r="WWZ10" s="9"/>
      <c r="WXA10" s="9"/>
      <c r="WXB10" s="9"/>
      <c r="WXC10" s="9"/>
      <c r="WXD10" s="9"/>
      <c r="WXE10" s="9"/>
      <c r="WXF10" s="9"/>
      <c r="WXG10" s="9"/>
      <c r="WXH10" s="9"/>
      <c r="WXI10" s="9"/>
      <c r="WXJ10" s="9"/>
      <c r="WXK10" s="9"/>
      <c r="WXL10" s="9"/>
      <c r="WXM10" s="9"/>
      <c r="WXN10" s="9"/>
      <c r="WXO10" s="9"/>
      <c r="WXP10" s="9"/>
      <c r="WXQ10" s="9"/>
      <c r="WXR10" s="9"/>
      <c r="WXS10" s="9"/>
      <c r="WXT10" s="9"/>
      <c r="WXU10" s="9"/>
      <c r="WXV10" s="9"/>
      <c r="WXW10" s="9"/>
      <c r="WXX10" s="9"/>
      <c r="WXY10" s="9"/>
      <c r="WXZ10" s="9"/>
      <c r="WYA10" s="9"/>
      <c r="WYB10" s="9"/>
      <c r="WYC10" s="9"/>
      <c r="WYD10" s="9"/>
      <c r="WYE10" s="9"/>
      <c r="WYF10" s="9"/>
      <c r="WYG10" s="9"/>
      <c r="WYH10" s="9"/>
      <c r="WYI10" s="9"/>
      <c r="WYJ10" s="9"/>
      <c r="WYK10" s="9"/>
      <c r="WYL10" s="9"/>
      <c r="WYM10" s="9"/>
      <c r="WYN10" s="9"/>
      <c r="WYO10" s="9"/>
      <c r="WYP10" s="9"/>
      <c r="WYQ10" s="9"/>
      <c r="WYR10" s="9"/>
      <c r="WYS10" s="9"/>
      <c r="WYT10" s="9"/>
      <c r="WYU10" s="9"/>
      <c r="WYV10" s="9"/>
      <c r="WYW10" s="9"/>
      <c r="WYX10" s="9"/>
      <c r="WYY10" s="9"/>
      <c r="WYZ10" s="9"/>
      <c r="WZA10" s="9"/>
      <c r="WZB10" s="9"/>
      <c r="WZC10" s="9"/>
      <c r="WZD10" s="9"/>
      <c r="WZE10" s="9"/>
      <c r="WZF10" s="9"/>
      <c r="WZG10" s="9"/>
      <c r="WZH10" s="9"/>
      <c r="WZI10" s="9"/>
      <c r="WZJ10" s="9"/>
      <c r="WZK10" s="9"/>
      <c r="WZL10" s="9"/>
      <c r="WZM10" s="9"/>
      <c r="WZN10" s="9"/>
      <c r="WZO10" s="9"/>
      <c r="WZP10" s="9"/>
      <c r="WZQ10" s="9"/>
      <c r="WZR10" s="9"/>
      <c r="WZS10" s="9"/>
      <c r="WZT10" s="9"/>
      <c r="WZU10" s="9"/>
      <c r="WZV10" s="9"/>
      <c r="WZW10" s="9"/>
      <c r="WZX10" s="9"/>
      <c r="WZY10" s="9"/>
      <c r="WZZ10" s="9"/>
      <c r="XAA10" s="9"/>
      <c r="XAB10" s="9"/>
      <c r="XAC10" s="9"/>
      <c r="XAD10" s="9"/>
      <c r="XAE10" s="9"/>
      <c r="XAF10" s="9"/>
      <c r="XAG10" s="9"/>
      <c r="XAH10" s="9"/>
      <c r="XAI10" s="9"/>
      <c r="XAJ10" s="9"/>
      <c r="XAK10" s="9"/>
      <c r="XAL10" s="9"/>
      <c r="XAM10" s="9"/>
      <c r="XAN10" s="9"/>
      <c r="XAO10" s="9"/>
      <c r="XAP10" s="9"/>
      <c r="XAQ10" s="9"/>
      <c r="XAR10" s="9"/>
      <c r="XAS10" s="9"/>
      <c r="XAT10" s="9"/>
      <c r="XAU10" s="9"/>
      <c r="XAV10" s="9"/>
      <c r="XAW10" s="9"/>
      <c r="XAX10" s="9"/>
      <c r="XAY10" s="9"/>
      <c r="XAZ10" s="9"/>
      <c r="XBA10" s="9"/>
      <c r="XBB10" s="9"/>
      <c r="XBC10" s="9"/>
      <c r="XBD10" s="9"/>
      <c r="XBE10" s="9"/>
      <c r="XBF10" s="9"/>
      <c r="XBG10" s="9"/>
      <c r="XBH10" s="9"/>
      <c r="XBI10" s="9"/>
      <c r="XBJ10" s="9"/>
      <c r="XBK10" s="9"/>
      <c r="XBL10" s="9"/>
      <c r="XBM10" s="9"/>
      <c r="XBN10" s="9"/>
      <c r="XBO10" s="9"/>
      <c r="XBP10" s="9"/>
      <c r="XBQ10" s="9"/>
      <c r="XBR10" s="9"/>
      <c r="XBS10" s="9"/>
      <c r="XBT10" s="9"/>
      <c r="XBU10" s="9"/>
      <c r="XBV10" s="9"/>
      <c r="XBW10" s="9"/>
      <c r="XBX10" s="9"/>
      <c r="XBY10" s="9"/>
      <c r="XBZ10" s="9"/>
      <c r="XCA10" s="9"/>
      <c r="XCB10" s="9"/>
      <c r="XCC10" s="9"/>
      <c r="XCD10" s="9"/>
      <c r="XCE10" s="9"/>
      <c r="XCF10" s="9"/>
      <c r="XCG10" s="9"/>
      <c r="XCH10" s="9"/>
      <c r="XCI10" s="9"/>
      <c r="XCJ10" s="9"/>
      <c r="XCK10" s="9"/>
      <c r="XCL10" s="9"/>
      <c r="XCM10" s="9"/>
      <c r="XCN10" s="9"/>
      <c r="XCO10" s="9"/>
      <c r="XCP10" s="9"/>
      <c r="XCQ10" s="9"/>
      <c r="XCR10" s="9"/>
      <c r="XCS10" s="9"/>
      <c r="XCT10" s="9"/>
      <c r="XCU10" s="9"/>
      <c r="XCV10" s="9"/>
      <c r="XCW10" s="9"/>
      <c r="XCX10" s="9"/>
      <c r="XCY10" s="9"/>
      <c r="XCZ10" s="9"/>
      <c r="XDA10" s="9"/>
      <c r="XDB10" s="9"/>
      <c r="XDC10" s="9"/>
      <c r="XDD10" s="9"/>
      <c r="XDE10" s="9"/>
      <c r="XDF10" s="9"/>
      <c r="XDG10" s="9"/>
      <c r="XDH10" s="9"/>
      <c r="XDI10" s="9"/>
      <c r="XDJ10" s="9"/>
      <c r="XDK10" s="9"/>
      <c r="XDL10" s="9"/>
      <c r="XDM10" s="9"/>
      <c r="XDN10" s="9"/>
      <c r="XDO10" s="9"/>
      <c r="XDP10" s="9"/>
      <c r="XDQ10" s="9"/>
      <c r="XDR10" s="9"/>
      <c r="XDS10" s="9"/>
      <c r="XDT10" s="9"/>
      <c r="XDU10" s="9"/>
      <c r="XDV10" s="9"/>
      <c r="XDW10" s="9"/>
      <c r="XDX10" s="9"/>
      <c r="XDY10" s="9"/>
      <c r="XDZ10" s="9"/>
      <c r="XEA10" s="9"/>
      <c r="XEB10" s="9"/>
      <c r="XEC10" s="9"/>
      <c r="XED10" s="9"/>
      <c r="XEE10" s="9"/>
      <c r="XEF10" s="9"/>
      <c r="XEG10" s="9"/>
      <c r="XEH10" s="9"/>
      <c r="XEI10" s="9"/>
      <c r="XEJ10" s="9"/>
      <c r="XEK10" s="9"/>
      <c r="XEL10" s="9"/>
      <c r="XEM10" s="9"/>
      <c r="XEN10" s="9"/>
      <c r="XEO10" s="9"/>
      <c r="XEP10" s="9"/>
      <c r="XEQ10" s="9"/>
      <c r="XER10" s="9"/>
      <c r="XES10" s="9"/>
      <c r="XET10" s="9"/>
      <c r="XEU10" s="9"/>
      <c r="XEV10" s="9"/>
      <c r="XEW10" s="9"/>
      <c r="XEX10" s="9"/>
      <c r="XEY10" s="9"/>
      <c r="XEZ10" s="9"/>
      <c r="XFA10" s="9"/>
      <c r="XFB10" s="9"/>
      <c r="XFC10" s="9"/>
      <c r="XFD10" s="9"/>
    </row>
    <row r="11" spans="1:16384" x14ac:dyDescent="0.25">
      <c r="A11" s="48" t="s">
        <v>603</v>
      </c>
      <c r="B11" s="10">
        <f>+'Pasivos y Patrimonio'!B38</f>
        <v>11504350</v>
      </c>
      <c r="C11" s="51">
        <f>+'Pasivos y Patrimonio'!D38</f>
        <v>13475940</v>
      </c>
      <c r="D11" s="10">
        <f>+'Pasivos y Patrimonio'!F38</f>
        <v>13303673</v>
      </c>
      <c r="E11" s="10">
        <f>+'Pasivos y Patrimonio'!H38</f>
        <v>10843537</v>
      </c>
      <c r="F11" s="10">
        <f>+'Pasivos y Patrimonio'!J38</f>
        <v>8198731</v>
      </c>
    </row>
    <row r="13" spans="1:16384" x14ac:dyDescent="0.25">
      <c r="A13" s="52" t="s">
        <v>609</v>
      </c>
      <c r="B13" s="29">
        <f>B11/B9</f>
        <v>3.0815399302281725</v>
      </c>
      <c r="C13" s="29">
        <f t="shared" ref="C13:F13" si="0">C11/C9</f>
        <v>3.6096474122709274</v>
      </c>
      <c r="D13" s="29">
        <f t="shared" si="0"/>
        <v>3.5635042021668695</v>
      </c>
      <c r="E13" s="29">
        <f t="shared" si="0"/>
        <v>2.9045354366310665</v>
      </c>
      <c r="F13" s="53">
        <f t="shared" si="0"/>
        <v>2.1961012098640564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119D-AA38-4560-9676-35FEE2048622}">
  <dimension ref="A1:M22"/>
  <sheetViews>
    <sheetView showGridLines="0" zoomScale="110" zoomScaleNormal="110" workbookViewId="0">
      <selection activeCell="H6" sqref="H6"/>
    </sheetView>
  </sheetViews>
  <sheetFormatPr defaultRowHeight="15" x14ac:dyDescent="0.25"/>
  <cols>
    <col min="1" max="1" width="43.5703125" customWidth="1"/>
    <col min="2" max="2" width="12.7109375" customWidth="1"/>
    <col min="3" max="3" width="6.42578125" style="427" bestFit="1" customWidth="1"/>
    <col min="4" max="4" width="12.7109375" customWidth="1"/>
    <col min="5" max="5" width="6.42578125" style="412" bestFit="1" customWidth="1"/>
    <col min="6" max="6" width="12.7109375" customWidth="1"/>
    <col min="7" max="7" width="6.42578125" bestFit="1" customWidth="1"/>
    <col min="8" max="8" width="12.7109375" customWidth="1"/>
    <col min="9" max="9" width="6.42578125" bestFit="1" customWidth="1"/>
    <col min="10" max="10" width="12.7109375" customWidth="1"/>
    <col min="11" max="11" width="6.42578125" bestFit="1" customWidth="1"/>
  </cols>
  <sheetData>
    <row r="1" spans="1:13" x14ac:dyDescent="0.25">
      <c r="A1" s="5" t="s">
        <v>0</v>
      </c>
    </row>
    <row r="2" spans="1:13" x14ac:dyDescent="0.25">
      <c r="A2" s="5" t="s">
        <v>38</v>
      </c>
    </row>
    <row r="3" spans="1:13" x14ac:dyDescent="0.25">
      <c r="A3" s="1" t="s">
        <v>602</v>
      </c>
      <c r="B3" s="11"/>
      <c r="C3" s="428"/>
    </row>
    <row r="5" spans="1:13" x14ac:dyDescent="0.25">
      <c r="A5" s="5" t="s">
        <v>39</v>
      </c>
      <c r="B5" s="167">
        <v>2013</v>
      </c>
      <c r="C5" s="426" t="s">
        <v>496</v>
      </c>
      <c r="D5" s="167">
        <v>2014</v>
      </c>
      <c r="E5" s="426" t="s">
        <v>496</v>
      </c>
      <c r="F5" s="167">
        <v>2015</v>
      </c>
      <c r="G5" s="426" t="s">
        <v>496</v>
      </c>
      <c r="H5" s="167">
        <v>2016</v>
      </c>
      <c r="I5" s="426" t="s">
        <v>496</v>
      </c>
      <c r="J5" s="3">
        <v>42887</v>
      </c>
      <c r="K5" s="426" t="s">
        <v>496</v>
      </c>
    </row>
    <row r="6" spans="1:13" x14ac:dyDescent="0.25">
      <c r="A6" s="19" t="s">
        <v>40</v>
      </c>
      <c r="B6" s="20">
        <v>109918725</v>
      </c>
      <c r="C6" s="429">
        <f>ABS(B6/B6)</f>
        <v>1</v>
      </c>
      <c r="D6" s="20">
        <v>119938060</v>
      </c>
      <c r="E6" s="429">
        <f>ABS(D6/D6)</f>
        <v>1</v>
      </c>
      <c r="F6" s="20">
        <v>125429816</v>
      </c>
      <c r="G6" s="429">
        <f>ABS(F6/F6)</f>
        <v>1</v>
      </c>
      <c r="H6" s="20">
        <v>106224781</v>
      </c>
      <c r="I6" s="429">
        <f>ABS(H6/H6)</f>
        <v>1</v>
      </c>
      <c r="J6" s="20">
        <v>79095866</v>
      </c>
      <c r="K6" s="429">
        <f>ABS(J6/J6)</f>
        <v>1</v>
      </c>
    </row>
    <row r="7" spans="1:13" x14ac:dyDescent="0.25">
      <c r="A7" s="251" t="s">
        <v>289</v>
      </c>
      <c r="B7" s="23">
        <v>397743</v>
      </c>
      <c r="C7" s="430">
        <f>ABS(B7/B6)</f>
        <v>3.6185190466865406E-3</v>
      </c>
      <c r="D7" s="23">
        <v>464871</v>
      </c>
      <c r="E7" s="430">
        <f>ABS(D7/D6)</f>
        <v>3.8759256236093865E-3</v>
      </c>
      <c r="F7" s="23">
        <v>164703</v>
      </c>
      <c r="G7" s="430">
        <f>ABS(F7/F6)</f>
        <v>1.3131088384917985E-3</v>
      </c>
      <c r="H7" s="23">
        <v>176442</v>
      </c>
      <c r="I7" s="430">
        <f>ABS(H7/H6)</f>
        <v>1.6610248412750317E-3</v>
      </c>
      <c r="J7" s="23">
        <v>408651</v>
      </c>
      <c r="K7" s="430">
        <f>ABS(J7/J6)</f>
        <v>5.166527919423753E-3</v>
      </c>
      <c r="L7" s="252"/>
      <c r="M7" s="1"/>
    </row>
    <row r="8" spans="1:13" x14ac:dyDescent="0.25">
      <c r="A8" s="19" t="s">
        <v>41</v>
      </c>
      <c r="B8" s="20">
        <v>2630509</v>
      </c>
      <c r="C8" s="429">
        <f>(B8/B6)</f>
        <v>2.3931400223210376E-2</v>
      </c>
      <c r="D8" s="20">
        <v>-4230620</v>
      </c>
      <c r="E8" s="429">
        <f>(D8/D6)</f>
        <v>-3.5273373606343139E-2</v>
      </c>
      <c r="F8" s="20">
        <v>1395431</v>
      </c>
      <c r="G8" s="429">
        <f>(F8/F6)</f>
        <v>1.1125193709923006E-2</v>
      </c>
      <c r="H8" s="20">
        <v>-977418</v>
      </c>
      <c r="I8" s="429">
        <f>(H8/H6)</f>
        <v>-9.2014122392024521E-3</v>
      </c>
      <c r="J8" s="20">
        <v>2671375</v>
      </c>
      <c r="K8" s="429">
        <f>ABS(J8/J6)</f>
        <v>3.3773889017157992E-2</v>
      </c>
      <c r="L8" s="252"/>
    </row>
    <row r="9" spans="1:13" x14ac:dyDescent="0.25">
      <c r="A9" s="19" t="s">
        <v>42</v>
      </c>
      <c r="B9" s="20">
        <v>-90537704</v>
      </c>
      <c r="C9" s="429">
        <f>ABS(B9/B6)</f>
        <v>0.82367862254588564</v>
      </c>
      <c r="D9" s="20">
        <v>-90891061</v>
      </c>
      <c r="E9" s="429">
        <f>ABS(D9/D6)</f>
        <v>0.75781666803681835</v>
      </c>
      <c r="F9" s="20">
        <v>-101078938</v>
      </c>
      <c r="G9" s="429">
        <f>ABS(F9/F6)</f>
        <v>0.80586053000348812</v>
      </c>
      <c r="H9" s="20">
        <v>-83263356</v>
      </c>
      <c r="I9" s="429">
        <f>ABS(H9/H6)</f>
        <v>0.7838411641441746</v>
      </c>
      <c r="J9" s="20">
        <v>-66110714</v>
      </c>
      <c r="K9" s="429">
        <f>ABS(J9/J6)</f>
        <v>0.8358302063473203</v>
      </c>
    </row>
    <row r="10" spans="1:13" x14ac:dyDescent="0.25">
      <c r="A10" s="19" t="s">
        <v>43</v>
      </c>
      <c r="B10" s="20">
        <v>-1326140</v>
      </c>
      <c r="C10" s="430">
        <f>ABS(B10/B6)</f>
        <v>1.206473237385168E-2</v>
      </c>
      <c r="D10" s="20">
        <v>-1545672</v>
      </c>
      <c r="E10" s="430">
        <f>ABS(D10/D6)</f>
        <v>1.2887251969891792E-2</v>
      </c>
      <c r="F10" s="20">
        <v>-1494868</v>
      </c>
      <c r="G10" s="430">
        <f>ABS(F10/F6)</f>
        <v>1.191796374794969E-2</v>
      </c>
      <c r="H10" s="20">
        <v>-1319295</v>
      </c>
      <c r="I10" s="430">
        <f>ABS(H10/H6)</f>
        <v>1.2419842032905673E-2</v>
      </c>
      <c r="J10" s="20">
        <v>-761359</v>
      </c>
      <c r="K10" s="430">
        <f>ABS(J10/J6)</f>
        <v>9.6257748793091152E-3</v>
      </c>
    </row>
    <row r="11" spans="1:13" x14ac:dyDescent="0.25">
      <c r="A11" s="19" t="s">
        <v>44</v>
      </c>
      <c r="B11" s="20">
        <v>-10402945</v>
      </c>
      <c r="C11" s="429">
        <f>ABS(B11/B6)</f>
        <v>9.4642154919464358E-2</v>
      </c>
      <c r="D11" s="20">
        <v>-11335326</v>
      </c>
      <c r="E11" s="429">
        <f>ABS(D11/D6)</f>
        <v>9.4509832825376699E-2</v>
      </c>
      <c r="F11" s="20">
        <v>-12683648</v>
      </c>
      <c r="G11" s="429">
        <f>ABS(F11/F6)</f>
        <v>0.10112147497689067</v>
      </c>
      <c r="H11" s="20">
        <v>-12630314</v>
      </c>
      <c r="I11" s="429">
        <f>ABS(H11/H6)</f>
        <v>0.11890176549293145</v>
      </c>
      <c r="J11" s="20">
        <v>-8670297</v>
      </c>
      <c r="K11" s="429">
        <f>ABS(J11/J6)</f>
        <v>0.10961757470358817</v>
      </c>
    </row>
    <row r="12" spans="1:13" x14ac:dyDescent="0.25">
      <c r="A12" s="19" t="s">
        <v>45</v>
      </c>
      <c r="B12" s="20">
        <v>-1309205</v>
      </c>
      <c r="C12" s="430">
        <f>ABS(B12/B6)</f>
        <v>1.1910663992872916E-2</v>
      </c>
      <c r="D12" s="20">
        <v>-1211298</v>
      </c>
      <c r="E12" s="430">
        <f>ABS(D12/D6)</f>
        <v>1.0099362954511687E-2</v>
      </c>
      <c r="F12" s="20">
        <v>-1247485</v>
      </c>
      <c r="G12" s="430">
        <f>ABS(F12/F6)</f>
        <v>9.9456814956979615E-3</v>
      </c>
      <c r="H12" s="20">
        <v>-1280055</v>
      </c>
      <c r="I12" s="430">
        <f>ABS(H12/H6)</f>
        <v>1.2050436705536724E-2</v>
      </c>
      <c r="J12" s="20">
        <v>-900982</v>
      </c>
      <c r="K12" s="430">
        <f>ABS(J12/J6)</f>
        <v>1.1391012521438225E-2</v>
      </c>
    </row>
    <row r="13" spans="1:13" x14ac:dyDescent="0.25">
      <c r="A13" s="19" t="s">
        <v>46</v>
      </c>
      <c r="B13" s="21">
        <v>-10056276</v>
      </c>
      <c r="C13" s="431">
        <f>ABS(B13/B6)</f>
        <v>9.1488288278453012E-2</v>
      </c>
      <c r="D13" s="21">
        <v>-11035725</v>
      </c>
      <c r="E13" s="431">
        <f>ABS(D13/D6)</f>
        <v>9.2011868459436486E-2</v>
      </c>
      <c r="F13" s="21">
        <v>-10639485</v>
      </c>
      <c r="G13" s="431">
        <f>ABS(F13/F6)</f>
        <v>8.4824209580280335E-2</v>
      </c>
      <c r="H13" s="21">
        <v>-10913864</v>
      </c>
      <c r="I13" s="431">
        <f>ABS(H13/H6)</f>
        <v>0.10274310662029042</v>
      </c>
      <c r="J13" s="21">
        <v>-8680096</v>
      </c>
      <c r="K13" s="431">
        <f>ABS(J13/J6)</f>
        <v>0.10974146234140733</v>
      </c>
    </row>
    <row r="14" spans="1:13" x14ac:dyDescent="0.25">
      <c r="B14" s="20"/>
      <c r="C14" s="429"/>
      <c r="D14" s="20"/>
      <c r="E14" s="429"/>
      <c r="F14" s="20"/>
      <c r="G14" s="429"/>
      <c r="H14" s="20"/>
      <c r="I14" s="429"/>
      <c r="J14" s="20"/>
      <c r="K14" s="429"/>
    </row>
    <row r="15" spans="1:13" x14ac:dyDescent="0.25">
      <c r="B15" s="20"/>
      <c r="C15" s="431"/>
      <c r="D15" s="20"/>
      <c r="E15" s="431"/>
      <c r="F15" s="20"/>
      <c r="G15" s="431"/>
      <c r="H15" s="20"/>
      <c r="I15" s="431"/>
      <c r="J15" s="20"/>
      <c r="K15" s="431"/>
    </row>
    <row r="16" spans="1:13" x14ac:dyDescent="0.25">
      <c r="A16" s="17" t="s">
        <v>47</v>
      </c>
      <c r="B16" s="22">
        <f>SUM(B6:B13)</f>
        <v>-685293</v>
      </c>
      <c r="C16" s="432">
        <f>ABS(B16/B6)</f>
        <v>6.2345428406306571E-3</v>
      </c>
      <c r="D16" s="22">
        <f>SUM(D6:D13)</f>
        <v>153229</v>
      </c>
      <c r="E16" s="432">
        <f>ABS(D16/D6)</f>
        <v>1.2775677712312506E-3</v>
      </c>
      <c r="F16" s="22">
        <f>SUM(F6:F13)</f>
        <v>-154474</v>
      </c>
      <c r="G16" s="432">
        <f>ABS(F16/F6)</f>
        <v>1.2315572558920121E-3</v>
      </c>
      <c r="H16" s="22">
        <f>SUM(H6:H13)</f>
        <v>-3983079</v>
      </c>
      <c r="I16" s="432">
        <f>ABS(H16/H6)</f>
        <v>3.749670239376629E-2</v>
      </c>
      <c r="J16" s="22">
        <f>SUM(J6:J13)</f>
        <v>-2947556</v>
      </c>
      <c r="K16" s="432">
        <f>ABS(J16/J6)</f>
        <v>3.7265613856481451E-2</v>
      </c>
    </row>
    <row r="17" spans="1:11" x14ac:dyDescent="0.25">
      <c r="B17" s="20"/>
      <c r="C17" s="429"/>
      <c r="D17" s="20"/>
      <c r="E17" s="429"/>
      <c r="F17" s="20"/>
      <c r="G17" s="429"/>
      <c r="H17" s="20"/>
      <c r="I17" s="429"/>
      <c r="J17" s="20"/>
      <c r="K17" s="429"/>
    </row>
    <row r="18" spans="1:11" x14ac:dyDescent="0.25">
      <c r="B18" s="20"/>
      <c r="C18" s="429"/>
      <c r="D18" s="20"/>
      <c r="E18" s="429"/>
      <c r="F18" s="20"/>
      <c r="G18" s="429"/>
      <c r="H18" s="20"/>
      <c r="I18" s="429"/>
      <c r="J18" s="20"/>
      <c r="K18" s="429"/>
    </row>
    <row r="19" spans="1:11" x14ac:dyDescent="0.25">
      <c r="A19" s="1" t="s">
        <v>48</v>
      </c>
      <c r="B19" s="21">
        <v>17308</v>
      </c>
      <c r="C19" s="433">
        <f>ABS(B19/B6)</f>
        <v>1.5746179734162674E-4</v>
      </c>
      <c r="D19" s="21">
        <v>-11855</v>
      </c>
      <c r="E19" s="433">
        <f>ABS(D19/D6)</f>
        <v>9.8842685966406331E-5</v>
      </c>
      <c r="F19" s="21">
        <v>-3759</v>
      </c>
      <c r="G19" s="433">
        <f>ABS(F19/F6)</f>
        <v>2.9968950923120227E-5</v>
      </c>
      <c r="H19" s="21">
        <v>-5609</v>
      </c>
      <c r="I19" s="433">
        <f>ABS(H19/H6)</f>
        <v>5.2803121335689078E-5</v>
      </c>
      <c r="J19" s="21">
        <v>56750</v>
      </c>
      <c r="K19" s="433">
        <f>ABS(J19/J6)</f>
        <v>7.1748376836786888E-4</v>
      </c>
    </row>
    <row r="20" spans="1:11" x14ac:dyDescent="0.25">
      <c r="B20" s="70">
        <f>ABS(B19/B16)</f>
        <v>2.5256350203489604E-2</v>
      </c>
      <c r="C20" s="434"/>
      <c r="D20" s="70">
        <f t="shared" ref="D20:J20" si="0">ABS(D19/D16)</f>
        <v>7.7367861175103927E-2</v>
      </c>
      <c r="E20" s="434"/>
      <c r="F20" s="70">
        <f t="shared" si="0"/>
        <v>2.4334192161787744E-2</v>
      </c>
      <c r="G20" s="434"/>
      <c r="H20" s="70">
        <f t="shared" si="0"/>
        <v>1.4082070679491921E-3</v>
      </c>
      <c r="I20" s="434"/>
      <c r="J20" s="70">
        <f t="shared" si="0"/>
        <v>1.9253238954577961E-2</v>
      </c>
      <c r="K20" s="434"/>
    </row>
    <row r="21" spans="1:11" x14ac:dyDescent="0.25">
      <c r="A21" s="13" t="s">
        <v>49</v>
      </c>
      <c r="B21" s="22">
        <f>B16+B19</f>
        <v>-667985</v>
      </c>
      <c r="C21" s="434">
        <f>ABS(B21/B6)</f>
        <v>6.0770810432890301E-3</v>
      </c>
      <c r="D21" s="22">
        <f t="shared" ref="D21:J21" si="1">D16+D19</f>
        <v>141374</v>
      </c>
      <c r="E21" s="434">
        <f>ABS(D21/D6)</f>
        <v>1.1787250852648443E-3</v>
      </c>
      <c r="F21" s="22">
        <f>F16+F19</f>
        <v>-158233</v>
      </c>
      <c r="G21" s="434">
        <f>ABS(F21/F6)</f>
        <v>1.2615262068151323E-3</v>
      </c>
      <c r="H21" s="22">
        <f>H16+H19</f>
        <v>-3988688</v>
      </c>
      <c r="I21" s="434">
        <f>ABS(H21/H6)</f>
        <v>3.7549505515101979E-2</v>
      </c>
      <c r="J21" s="22">
        <f t="shared" si="1"/>
        <v>-2890806</v>
      </c>
      <c r="K21" s="434">
        <f>ABS(J21/J6)</f>
        <v>3.6548130088113584E-2</v>
      </c>
    </row>
    <row r="22" spans="1:11" x14ac:dyDescent="0.25">
      <c r="B22" s="23"/>
      <c r="C22" s="435"/>
      <c r="D22" s="20"/>
      <c r="E22" s="436"/>
      <c r="F22" s="20"/>
      <c r="G22" s="20"/>
      <c r="H22" s="20"/>
      <c r="I22" s="20"/>
      <c r="J22" s="2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8C9BE-E8E2-43DF-8448-A1C8402B8848}">
  <dimension ref="A1:K24"/>
  <sheetViews>
    <sheetView showGridLines="0" workbookViewId="0">
      <selection activeCell="H19" sqref="H19"/>
    </sheetView>
  </sheetViews>
  <sheetFormatPr defaultRowHeight="15" x14ac:dyDescent="0.25"/>
  <cols>
    <col min="1" max="1" width="30" bestFit="1" customWidth="1"/>
    <col min="2" max="2" width="16.28515625" customWidth="1"/>
    <col min="3" max="3" width="7.140625" style="412" bestFit="1" customWidth="1"/>
    <col min="4" max="4" width="16.28515625" customWidth="1"/>
    <col min="5" max="5" width="6.140625" bestFit="1" customWidth="1"/>
    <col min="6" max="6" width="16.28515625" customWidth="1"/>
    <col min="7" max="7" width="6.42578125" bestFit="1" customWidth="1"/>
    <col min="8" max="8" width="16.28515625" customWidth="1"/>
    <col min="9" max="9" width="6.140625" bestFit="1" customWidth="1"/>
    <col min="10" max="10" width="16.28515625" customWidth="1"/>
  </cols>
  <sheetData>
    <row r="1" spans="1:11" x14ac:dyDescent="0.25">
      <c r="A1" s="5" t="s">
        <v>0</v>
      </c>
    </row>
    <row r="2" spans="1:11" x14ac:dyDescent="0.25">
      <c r="A2" s="1" t="s">
        <v>273</v>
      </c>
    </row>
    <row r="3" spans="1:11" x14ac:dyDescent="0.25">
      <c r="A3" s="1" t="s">
        <v>602</v>
      </c>
    </row>
    <row r="6" spans="1:11" x14ac:dyDescent="0.25">
      <c r="A6" s="2" t="s">
        <v>38</v>
      </c>
      <c r="B6" s="167">
        <v>2013</v>
      </c>
      <c r="C6" s="442" t="s">
        <v>497</v>
      </c>
      <c r="D6" s="167">
        <v>2014</v>
      </c>
      <c r="E6" s="442" t="s">
        <v>497</v>
      </c>
      <c r="F6" s="167">
        <v>2015</v>
      </c>
      <c r="G6" s="442" t="s">
        <v>497</v>
      </c>
      <c r="H6" s="167">
        <v>2016</v>
      </c>
      <c r="I6" s="442" t="s">
        <v>497</v>
      </c>
      <c r="J6" s="3">
        <v>42887</v>
      </c>
      <c r="K6" s="411"/>
    </row>
    <row r="7" spans="1:11" x14ac:dyDescent="0.25">
      <c r="A7" s="135" t="s">
        <v>274</v>
      </c>
      <c r="B7" s="20">
        <f>'Estado de Resultados'!B6+'Estado de Resultados'!B7</f>
        <v>110316468</v>
      </c>
      <c r="C7" s="413">
        <f>(D7-B7)/B7</f>
        <v>9.1432069779463929E-2</v>
      </c>
      <c r="D7" s="20">
        <f>'Estado de Resultados'!D6+'Estado de Resultados'!D7</f>
        <v>120402931</v>
      </c>
      <c r="E7" s="413">
        <f>(F7-D7)/D7</f>
        <v>4.3118451991837309E-2</v>
      </c>
      <c r="F7" s="20">
        <f>'Estado de Resultados'!F6+'Estado de Resultados'!F7</f>
        <v>125594519</v>
      </c>
      <c r="G7" s="413">
        <f>(H7-F7)/F7</f>
        <v>-0.1528195350626726</v>
      </c>
      <c r="H7" s="20">
        <f>'Estado de Resultados'!H6+'Estado de Resultados'!H7</f>
        <v>106401223</v>
      </c>
      <c r="I7" s="413">
        <f>(J7-H7)/H7</f>
        <v>-0.25278568461567402</v>
      </c>
      <c r="J7" s="20">
        <f>'Estado de Resultados'!J6+'Estado de Resultados'!J7</f>
        <v>79504517</v>
      </c>
    </row>
    <row r="8" spans="1:11" x14ac:dyDescent="0.25">
      <c r="A8" s="135" t="s">
        <v>275</v>
      </c>
      <c r="B8" s="20">
        <f>'Estado de Resultados'!B6+'Estado de Resultados'!B8+'Estado de Resultados'!B9</f>
        <v>22011530</v>
      </c>
      <c r="C8" s="413">
        <f t="shared" ref="C8:E23" si="0">(D8-B8)/B8</f>
        <v>0.1274263533702564</v>
      </c>
      <c r="D8" s="20">
        <f>'Estado de Resultados'!D6+'Estado de Resultados'!D8+'Estado de Resultados'!D9</f>
        <v>24816379</v>
      </c>
      <c r="E8" s="413">
        <f t="shared" si="0"/>
        <v>3.7472428995382445E-2</v>
      </c>
      <c r="F8" s="20">
        <f>'Estado de Resultados'!F6+'Estado de Resultados'!F8+'Estado de Resultados'!F9</f>
        <v>25746309</v>
      </c>
      <c r="G8" s="413">
        <f t="shared" ref="G8" si="1">(H8-F8)/F8</f>
        <v>-0.14612976174565451</v>
      </c>
      <c r="H8" s="20">
        <f>'Estado de Resultados'!H6+'Estado de Resultados'!H8+'Estado de Resultados'!H9</f>
        <v>21984007</v>
      </c>
      <c r="I8" s="413">
        <f t="shared" ref="I8" si="2">(J8-H8)/H8</f>
        <v>-0.28782196075538002</v>
      </c>
      <c r="J8" s="20">
        <f>'Estado de Resultados'!J6+'Estado de Resultados'!J8+'Estado de Resultados'!J9</f>
        <v>15656527</v>
      </c>
    </row>
    <row r="9" spans="1:11" x14ac:dyDescent="0.25">
      <c r="A9" s="135" t="s">
        <v>276</v>
      </c>
      <c r="B9" s="20">
        <f>'Estado de Resultados'!B13+'Estado de Resultados'!B12+'Estado de Resultados'!B11</f>
        <v>-21768426</v>
      </c>
      <c r="C9" s="413">
        <f t="shared" si="0"/>
        <v>8.3328165297757398E-2</v>
      </c>
      <c r="D9" s="20">
        <f>'Estado de Resultados'!D13+'Estado de Resultados'!D12+'Estado de Resultados'!D11</f>
        <v>-23582349</v>
      </c>
      <c r="E9" s="413">
        <f t="shared" si="0"/>
        <v>4.1907148435467563E-2</v>
      </c>
      <c r="F9" s="20">
        <f>'Estado de Resultados'!F13+'Estado de Resultados'!F12+'Estado de Resultados'!F11</f>
        <v>-24570618</v>
      </c>
      <c r="G9" s="413">
        <f t="shared" ref="G9" si="3">(H9-F9)/F9</f>
        <v>1.0321881199732135E-2</v>
      </c>
      <c r="H9" s="20">
        <f>'Estado de Resultados'!H13+'Estado de Resultados'!H12+'Estado de Resultados'!H11</f>
        <v>-24824233</v>
      </c>
      <c r="I9" s="413">
        <f t="shared" ref="I9" si="4">(J9-H9)/H9</f>
        <v>-0.26477587444494255</v>
      </c>
      <c r="J9" s="20">
        <f>'Estado de Resultados'!J13+'Estado de Resultados'!J12+'Estado de Resultados'!J11</f>
        <v>-18251375</v>
      </c>
    </row>
    <row r="10" spans="1:11" x14ac:dyDescent="0.25">
      <c r="A10" s="135" t="s">
        <v>277</v>
      </c>
      <c r="B10" s="20">
        <f>'Estado de Resultados'!B21</f>
        <v>-667985</v>
      </c>
      <c r="C10" s="413">
        <f t="shared" si="0"/>
        <v>-1.2116424770017291</v>
      </c>
      <c r="D10" s="20">
        <f>'Estado de Resultados'!D21</f>
        <v>141374</v>
      </c>
      <c r="E10" s="413">
        <f t="shared" si="0"/>
        <v>-2.1192510645521807</v>
      </c>
      <c r="F10" s="20">
        <f>'Estado de Resultados'!F21</f>
        <v>-158233</v>
      </c>
      <c r="G10" s="413">
        <f t="shared" ref="G10" si="5">(H10-F10)/F10</f>
        <v>24.207687397698329</v>
      </c>
      <c r="H10" s="20">
        <f>'Estado de Resultados'!H21</f>
        <v>-3988688</v>
      </c>
      <c r="I10" s="413">
        <f t="shared" ref="I10" si="6">(J10-H10)/H10</f>
        <v>-0.27524890390022982</v>
      </c>
      <c r="J10" s="20">
        <f>'Estado de Resultados'!J21</f>
        <v>-2890806</v>
      </c>
    </row>
    <row r="11" spans="1:11" x14ac:dyDescent="0.25">
      <c r="A11" s="135" t="s">
        <v>278</v>
      </c>
      <c r="B11" s="180">
        <v>3733312</v>
      </c>
      <c r="C11" s="413">
        <f t="shared" si="0"/>
        <v>0</v>
      </c>
      <c r="D11" s="180">
        <v>3733312</v>
      </c>
      <c r="E11" s="413">
        <f t="shared" si="0"/>
        <v>0</v>
      </c>
      <c r="F11" s="180">
        <v>3733312</v>
      </c>
      <c r="G11" s="413">
        <f t="shared" ref="G11" si="7">(H11-F11)/F11</f>
        <v>0</v>
      </c>
      <c r="H11" s="180">
        <v>3733312</v>
      </c>
      <c r="I11" s="413">
        <f t="shared" ref="I11" si="8">(J11-H11)/H11</f>
        <v>0</v>
      </c>
      <c r="J11" s="180">
        <v>3733312</v>
      </c>
    </row>
    <row r="12" spans="1:11" x14ac:dyDescent="0.25">
      <c r="A12" s="135" t="s">
        <v>279</v>
      </c>
      <c r="B12" s="9">
        <f>B10/B11</f>
        <v>-0.17892557600329145</v>
      </c>
      <c r="C12" s="413">
        <f t="shared" si="0"/>
        <v>-1.2116424770017291</v>
      </c>
      <c r="D12" s="9">
        <f t="shared" ref="D12" si="9">D10/D11</f>
        <v>3.7868252104297742E-2</v>
      </c>
      <c r="E12" s="413">
        <f t="shared" si="0"/>
        <v>-2.1192510645521807</v>
      </c>
      <c r="F12" s="9">
        <f t="shared" ref="F12" si="10">F10/F11</f>
        <v>-4.2384081480465602E-2</v>
      </c>
      <c r="G12" s="413">
        <f t="shared" ref="G12" si="11">(H12-F12)/F12</f>
        <v>24.207687397698333</v>
      </c>
      <c r="H12" s="9">
        <f t="shared" ref="H12" si="12">H10/H11</f>
        <v>-1.0684046765981521</v>
      </c>
      <c r="I12" s="413">
        <f t="shared" ref="I12" si="13">(J12-H12)/H12</f>
        <v>-0.27524890390022988</v>
      </c>
      <c r="J12" s="9">
        <f t="shared" ref="J12" si="14">J10/J11</f>
        <v>-0.77432746044263112</v>
      </c>
    </row>
    <row r="13" spans="1:11" x14ac:dyDescent="0.25">
      <c r="A13" s="135" t="s">
        <v>280</v>
      </c>
      <c r="B13" s="10">
        <f>'Estado de Resultados'!B10</f>
        <v>-1326140</v>
      </c>
      <c r="C13" s="413">
        <f t="shared" si="0"/>
        <v>0.16554209962749031</v>
      </c>
      <c r="D13" s="10">
        <f>'Estado de Resultados'!D10</f>
        <v>-1545672</v>
      </c>
      <c r="E13" s="413">
        <f t="shared" si="0"/>
        <v>-3.2868551672023558E-2</v>
      </c>
      <c r="F13" s="10">
        <f>'Estado de Resultados'!F10</f>
        <v>-1494868</v>
      </c>
      <c r="G13" s="413">
        <f t="shared" ref="G13" si="15">(H13-F13)/F13</f>
        <v>-0.11745050399098783</v>
      </c>
      <c r="H13" s="10">
        <f>'Estado de Resultados'!H10</f>
        <v>-1319295</v>
      </c>
      <c r="I13" s="413">
        <f t="shared" ref="I13" si="16">(J13-H13)/H13</f>
        <v>-0.42290465741172367</v>
      </c>
      <c r="J13" s="10">
        <f>'Estado de Resultados'!J10</f>
        <v>-761359</v>
      </c>
    </row>
    <row r="14" spans="1:11" x14ac:dyDescent="0.25">
      <c r="A14" s="308"/>
      <c r="B14" s="440"/>
      <c r="C14" s="422"/>
      <c r="D14" s="440"/>
      <c r="E14" s="422"/>
      <c r="F14" s="440"/>
      <c r="G14" s="422"/>
      <c r="H14" s="440"/>
      <c r="I14" s="422"/>
      <c r="J14" s="440"/>
    </row>
    <row r="15" spans="1:11" x14ac:dyDescent="0.25">
      <c r="A15" s="441" t="s">
        <v>281</v>
      </c>
      <c r="B15" s="440"/>
      <c r="C15" s="422"/>
      <c r="D15" s="440"/>
      <c r="E15" s="422"/>
      <c r="F15" s="440"/>
      <c r="G15" s="422"/>
      <c r="H15" s="440"/>
      <c r="I15" s="422"/>
      <c r="J15" s="440"/>
    </row>
    <row r="16" spans="1:11" x14ac:dyDescent="0.25">
      <c r="A16" s="135" t="s">
        <v>623</v>
      </c>
      <c r="B16" s="10">
        <f>Activos!B12</f>
        <v>33015516</v>
      </c>
      <c r="C16" s="413">
        <f t="shared" si="0"/>
        <v>0.20843784480000252</v>
      </c>
      <c r="D16" s="10">
        <f>Activos!D12</f>
        <v>39897199</v>
      </c>
      <c r="E16" s="413">
        <f t="shared" si="0"/>
        <v>-8.7166169234085836E-2</v>
      </c>
      <c r="F16" s="10">
        <f>Activos!F12</f>
        <v>36419513</v>
      </c>
      <c r="G16" s="413">
        <f t="shared" ref="G16" si="17">(H16-F16)/F16</f>
        <v>-5.3646845854308928E-2</v>
      </c>
      <c r="H16" s="10">
        <f>Activos!H12</f>
        <v>34465721</v>
      </c>
      <c r="I16" s="413">
        <f t="shared" ref="I16" si="18">(J16-H16)/H16</f>
        <v>-8.1984154632946754E-2</v>
      </c>
      <c r="J16" s="10">
        <f>Activos!J12</f>
        <v>31640078</v>
      </c>
    </row>
    <row r="17" spans="1:10" x14ac:dyDescent="0.25">
      <c r="A17" s="135" t="s">
        <v>282</v>
      </c>
      <c r="B17" s="10">
        <f>Activos!B24</f>
        <v>54410647</v>
      </c>
      <c r="C17" s="413">
        <f t="shared" si="0"/>
        <v>0.14208353376132432</v>
      </c>
      <c r="D17" s="10">
        <f>Activos!D24</f>
        <v>62141504</v>
      </c>
      <c r="E17" s="413">
        <f t="shared" si="0"/>
        <v>-5.8740129624155861E-2</v>
      </c>
      <c r="F17" s="10">
        <f>Activos!F24</f>
        <v>58491304</v>
      </c>
      <c r="G17" s="413">
        <f t="shared" ref="G17" si="19">(H17-F17)/F17</f>
        <v>-2.4989013751514241E-2</v>
      </c>
      <c r="H17" s="10">
        <f>Activos!H24</f>
        <v>57029664</v>
      </c>
      <c r="I17" s="413">
        <f t="shared" ref="I17" si="20">(J17-H17)/H17</f>
        <v>-5.2451475077952413E-2</v>
      </c>
      <c r="J17" s="10">
        <f>Activos!J24</f>
        <v>54038374</v>
      </c>
    </row>
    <row r="18" spans="1:10" x14ac:dyDescent="0.25">
      <c r="A18" s="135" t="s">
        <v>624</v>
      </c>
      <c r="B18" s="10">
        <f>'Pasivos y Patrimonio'!B12</f>
        <v>33156515</v>
      </c>
      <c r="C18" s="413">
        <f t="shared" si="0"/>
        <v>0.15935580081320369</v>
      </c>
      <c r="D18" s="10">
        <f>'Pasivos y Patrimonio'!D12</f>
        <v>38440198</v>
      </c>
      <c r="E18" s="413">
        <f t="shared" si="0"/>
        <v>-0.21961125174225168</v>
      </c>
      <c r="F18" s="10">
        <f>'Pasivos y Patrimonio'!F12</f>
        <v>29998298</v>
      </c>
      <c r="G18" s="413">
        <f t="shared" ref="G18" si="21">(H18-F18)/F18</f>
        <v>5.5983509464436948E-2</v>
      </c>
      <c r="H18" s="10">
        <f>'Pasivos y Patrimonio'!H12</f>
        <v>31677708</v>
      </c>
      <c r="I18" s="413">
        <f t="shared" ref="I18" si="22">(J18-H18)/H18</f>
        <v>1.0104140110136757E-2</v>
      </c>
      <c r="J18" s="10">
        <f>'Pasivos y Patrimonio'!J12</f>
        <v>31997784</v>
      </c>
    </row>
    <row r="19" spans="1:10" x14ac:dyDescent="0.25">
      <c r="A19" s="135" t="s">
        <v>283</v>
      </c>
      <c r="B19" s="10">
        <f>'Pasivos y Patrimonio'!B23</f>
        <v>9749782</v>
      </c>
      <c r="C19" s="413">
        <f t="shared" si="0"/>
        <v>4.8778936800843345E-2</v>
      </c>
      <c r="D19" s="10">
        <f>'Pasivos y Patrimonio'!D23</f>
        <v>10225366</v>
      </c>
      <c r="E19" s="413">
        <f t="shared" si="0"/>
        <v>0.48545616851269674</v>
      </c>
      <c r="F19" s="10">
        <f>'Pasivos y Patrimonio'!F23</f>
        <v>15189333</v>
      </c>
      <c r="G19" s="413">
        <f t="shared" ref="G19" si="23">(H19-F19)/F19</f>
        <v>-4.4828433216916111E-2</v>
      </c>
      <c r="H19" s="10">
        <f>'Pasivos y Patrimonio'!H23</f>
        <v>14508419</v>
      </c>
      <c r="I19" s="413">
        <f t="shared" ref="I19" si="24">(J19-H19)/H19</f>
        <v>-4.5942979727839402E-2</v>
      </c>
      <c r="J19" s="10">
        <f>'Pasivos y Patrimonio'!J23</f>
        <v>13841859</v>
      </c>
    </row>
    <row r="20" spans="1:10" x14ac:dyDescent="0.25">
      <c r="A20" s="135" t="s">
        <v>284</v>
      </c>
      <c r="B20" s="10">
        <f>'Pasivos y Patrimonio'!B29</f>
        <v>16501603</v>
      </c>
      <c r="C20" s="413">
        <f t="shared" si="0"/>
        <v>0</v>
      </c>
      <c r="D20" s="10">
        <f>'Pasivos y Patrimonio'!D29</f>
        <v>16501603</v>
      </c>
      <c r="E20" s="413">
        <f t="shared" si="0"/>
        <v>0</v>
      </c>
      <c r="F20" s="10">
        <f>'Pasivos y Patrimonio'!F29</f>
        <v>16501603</v>
      </c>
      <c r="G20" s="413">
        <f t="shared" ref="G20" si="25">(H20-F20)/F20</f>
        <v>0</v>
      </c>
      <c r="H20" s="10">
        <f>'Pasivos y Patrimonio'!H29</f>
        <v>16501603</v>
      </c>
      <c r="I20" s="413">
        <f t="shared" ref="I20" si="26">(J20-H20)/H20</f>
        <v>0</v>
      </c>
      <c r="J20" s="10">
        <f>'Pasivos y Patrimonio'!J29</f>
        <v>16501603</v>
      </c>
    </row>
    <row r="21" spans="1:10" x14ac:dyDescent="0.25">
      <c r="A21" s="135" t="s">
        <v>33</v>
      </c>
      <c r="B21" s="10">
        <f>'Pasivos y Patrimonio'!B31</f>
        <v>9571853</v>
      </c>
      <c r="C21" s="413">
        <f t="shared" si="0"/>
        <v>0.1909213398910326</v>
      </c>
      <c r="D21" s="10">
        <f>'Pasivos y Patrimonio'!D31</f>
        <v>11399324</v>
      </c>
      <c r="E21" s="413">
        <f t="shared" si="0"/>
        <v>0</v>
      </c>
      <c r="F21" s="10">
        <f>'Pasivos y Patrimonio'!F31</f>
        <v>11399324</v>
      </c>
      <c r="G21" s="413">
        <f t="shared" ref="G21" si="27">(H21-F21)/F21</f>
        <v>0.13392320456897269</v>
      </c>
      <c r="H21" s="10">
        <f>'Pasivos y Patrimonio'!H31</f>
        <v>12925958</v>
      </c>
      <c r="I21" s="413">
        <f t="shared" ref="I21" si="28">(J21-H21)/H21</f>
        <v>1.9105353738577829E-2</v>
      </c>
      <c r="J21" s="10">
        <f>'Pasivos y Patrimonio'!J31</f>
        <v>13172913</v>
      </c>
    </row>
    <row r="22" spans="1:10" x14ac:dyDescent="0.25">
      <c r="A22" s="135" t="s">
        <v>285</v>
      </c>
      <c r="B22" s="10">
        <f>'Pasivos y Patrimonio'!B32</f>
        <v>-14672017</v>
      </c>
      <c r="C22" s="413">
        <f t="shared" si="0"/>
        <v>-9.5573771486224431E-3</v>
      </c>
      <c r="D22" s="10">
        <f>'Pasivos y Patrimonio'!D32</f>
        <v>-14531791</v>
      </c>
      <c r="E22" s="413">
        <f t="shared" si="0"/>
        <v>1.1609787121215822E-2</v>
      </c>
      <c r="F22" s="10">
        <f>'Pasivos y Patrimonio'!F32</f>
        <v>-14700502</v>
      </c>
      <c r="G22" s="413">
        <f t="shared" ref="G22" si="29">(H22-F22)/F22</f>
        <v>0.27079823532556918</v>
      </c>
      <c r="H22" s="10">
        <f>'Pasivos y Patrimonio'!H32</f>
        <v>-18681372</v>
      </c>
      <c r="I22" s="413">
        <f t="shared" ref="I22" si="30">(J22-H22)/H22</f>
        <v>0.15445856974530564</v>
      </c>
      <c r="J22" s="10">
        <f>'Pasivos y Patrimonio'!J32</f>
        <v>-21566870</v>
      </c>
    </row>
    <row r="23" spans="1:10" x14ac:dyDescent="0.25">
      <c r="A23" s="135" t="s">
        <v>286</v>
      </c>
      <c r="B23" s="10">
        <f>'Pasivos y Patrimonio'!B38</f>
        <v>11504350</v>
      </c>
      <c r="C23" s="413">
        <f t="shared" si="0"/>
        <v>0.17137778318635993</v>
      </c>
      <c r="D23" s="10">
        <f>'Pasivos y Patrimonio'!D38</f>
        <v>13475940</v>
      </c>
      <c r="E23" s="413">
        <f t="shared" si="0"/>
        <v>-1.2783301201994073E-2</v>
      </c>
      <c r="F23" s="10">
        <f>'Pasivos y Patrimonio'!F38</f>
        <v>13303673</v>
      </c>
      <c r="G23" s="413">
        <f t="shared" ref="G23" si="31">(H23-F23)/F23</f>
        <v>-0.18492156263912982</v>
      </c>
      <c r="H23" s="10">
        <f>'Pasivos y Patrimonio'!H38</f>
        <v>10843537</v>
      </c>
      <c r="I23" s="413">
        <f t="shared" ref="I23" si="32">(J23-H23)/H23</f>
        <v>-0.24390620883204439</v>
      </c>
      <c r="J23" s="10">
        <f>'Pasivos y Patrimonio'!J38</f>
        <v>8198731</v>
      </c>
    </row>
    <row r="24" spans="1:10" x14ac:dyDescent="0.25">
      <c r="A24" s="308"/>
      <c r="B24" s="440"/>
      <c r="C24" s="422"/>
      <c r="D24" s="440"/>
      <c r="E24" s="422"/>
      <c r="F24" s="440"/>
      <c r="G24" s="422"/>
      <c r="H24" s="440"/>
      <c r="I24" s="422"/>
      <c r="J24" s="4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5</vt:i4>
      </vt:variant>
    </vt:vector>
  </HeadingPairs>
  <TitlesOfParts>
    <vt:vector size="52" baseType="lpstr">
      <vt:lpstr>Deuda Bancaria</vt:lpstr>
      <vt:lpstr>VCN</vt:lpstr>
      <vt:lpstr>Activos</vt:lpstr>
      <vt:lpstr>Pasivos y Patrimonio</vt:lpstr>
      <vt:lpstr>Clasificación de Activos</vt:lpstr>
      <vt:lpstr>Clasificación de Activos II</vt:lpstr>
      <vt:lpstr>Patrimonio</vt:lpstr>
      <vt:lpstr>Estado de Resultados</vt:lpstr>
      <vt:lpstr>Resumen Financiero</vt:lpstr>
      <vt:lpstr>Ratios Financieros</vt:lpstr>
      <vt:lpstr>Segmentos de Venta</vt:lpstr>
      <vt:lpstr>Utilidad por Segmento</vt:lpstr>
      <vt:lpstr>Ventas vs PIB - Print</vt:lpstr>
      <vt:lpstr>Otros Gastos</vt:lpstr>
      <vt:lpstr>Flujo de Efectivo - Analizado</vt:lpstr>
      <vt:lpstr>Deuda a Parte Relacionada</vt:lpstr>
      <vt:lpstr>Deuda Financiera 2013 - 2017</vt:lpstr>
      <vt:lpstr>Kb TAGA</vt:lpstr>
      <vt:lpstr>Estructura de Capital</vt:lpstr>
      <vt:lpstr>Beta de la Deuda TAGA</vt:lpstr>
      <vt:lpstr>Beta Apalancado a TAGA</vt:lpstr>
      <vt:lpstr>Kp TAGA</vt:lpstr>
      <vt:lpstr>Ko TAGA</vt:lpstr>
      <vt:lpstr>Análisis Efectivo en Inversión</vt:lpstr>
      <vt:lpstr>PIB Panamá</vt:lpstr>
      <vt:lpstr>Crecimiento en Ventas vs PIB</vt:lpstr>
      <vt:lpstr>Cuentas No Operacionales</vt:lpstr>
      <vt:lpstr>Costos de Operación II</vt:lpstr>
      <vt:lpstr>Costos Operacionales - Print</vt:lpstr>
      <vt:lpstr>Inversión en Reposición</vt:lpstr>
      <vt:lpstr>Activo Fijo Histórico</vt:lpstr>
      <vt:lpstr>Inversiones en Activo Fijo</vt:lpstr>
      <vt:lpstr>Inversión en Capital de Trabajo</vt:lpstr>
      <vt:lpstr>CTON Proyectado</vt:lpstr>
      <vt:lpstr>Análisis de Costos de Operación</vt:lpstr>
      <vt:lpstr>Supuestos</vt:lpstr>
      <vt:lpstr>EERR Proyectado</vt:lpstr>
      <vt:lpstr>Jul - Sep 2017</vt:lpstr>
      <vt:lpstr>EERR Ajustado</vt:lpstr>
      <vt:lpstr>Activos Prescindibles</vt:lpstr>
      <vt:lpstr>FCL Proyectado</vt:lpstr>
      <vt:lpstr>Indices</vt:lpstr>
      <vt:lpstr>Valoración</vt:lpstr>
      <vt:lpstr>Graficas</vt:lpstr>
      <vt:lpstr>Valoración (1)</vt:lpstr>
      <vt:lpstr>Supuestos II</vt:lpstr>
      <vt:lpstr>EERR Proyectado -destruir valor</vt:lpstr>
      <vt:lpstr>'Inversiones en Activo Fijo'!UltimaTasa</vt:lpstr>
      <vt:lpstr>UltimaTasa</vt:lpstr>
      <vt:lpstr>VariaciónPromedio</vt:lpstr>
      <vt:lpstr>'Inversiones en Activo Fijo'!Vector_ReducciónTasaInversion</vt:lpstr>
      <vt:lpstr>Vector_ReducciónTasaInversion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rodbl</dc:creator>
  <cp:lastModifiedBy>rodbl</cp:lastModifiedBy>
  <cp:lastPrinted>2018-03-23T20:21:33Z</cp:lastPrinted>
  <dcterms:created xsi:type="dcterms:W3CDTF">2017-10-06T19:02:45Z</dcterms:created>
  <dcterms:modified xsi:type="dcterms:W3CDTF">2019-05-04T16:40:56Z</dcterms:modified>
</cp:coreProperties>
</file>