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6" documentId="13_ncr:1_{B550CB10-5824-4B9D-B1C1-46DCFE3A4267}" xr6:coauthVersionLast="32" xr6:coauthVersionMax="32" xr10:uidLastSave="{DE4E3D66-48C8-4766-804B-31FA5666D529}"/>
  <bookViews>
    <workbookView xWindow="0" yWindow="0" windowWidth="22260" windowHeight="12645" xr2:uid="{00000000-000D-0000-FFFF-FFFF00000000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33" i="1"/>
  <c r="I24" i="1"/>
  <c r="I25" i="1"/>
  <c r="I26" i="1"/>
  <c r="I27" i="1"/>
  <c r="I28" i="1"/>
  <c r="I29" i="1"/>
  <c r="I30" i="1"/>
  <c r="I31" i="1"/>
  <c r="I32" i="1"/>
  <c r="I23" i="1"/>
  <c r="I6" i="1"/>
  <c r="I7" i="1"/>
  <c r="I8" i="1"/>
  <c r="I9" i="1"/>
  <c r="I10" i="1"/>
  <c r="I11" i="1"/>
  <c r="I12" i="1"/>
  <c r="I13" i="1"/>
  <c r="I14" i="1"/>
  <c r="I5" i="1"/>
  <c r="H33" i="1"/>
  <c r="H32" i="1"/>
  <c r="H31" i="1"/>
  <c r="H26" i="1"/>
  <c r="H25" i="1"/>
  <c r="H24" i="1"/>
  <c r="H23" i="1"/>
  <c r="H30" i="1"/>
  <c r="H29" i="1"/>
  <c r="H28" i="1"/>
  <c r="H27" i="1"/>
  <c r="H15" i="1"/>
  <c r="H14" i="1"/>
  <c r="H13" i="1"/>
  <c r="H12" i="1"/>
  <c r="H11" i="1"/>
  <c r="H10" i="1"/>
  <c r="H9" i="1"/>
  <c r="H8" i="1"/>
  <c r="H7" i="1"/>
  <c r="H6" i="1"/>
  <c r="H5" i="1"/>
  <c r="G5" i="1" l="1"/>
  <c r="C33" i="1" l="1"/>
  <c r="D33" i="1"/>
  <c r="D32" i="1"/>
  <c r="C31" i="1"/>
  <c r="C32" i="1"/>
  <c r="D31" i="1"/>
  <c r="D30" i="1"/>
  <c r="D29" i="1"/>
  <c r="D28" i="1"/>
  <c r="D27" i="1"/>
  <c r="C27" i="1"/>
  <c r="C29" i="1"/>
  <c r="F29" i="1" s="1"/>
  <c r="G29" i="1" s="1"/>
  <c r="C28" i="1"/>
  <c r="D26" i="1"/>
  <c r="D25" i="1"/>
  <c r="D24" i="1"/>
  <c r="F24" i="1" s="1"/>
  <c r="G24" i="1" s="1"/>
  <c r="D23" i="1"/>
  <c r="F23" i="1" s="1"/>
  <c r="G23" i="1" s="1"/>
  <c r="E33" i="1"/>
  <c r="E32" i="1"/>
  <c r="E31" i="1"/>
  <c r="E30" i="1"/>
  <c r="C30" i="1"/>
  <c r="E29" i="1"/>
  <c r="E28" i="1"/>
  <c r="E27" i="1"/>
  <c r="E26" i="1"/>
  <c r="C26" i="1"/>
  <c r="E25" i="1"/>
  <c r="F25" i="1"/>
  <c r="G25" i="1" s="1"/>
  <c r="C25" i="1"/>
  <c r="E24" i="1"/>
  <c r="C24" i="1"/>
  <c r="E23" i="1"/>
  <c r="C23" i="1"/>
  <c r="D15" i="1"/>
  <c r="D14" i="1"/>
  <c r="D13" i="1"/>
  <c r="C15" i="1"/>
  <c r="C14" i="1"/>
  <c r="C13" i="1"/>
  <c r="D12" i="1"/>
  <c r="C12" i="1"/>
  <c r="C11" i="1"/>
  <c r="C10" i="1"/>
  <c r="D11" i="1"/>
  <c r="D10" i="1"/>
  <c r="D9" i="1"/>
  <c r="D8" i="1"/>
  <c r="D7" i="1"/>
  <c r="F7" i="1" s="1"/>
  <c r="G7" i="1" s="1"/>
  <c r="D6" i="1"/>
  <c r="D5" i="1"/>
  <c r="C5" i="1"/>
  <c r="F8" i="1"/>
  <c r="G8" i="1" s="1"/>
  <c r="F6" i="1"/>
  <c r="G6" i="1" s="1"/>
  <c r="C6" i="1"/>
  <c r="C7" i="1"/>
  <c r="C8" i="1"/>
  <c r="C9" i="1"/>
  <c r="E15" i="1"/>
  <c r="E14" i="1"/>
  <c r="E13" i="1"/>
  <c r="E12" i="1"/>
  <c r="E11" i="1"/>
  <c r="E10" i="1"/>
  <c r="E9" i="1"/>
  <c r="E8" i="1"/>
  <c r="E7" i="1"/>
  <c r="E6" i="1"/>
  <c r="E5" i="1"/>
  <c r="F33" i="1" l="1"/>
  <c r="G33" i="1" s="1"/>
  <c r="F32" i="1"/>
  <c r="G32" i="1" s="1"/>
  <c r="F31" i="1"/>
  <c r="G31" i="1" s="1"/>
  <c r="F30" i="1"/>
  <c r="G30" i="1" s="1"/>
  <c r="F27" i="1"/>
  <c r="G27" i="1" s="1"/>
  <c r="F28" i="1"/>
  <c r="G28" i="1" s="1"/>
  <c r="F26" i="1"/>
  <c r="G26" i="1" s="1"/>
  <c r="F15" i="1"/>
  <c r="G15" i="1" s="1"/>
  <c r="F14" i="1"/>
  <c r="G14" i="1" s="1"/>
  <c r="F13" i="1"/>
  <c r="G13" i="1" s="1"/>
  <c r="F12" i="1"/>
  <c r="G12" i="1" s="1"/>
  <c r="F11" i="1"/>
  <c r="G11" i="1" s="1"/>
  <c r="F5" i="1"/>
  <c r="F10" i="1"/>
  <c r="G10" i="1" s="1"/>
  <c r="F9" i="1"/>
  <c r="G9" i="1" s="1"/>
</calcChain>
</file>

<file path=xl/sharedStrings.xml><?xml version="1.0" encoding="utf-8"?>
<sst xmlns="http://schemas.openxmlformats.org/spreadsheetml/2006/main" count="16" uniqueCount="9">
  <si>
    <t>Entrada</t>
  </si>
  <si>
    <t>Saída</t>
  </si>
  <si>
    <t>Freq</t>
  </si>
  <si>
    <t>Ganho</t>
  </si>
  <si>
    <t>Ganho (dB)</t>
  </si>
  <si>
    <t>R Ganho</t>
  </si>
  <si>
    <t>1k</t>
  </si>
  <si>
    <t>Ganho Teórico (dB)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</si>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</sst>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Ganho Obtido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Folha1!$E$5:$E$15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Folha1!$G$5:$G$15</c:f>
              <c:numCache>
                <c:formatCode>General</c:formatCode>
                <c:ptCount val="11"/>
                <c:pt idx="0">
                  <c:v>31.746734690145118</c:v>
                </c:pt>
                <c:pt idx="1">
                  <c:v>29.147543930478108</c:v>
                </c:pt>
                <c:pt idx="2">
                  <c:v>23.004892037461403</c:v>
                </c:pt>
                <c:pt idx="3">
                  <c:v>17.98911404673699</c:v>
                </c:pt>
                <c:pt idx="4">
                  <c:v>12.736441951743487</c:v>
                </c:pt>
                <c:pt idx="5">
                  <c:v>10.102999566398122</c:v>
                </c:pt>
                <c:pt idx="6">
                  <c:v>7.6042248342321201</c:v>
                </c:pt>
                <c:pt idx="7">
                  <c:v>-0.32780832376338742</c:v>
                </c:pt>
                <c:pt idx="8">
                  <c:v>-5.7047145696149855</c:v>
                </c:pt>
                <c:pt idx="9">
                  <c:v>-9.1647182111857735</c:v>
                </c:pt>
                <c:pt idx="10">
                  <c:v>-11.480625354554377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A-4F56-B72D-A223EA9A7A37}"/>
            </c:ext>
          </c:extLst>
        </c:ser>
        <c:ser>
          <c:idx val="1"/>
          <c:order val="1"/>
          <c:tx>
            <c:v>Ganho Teórico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Folha1!$E$5:$E$15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Folha1!$H$5:$H$15</c:f>
              <c:numCache>
                <c:formatCode>General</c:formatCode>
                <c:ptCount val="11"/>
                <c:pt idx="0">
                  <c:v>30.9</c:v>
                </c:pt>
                <c:pt idx="1">
                  <c:v>28.9</c:v>
                </c:pt>
                <c:pt idx="2">
                  <c:v>23.4</c:v>
                </c:pt>
                <c:pt idx="3">
                  <c:v>18.3</c:v>
                </c:pt>
                <c:pt idx="4">
                  <c:v>12.7</c:v>
                </c:pt>
                <c:pt idx="5">
                  <c:v>10.1</c:v>
                </c:pt>
                <c:pt idx="6">
                  <c:v>7.8</c:v>
                </c:pt>
                <c:pt idx="7">
                  <c:v>2.6</c:v>
                </c:pt>
                <c:pt idx="8">
                  <c:v>-2.9</c:v>
                </c:pt>
                <c:pt idx="9">
                  <c:v>-6.2</c:v>
                </c:pt>
                <c:pt idx="10">
                  <c:v>-8.6999999999999993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92-45EE-B843-A3BDFA9C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51183"/>
        <c:axId val="1551490063"/>
      </c:scatterChart>
      <c:valAx>
        <c:axId val="1547251183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1490063"/>
        <c:crosses val="autoZero"/>
        <c:crossBetween val="midCat"/>
      </c:valAx>
      <c:valAx>
        <c:axId val="15514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25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8607113765957"/>
          <c:y val="5.9374376881513868E-2"/>
          <c:w val="0.14412978550095032"/>
          <c:h val="0.14889813545579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Ganho Obtido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Folha1!$E$23:$E$33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Folha1!$G$23:$G$33</c:f>
              <c:numCache>
                <c:formatCode>General</c:formatCode>
                <c:ptCount val="11"/>
                <c:pt idx="0">
                  <c:v>34.094446664502208</c:v>
                </c:pt>
                <c:pt idx="1">
                  <c:v>31.441935359010383</c:v>
                </c:pt>
                <c:pt idx="2">
                  <c:v>25.421335445730762</c:v>
                </c:pt>
                <c:pt idx="3">
                  <c:v>20.22858923561564</c:v>
                </c:pt>
                <c:pt idx="4">
                  <c:v>13.448799135939391</c:v>
                </c:pt>
                <c:pt idx="5">
                  <c:v>11.018149377611623</c:v>
                </c:pt>
                <c:pt idx="6">
                  <c:v>8.1497065315653607</c:v>
                </c:pt>
                <c:pt idx="7">
                  <c:v>2.6185820059497478</c:v>
                </c:pt>
                <c:pt idx="8">
                  <c:v>-4.0604378471374538</c:v>
                </c:pt>
                <c:pt idx="9">
                  <c:v>-7.3229634849637257</c:v>
                </c:pt>
                <c:pt idx="10">
                  <c:v>-8.9553172273425101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C-4731-A15E-C143FB5BDE6C}"/>
            </c:ext>
          </c:extLst>
        </c:ser>
        <c:ser>
          <c:idx val="1"/>
          <c:order val="1"/>
          <c:tx>
            <c:v>Ganho Teórico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Folha1!$E$23:$E$33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Folha1!$H$23:$H$33</c:f>
              <c:numCache>
                <c:formatCode>General</c:formatCode>
                <c:ptCount val="11"/>
                <c:pt idx="0">
                  <c:v>33.299999999999997</c:v>
                </c:pt>
                <c:pt idx="1">
                  <c:v>31.3</c:v>
                </c:pt>
                <c:pt idx="2">
                  <c:v>25.8</c:v>
                </c:pt>
                <c:pt idx="3">
                  <c:v>20.7</c:v>
                </c:pt>
                <c:pt idx="4">
                  <c:v>15</c:v>
                </c:pt>
                <c:pt idx="5">
                  <c:v>12.6</c:v>
                </c:pt>
                <c:pt idx="6">
                  <c:v>10.199999999999999</c:v>
                </c:pt>
                <c:pt idx="7">
                  <c:v>4.9800000000000004</c:v>
                </c:pt>
                <c:pt idx="8">
                  <c:v>-0.5</c:v>
                </c:pt>
                <c:pt idx="9">
                  <c:v>-3.8</c:v>
                </c:pt>
                <c:pt idx="10">
                  <c:v>-6.3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B-48ED-8C15-14295A5B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51183"/>
        <c:axId val="1551490063"/>
      </c:scatterChart>
      <c:valAx>
        <c:axId val="1547251183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1490063"/>
        <c:crosses val="autoZero"/>
        <c:crossBetween val="midCat"/>
      </c:valAx>
      <c:valAx>
        <c:axId val="15514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25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93397821474111"/>
          <c:y val="5.7383991024493375E-2"/>
          <c:w val="0.14421265981387349"/>
          <c:h val="0.12461626889073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10584</xdr:colOff>
      <xdr:row>2</xdr:row>
      <xdr:rowOff>190500</xdr:rowOff>
    </xdr:from>
    <xdr:to>
      <xdr:col>21</xdr:col>
      <xdr:colOff>10584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2549E-E36F-4896-9C04-E8DE7217C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21</xdr:col>
      <xdr:colOff>613833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923B05-A64A-46BA-B490-A093BDFC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90" zoomScaleNormal="90" workbookViewId="0">
      <selection activeCell="K21" sqref="K21"/>
    </sheetView>
  </sheetViews>
  <sheetFormatPr defaultRowHeight="15" x14ac:dyDescent="0.25"/>
  <cols>
    <col min="1" max="1" width="2.140625" bestFit="1" customWidth="1"/>
    <col min="2" max="2" width="7.7109375" bestFit="1" customWidth="1"/>
    <col min="3" max="3" width="8.28515625" bestFit="1" customWidth="1"/>
    <col min="4" max="4" width="7" bestFit="1" customWidth="1"/>
    <col min="5" max="5" width="6.7109375" bestFit="1" customWidth="1"/>
    <col min="6" max="6" width="12" bestFit="1" customWidth="1"/>
    <col min="7" max="7" width="12.7109375" bestFit="1" customWidth="1"/>
    <col min="8" max="8" width="18.1406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thickBot="1" x14ac:dyDescent="0.3">
      <c r="A3" s="1"/>
      <c r="B3" s="6"/>
      <c r="C3" s="6"/>
      <c r="D3" s="9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7</v>
      </c>
      <c r="I4" s="3" t="s">
        <v>8</v>
      </c>
      <c r="J4" s="1"/>
      <c r="K4" s="1"/>
      <c r="L4" s="1"/>
      <c r="M4" s="1"/>
      <c r="N4" s="1"/>
    </row>
    <row r="5" spans="1:14" x14ac:dyDescent="0.25">
      <c r="A5" s="1"/>
      <c r="B5" s="1"/>
      <c r="C5" s="5">
        <f>30*10^(-3)</f>
        <v>0.03</v>
      </c>
      <c r="D5" s="6">
        <f>1.16</f>
        <v>1.1599999999999999</v>
      </c>
      <c r="E5" s="6">
        <f>20</f>
        <v>20</v>
      </c>
      <c r="F5" s="6">
        <f>D5/C5</f>
        <v>38.666666666666664</v>
      </c>
      <c r="G5" s="6">
        <f>20*LOG10(F5)</f>
        <v>31.746734690145118</v>
      </c>
      <c r="H5" s="6">
        <f>30.9</f>
        <v>30.9</v>
      </c>
      <c r="I5" s="7">
        <f>ABS(H5-G5)</f>
        <v>0.84673469014511937</v>
      </c>
      <c r="J5" s="1"/>
      <c r="K5" s="1"/>
      <c r="L5" s="1"/>
      <c r="M5" s="1"/>
      <c r="N5" s="1"/>
    </row>
    <row r="6" spans="1:14" x14ac:dyDescent="0.25">
      <c r="A6" s="1"/>
      <c r="B6" s="1"/>
      <c r="C6" s="5">
        <f t="shared" ref="C6:C9" si="0">30*10^(-3)</f>
        <v>0.03</v>
      </c>
      <c r="D6" s="6">
        <f>0.86</f>
        <v>0.86</v>
      </c>
      <c r="E6" s="6">
        <f>40</f>
        <v>40</v>
      </c>
      <c r="F6" s="6">
        <f t="shared" ref="F6:F15" si="1">D6/C6</f>
        <v>28.666666666666668</v>
      </c>
      <c r="G6" s="6">
        <f t="shared" ref="G6:G15" si="2">20*LOG10(F6)</f>
        <v>29.147543930478108</v>
      </c>
      <c r="H6" s="6">
        <f>28.9</f>
        <v>28.9</v>
      </c>
      <c r="I6" s="7">
        <f t="shared" ref="I6:I14" si="3">ABS(H6-G6)</f>
        <v>0.24754393047810908</v>
      </c>
      <c r="J6" s="1"/>
      <c r="K6" s="1"/>
      <c r="L6" s="1"/>
      <c r="M6" s="1"/>
      <c r="N6" s="1"/>
    </row>
    <row r="7" spans="1:14" x14ac:dyDescent="0.25">
      <c r="A7" s="1"/>
      <c r="B7" s="1"/>
      <c r="C7" s="5">
        <f t="shared" si="0"/>
        <v>0.03</v>
      </c>
      <c r="D7" s="6">
        <f>0.424</f>
        <v>0.42399999999999999</v>
      </c>
      <c r="E7" s="6">
        <f>100</f>
        <v>100</v>
      </c>
      <c r="F7" s="6">
        <f t="shared" si="1"/>
        <v>14.133333333333333</v>
      </c>
      <c r="G7" s="6">
        <f t="shared" si="2"/>
        <v>23.004892037461403</v>
      </c>
      <c r="H7" s="6">
        <f>23.4</f>
        <v>23.4</v>
      </c>
      <c r="I7" s="7">
        <f t="shared" si="3"/>
        <v>0.39510796253859581</v>
      </c>
      <c r="J7" s="1"/>
      <c r="K7" s="1"/>
      <c r="L7" s="1"/>
      <c r="M7" s="1"/>
      <c r="N7" s="1"/>
    </row>
    <row r="8" spans="1:14" x14ac:dyDescent="0.25">
      <c r="A8" s="1"/>
      <c r="B8" s="1"/>
      <c r="C8" s="5">
        <f t="shared" si="0"/>
        <v>0.03</v>
      </c>
      <c r="D8" s="6">
        <f>0.238</f>
        <v>0.23799999999999999</v>
      </c>
      <c r="E8" s="6">
        <f>200</f>
        <v>200</v>
      </c>
      <c r="F8" s="6">
        <f t="shared" si="1"/>
        <v>7.9333333333333336</v>
      </c>
      <c r="G8" s="6">
        <f t="shared" si="2"/>
        <v>17.98911404673699</v>
      </c>
      <c r="H8" s="6">
        <f>18.3</f>
        <v>18.3</v>
      </c>
      <c r="I8" s="7">
        <f t="shared" si="3"/>
        <v>0.31088595326301061</v>
      </c>
      <c r="J8" s="1"/>
      <c r="K8" s="1"/>
      <c r="L8" s="1"/>
      <c r="M8" s="1"/>
      <c r="N8" s="1"/>
    </row>
    <row r="9" spans="1:14" x14ac:dyDescent="0.25">
      <c r="A9" s="1"/>
      <c r="B9" s="1"/>
      <c r="C9" s="5">
        <f t="shared" si="0"/>
        <v>0.03</v>
      </c>
      <c r="D9" s="6">
        <f>0.13</f>
        <v>0.13</v>
      </c>
      <c r="E9" s="6">
        <f>500</f>
        <v>500</v>
      </c>
      <c r="F9" s="6">
        <f t="shared" si="1"/>
        <v>4.3333333333333339</v>
      </c>
      <c r="G9" s="6">
        <f t="shared" si="2"/>
        <v>12.736441951743487</v>
      </c>
      <c r="H9" s="6">
        <f>12.7</f>
        <v>12.7</v>
      </c>
      <c r="I9" s="7">
        <f t="shared" si="3"/>
        <v>3.6441951743487522E-2</v>
      </c>
      <c r="J9" s="1"/>
      <c r="K9" s="1"/>
      <c r="L9" s="1"/>
      <c r="M9" s="1"/>
      <c r="N9" s="1"/>
    </row>
    <row r="10" spans="1:14" x14ac:dyDescent="0.25">
      <c r="A10" s="1"/>
      <c r="B10" s="1"/>
      <c r="C10" s="5">
        <f>30*10^(-3)</f>
        <v>0.03</v>
      </c>
      <c r="D10" s="6">
        <f>0.096</f>
        <v>9.6000000000000002E-2</v>
      </c>
      <c r="E10" s="6">
        <f>1000</f>
        <v>1000</v>
      </c>
      <c r="F10" s="6">
        <f t="shared" si="1"/>
        <v>3.2</v>
      </c>
      <c r="G10" s="6">
        <f t="shared" si="2"/>
        <v>10.102999566398122</v>
      </c>
      <c r="H10" s="6">
        <f>10.1</f>
        <v>10.1</v>
      </c>
      <c r="I10" s="7">
        <f t="shared" si="3"/>
        <v>2.9995663981221554E-3</v>
      </c>
      <c r="J10" s="1"/>
      <c r="K10" s="1"/>
      <c r="L10" s="1"/>
      <c r="M10" s="1"/>
      <c r="N10" s="1"/>
    </row>
    <row r="11" spans="1:14" x14ac:dyDescent="0.25">
      <c r="A11" s="1"/>
      <c r="B11" s="1"/>
      <c r="C11" s="5">
        <f>30*10^(-3)</f>
        <v>0.03</v>
      </c>
      <c r="D11" s="6">
        <f>0.072</f>
        <v>7.1999999999999995E-2</v>
      </c>
      <c r="E11" s="6">
        <f>2000</f>
        <v>2000</v>
      </c>
      <c r="F11" s="6">
        <f t="shared" si="1"/>
        <v>2.4</v>
      </c>
      <c r="G11" s="6">
        <f t="shared" si="2"/>
        <v>7.6042248342321201</v>
      </c>
      <c r="H11" s="6">
        <f>7.8</f>
        <v>7.8</v>
      </c>
      <c r="I11" s="7">
        <f t="shared" si="3"/>
        <v>0.19577516576787968</v>
      </c>
      <c r="J11" s="1"/>
      <c r="K11" s="1"/>
      <c r="L11" s="1"/>
      <c r="M11" s="1"/>
      <c r="N11" s="1"/>
    </row>
    <row r="12" spans="1:14" x14ac:dyDescent="0.25">
      <c r="A12" s="1"/>
      <c r="B12" s="1"/>
      <c r="C12" s="5">
        <f>108*10^(-3)</f>
        <v>0.108</v>
      </c>
      <c r="D12" s="6">
        <f>0.104</f>
        <v>0.104</v>
      </c>
      <c r="E12" s="6">
        <f>5000</f>
        <v>5000</v>
      </c>
      <c r="F12" s="6">
        <f t="shared" si="1"/>
        <v>0.96296296296296291</v>
      </c>
      <c r="G12" s="6">
        <f t="shared" si="2"/>
        <v>-0.32780832376338742</v>
      </c>
      <c r="H12" s="6">
        <f>2.6</f>
        <v>2.6</v>
      </c>
      <c r="I12" s="7">
        <f t="shared" si="3"/>
        <v>2.9278083237633874</v>
      </c>
      <c r="J12" s="1"/>
      <c r="K12" s="1"/>
      <c r="L12" s="1"/>
      <c r="M12" s="1"/>
      <c r="N12" s="1"/>
    </row>
    <row r="13" spans="1:14" x14ac:dyDescent="0.25">
      <c r="A13" s="1"/>
      <c r="B13" s="1"/>
      <c r="C13" s="5">
        <f>108*10^(-3)</f>
        <v>0.108</v>
      </c>
      <c r="D13" s="6">
        <f>0.056</f>
        <v>5.6000000000000001E-2</v>
      </c>
      <c r="E13" s="6">
        <f>10000</f>
        <v>10000</v>
      </c>
      <c r="F13" s="6">
        <f t="shared" si="1"/>
        <v>0.51851851851851849</v>
      </c>
      <c r="G13" s="6">
        <f t="shared" si="2"/>
        <v>-5.7047145696149855</v>
      </c>
      <c r="H13" s="6">
        <f>-2.9</f>
        <v>-2.9</v>
      </c>
      <c r="I13" s="7">
        <f t="shared" si="3"/>
        <v>2.8047145696149856</v>
      </c>
      <c r="J13" s="1"/>
      <c r="K13" s="1"/>
      <c r="L13" s="1"/>
      <c r="M13" s="1"/>
      <c r="N13" s="1"/>
    </row>
    <row r="14" spans="1:14" x14ac:dyDescent="0.25">
      <c r="A14" s="1"/>
      <c r="B14" s="1"/>
      <c r="C14" s="5">
        <f>108*10^(-3)</f>
        <v>0.108</v>
      </c>
      <c r="D14" s="6">
        <f>0.0376</f>
        <v>3.7600000000000001E-2</v>
      </c>
      <c r="E14" s="6">
        <f>15000</f>
        <v>15000</v>
      </c>
      <c r="F14" s="6">
        <f t="shared" si="1"/>
        <v>0.34814814814814815</v>
      </c>
      <c r="G14" s="6">
        <f t="shared" si="2"/>
        <v>-9.1647182111857735</v>
      </c>
      <c r="H14" s="6">
        <f>-6.2</f>
        <v>-6.2</v>
      </c>
      <c r="I14" s="7">
        <f t="shared" si="3"/>
        <v>2.9647182111857733</v>
      </c>
      <c r="J14" s="1"/>
      <c r="K14" s="1"/>
      <c r="L14" s="1"/>
      <c r="M14" s="1"/>
      <c r="N14" s="1"/>
    </row>
    <row r="15" spans="1:14" ht="15.75" thickBot="1" x14ac:dyDescent="0.3">
      <c r="A15" s="1"/>
      <c r="B15" s="1"/>
      <c r="C15" s="8">
        <f>108*10^(-3)</f>
        <v>0.108</v>
      </c>
      <c r="D15" s="9">
        <f>0.0288</f>
        <v>2.8799999999999999E-2</v>
      </c>
      <c r="E15" s="9">
        <f>20000</f>
        <v>20000</v>
      </c>
      <c r="F15" s="9">
        <f t="shared" si="1"/>
        <v>0.26666666666666666</v>
      </c>
      <c r="G15" s="9">
        <f t="shared" si="2"/>
        <v>-11.480625354554377</v>
      </c>
      <c r="H15" s="9">
        <f>-8.7</f>
        <v>-8.6999999999999993</v>
      </c>
      <c r="I15" s="10">
        <f>ABS(H15-G15)</f>
        <v>2.7806253545543775</v>
      </c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G19" s="1"/>
      <c r="H19" s="1"/>
      <c r="I19" s="1"/>
      <c r="J19" s="1"/>
      <c r="K19" s="1"/>
      <c r="L19" s="1"/>
      <c r="M19" s="1"/>
      <c r="N19" s="1"/>
    </row>
    <row r="20" spans="1:14" ht="15.75" thickBot="1" x14ac:dyDescent="0.3">
      <c r="A20" s="1"/>
      <c r="B20" s="1"/>
      <c r="G20" s="1"/>
      <c r="H20" s="1"/>
      <c r="I20" s="1"/>
      <c r="J20" s="1"/>
      <c r="K20" s="1"/>
      <c r="L20" s="1"/>
      <c r="M20" s="1"/>
      <c r="N20" s="1"/>
    </row>
    <row r="21" spans="1:14" ht="15.75" thickBot="1" x14ac:dyDescent="0.3">
      <c r="A21" s="1"/>
      <c r="B21" s="1"/>
      <c r="C21" s="2" t="s">
        <v>5</v>
      </c>
      <c r="D21" s="3" t="s">
        <v>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2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7</v>
      </c>
      <c r="I22" s="3" t="s">
        <v>8</v>
      </c>
      <c r="J22" s="1"/>
      <c r="K22" s="1"/>
      <c r="L22" s="1"/>
      <c r="M22" s="1"/>
      <c r="N22" s="1"/>
    </row>
    <row r="23" spans="1:14" x14ac:dyDescent="0.25">
      <c r="A23" s="1"/>
      <c r="B23" s="1"/>
      <c r="C23" s="5">
        <f>30*10^(-3)</f>
        <v>0.03</v>
      </c>
      <c r="D23" s="6">
        <f>1.52</f>
        <v>1.52</v>
      </c>
      <c r="E23" s="6">
        <f>20</f>
        <v>20</v>
      </c>
      <c r="F23" s="6">
        <f>D23/C23</f>
        <v>50.666666666666671</v>
      </c>
      <c r="G23" s="6">
        <f>20*LOG10(F23)</f>
        <v>34.094446664502208</v>
      </c>
      <c r="H23" s="6">
        <f>33.3</f>
        <v>33.299999999999997</v>
      </c>
      <c r="I23" s="7">
        <f>ABS(H23-G23)</f>
        <v>0.79444666450221035</v>
      </c>
    </row>
    <row r="24" spans="1:14" x14ac:dyDescent="0.25">
      <c r="A24" s="1"/>
      <c r="B24" s="1"/>
      <c r="C24" s="5">
        <f t="shared" ref="C24:C26" si="4">30*10^(-3)</f>
        <v>0.03</v>
      </c>
      <c r="D24" s="6">
        <f>1.12</f>
        <v>1.1200000000000001</v>
      </c>
      <c r="E24" s="6">
        <f>40</f>
        <v>40</v>
      </c>
      <c r="F24" s="6">
        <f t="shared" ref="F24:F33" si="5">D24/C24</f>
        <v>37.333333333333336</v>
      </c>
      <c r="G24" s="6">
        <f t="shared" ref="G24:G33" si="6">20*LOG10(F24)</f>
        <v>31.441935359010383</v>
      </c>
      <c r="H24" s="6">
        <f>31.3</f>
        <v>31.3</v>
      </c>
      <c r="I24" s="7">
        <f t="shared" ref="I24:I32" si="7">ABS(H24-G24)</f>
        <v>0.14193535901038246</v>
      </c>
    </row>
    <row r="25" spans="1:14" x14ac:dyDescent="0.25">
      <c r="C25" s="5">
        <f t="shared" si="4"/>
        <v>0.03</v>
      </c>
      <c r="D25" s="6">
        <f>0.56</f>
        <v>0.56000000000000005</v>
      </c>
      <c r="E25" s="6">
        <f>100</f>
        <v>100</v>
      </c>
      <c r="F25" s="6">
        <f t="shared" si="5"/>
        <v>18.666666666666668</v>
      </c>
      <c r="G25" s="6">
        <f t="shared" si="6"/>
        <v>25.421335445730762</v>
      </c>
      <c r="H25" s="6">
        <f>25.8</f>
        <v>25.8</v>
      </c>
      <c r="I25" s="7">
        <f t="shared" si="7"/>
        <v>0.37866455426923906</v>
      </c>
    </row>
    <row r="26" spans="1:14" x14ac:dyDescent="0.25">
      <c r="C26" s="5">
        <f t="shared" si="4"/>
        <v>0.03</v>
      </c>
      <c r="D26" s="6">
        <f>0.308</f>
        <v>0.308</v>
      </c>
      <c r="E26" s="6">
        <f>200</f>
        <v>200</v>
      </c>
      <c r="F26" s="6">
        <f t="shared" si="5"/>
        <v>10.266666666666667</v>
      </c>
      <c r="G26" s="6">
        <f t="shared" si="6"/>
        <v>20.22858923561564</v>
      </c>
      <c r="H26" s="6">
        <f>20.7</f>
        <v>20.7</v>
      </c>
      <c r="I26" s="7">
        <f t="shared" si="7"/>
        <v>0.47141076438435903</v>
      </c>
    </row>
    <row r="27" spans="1:14" x14ac:dyDescent="0.25">
      <c r="C27" s="5">
        <f>108*10^(-3)</f>
        <v>0.108</v>
      </c>
      <c r="D27" s="6">
        <f>0.508</f>
        <v>0.50800000000000001</v>
      </c>
      <c r="E27" s="6">
        <f>500</f>
        <v>500</v>
      </c>
      <c r="F27" s="6">
        <f t="shared" si="5"/>
        <v>4.7037037037037042</v>
      </c>
      <c r="G27" s="6">
        <f t="shared" si="6"/>
        <v>13.448799135939391</v>
      </c>
      <c r="H27" s="6">
        <f>15</f>
        <v>15</v>
      </c>
      <c r="I27" s="7">
        <f t="shared" si="7"/>
        <v>1.5512008640606094</v>
      </c>
    </row>
    <row r="28" spans="1:14" x14ac:dyDescent="0.25">
      <c r="C28" s="5">
        <f>108*10^(-3)</f>
        <v>0.108</v>
      </c>
      <c r="D28" s="6">
        <f>0.384</f>
        <v>0.38400000000000001</v>
      </c>
      <c r="E28" s="6">
        <f>1000</f>
        <v>1000</v>
      </c>
      <c r="F28" s="6">
        <f t="shared" si="5"/>
        <v>3.5555555555555558</v>
      </c>
      <c r="G28" s="6">
        <f t="shared" si="6"/>
        <v>11.018149377611623</v>
      </c>
      <c r="H28" s="6">
        <f>12.6</f>
        <v>12.6</v>
      </c>
      <c r="I28" s="7">
        <f t="shared" si="7"/>
        <v>1.5818506223883766</v>
      </c>
    </row>
    <row r="29" spans="1:14" x14ac:dyDescent="0.25">
      <c r="C29" s="5">
        <f>108*10^(-3)</f>
        <v>0.108</v>
      </c>
      <c r="D29" s="6">
        <f>0.276</f>
        <v>0.27600000000000002</v>
      </c>
      <c r="E29" s="6">
        <f>2000</f>
        <v>2000</v>
      </c>
      <c r="F29" s="6">
        <f t="shared" si="5"/>
        <v>2.5555555555555558</v>
      </c>
      <c r="G29" s="6">
        <f t="shared" si="6"/>
        <v>8.1497065315653607</v>
      </c>
      <c r="H29" s="6">
        <f>10.2</f>
        <v>10.199999999999999</v>
      </c>
      <c r="I29" s="7">
        <f t="shared" si="7"/>
        <v>2.0502934684346386</v>
      </c>
    </row>
    <row r="30" spans="1:14" x14ac:dyDescent="0.25">
      <c r="C30" s="5">
        <f>108*10^(-3)</f>
        <v>0.108</v>
      </c>
      <c r="D30" s="6">
        <f>0.146</f>
        <v>0.14599999999999999</v>
      </c>
      <c r="E30" s="6">
        <f>5000</f>
        <v>5000</v>
      </c>
      <c r="F30" s="6">
        <f t="shared" si="5"/>
        <v>1.3518518518518519</v>
      </c>
      <c r="G30" s="6">
        <f t="shared" si="6"/>
        <v>2.6185820059497478</v>
      </c>
      <c r="H30" s="6">
        <f>4.98</f>
        <v>4.9800000000000004</v>
      </c>
      <c r="I30" s="7">
        <f t="shared" si="7"/>
        <v>2.3614179940502527</v>
      </c>
    </row>
    <row r="31" spans="1:14" x14ac:dyDescent="0.25">
      <c r="C31" s="5">
        <f>316*10^(-3)</f>
        <v>0.316</v>
      </c>
      <c r="D31" s="6">
        <f>0.198</f>
        <v>0.19800000000000001</v>
      </c>
      <c r="E31" s="6">
        <f>10000</f>
        <v>10000</v>
      </c>
      <c r="F31" s="6">
        <f t="shared" si="5"/>
        <v>0.62658227848101267</v>
      </c>
      <c r="G31" s="6">
        <f t="shared" si="6"/>
        <v>-4.0604378471374538</v>
      </c>
      <c r="H31" s="6">
        <f>-0.5</f>
        <v>-0.5</v>
      </c>
      <c r="I31" s="7">
        <f t="shared" si="7"/>
        <v>3.5604378471374538</v>
      </c>
    </row>
    <row r="32" spans="1:14" x14ac:dyDescent="0.25">
      <c r="C32" s="5">
        <f>316*10^(-3)</f>
        <v>0.316</v>
      </c>
      <c r="D32" s="6">
        <f>0.136</f>
        <v>0.13600000000000001</v>
      </c>
      <c r="E32" s="6">
        <f>15000</f>
        <v>15000</v>
      </c>
      <c r="F32" s="6">
        <f t="shared" si="5"/>
        <v>0.43037974683544306</v>
      </c>
      <c r="G32" s="6">
        <f t="shared" si="6"/>
        <v>-7.3229634849637257</v>
      </c>
      <c r="H32" s="6">
        <f>-3.8</f>
        <v>-3.8</v>
      </c>
      <c r="I32" s="7">
        <f t="shared" si="7"/>
        <v>3.5229634849637259</v>
      </c>
    </row>
    <row r="33" spans="3:9" ht="15.75" thickBot="1" x14ac:dyDescent="0.3">
      <c r="C33" s="8">
        <f>286*10^(-3)</f>
        <v>0.28600000000000003</v>
      </c>
      <c r="D33" s="9">
        <f>0.102</f>
        <v>0.10199999999999999</v>
      </c>
      <c r="E33" s="9">
        <f>20000</f>
        <v>20000</v>
      </c>
      <c r="F33" s="9">
        <f t="shared" si="5"/>
        <v>0.35664335664335656</v>
      </c>
      <c r="G33" s="9">
        <f t="shared" si="6"/>
        <v>-8.9553172273425101</v>
      </c>
      <c r="H33" s="9">
        <f>-6.3</f>
        <v>-6.3</v>
      </c>
      <c r="I33" s="11">
        <f>ABS(H33-G33)</f>
        <v>2.6553172273425103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2018-05-16T21:35:23Z</dcterms:modified>
</cp:coreProperties>
</file>