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naveenv_iisc_ac_in/Documents/MTech/Project/Bhargav_Yashwanth/Bhargav/Simulations/Benchmarking/"/>
    </mc:Choice>
  </mc:AlternateContent>
  <xr:revisionPtr revIDLastSave="49" documentId="13_ncr:1_{C7AAC8DC-0C9F-4D28-933D-DCDD6F4C497F}" xr6:coauthVersionLast="47" xr6:coauthVersionMax="47" xr10:uidLastSave="{C7FD8336-5A26-4E29-8554-F72FEAF79120}"/>
  <bookViews>
    <workbookView xWindow="-120" yWindow="-120" windowWidth="29040" windowHeight="16440" activeTab="3" xr2:uid="{C604F992-FE2D-4056-8749-209103BBCFC0}"/>
  </bookViews>
  <sheets>
    <sheet name="SAXPY" sheetId="1" r:id="rId1"/>
    <sheet name="VMATMUL" sheetId="2" r:id="rId2"/>
    <sheet name="MATMUL" sheetId="3" r:id="rId3"/>
    <sheet name="CONV2D" sheetId="4" r:id="rId4"/>
    <sheet name="MLP" sheetId="5" r:id="rId5"/>
    <sheet name="CNN" sheetId="6" r:id="rId6"/>
    <sheet name="Perceptron" sheetId="8" r:id="rId7"/>
    <sheet name="Profiling" sheetId="7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8" l="1"/>
  <c r="B23" i="8"/>
  <c r="F17" i="4"/>
  <c r="E17" i="4"/>
  <c r="G17" i="3"/>
  <c r="G16" i="4"/>
  <c r="Q6" i="8"/>
  <c r="K8" i="8"/>
  <c r="D8" i="8"/>
  <c r="B8" i="8"/>
  <c r="K7" i="8"/>
  <c r="D7" i="8"/>
  <c r="B7" i="8"/>
  <c r="K6" i="8"/>
  <c r="D6" i="8"/>
  <c r="B6" i="8"/>
  <c r="K5" i="8"/>
  <c r="D5" i="8"/>
  <c r="B5" i="8"/>
  <c r="K4" i="8"/>
  <c r="D4" i="8"/>
  <c r="B4" i="8"/>
  <c r="K3" i="8"/>
  <c r="D3" i="8"/>
  <c r="B3" i="8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H3" i="7"/>
  <c r="H4" i="7"/>
  <c r="H5" i="7"/>
  <c r="H6" i="7"/>
  <c r="H7" i="7"/>
  <c r="H2" i="7"/>
  <c r="F7" i="7"/>
  <c r="E7" i="7"/>
  <c r="F6" i="7"/>
  <c r="E6" i="7"/>
  <c r="F5" i="7"/>
  <c r="E5" i="7"/>
  <c r="F4" i="7"/>
  <c r="E4" i="7"/>
  <c r="F3" i="7"/>
  <c r="E3" i="7"/>
  <c r="F2" i="7"/>
  <c r="E2" i="7"/>
  <c r="I21" i="5"/>
  <c r="B3" i="5"/>
  <c r="M4" i="4"/>
  <c r="M5" i="4"/>
  <c r="M6" i="4"/>
  <c r="M7" i="4"/>
  <c r="M3" i="4"/>
  <c r="L4" i="4"/>
  <c r="L5" i="4"/>
  <c r="L6" i="4"/>
  <c r="L7" i="4"/>
  <c r="L3" i="4"/>
  <c r="K4" i="4"/>
  <c r="K5" i="4"/>
  <c r="K6" i="4"/>
  <c r="K7" i="4"/>
  <c r="K3" i="4"/>
  <c r="F4" i="4"/>
  <c r="F5" i="4"/>
  <c r="F6" i="4"/>
  <c r="F7" i="4"/>
  <c r="F3" i="4"/>
  <c r="E7" i="4"/>
  <c r="E6" i="4"/>
  <c r="E5" i="4"/>
  <c r="E4" i="4"/>
  <c r="E3" i="4"/>
  <c r="D7" i="4"/>
  <c r="D6" i="4"/>
  <c r="D5" i="4"/>
  <c r="D4" i="4"/>
  <c r="D3" i="4"/>
  <c r="I3" i="4"/>
  <c r="I5" i="4"/>
  <c r="H3" i="4"/>
  <c r="C3" i="4"/>
  <c r="C4" i="4"/>
  <c r="C5" i="4"/>
  <c r="C6" i="4"/>
  <c r="C7" i="4"/>
  <c r="I7" i="4"/>
  <c r="K6" i="3"/>
  <c r="K5" i="3"/>
  <c r="K4" i="3"/>
  <c r="K3" i="3"/>
  <c r="C6" i="3"/>
  <c r="C5" i="3"/>
  <c r="C4" i="3"/>
  <c r="C3" i="3"/>
  <c r="D6" i="3"/>
  <c r="D5" i="3"/>
  <c r="D4" i="3"/>
  <c r="D3" i="3"/>
  <c r="G22" i="2"/>
  <c r="B22" i="2"/>
  <c r="N11" i="2"/>
  <c r="N5" i="2"/>
  <c r="N6" i="2"/>
  <c r="N7" i="2"/>
  <c r="N8" i="2"/>
  <c r="N9" i="2"/>
  <c r="N10" i="2"/>
  <c r="N3" i="2"/>
  <c r="D4" i="2"/>
  <c r="D5" i="2"/>
  <c r="D6" i="2"/>
  <c r="D7" i="2"/>
  <c r="D8" i="2"/>
  <c r="D9" i="2"/>
  <c r="D10" i="2"/>
  <c r="D3" i="2"/>
  <c r="C4" i="2"/>
  <c r="N4" i="2" s="1"/>
  <c r="C5" i="2"/>
  <c r="C6" i="2"/>
  <c r="C7" i="2"/>
  <c r="C8" i="2"/>
  <c r="C9" i="2"/>
  <c r="C10" i="2"/>
  <c r="C3" i="2"/>
  <c r="I6" i="4"/>
  <c r="G11" i="4" s="1"/>
  <c r="H17" i="1"/>
  <c r="I10" i="1"/>
  <c r="I9" i="1"/>
  <c r="I8" i="1"/>
  <c r="I7" i="1"/>
  <c r="I6" i="1"/>
  <c r="I5" i="1"/>
  <c r="I4" i="1"/>
  <c r="I3" i="1"/>
  <c r="H10" i="1"/>
  <c r="H9" i="1"/>
  <c r="H8" i="1"/>
  <c r="H7" i="1"/>
  <c r="H6" i="1"/>
  <c r="H5" i="1"/>
  <c r="H4" i="1"/>
  <c r="H3" i="1"/>
  <c r="E10" i="1"/>
  <c r="D10" i="1"/>
  <c r="E9" i="1"/>
  <c r="D9" i="1"/>
  <c r="D8" i="1"/>
  <c r="D7" i="1"/>
  <c r="D6" i="1"/>
  <c r="D5" i="1"/>
  <c r="D4" i="1"/>
  <c r="E3" i="1"/>
  <c r="D3" i="1"/>
  <c r="B11" i="4"/>
  <c r="G12" i="3"/>
  <c r="I12" i="3" s="1"/>
  <c r="B12" i="3"/>
  <c r="S4" i="1"/>
  <c r="S5" i="1"/>
  <c r="S6" i="1"/>
  <c r="S3" i="1"/>
  <c r="I4" i="4"/>
  <c r="H7" i="4"/>
  <c r="H6" i="4"/>
  <c r="H5" i="4"/>
  <c r="H4" i="4"/>
  <c r="J4" i="3"/>
  <c r="J5" i="3"/>
  <c r="J6" i="3"/>
  <c r="J3" i="3"/>
  <c r="L4" i="2"/>
  <c r="L5" i="2"/>
  <c r="L6" i="2"/>
  <c r="L7" i="2"/>
  <c r="L8" i="2"/>
  <c r="L9" i="2"/>
  <c r="L10" i="2"/>
  <c r="L3" i="2"/>
  <c r="K4" i="2"/>
  <c r="K5" i="2"/>
  <c r="K6" i="2"/>
  <c r="K7" i="2"/>
  <c r="K8" i="2"/>
  <c r="K9" i="2"/>
  <c r="K10" i="2"/>
  <c r="K3" i="2"/>
  <c r="J4" i="2"/>
  <c r="J5" i="2"/>
  <c r="J6" i="2"/>
  <c r="J7" i="2"/>
  <c r="J8" i="2"/>
  <c r="J9" i="2"/>
  <c r="J10" i="2"/>
  <c r="J3" i="2"/>
  <c r="B4" i="3"/>
  <c r="B3" i="3"/>
  <c r="E3" i="3"/>
  <c r="E4" i="3"/>
  <c r="I23" i="8" l="1"/>
  <c r="G17" i="4"/>
  <c r="I11" i="4"/>
  <c r="I22" i="2"/>
  <c r="B12" i="6"/>
  <c r="A12" i="6"/>
  <c r="E12" i="6"/>
  <c r="F2" i="6"/>
  <c r="F3" i="6"/>
  <c r="F4" i="6"/>
  <c r="F5" i="6"/>
  <c r="F6" i="6"/>
  <c r="F1" i="6"/>
  <c r="C2" i="6"/>
  <c r="C3" i="6"/>
  <c r="C4" i="6"/>
  <c r="C5" i="6"/>
  <c r="C6" i="6"/>
  <c r="C1" i="6"/>
  <c r="B2" i="6"/>
  <c r="B3" i="6"/>
  <c r="B4" i="6"/>
  <c r="B5" i="6"/>
  <c r="B6" i="6"/>
  <c r="B1" i="6"/>
  <c r="E3" i="5"/>
  <c r="R11" i="3"/>
  <c r="S10" i="3"/>
  <c r="S11" i="3" s="1"/>
  <c r="R10" i="3"/>
  <c r="Y6" i="4"/>
  <c r="AB4" i="4"/>
  <c r="AC4" i="4" s="1"/>
  <c r="AB5" i="4"/>
  <c r="AC5" i="4" s="1"/>
  <c r="AB6" i="4"/>
  <c r="AC6" i="4" s="1"/>
  <c r="AB7" i="4"/>
  <c r="AC7" i="4" s="1"/>
  <c r="AB3" i="4"/>
  <c r="AC3" i="4" s="1"/>
  <c r="X7" i="4"/>
  <c r="Y7" i="4" s="1"/>
  <c r="X4" i="4"/>
  <c r="Y4" i="4" s="1"/>
  <c r="X5" i="4"/>
  <c r="Y5" i="4" s="1"/>
  <c r="X3" i="4"/>
  <c r="Y3" i="4" s="1"/>
  <c r="O7" i="4"/>
  <c r="P7" i="4" s="1"/>
  <c r="P4" i="4"/>
  <c r="P5" i="4"/>
  <c r="P3" i="4"/>
  <c r="P6" i="3"/>
  <c r="Q6" i="3" s="1"/>
  <c r="E6" i="3"/>
  <c r="L6" i="3" s="1"/>
  <c r="B6" i="3"/>
  <c r="E5" i="3"/>
  <c r="B5" i="3"/>
  <c r="L3" i="3"/>
  <c r="J18" i="2"/>
  <c r="E4" i="2"/>
  <c r="E5" i="2"/>
  <c r="E6" i="2"/>
  <c r="E7" i="2"/>
  <c r="E8" i="2"/>
  <c r="E9" i="2"/>
  <c r="E10" i="2"/>
  <c r="B10" i="2"/>
  <c r="B9" i="2"/>
  <c r="E3" i="2"/>
  <c r="B4" i="2"/>
  <c r="B5" i="2"/>
  <c r="B6" i="2"/>
  <c r="B7" i="2"/>
  <c r="B8" i="2"/>
  <c r="B3" i="2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3" i="1"/>
  <c r="W3" i="1" s="1"/>
  <c r="P4" i="1"/>
  <c r="Q4" i="1" s="1"/>
  <c r="P5" i="1"/>
  <c r="Q5" i="1" s="1"/>
  <c r="P6" i="1"/>
  <c r="Q6" i="1" s="1"/>
  <c r="P7" i="1"/>
  <c r="P8" i="1"/>
  <c r="P9" i="1"/>
  <c r="P10" i="1"/>
  <c r="P11" i="1"/>
  <c r="P3" i="1"/>
  <c r="Q3" i="1" s="1"/>
  <c r="O8" i="1"/>
  <c r="S8" i="1" s="1"/>
  <c r="O9" i="1"/>
  <c r="S9" i="1" s="1"/>
  <c r="O10" i="1"/>
  <c r="S10" i="1" s="1"/>
  <c r="O11" i="1"/>
  <c r="O7" i="1"/>
  <c r="S7" i="1" s="1"/>
  <c r="K4" i="1"/>
  <c r="K5" i="1"/>
  <c r="K6" i="1"/>
  <c r="K7" i="1"/>
  <c r="K8" i="1"/>
  <c r="K9" i="1"/>
  <c r="K10" i="1"/>
  <c r="K11" i="1"/>
  <c r="K3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C17" i="1" s="1"/>
  <c r="F11" i="1"/>
  <c r="F3" i="1"/>
  <c r="J17" i="1" l="1"/>
  <c r="Q9" i="1"/>
  <c r="Q8" i="1"/>
  <c r="Q7" i="1"/>
  <c r="Q11" i="1"/>
  <c r="Q10" i="1"/>
  <c r="L4" i="3"/>
  <c r="L5" i="3"/>
</calcChain>
</file>

<file path=xl/sharedStrings.xml><?xml version="1.0" encoding="utf-8"?>
<sst xmlns="http://schemas.openxmlformats.org/spreadsheetml/2006/main" count="212" uniqueCount="99">
  <si>
    <t>VL</t>
  </si>
  <si>
    <t>Vector RISCV</t>
  </si>
  <si>
    <t>Scalar RISCV</t>
  </si>
  <si>
    <t>CYCLES</t>
  </si>
  <si>
    <t>TIME in us</t>
  </si>
  <si>
    <t>Scalar O3</t>
  </si>
  <si>
    <t>O3_Speedup</t>
  </si>
  <si>
    <t>DynInst</t>
  </si>
  <si>
    <t>Ratio</t>
  </si>
  <si>
    <t>Overheads</t>
  </si>
  <si>
    <t>Chime</t>
  </si>
  <si>
    <t>Total Overhead</t>
  </si>
  <si>
    <t>Percentage Overhead</t>
  </si>
  <si>
    <t>Input Vector Size</t>
  </si>
  <si>
    <t>Vector</t>
  </si>
  <si>
    <t>Scalar</t>
  </si>
  <si>
    <t>TIME us</t>
  </si>
  <si>
    <t>SPEEDUP</t>
  </si>
  <si>
    <t>NNEUR=64</t>
  </si>
  <si>
    <t>NNEUR=32</t>
  </si>
  <si>
    <t>MAT_SIZE</t>
  </si>
  <si>
    <t>8 x 8</t>
  </si>
  <si>
    <t>3 x 3</t>
  </si>
  <si>
    <t>16 x 16</t>
  </si>
  <si>
    <t>32 x 32</t>
  </si>
  <si>
    <t>64 x 64</t>
  </si>
  <si>
    <t xml:space="preserve">32 x 32 </t>
  </si>
  <si>
    <t>5 x 5</t>
  </si>
  <si>
    <t>Klessydra</t>
  </si>
  <si>
    <t>Klessydya</t>
  </si>
  <si>
    <t>Freq</t>
  </si>
  <si>
    <t>Time</t>
  </si>
  <si>
    <t>Texe</t>
  </si>
  <si>
    <t>Texe (us)</t>
  </si>
  <si>
    <t>ZeroRISCy</t>
  </si>
  <si>
    <t>Intel COrei3</t>
  </si>
  <si>
    <t>3.4GHz</t>
  </si>
  <si>
    <t>Clokc</t>
  </si>
  <si>
    <t>2721 us</t>
  </si>
  <si>
    <t>RISCy</t>
  </si>
  <si>
    <t>1971 us</t>
  </si>
  <si>
    <t>ClockPeriod</t>
  </si>
  <si>
    <t>Clock Period</t>
  </si>
  <si>
    <t>texe</t>
  </si>
  <si>
    <t>180.96 us</t>
  </si>
  <si>
    <t>Single Convolution</t>
  </si>
  <si>
    <t xml:space="preserve">Max Pool                                </t>
  </si>
  <si>
    <t xml:space="preserve">Convolution with 16 filters             </t>
  </si>
  <si>
    <t xml:space="preserve">Convolution with Max-pooling 16 filters </t>
  </si>
  <si>
    <t xml:space="preserve">Convolution with max-pooling 32 filters </t>
  </si>
  <si>
    <t xml:space="preserve">FC Layer                                </t>
  </si>
  <si>
    <t>Scalar o0</t>
  </si>
  <si>
    <t>Scalar o3 SPRAM</t>
  </si>
  <si>
    <t>Scalar o3 no_SPRAM</t>
  </si>
  <si>
    <t>SPEEDUP1</t>
  </si>
  <si>
    <t>SPEEDUP2</t>
  </si>
  <si>
    <t>SPEEDUP3</t>
  </si>
  <si>
    <t>gcc -O3 NoSPRAM</t>
  </si>
  <si>
    <t>gcc -O3 SPRAM</t>
  </si>
  <si>
    <t>Speedup O0</t>
  </si>
  <si>
    <t>Speedup Scalar</t>
  </si>
  <si>
    <t>Speedup SPRAM</t>
  </si>
  <si>
    <t>Scalar -O3</t>
  </si>
  <si>
    <t>Energy</t>
  </si>
  <si>
    <t>PowerV</t>
  </si>
  <si>
    <t>PowerS</t>
  </si>
  <si>
    <t>Energy(nJ/op)</t>
  </si>
  <si>
    <t>Scal-o0   104n+9</t>
  </si>
  <si>
    <t>VECTOR:  8+14n/64</t>
  </si>
  <si>
    <t>POwerV</t>
  </si>
  <si>
    <t>Energy(uJ/op)</t>
  </si>
  <si>
    <t>Power</t>
  </si>
  <si>
    <t>Enery(uJ/op)</t>
  </si>
  <si>
    <t>Energy(mJ/op)</t>
  </si>
  <si>
    <t>Energy (nJ/pixel)</t>
  </si>
  <si>
    <t>Scalar O3 SPRAM</t>
  </si>
  <si>
    <t>Scalar O3 No SPRAM</t>
  </si>
  <si>
    <t>Speedup due to SPRAM</t>
  </si>
  <si>
    <t>Average</t>
  </si>
  <si>
    <t>noSIMD</t>
  </si>
  <si>
    <t>SIMD</t>
  </si>
  <si>
    <t>ms</t>
  </si>
  <si>
    <t>us</t>
  </si>
  <si>
    <t>Speedup</t>
  </si>
  <si>
    <t>conv2</t>
  </si>
  <si>
    <t>conv1</t>
  </si>
  <si>
    <t>max1</t>
  </si>
  <si>
    <t>max2</t>
  </si>
  <si>
    <t>relu</t>
  </si>
  <si>
    <t>mlp</t>
  </si>
  <si>
    <t xml:space="preserve">VECTOR:  </t>
  </si>
  <si>
    <t>DYNAMIC INSTRUCTION COUNT</t>
  </si>
  <si>
    <t>SCALAR</t>
  </si>
  <si>
    <t>VECTOR</t>
  </si>
  <si>
    <t>32X3</t>
  </si>
  <si>
    <t>RATIO</t>
  </si>
  <si>
    <t>32X5</t>
  </si>
  <si>
    <t>one</t>
  </si>
  <si>
    <t>thirty-two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</si>
</sst>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3" borderId="0" xfId="2"/>
    <xf numFmtId="0" fontId="3" fillId="4" borderId="0" xfId="3"/>
    <xf numFmtId="0" fontId="4" fillId="5" borderId="1" xfId="4"/>
    <xf numFmtId="0" fontId="1" fillId="2" borderId="0" xfId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2" xfId="0" applyBorder="1"/>
    <xf numFmtId="0" fontId="0" fillId="0" borderId="11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14" xfId="0" applyBorder="1" applyAlignment="1"/>
    <xf numFmtId="0" fontId="0" fillId="0" borderId="16" xfId="0" applyBorder="1" applyAlignment="1"/>
    <xf numFmtId="0" fontId="0" fillId="0" borderId="15" xfId="0" applyBorder="1" applyAlignment="1"/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Fill="1" applyBorder="1" applyAlignment="1">
      <alignment wrapText="1"/>
    </xf>
    <xf numFmtId="11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5" fillId="0" borderId="24" xfId="0" applyFont="1" applyBorder="1"/>
    <xf numFmtId="0" fontId="5" fillId="0" borderId="17" xfId="0" applyFont="1" applyBorder="1"/>
    <xf numFmtId="0" fontId="5" fillId="0" borderId="18" xfId="0" applyFont="1" applyBorder="1"/>
    <xf numFmtId="2" fontId="0" fillId="0" borderId="16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2" fontId="0" fillId="0" borderId="0" xfId="0" applyNumberFormat="1"/>
    <xf numFmtId="2" fontId="0" fillId="0" borderId="0" xfId="0" applyNumberFormat="1" applyBorder="1"/>
    <xf numFmtId="2" fontId="0" fillId="0" borderId="3" xfId="0" applyNumberFormat="1" applyBorder="1"/>
    <xf numFmtId="2" fontId="0" fillId="0" borderId="2" xfId="0" applyNumberFormat="1" applyBorder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9259-D884-4E77-AD17-F8F6853336ED}">
  <dimension ref="A1:W17"/>
  <sheetViews>
    <sheetView workbookViewId="0">
      <selection activeCell="L15" sqref="L15"/>
    </sheetView>
  </sheetViews>
  <sheetFormatPr defaultRowHeight="18.75" x14ac:dyDescent="0.3"/>
  <cols>
    <col min="1" max="1" width="8.796875" style="1"/>
    <col min="2" max="2" width="12.796875" style="1" customWidth="1"/>
    <col min="3" max="3" width="11.3984375" style="1" bestFit="1" customWidth="1"/>
    <col min="4" max="5" width="11.3984375" style="1" customWidth="1"/>
    <col min="6" max="7" width="8.796875" style="1"/>
    <col min="8" max="8" width="11.3984375" style="1" bestFit="1" customWidth="1"/>
    <col min="9" max="9" width="8.796875" style="1"/>
    <col min="10" max="10" width="11.3984375" style="1" bestFit="1" customWidth="1"/>
    <col min="11" max="12" width="8.796875" style="1"/>
    <col min="13" max="13" width="9.8984375" style="1" customWidth="1"/>
    <col min="14" max="14" width="12.19921875" style="1" customWidth="1"/>
    <col min="15" max="18" width="8.796875" style="1"/>
    <col min="19" max="19" width="5.69921875" style="1" customWidth="1"/>
    <col min="20" max="22" width="8.796875" style="1"/>
    <col min="23" max="23" width="14.09765625" style="1" customWidth="1"/>
    <col min="24" max="16384" width="8.796875" style="1"/>
  </cols>
  <sheetData>
    <row r="1" spans="1:23" s="2" customFormat="1" x14ac:dyDescent="0.3">
      <c r="A1" s="39" t="s">
        <v>0</v>
      </c>
      <c r="B1" s="40" t="s">
        <v>3</v>
      </c>
      <c r="C1" s="40"/>
      <c r="D1" s="40"/>
      <c r="E1" s="40"/>
      <c r="F1" s="40" t="s">
        <v>4</v>
      </c>
      <c r="G1" s="40"/>
      <c r="H1" s="40"/>
      <c r="I1" s="41" t="s">
        <v>5</v>
      </c>
      <c r="K1" s="39" t="s">
        <v>59</v>
      </c>
      <c r="L1" s="40"/>
      <c r="M1" s="41" t="s">
        <v>6</v>
      </c>
      <c r="O1" s="31" t="s">
        <v>7</v>
      </c>
      <c r="P1" s="38"/>
      <c r="Q1" s="32"/>
      <c r="R1" s="31" t="s">
        <v>7</v>
      </c>
      <c r="S1" s="32"/>
    </row>
    <row r="2" spans="1:23" ht="37.5" x14ac:dyDescent="0.3">
      <c r="A2" s="16"/>
      <c r="B2" s="8" t="s">
        <v>1</v>
      </c>
      <c r="C2" s="8" t="s">
        <v>2</v>
      </c>
      <c r="D2" s="8" t="s">
        <v>57</v>
      </c>
      <c r="E2" s="8" t="s">
        <v>58</v>
      </c>
      <c r="F2" s="8" t="s">
        <v>1</v>
      </c>
      <c r="G2" s="8" t="s">
        <v>2</v>
      </c>
      <c r="H2" s="8" t="s">
        <v>57</v>
      </c>
      <c r="I2" s="17" t="s">
        <v>58</v>
      </c>
      <c r="K2" s="42" t="s">
        <v>59</v>
      </c>
      <c r="L2" s="56" t="s">
        <v>60</v>
      </c>
      <c r="M2" s="44" t="s">
        <v>61</v>
      </c>
      <c r="O2" s="33" t="s">
        <v>68</v>
      </c>
      <c r="P2" s="11" t="s">
        <v>67</v>
      </c>
      <c r="Q2" s="34" t="s">
        <v>8</v>
      </c>
      <c r="R2" s="33" t="s">
        <v>62</v>
      </c>
      <c r="S2" s="34" t="s">
        <v>8</v>
      </c>
      <c r="T2" s="1" t="s">
        <v>9</v>
      </c>
      <c r="U2" s="1" t="s">
        <v>10</v>
      </c>
      <c r="V2" s="1" t="s">
        <v>11</v>
      </c>
      <c r="W2" s="1" t="s">
        <v>12</v>
      </c>
    </row>
    <row r="3" spans="1:23" x14ac:dyDescent="0.3">
      <c r="A3" s="35">
        <v>8</v>
      </c>
      <c r="B3" s="9">
        <v>48</v>
      </c>
      <c r="C3" s="9">
        <v>235</v>
      </c>
      <c r="D3" s="9">
        <f>CEILING((7.617-3.43)*50,1)</f>
        <v>210</v>
      </c>
      <c r="E3" s="36">
        <f>CEILING((6.85-3.33)*50,1)</f>
        <v>176</v>
      </c>
      <c r="F3" s="35">
        <f>B3*0.02</f>
        <v>0.96</v>
      </c>
      <c r="G3" s="9">
        <f>C3*0.02</f>
        <v>4.7</v>
      </c>
      <c r="H3" s="9">
        <f>D3*0.02</f>
        <v>4.2</v>
      </c>
      <c r="I3" s="36">
        <f>E3*0.02</f>
        <v>3.52</v>
      </c>
      <c r="K3" s="33">
        <f t="shared" ref="K3:K11" si="0">C3/B3</f>
        <v>4.895833333333333</v>
      </c>
      <c r="L3" s="57">
        <f>H3/F3</f>
        <v>4.375</v>
      </c>
      <c r="M3" s="34">
        <f>I3/F3</f>
        <v>3.666666666666667</v>
      </c>
      <c r="O3" s="33">
        <v>22</v>
      </c>
      <c r="P3" s="11">
        <f>104*A3+9</f>
        <v>841</v>
      </c>
      <c r="Q3" s="34">
        <f>P3/O3</f>
        <v>38.227272727272727</v>
      </c>
      <c r="R3" s="33">
        <v>56</v>
      </c>
      <c r="S3" s="34">
        <f>R3/O3</f>
        <v>2.5454545454545454</v>
      </c>
      <c r="T3" s="1">
        <v>40</v>
      </c>
      <c r="U3" s="1">
        <v>1</v>
      </c>
      <c r="V3" s="1">
        <f>T3*U3</f>
        <v>40</v>
      </c>
      <c r="W3" s="1">
        <f>V3/B3*100</f>
        <v>83.333333333333343</v>
      </c>
    </row>
    <row r="4" spans="1:23" x14ac:dyDescent="0.3">
      <c r="A4" s="33">
        <v>16</v>
      </c>
      <c r="B4" s="11">
        <v>56</v>
      </c>
      <c r="C4" s="11">
        <v>491</v>
      </c>
      <c r="D4" s="11">
        <f>(11.23-4.43)*50</f>
        <v>340.00000000000006</v>
      </c>
      <c r="E4" s="34">
        <v>326</v>
      </c>
      <c r="F4" s="33">
        <f t="shared" ref="F4:F11" si="1">B4*0.02</f>
        <v>1.1200000000000001</v>
      </c>
      <c r="G4" s="11">
        <f t="shared" ref="G4:G11" si="2">C4*0.02</f>
        <v>9.82</v>
      </c>
      <c r="H4" s="11">
        <f t="shared" ref="H4:I10" si="3">D4*0.02</f>
        <v>6.8000000000000016</v>
      </c>
      <c r="I4" s="34">
        <f t="shared" si="3"/>
        <v>6.5200000000000005</v>
      </c>
      <c r="K4" s="33">
        <f t="shared" si="0"/>
        <v>8.7678571428571423</v>
      </c>
      <c r="L4" s="57">
        <f t="shared" ref="L4:L10" si="4">H4/F4</f>
        <v>6.0714285714285721</v>
      </c>
      <c r="M4" s="34">
        <f t="shared" ref="M4:M10" si="5">I4/F4</f>
        <v>5.8214285714285712</v>
      </c>
      <c r="O4" s="33">
        <v>22</v>
      </c>
      <c r="P4" s="11">
        <f t="shared" ref="P4:P11" si="6">104*A4+9</f>
        <v>1673</v>
      </c>
      <c r="Q4" s="34">
        <f t="shared" ref="Q4:Q11" si="7">P4/O4</f>
        <v>76.045454545454547</v>
      </c>
      <c r="R4" s="33">
        <v>96</v>
      </c>
      <c r="S4" s="34">
        <f t="shared" ref="S4:S10" si="8">R4/O4</f>
        <v>4.3636363636363633</v>
      </c>
      <c r="T4" s="1">
        <v>40</v>
      </c>
      <c r="U4" s="1">
        <v>1</v>
      </c>
      <c r="V4" s="1">
        <f t="shared" ref="V4:V11" si="9">T4*U4</f>
        <v>40</v>
      </c>
      <c r="W4" s="1">
        <f t="shared" ref="W4:W11" si="10">V4/B4*100</f>
        <v>71.428571428571431</v>
      </c>
    </row>
    <row r="5" spans="1:23" x14ac:dyDescent="0.3">
      <c r="A5" s="33">
        <v>32</v>
      </c>
      <c r="B5" s="11">
        <v>72</v>
      </c>
      <c r="C5" s="11">
        <v>1003</v>
      </c>
      <c r="D5" s="11">
        <f>CEILING((13.737-3.43)*50,1)</f>
        <v>516</v>
      </c>
      <c r="E5" s="34">
        <v>391</v>
      </c>
      <c r="F5" s="33">
        <f t="shared" si="1"/>
        <v>1.44</v>
      </c>
      <c r="G5" s="11">
        <f t="shared" si="2"/>
        <v>20.059999999999999</v>
      </c>
      <c r="H5" s="11">
        <f t="shared" si="3"/>
        <v>10.32</v>
      </c>
      <c r="I5" s="34">
        <f t="shared" si="3"/>
        <v>7.82</v>
      </c>
      <c r="K5" s="33">
        <f t="shared" si="0"/>
        <v>13.930555555555555</v>
      </c>
      <c r="L5" s="57">
        <f t="shared" si="4"/>
        <v>7.166666666666667</v>
      </c>
      <c r="M5" s="34">
        <f t="shared" si="5"/>
        <v>5.4305555555555562</v>
      </c>
      <c r="O5" s="33">
        <v>22</v>
      </c>
      <c r="P5" s="11">
        <f t="shared" si="6"/>
        <v>3337</v>
      </c>
      <c r="Q5" s="34">
        <f t="shared" si="7"/>
        <v>151.68181818181819</v>
      </c>
      <c r="R5" s="33">
        <v>273</v>
      </c>
      <c r="S5" s="34">
        <f t="shared" si="8"/>
        <v>12.409090909090908</v>
      </c>
      <c r="T5" s="1">
        <v>40</v>
      </c>
      <c r="U5" s="1">
        <v>1</v>
      </c>
      <c r="V5" s="1">
        <f t="shared" si="9"/>
        <v>40</v>
      </c>
      <c r="W5" s="1">
        <f t="shared" si="10"/>
        <v>55.555555555555557</v>
      </c>
    </row>
    <row r="6" spans="1:23" x14ac:dyDescent="0.3">
      <c r="A6" s="33">
        <v>64</v>
      </c>
      <c r="B6" s="11">
        <v>104</v>
      </c>
      <c r="C6" s="11">
        <v>2027</v>
      </c>
      <c r="D6" s="11">
        <f>CEILING((23.177-3.43)*50,1)</f>
        <v>988</v>
      </c>
      <c r="E6" s="34">
        <v>716</v>
      </c>
      <c r="F6" s="33">
        <f t="shared" si="1"/>
        <v>2.08</v>
      </c>
      <c r="G6" s="11">
        <f t="shared" si="2"/>
        <v>40.54</v>
      </c>
      <c r="H6" s="11">
        <f t="shared" si="3"/>
        <v>19.760000000000002</v>
      </c>
      <c r="I6" s="34">
        <f t="shared" si="3"/>
        <v>14.32</v>
      </c>
      <c r="K6" s="33">
        <f t="shared" si="0"/>
        <v>19.490384615384617</v>
      </c>
      <c r="L6" s="57">
        <f t="shared" si="4"/>
        <v>9.5</v>
      </c>
      <c r="M6" s="34">
        <f t="shared" si="5"/>
        <v>6.8846153846153841</v>
      </c>
      <c r="O6" s="33">
        <v>22</v>
      </c>
      <c r="P6" s="11">
        <f t="shared" si="6"/>
        <v>6665</v>
      </c>
      <c r="Q6" s="34">
        <f t="shared" si="7"/>
        <v>302.95454545454544</v>
      </c>
      <c r="R6" s="33">
        <v>529</v>
      </c>
      <c r="S6" s="34">
        <f t="shared" si="8"/>
        <v>24.045454545454547</v>
      </c>
      <c r="T6" s="1">
        <v>40</v>
      </c>
      <c r="U6" s="1">
        <v>1</v>
      </c>
      <c r="V6" s="1">
        <f t="shared" si="9"/>
        <v>40</v>
      </c>
      <c r="W6" s="1">
        <f t="shared" si="10"/>
        <v>38.461538461538467</v>
      </c>
    </row>
    <row r="7" spans="1:23" x14ac:dyDescent="0.3">
      <c r="A7" s="33">
        <v>128</v>
      </c>
      <c r="B7" s="11">
        <v>219</v>
      </c>
      <c r="C7" s="11">
        <v>4076</v>
      </c>
      <c r="D7" s="11">
        <f>CEILING((42.057-3.43)*50,1)</f>
        <v>1932</v>
      </c>
      <c r="E7" s="34">
        <v>1450</v>
      </c>
      <c r="F7" s="33">
        <f t="shared" si="1"/>
        <v>4.38</v>
      </c>
      <c r="G7" s="11">
        <f t="shared" si="2"/>
        <v>81.52</v>
      </c>
      <c r="H7" s="11">
        <f t="shared" si="3"/>
        <v>38.64</v>
      </c>
      <c r="I7" s="34">
        <f t="shared" si="3"/>
        <v>29</v>
      </c>
      <c r="K7" s="33">
        <f t="shared" si="0"/>
        <v>18.611872146118721</v>
      </c>
      <c r="L7" s="57">
        <f t="shared" si="4"/>
        <v>8.8219178082191778</v>
      </c>
      <c r="M7" s="34">
        <f t="shared" si="5"/>
        <v>6.6210045662100461</v>
      </c>
      <c r="O7" s="33">
        <f>(A7/64)*14+8</f>
        <v>36</v>
      </c>
      <c r="P7" s="11">
        <f t="shared" si="6"/>
        <v>13321</v>
      </c>
      <c r="Q7" s="34">
        <f t="shared" si="7"/>
        <v>370.02777777777777</v>
      </c>
      <c r="R7" s="33">
        <v>1041</v>
      </c>
      <c r="S7" s="34">
        <f t="shared" si="8"/>
        <v>28.916666666666668</v>
      </c>
      <c r="T7" s="1">
        <v>40</v>
      </c>
      <c r="U7" s="1">
        <v>2</v>
      </c>
      <c r="V7" s="1">
        <f t="shared" si="9"/>
        <v>80</v>
      </c>
      <c r="W7" s="1">
        <f t="shared" si="10"/>
        <v>36.529680365296798</v>
      </c>
    </row>
    <row r="8" spans="1:23" x14ac:dyDescent="0.3">
      <c r="A8" s="33">
        <v>256</v>
      </c>
      <c r="B8" s="11">
        <v>412</v>
      </c>
      <c r="C8" s="11">
        <v>8171</v>
      </c>
      <c r="D8" s="11">
        <f>CEILING((79.817-3.43)*50,1)</f>
        <v>3820</v>
      </c>
      <c r="E8" s="34">
        <v>2857</v>
      </c>
      <c r="F8" s="33">
        <f t="shared" si="1"/>
        <v>8.24</v>
      </c>
      <c r="G8" s="11">
        <f t="shared" si="2"/>
        <v>163.42000000000002</v>
      </c>
      <c r="H8" s="11">
        <f t="shared" si="3"/>
        <v>76.400000000000006</v>
      </c>
      <c r="I8" s="34">
        <f t="shared" si="3"/>
        <v>57.14</v>
      </c>
      <c r="K8" s="33">
        <f t="shared" si="0"/>
        <v>19.832524271844662</v>
      </c>
      <c r="L8" s="57">
        <f t="shared" si="4"/>
        <v>9.2718446601941746</v>
      </c>
      <c r="M8" s="34">
        <f t="shared" si="5"/>
        <v>6.9344660194174752</v>
      </c>
      <c r="O8" s="33">
        <f t="shared" ref="O8:O11" si="11">(A8/64)*14+8</f>
        <v>64</v>
      </c>
      <c r="P8" s="11">
        <f t="shared" si="6"/>
        <v>26633</v>
      </c>
      <c r="Q8" s="34">
        <f t="shared" si="7"/>
        <v>416.140625</v>
      </c>
      <c r="R8" s="33">
        <v>2064</v>
      </c>
      <c r="S8" s="34">
        <f t="shared" si="8"/>
        <v>32.25</v>
      </c>
      <c r="T8" s="1">
        <v>40</v>
      </c>
      <c r="U8" s="1">
        <v>4</v>
      </c>
      <c r="V8" s="1">
        <f t="shared" si="9"/>
        <v>160</v>
      </c>
      <c r="W8" s="1">
        <f t="shared" si="10"/>
        <v>38.834951456310677</v>
      </c>
    </row>
    <row r="9" spans="1:23" x14ac:dyDescent="0.3">
      <c r="A9" s="33">
        <v>512</v>
      </c>
      <c r="B9" s="11">
        <v>800</v>
      </c>
      <c r="C9" s="11">
        <v>16363</v>
      </c>
      <c r="D9" s="11">
        <f>CEILING((155.357-3.43)*50,1)</f>
        <v>7597</v>
      </c>
      <c r="E9" s="34">
        <f>116.8*50</f>
        <v>5840</v>
      </c>
      <c r="F9" s="33">
        <f t="shared" si="1"/>
        <v>16</v>
      </c>
      <c r="G9" s="11">
        <f t="shared" si="2"/>
        <v>327.26</v>
      </c>
      <c r="H9" s="11">
        <f t="shared" si="3"/>
        <v>151.94</v>
      </c>
      <c r="I9" s="34">
        <f t="shared" si="3"/>
        <v>116.8</v>
      </c>
      <c r="K9" s="33">
        <f t="shared" si="0"/>
        <v>20.453749999999999</v>
      </c>
      <c r="L9" s="57">
        <f t="shared" si="4"/>
        <v>9.4962499999999999</v>
      </c>
      <c r="M9" s="34">
        <f t="shared" si="5"/>
        <v>7.3</v>
      </c>
      <c r="O9" s="33">
        <f t="shared" si="11"/>
        <v>120</v>
      </c>
      <c r="P9" s="11">
        <f t="shared" si="6"/>
        <v>53257</v>
      </c>
      <c r="Q9" s="34">
        <f t="shared" si="7"/>
        <v>443.80833333333334</v>
      </c>
      <c r="R9" s="33">
        <v>4115</v>
      </c>
      <c r="S9" s="34">
        <f t="shared" si="8"/>
        <v>34.291666666666664</v>
      </c>
      <c r="T9" s="1">
        <v>40</v>
      </c>
      <c r="U9" s="1">
        <v>8</v>
      </c>
      <c r="V9" s="1">
        <f t="shared" si="9"/>
        <v>320</v>
      </c>
      <c r="W9" s="1">
        <f t="shared" si="10"/>
        <v>40</v>
      </c>
    </row>
    <row r="10" spans="1:23" x14ac:dyDescent="0.3">
      <c r="A10" s="16">
        <v>1024</v>
      </c>
      <c r="B10" s="8">
        <v>1576</v>
      </c>
      <c r="C10" s="8">
        <v>32747</v>
      </c>
      <c r="D10" s="8">
        <f>CEILING((306.517-3.43)*50,1)</f>
        <v>15155</v>
      </c>
      <c r="E10" s="17">
        <f>229.44*50</f>
        <v>11472</v>
      </c>
      <c r="F10" s="16">
        <f t="shared" si="1"/>
        <v>31.52</v>
      </c>
      <c r="G10" s="8">
        <f t="shared" si="2"/>
        <v>654.94000000000005</v>
      </c>
      <c r="H10" s="8">
        <f t="shared" si="3"/>
        <v>303.10000000000002</v>
      </c>
      <c r="I10" s="17">
        <f t="shared" si="3"/>
        <v>229.44</v>
      </c>
      <c r="K10" s="16">
        <f t="shared" si="0"/>
        <v>20.778553299492387</v>
      </c>
      <c r="L10" s="57">
        <f t="shared" si="4"/>
        <v>9.6161167512690362</v>
      </c>
      <c r="M10" s="34">
        <f t="shared" si="5"/>
        <v>7.2791878172588831</v>
      </c>
      <c r="O10" s="16">
        <f t="shared" si="11"/>
        <v>232</v>
      </c>
      <c r="P10" s="8">
        <f t="shared" si="6"/>
        <v>106505</v>
      </c>
      <c r="Q10" s="17">
        <f t="shared" si="7"/>
        <v>459.07327586206895</v>
      </c>
      <c r="R10" s="16">
        <v>8213</v>
      </c>
      <c r="S10" s="17">
        <f t="shared" si="8"/>
        <v>35.400862068965516</v>
      </c>
      <c r="T10" s="1">
        <v>40</v>
      </c>
      <c r="U10" s="1">
        <v>16</v>
      </c>
      <c r="V10" s="1">
        <f t="shared" si="9"/>
        <v>640</v>
      </c>
      <c r="W10" s="1">
        <f t="shared" si="10"/>
        <v>40.609137055837564</v>
      </c>
    </row>
    <row r="11" spans="1:23" x14ac:dyDescent="0.3">
      <c r="A11" s="1">
        <v>2048</v>
      </c>
      <c r="B11" s="1">
        <v>3129</v>
      </c>
      <c r="C11" s="1">
        <v>65515</v>
      </c>
      <c r="F11" s="1">
        <f t="shared" si="1"/>
        <v>62.58</v>
      </c>
      <c r="G11" s="1">
        <f t="shared" si="2"/>
        <v>1310.3</v>
      </c>
      <c r="K11" s="1">
        <f t="shared" si="0"/>
        <v>20.937999360818154</v>
      </c>
      <c r="O11" s="1">
        <f t="shared" si="11"/>
        <v>456</v>
      </c>
      <c r="P11" s="1">
        <f t="shared" si="6"/>
        <v>213001</v>
      </c>
      <c r="Q11" s="1">
        <f t="shared" si="7"/>
        <v>467.10745614035091</v>
      </c>
      <c r="T11" s="1">
        <v>40</v>
      </c>
      <c r="U11" s="1">
        <v>32</v>
      </c>
      <c r="V11" s="1">
        <f t="shared" si="9"/>
        <v>1280</v>
      </c>
      <c r="W11" s="1">
        <f t="shared" si="10"/>
        <v>40.907638223074464</v>
      </c>
    </row>
    <row r="16" spans="1:23" x14ac:dyDescent="0.3">
      <c r="B16" s="35" t="s">
        <v>64</v>
      </c>
      <c r="C16" s="36">
        <v>597</v>
      </c>
      <c r="D16" s="11"/>
      <c r="E16" s="11"/>
      <c r="G16" s="35" t="s">
        <v>65</v>
      </c>
      <c r="H16" s="36">
        <v>496</v>
      </c>
      <c r="J16" s="27" t="s">
        <v>8</v>
      </c>
    </row>
    <row r="17" spans="2:10" x14ac:dyDescent="0.3">
      <c r="B17" s="37" t="s">
        <v>66</v>
      </c>
      <c r="C17" s="17">
        <f>F10*C16/A10</f>
        <v>18.376406249999999</v>
      </c>
      <c r="D17" s="11"/>
      <c r="E17" s="11"/>
      <c r="G17" s="37" t="s">
        <v>66</v>
      </c>
      <c r="H17" s="17">
        <f>H16*D10/A10*0.02</f>
        <v>146.81406250000001</v>
      </c>
      <c r="J17" s="24">
        <f>H17/C17</f>
        <v>7.9892695286925326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F531-9F85-4408-B7CE-A6E5A9C14B7E}">
  <dimension ref="A1:N22"/>
  <sheetViews>
    <sheetView workbookViewId="0">
      <selection activeCell="A14" sqref="A14:J22"/>
    </sheetView>
  </sheetViews>
  <sheetFormatPr defaultRowHeight="18.75" x14ac:dyDescent="0.3"/>
  <cols>
    <col min="1" max="1" width="12.796875" customWidth="1"/>
    <col min="8" max="8" width="11.09765625" customWidth="1"/>
  </cols>
  <sheetData>
    <row r="1" spans="1:14" ht="37.5" x14ac:dyDescent="0.3">
      <c r="A1" s="9" t="s">
        <v>13</v>
      </c>
      <c r="B1" s="14" t="s">
        <v>3</v>
      </c>
      <c r="C1" s="10"/>
      <c r="D1" s="10"/>
      <c r="E1" s="15"/>
      <c r="F1" s="14" t="s">
        <v>16</v>
      </c>
      <c r="G1" s="10"/>
      <c r="H1" s="10"/>
      <c r="I1" s="15"/>
      <c r="J1" s="14" t="s">
        <v>17</v>
      </c>
      <c r="K1" s="10"/>
      <c r="L1" s="15"/>
      <c r="M1" t="s">
        <v>19</v>
      </c>
    </row>
    <row r="2" spans="1:14" ht="56.25" x14ac:dyDescent="0.3">
      <c r="A2" s="7"/>
      <c r="B2" s="20" t="s">
        <v>14</v>
      </c>
      <c r="C2" s="13" t="s">
        <v>75</v>
      </c>
      <c r="D2" s="8" t="s">
        <v>76</v>
      </c>
      <c r="E2" s="21" t="s">
        <v>15</v>
      </c>
      <c r="F2" s="20" t="s">
        <v>14</v>
      </c>
      <c r="G2" s="8" t="s">
        <v>52</v>
      </c>
      <c r="H2" s="8" t="s">
        <v>53</v>
      </c>
      <c r="I2" s="21" t="s">
        <v>51</v>
      </c>
      <c r="J2" s="20" t="s">
        <v>54</v>
      </c>
      <c r="K2" s="7" t="s">
        <v>55</v>
      </c>
      <c r="L2" s="21" t="s">
        <v>56</v>
      </c>
      <c r="N2" s="1" t="s">
        <v>77</v>
      </c>
    </row>
    <row r="3" spans="1:14" x14ac:dyDescent="0.3">
      <c r="A3">
        <v>8</v>
      </c>
      <c r="B3" s="18">
        <f>CEILING(F3*50,1)</f>
        <v>279</v>
      </c>
      <c r="C3" s="22">
        <f>CEILING(G3*50,1)</f>
        <v>1680</v>
      </c>
      <c r="D3" s="22">
        <f>CEILING(H3*50,1)</f>
        <v>2315</v>
      </c>
      <c r="E3" s="19">
        <f>CEILING(I3*50,1)</f>
        <v>9067</v>
      </c>
      <c r="F3" s="18">
        <v>5.58</v>
      </c>
      <c r="G3" s="22">
        <v>33.6</v>
      </c>
      <c r="H3" s="22">
        <v>46.3</v>
      </c>
      <c r="I3" s="19">
        <v>181.33699999999999</v>
      </c>
      <c r="J3" s="18">
        <f>G3/F3</f>
        <v>6.021505376344086</v>
      </c>
      <c r="K3" s="22">
        <f>H3/F3</f>
        <v>8.2974910394265233</v>
      </c>
      <c r="L3" s="19">
        <f>I3/F3</f>
        <v>32.497670250896057</v>
      </c>
      <c r="N3">
        <f>D3/C3</f>
        <v>1.3779761904761905</v>
      </c>
    </row>
    <row r="4" spans="1:14" x14ac:dyDescent="0.3">
      <c r="A4">
        <v>16</v>
      </c>
      <c r="B4" s="18">
        <f t="shared" ref="B4:B10" si="0">CEILING(F4*50,1)</f>
        <v>433</v>
      </c>
      <c r="C4" s="22">
        <f t="shared" ref="C4:C10" si="1">CEILING(G4*50,1)</f>
        <v>3425</v>
      </c>
      <c r="D4" s="22">
        <f t="shared" ref="D4:D10" si="2">CEILING(H4*50,1)</f>
        <v>12425</v>
      </c>
      <c r="E4" s="19">
        <f t="shared" ref="E4:E10" si="3">CEILING(I4*50,1)</f>
        <v>16753</v>
      </c>
      <c r="F4" s="18">
        <v>8.65</v>
      </c>
      <c r="G4" s="22">
        <v>68.5</v>
      </c>
      <c r="H4" s="22">
        <v>248.5</v>
      </c>
      <c r="I4" s="19">
        <v>335.05</v>
      </c>
      <c r="J4" s="18">
        <f t="shared" ref="J4:J10" si="4">G4/F4</f>
        <v>7.9190751445086702</v>
      </c>
      <c r="K4" s="22">
        <f t="shared" ref="K4:K10" si="5">H4/F4</f>
        <v>28.728323699421964</v>
      </c>
      <c r="L4" s="19">
        <f t="shared" ref="L4:L10" si="6">I4/F4</f>
        <v>38.734104046242777</v>
      </c>
      <c r="N4">
        <f t="shared" ref="N4:N10" si="7">D4/C4</f>
        <v>3.6277372262773722</v>
      </c>
    </row>
    <row r="5" spans="1:14" x14ac:dyDescent="0.3">
      <c r="A5">
        <v>32</v>
      </c>
      <c r="B5" s="18">
        <f t="shared" si="0"/>
        <v>743</v>
      </c>
      <c r="C5" s="22">
        <f t="shared" si="1"/>
        <v>13000</v>
      </c>
      <c r="D5" s="22">
        <f t="shared" si="2"/>
        <v>15190</v>
      </c>
      <c r="E5" s="19">
        <f t="shared" si="3"/>
        <v>32120</v>
      </c>
      <c r="F5" s="18">
        <v>14.85</v>
      </c>
      <c r="G5" s="22">
        <v>260</v>
      </c>
      <c r="H5" s="22">
        <v>303.8</v>
      </c>
      <c r="I5" s="19">
        <v>642.4</v>
      </c>
      <c r="J5" s="18">
        <f t="shared" si="4"/>
        <v>17.508417508417509</v>
      </c>
      <c r="K5" s="22">
        <f t="shared" si="5"/>
        <v>20.45791245791246</v>
      </c>
      <c r="L5" s="19">
        <f t="shared" si="6"/>
        <v>43.25925925925926</v>
      </c>
      <c r="N5">
        <f t="shared" si="7"/>
        <v>1.1684615384615384</v>
      </c>
    </row>
    <row r="6" spans="1:14" x14ac:dyDescent="0.3">
      <c r="A6">
        <v>64</v>
      </c>
      <c r="B6" s="18">
        <f t="shared" si="0"/>
        <v>1363</v>
      </c>
      <c r="C6" s="22">
        <f t="shared" si="1"/>
        <v>25290</v>
      </c>
      <c r="D6" s="22">
        <f t="shared" si="2"/>
        <v>32190</v>
      </c>
      <c r="E6" s="19">
        <f t="shared" si="3"/>
        <v>62874</v>
      </c>
      <c r="F6" s="18">
        <v>27.25</v>
      </c>
      <c r="G6" s="22">
        <v>505.8</v>
      </c>
      <c r="H6" s="22">
        <v>643.79999999999995</v>
      </c>
      <c r="I6" s="19">
        <v>1257.47</v>
      </c>
      <c r="J6" s="18">
        <f t="shared" si="4"/>
        <v>18.561467889908258</v>
      </c>
      <c r="K6" s="22">
        <f t="shared" si="5"/>
        <v>23.625688073394493</v>
      </c>
      <c r="L6" s="19">
        <f t="shared" si="6"/>
        <v>46.145688073394496</v>
      </c>
      <c r="N6">
        <f t="shared" si="7"/>
        <v>1.2728351126927639</v>
      </c>
    </row>
    <row r="7" spans="1:14" x14ac:dyDescent="0.3">
      <c r="A7">
        <v>128</v>
      </c>
      <c r="B7" s="18">
        <f t="shared" si="0"/>
        <v>2605</v>
      </c>
      <c r="C7" s="22">
        <f t="shared" si="1"/>
        <v>49865</v>
      </c>
      <c r="D7" s="22">
        <f t="shared" si="2"/>
        <v>113840</v>
      </c>
      <c r="E7" s="19">
        <f t="shared" si="3"/>
        <v>124434</v>
      </c>
      <c r="F7" s="18">
        <v>52.1</v>
      </c>
      <c r="G7" s="22">
        <v>997.3</v>
      </c>
      <c r="H7" s="22">
        <v>2276.8000000000002</v>
      </c>
      <c r="I7" s="19">
        <v>2488.67</v>
      </c>
      <c r="J7" s="18">
        <f t="shared" si="4"/>
        <v>19.142034548944338</v>
      </c>
      <c r="K7" s="22">
        <f t="shared" si="5"/>
        <v>43.700575815738965</v>
      </c>
      <c r="L7" s="19">
        <f t="shared" si="6"/>
        <v>47.767178502879077</v>
      </c>
      <c r="N7">
        <f t="shared" si="7"/>
        <v>2.2829640028075806</v>
      </c>
    </row>
    <row r="8" spans="1:14" x14ac:dyDescent="0.3">
      <c r="A8">
        <v>256</v>
      </c>
      <c r="B8" s="18">
        <f t="shared" si="0"/>
        <v>5087</v>
      </c>
      <c r="C8" s="22">
        <f t="shared" si="1"/>
        <v>99020</v>
      </c>
      <c r="D8" s="22">
        <f t="shared" si="2"/>
        <v>226760</v>
      </c>
      <c r="E8" s="19">
        <f t="shared" si="3"/>
        <v>247603</v>
      </c>
      <c r="F8" s="18">
        <v>101.73</v>
      </c>
      <c r="G8" s="22">
        <v>1980.4</v>
      </c>
      <c r="H8" s="22">
        <v>4535.2</v>
      </c>
      <c r="I8" s="19">
        <v>4952.0600000000004</v>
      </c>
      <c r="J8" s="18">
        <f t="shared" si="4"/>
        <v>19.467217143418853</v>
      </c>
      <c r="K8" s="22">
        <f t="shared" si="5"/>
        <v>44.580752973557452</v>
      </c>
      <c r="L8" s="19">
        <f t="shared" si="6"/>
        <v>48.678462597070677</v>
      </c>
      <c r="N8">
        <f t="shared" si="7"/>
        <v>2.2900424156736015</v>
      </c>
    </row>
    <row r="9" spans="1:14" x14ac:dyDescent="0.3">
      <c r="A9">
        <v>512</v>
      </c>
      <c r="B9" s="18">
        <f t="shared" si="0"/>
        <v>10040</v>
      </c>
      <c r="C9" s="22">
        <f t="shared" si="1"/>
        <v>197325</v>
      </c>
      <c r="D9" s="22">
        <f t="shared" si="2"/>
        <v>453499</v>
      </c>
      <c r="E9" s="19">
        <f t="shared" si="3"/>
        <v>493806</v>
      </c>
      <c r="F9" s="18">
        <v>200.8</v>
      </c>
      <c r="G9" s="22">
        <v>3946.5</v>
      </c>
      <c r="H9" s="22">
        <v>9069.9699999999993</v>
      </c>
      <c r="I9" s="19">
        <v>9876.1170000000002</v>
      </c>
      <c r="J9" s="18">
        <f t="shared" si="4"/>
        <v>19.653884462151392</v>
      </c>
      <c r="K9" s="22">
        <f t="shared" si="5"/>
        <v>45.169173306772905</v>
      </c>
      <c r="L9" s="19">
        <f t="shared" si="6"/>
        <v>49.183849601593622</v>
      </c>
      <c r="N9">
        <f t="shared" si="7"/>
        <v>2.298233878119853</v>
      </c>
    </row>
    <row r="10" spans="1:14" x14ac:dyDescent="0.3">
      <c r="A10">
        <v>1024</v>
      </c>
      <c r="B10" s="20">
        <f t="shared" si="0"/>
        <v>19970</v>
      </c>
      <c r="C10" s="7">
        <f t="shared" si="1"/>
        <v>393930</v>
      </c>
      <c r="D10" s="7">
        <f t="shared" si="2"/>
        <v>906470</v>
      </c>
      <c r="E10" s="21">
        <f t="shared" si="3"/>
        <v>986346</v>
      </c>
      <c r="F10" s="20">
        <v>399.4</v>
      </c>
      <c r="G10" s="7">
        <v>7878.6</v>
      </c>
      <c r="H10" s="7">
        <v>18129.400000000001</v>
      </c>
      <c r="I10" s="21">
        <v>19726.91</v>
      </c>
      <c r="J10" s="20">
        <f t="shared" si="4"/>
        <v>19.726089133700555</v>
      </c>
      <c r="K10" s="7">
        <f t="shared" si="5"/>
        <v>45.391587381071616</v>
      </c>
      <c r="L10" s="21">
        <f t="shared" si="6"/>
        <v>49.391362043064596</v>
      </c>
      <c r="N10">
        <f t="shared" si="7"/>
        <v>2.3010941030132255</v>
      </c>
    </row>
    <row r="11" spans="1:14" x14ac:dyDescent="0.3">
      <c r="M11" s="12" t="s">
        <v>78</v>
      </c>
      <c r="N11" s="12">
        <f>AVERAGE(N3:N10)</f>
        <v>2.0774180584402657</v>
      </c>
    </row>
    <row r="14" spans="1:14" x14ac:dyDescent="0.3">
      <c r="B14" t="s">
        <v>18</v>
      </c>
    </row>
    <row r="15" spans="1:14" ht="37.5" x14ac:dyDescent="0.3">
      <c r="A15" s="1" t="s">
        <v>13</v>
      </c>
      <c r="B15" t="s">
        <v>3</v>
      </c>
      <c r="F15" t="s">
        <v>16</v>
      </c>
      <c r="J15" t="s">
        <v>17</v>
      </c>
    </row>
    <row r="16" spans="1:14" x14ac:dyDescent="0.3">
      <c r="B16" t="s">
        <v>14</v>
      </c>
      <c r="C16" t="s">
        <v>15</v>
      </c>
      <c r="F16" t="s">
        <v>14</v>
      </c>
      <c r="I16" t="s">
        <v>15</v>
      </c>
    </row>
    <row r="17" spans="1:10" x14ac:dyDescent="0.3">
      <c r="A17">
        <v>64</v>
      </c>
      <c r="I17">
        <v>2502.8000000000002</v>
      </c>
    </row>
    <row r="18" spans="1:10" x14ac:dyDescent="0.3">
      <c r="A18">
        <v>512</v>
      </c>
      <c r="B18">
        <v>19073</v>
      </c>
      <c r="C18">
        <v>744551</v>
      </c>
      <c r="F18">
        <v>381.45</v>
      </c>
      <c r="I18">
        <v>14891.01</v>
      </c>
      <c r="J18">
        <f>C18/B18</f>
        <v>39.036910816337233</v>
      </c>
    </row>
    <row r="21" spans="1:10" x14ac:dyDescent="0.3">
      <c r="A21" s="14" t="s">
        <v>69</v>
      </c>
      <c r="B21" s="15">
        <v>597</v>
      </c>
      <c r="F21" s="14" t="s">
        <v>65</v>
      </c>
      <c r="G21" s="15">
        <v>496</v>
      </c>
      <c r="I21" s="23" t="s">
        <v>8</v>
      </c>
    </row>
    <row r="22" spans="1:10" x14ac:dyDescent="0.3">
      <c r="A22" s="20" t="s">
        <v>70</v>
      </c>
      <c r="B22" s="21">
        <f>B21*F9/(1000*32)</f>
        <v>3.746175</v>
      </c>
      <c r="F22" s="20" t="s">
        <v>63</v>
      </c>
      <c r="G22" s="21">
        <f>H9*G21/(1000*32)</f>
        <v>140.58453500000002</v>
      </c>
      <c r="I22" s="26">
        <f>G22/B22</f>
        <v>37.527487370451198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B06B-E2EC-471A-801B-5D92EC52BC1E}">
  <dimension ref="A1:S17"/>
  <sheetViews>
    <sheetView workbookViewId="0">
      <selection activeCell="K3" sqref="K3:K6"/>
    </sheetView>
  </sheetViews>
  <sheetFormatPr defaultRowHeight="18.75" x14ac:dyDescent="0.3"/>
  <cols>
    <col min="8" max="8" width="10.59765625" customWidth="1"/>
  </cols>
  <sheetData>
    <row r="1" spans="1:19" x14ac:dyDescent="0.3">
      <c r="A1" s="1" t="s">
        <v>20</v>
      </c>
      <c r="B1" s="14" t="s">
        <v>3</v>
      </c>
      <c r="C1" s="10"/>
      <c r="D1" s="10"/>
      <c r="E1" s="15"/>
      <c r="F1" s="14" t="s">
        <v>16</v>
      </c>
      <c r="G1" s="10"/>
      <c r="H1" s="10"/>
      <c r="I1" s="15"/>
      <c r="J1" s="14" t="s">
        <v>54</v>
      </c>
      <c r="K1" s="10"/>
      <c r="L1" s="15"/>
      <c r="N1" t="s">
        <v>29</v>
      </c>
      <c r="O1" t="s">
        <v>30</v>
      </c>
      <c r="P1" t="s">
        <v>31</v>
      </c>
      <c r="Q1" t="s">
        <v>33</v>
      </c>
      <c r="R1" t="s">
        <v>34</v>
      </c>
      <c r="S1" t="s">
        <v>39</v>
      </c>
    </row>
    <row r="2" spans="1:19" ht="56.25" x14ac:dyDescent="0.3">
      <c r="A2" s="8"/>
      <c r="B2" s="16" t="s">
        <v>14</v>
      </c>
      <c r="C2" s="8" t="s">
        <v>52</v>
      </c>
      <c r="D2" s="8" t="s">
        <v>53</v>
      </c>
      <c r="E2" s="17" t="s">
        <v>15</v>
      </c>
      <c r="F2" s="16" t="s">
        <v>14</v>
      </c>
      <c r="G2" s="8" t="s">
        <v>52</v>
      </c>
      <c r="H2" s="8" t="s">
        <v>53</v>
      </c>
      <c r="I2" s="17" t="s">
        <v>51</v>
      </c>
      <c r="J2" s="20" t="s">
        <v>54</v>
      </c>
      <c r="K2" s="7" t="s">
        <v>55</v>
      </c>
      <c r="L2" s="21" t="s">
        <v>56</v>
      </c>
    </row>
    <row r="3" spans="1:19" x14ac:dyDescent="0.3">
      <c r="A3">
        <v>8</v>
      </c>
      <c r="B3" s="18">
        <f t="shared" ref="B3:E4" si="0">CEILING(F3*50,1)</f>
        <v>1755</v>
      </c>
      <c r="C3" s="22">
        <f t="shared" si="0"/>
        <v>3930</v>
      </c>
      <c r="D3" s="22">
        <f t="shared" si="0"/>
        <v>4040</v>
      </c>
      <c r="E3" s="19">
        <f t="shared" si="0"/>
        <v>18800</v>
      </c>
      <c r="F3" s="18">
        <v>35.1</v>
      </c>
      <c r="G3" s="22">
        <v>78.599999999999994</v>
      </c>
      <c r="H3" s="22">
        <v>80.790000000000006</v>
      </c>
      <c r="I3" s="19">
        <v>376</v>
      </c>
      <c r="J3" s="18">
        <f>G3/F3</f>
        <v>2.2393162393162389</v>
      </c>
      <c r="K3" s="59">
        <f>H3/F3</f>
        <v>2.301709401709402</v>
      </c>
      <c r="L3" s="19">
        <f>E3/B3</f>
        <v>10.712250712250713</v>
      </c>
    </row>
    <row r="4" spans="1:19" x14ac:dyDescent="0.3">
      <c r="A4">
        <v>16</v>
      </c>
      <c r="B4" s="18">
        <f t="shared" si="0"/>
        <v>4610</v>
      </c>
      <c r="C4" s="22">
        <f t="shared" si="0"/>
        <v>51597</v>
      </c>
      <c r="D4" s="22">
        <f t="shared" si="0"/>
        <v>52565</v>
      </c>
      <c r="E4" s="19">
        <f t="shared" si="0"/>
        <v>142575</v>
      </c>
      <c r="F4" s="18">
        <v>92.2</v>
      </c>
      <c r="G4" s="22">
        <v>1031.94</v>
      </c>
      <c r="H4" s="22">
        <v>1051.3</v>
      </c>
      <c r="I4" s="19">
        <v>2851.5</v>
      </c>
      <c r="J4" s="18">
        <f t="shared" ref="J4:J6" si="1">G4/F4</f>
        <v>11.192407809110628</v>
      </c>
      <c r="K4" s="59">
        <f>H4/F4</f>
        <v>11.402386117136659</v>
      </c>
      <c r="L4" s="19">
        <f>E4/B4</f>
        <v>30.927331887201735</v>
      </c>
    </row>
    <row r="5" spans="1:19" x14ac:dyDescent="0.3">
      <c r="A5">
        <v>32</v>
      </c>
      <c r="B5" s="18">
        <f t="shared" ref="B5" si="2">CEILING(F5*50,1)</f>
        <v>20858</v>
      </c>
      <c r="C5" s="22">
        <f t="shared" ref="C5:E6" si="3">CEILING(G5*50,1)</f>
        <v>401985</v>
      </c>
      <c r="D5" s="22">
        <f t="shared" si="3"/>
        <v>405855</v>
      </c>
      <c r="E5" s="19">
        <f t="shared" si="3"/>
        <v>1155232</v>
      </c>
      <c r="F5" s="18">
        <v>417.14699999999999</v>
      </c>
      <c r="G5" s="22">
        <v>8039.7</v>
      </c>
      <c r="H5" s="22">
        <v>8117.1</v>
      </c>
      <c r="I5" s="19">
        <v>23104.639999999999</v>
      </c>
      <c r="J5" s="18">
        <f t="shared" si="1"/>
        <v>19.273062014110135</v>
      </c>
      <c r="K5" s="59">
        <f>H5/F5</f>
        <v>19.458608116563227</v>
      </c>
      <c r="L5" s="19">
        <f>E5/B5</f>
        <v>55.385559497554894</v>
      </c>
    </row>
    <row r="6" spans="1:19" x14ac:dyDescent="0.3">
      <c r="A6">
        <v>64</v>
      </c>
      <c r="B6" s="20">
        <f>CEILING(F6*50,1)</f>
        <v>113786</v>
      </c>
      <c r="C6" s="7">
        <f t="shared" si="3"/>
        <v>3179361</v>
      </c>
      <c r="D6" s="7">
        <f t="shared" si="3"/>
        <v>7181791</v>
      </c>
      <c r="E6" s="21">
        <f t="shared" si="3"/>
        <v>8943296</v>
      </c>
      <c r="F6" s="20">
        <v>2275.71</v>
      </c>
      <c r="G6" s="7">
        <v>63587.22</v>
      </c>
      <c r="H6" s="7">
        <v>143635.81</v>
      </c>
      <c r="I6" s="21">
        <v>178865.92000000001</v>
      </c>
      <c r="J6" s="20">
        <f t="shared" si="1"/>
        <v>27.941706104907919</v>
      </c>
      <c r="K6" s="59">
        <f>H6/F6</f>
        <v>63.116921751892811</v>
      </c>
      <c r="L6" s="21">
        <f>E6/B6</f>
        <v>78.597507601989705</v>
      </c>
      <c r="N6">
        <v>328962</v>
      </c>
      <c r="O6">
        <v>120</v>
      </c>
      <c r="P6">
        <f>1000/O6</f>
        <v>8.3333333333333339</v>
      </c>
      <c r="Q6">
        <f>P6*N6/1000</f>
        <v>2741.35</v>
      </c>
      <c r="R6" t="s">
        <v>38</v>
      </c>
      <c r="S6" t="s">
        <v>40</v>
      </c>
    </row>
    <row r="8" spans="1:19" x14ac:dyDescent="0.3">
      <c r="R8">
        <v>1360854</v>
      </c>
      <c r="S8">
        <v>4006241</v>
      </c>
    </row>
    <row r="9" spans="1:19" x14ac:dyDescent="0.3">
      <c r="R9">
        <v>91.4</v>
      </c>
      <c r="S9">
        <v>117.2</v>
      </c>
    </row>
    <row r="10" spans="1:19" x14ac:dyDescent="0.3">
      <c r="R10">
        <f>1000/R9</f>
        <v>10.940919037199125</v>
      </c>
      <c r="S10">
        <f>1000/S9</f>
        <v>8.5324232081911262</v>
      </c>
    </row>
    <row r="11" spans="1:19" x14ac:dyDescent="0.3">
      <c r="A11" s="14" t="s">
        <v>71</v>
      </c>
      <c r="B11" s="15">
        <v>597</v>
      </c>
      <c r="F11" s="14" t="s">
        <v>71</v>
      </c>
      <c r="G11" s="15">
        <v>496</v>
      </c>
      <c r="I11" s="23" t="s">
        <v>8</v>
      </c>
      <c r="R11">
        <f>R10*R8/1000000</f>
        <v>14.888993435448578</v>
      </c>
      <c r="S11">
        <f>S10*S8/1000000</f>
        <v>34.18294368600683</v>
      </c>
    </row>
    <row r="12" spans="1:19" ht="37.5" x14ac:dyDescent="0.3">
      <c r="A12" s="16" t="s">
        <v>73</v>
      </c>
      <c r="B12" s="21">
        <f>B11*F6/1000000</f>
        <v>1.35859887</v>
      </c>
      <c r="F12" s="16" t="s">
        <v>72</v>
      </c>
      <c r="G12" s="21">
        <f>G11*H6/1000000</f>
        <v>71.243361759999999</v>
      </c>
      <c r="I12" s="26">
        <f>G12/B12</f>
        <v>52.438849562711617</v>
      </c>
    </row>
    <row r="14" spans="1:19" ht="19.5" thickBot="1" x14ac:dyDescent="0.35"/>
    <row r="15" spans="1:19" x14ac:dyDescent="0.3">
      <c r="D15" s="49"/>
      <c r="E15" s="53" t="s">
        <v>91</v>
      </c>
      <c r="F15" s="54"/>
      <c r="G15" s="55"/>
    </row>
    <row r="16" spans="1:19" x14ac:dyDescent="0.3">
      <c r="D16" s="50"/>
      <c r="E16" s="20" t="s">
        <v>92</v>
      </c>
      <c r="F16" s="7" t="s">
        <v>93</v>
      </c>
      <c r="G16" s="52" t="s">
        <v>95</v>
      </c>
    </row>
    <row r="17" spans="4:7" ht="19.5" thickBot="1" x14ac:dyDescent="0.35">
      <c r="D17" s="51" t="s">
        <v>94</v>
      </c>
      <c r="E17" s="47">
        <v>1868368</v>
      </c>
      <c r="F17" s="47">
        <v>23538</v>
      </c>
      <c r="G17" s="48">
        <f>E17/F17</f>
        <v>79.376667516356534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385A-8E92-483F-9B66-0F19453CBAC1}">
  <dimension ref="A1:AC20"/>
  <sheetViews>
    <sheetView tabSelected="1" workbookViewId="0">
      <selection activeCell="L3" sqref="L3:L6"/>
    </sheetView>
  </sheetViews>
  <sheetFormatPr defaultRowHeight="18.75" x14ac:dyDescent="0.3"/>
  <cols>
    <col min="4" max="4" width="9.8984375" customWidth="1"/>
    <col min="9" max="9" width="10.69921875" customWidth="1"/>
  </cols>
  <sheetData>
    <row r="1" spans="1:29" ht="20.25" thickTop="1" thickBot="1" x14ac:dyDescent="0.35">
      <c r="A1" s="13" t="s">
        <v>20</v>
      </c>
      <c r="B1" s="12"/>
      <c r="C1" s="28" t="s">
        <v>3</v>
      </c>
      <c r="D1" s="30"/>
      <c r="E1" s="30"/>
      <c r="F1" s="29"/>
      <c r="G1" s="28" t="s">
        <v>16</v>
      </c>
      <c r="H1" s="30"/>
      <c r="I1" s="30"/>
      <c r="J1" s="29"/>
      <c r="K1" s="28" t="s">
        <v>17</v>
      </c>
      <c r="L1" s="30"/>
      <c r="M1" s="29"/>
      <c r="N1" s="6" t="s">
        <v>28</v>
      </c>
      <c r="O1" s="6" t="s">
        <v>31</v>
      </c>
      <c r="P1" s="6" t="s">
        <v>32</v>
      </c>
      <c r="R1" s="5" t="s">
        <v>35</v>
      </c>
      <c r="S1" s="5" t="s">
        <v>37</v>
      </c>
      <c r="T1" s="5" t="s">
        <v>32</v>
      </c>
      <c r="V1" s="3" t="s">
        <v>39</v>
      </c>
      <c r="W1" s="3" t="s">
        <v>30</v>
      </c>
      <c r="X1" s="3" t="s">
        <v>41</v>
      </c>
      <c r="Y1" s="3" t="s">
        <v>32</v>
      </c>
      <c r="Z1" s="4" t="s">
        <v>34</v>
      </c>
      <c r="AA1" s="4" t="s">
        <v>30</v>
      </c>
      <c r="AB1" s="4" t="s">
        <v>42</v>
      </c>
      <c r="AC1" s="4" t="s">
        <v>43</v>
      </c>
    </row>
    <row r="2" spans="1:29" ht="39" thickTop="1" thickBot="1" x14ac:dyDescent="0.35">
      <c r="A2" s="24"/>
      <c r="B2" s="24" t="s">
        <v>14</v>
      </c>
      <c r="C2" s="42" t="s">
        <v>52</v>
      </c>
      <c r="D2" s="43" t="s">
        <v>53</v>
      </c>
      <c r="E2" s="44" t="s">
        <v>51</v>
      </c>
      <c r="F2" s="13" t="s">
        <v>14</v>
      </c>
      <c r="G2" s="45" t="s">
        <v>14</v>
      </c>
      <c r="H2" s="8" t="s">
        <v>52</v>
      </c>
      <c r="I2" s="8" t="s">
        <v>53</v>
      </c>
      <c r="J2" s="17" t="s">
        <v>51</v>
      </c>
      <c r="K2" s="16" t="s">
        <v>54</v>
      </c>
      <c r="L2" s="8" t="s">
        <v>55</v>
      </c>
      <c r="M2" s="17" t="s">
        <v>56</v>
      </c>
      <c r="N2" s="6"/>
      <c r="O2" s="6"/>
      <c r="P2" s="6"/>
      <c r="R2" s="5"/>
      <c r="S2" s="5"/>
      <c r="T2" s="5"/>
      <c r="V2" s="3"/>
      <c r="W2" s="3"/>
      <c r="X2" s="3"/>
      <c r="Y2" s="3"/>
      <c r="Z2" s="4"/>
      <c r="AA2" s="4"/>
      <c r="AB2" s="4"/>
      <c r="AC2" s="4"/>
    </row>
    <row r="3" spans="1:29" ht="20.25" thickTop="1" thickBot="1" x14ac:dyDescent="0.35">
      <c r="A3" s="25" t="s">
        <v>21</v>
      </c>
      <c r="B3" s="25" t="s">
        <v>22</v>
      </c>
      <c r="C3" s="14">
        <f>CEILING(H3*50,1)</f>
        <v>1946</v>
      </c>
      <c r="D3" s="10">
        <f>CEILING(I3*50,1)</f>
        <v>1946</v>
      </c>
      <c r="E3" s="10">
        <f>CEILING(J3*50,1)</f>
        <v>13307</v>
      </c>
      <c r="F3" s="19">
        <f>CEILING(G3*50,1)</f>
        <v>250</v>
      </c>
      <c r="G3" s="22">
        <v>4.9960000000000004</v>
      </c>
      <c r="H3" s="22">
        <f>622.6/16</f>
        <v>38.912500000000001</v>
      </c>
      <c r="I3">
        <f>622.7/16</f>
        <v>38.918750000000003</v>
      </c>
      <c r="J3" s="22">
        <v>266.125</v>
      </c>
      <c r="K3" s="14">
        <f>C3/F3</f>
        <v>7.7839999999999998</v>
      </c>
      <c r="L3" s="60">
        <f>D3/F3</f>
        <v>7.7839999999999998</v>
      </c>
      <c r="M3" s="15">
        <f>E3/F3</f>
        <v>53.228000000000002</v>
      </c>
      <c r="N3" s="6">
        <v>1190</v>
      </c>
      <c r="O3" s="6">
        <v>8.33</v>
      </c>
      <c r="P3" s="6">
        <f>N3*O3/1000</f>
        <v>9.912700000000001</v>
      </c>
      <c r="R3" s="5"/>
      <c r="S3" s="5"/>
      <c r="T3" s="5"/>
      <c r="V3" s="3">
        <v>4247</v>
      </c>
      <c r="W3" s="3">
        <v>91.4</v>
      </c>
      <c r="X3" s="3">
        <f>1000/W3</f>
        <v>10.940919037199125</v>
      </c>
      <c r="Y3" s="3">
        <f>X3*V3/1000</f>
        <v>46.46608315098468</v>
      </c>
      <c r="Z3" s="4">
        <v>8111</v>
      </c>
      <c r="AA3" s="4">
        <v>117.2</v>
      </c>
      <c r="AB3" s="4">
        <f>1000/AA3</f>
        <v>8.5324232081911262</v>
      </c>
      <c r="AC3" s="4">
        <f>Z3*AB3/1000</f>
        <v>69.206484641638227</v>
      </c>
    </row>
    <row r="4" spans="1:29" ht="20.25" thickTop="1" thickBot="1" x14ac:dyDescent="0.35">
      <c r="A4" s="25" t="s">
        <v>23</v>
      </c>
      <c r="B4" s="25" t="s">
        <v>22</v>
      </c>
      <c r="C4" s="18">
        <f t="shared" ref="C4:C7" si="0">CEILING(H4*50,1)</f>
        <v>10330</v>
      </c>
      <c r="D4" s="22">
        <f t="shared" ref="D4:E7" si="1">CEILING(I4*50,1)</f>
        <v>10314</v>
      </c>
      <c r="E4" s="22">
        <f t="shared" si="1"/>
        <v>10290</v>
      </c>
      <c r="F4" s="19">
        <f t="shared" ref="F4:F7" si="2">CEILING(G4*50,1)</f>
        <v>991</v>
      </c>
      <c r="G4" s="22">
        <v>19.809999999999999</v>
      </c>
      <c r="H4" s="22">
        <f>3305.6/16</f>
        <v>206.6</v>
      </c>
      <c r="I4">
        <f>3300.3/16</f>
        <v>206.26875000000001</v>
      </c>
      <c r="J4" s="22">
        <v>205.8</v>
      </c>
      <c r="K4" s="18">
        <f t="shared" ref="K4:K7" si="3">C4/F4</f>
        <v>10.423814328960646</v>
      </c>
      <c r="L4" s="59">
        <f t="shared" ref="L4:L7" si="4">D4/F4</f>
        <v>10.407669021190717</v>
      </c>
      <c r="M4" s="19">
        <f t="shared" ref="M4:M7" si="5">E4/F4</f>
        <v>10.383451059535822</v>
      </c>
      <c r="N4" s="6">
        <v>2543</v>
      </c>
      <c r="O4" s="6">
        <v>8.33</v>
      </c>
      <c r="P4" s="6">
        <f t="shared" ref="P4:P7" si="6">N4*O4/1000</f>
        <v>21.18319</v>
      </c>
      <c r="R4" s="5"/>
      <c r="S4" s="5"/>
      <c r="T4" s="5"/>
      <c r="V4" s="3">
        <v>15088</v>
      </c>
      <c r="W4" s="3">
        <v>91.4</v>
      </c>
      <c r="X4" s="3">
        <f t="shared" ref="X4:X7" si="7">1000/W4</f>
        <v>10.940919037199125</v>
      </c>
      <c r="Y4" s="3">
        <f t="shared" ref="Y4:Y7" si="8">X4*V4/1000</f>
        <v>165.07658643326039</v>
      </c>
      <c r="Z4" s="4">
        <v>29583</v>
      </c>
      <c r="AA4" s="4">
        <v>117.2</v>
      </c>
      <c r="AB4" s="4">
        <f t="shared" ref="AB4:AB7" si="9">1000/AA4</f>
        <v>8.5324232081911262</v>
      </c>
      <c r="AC4" s="4">
        <f t="shared" ref="AC4:AC6" si="10">Z4*AB4/1000</f>
        <v>252.41467576791808</v>
      </c>
    </row>
    <row r="5" spans="1:29" ht="20.25" thickTop="1" thickBot="1" x14ac:dyDescent="0.35">
      <c r="A5" s="25" t="s">
        <v>24</v>
      </c>
      <c r="B5" s="25" t="s">
        <v>22</v>
      </c>
      <c r="C5" s="18">
        <f t="shared" si="0"/>
        <v>47868</v>
      </c>
      <c r="D5" s="22">
        <f t="shared" si="1"/>
        <v>69214</v>
      </c>
      <c r="E5" s="22">
        <f t="shared" si="1"/>
        <v>334260</v>
      </c>
      <c r="F5" s="19">
        <f t="shared" si="2"/>
        <v>4238</v>
      </c>
      <c r="G5" s="22">
        <v>84.75</v>
      </c>
      <c r="H5" s="22">
        <f>15317.6/16</f>
        <v>957.35</v>
      </c>
      <c r="I5" s="22">
        <f>22148.2/16</f>
        <v>1384.2625</v>
      </c>
      <c r="J5" s="22">
        <v>6685.2</v>
      </c>
      <c r="K5" s="18">
        <f t="shared" si="3"/>
        <v>11.294950448324682</v>
      </c>
      <c r="L5" s="59">
        <f t="shared" si="4"/>
        <v>16.331760264275601</v>
      </c>
      <c r="M5" s="19">
        <f t="shared" si="5"/>
        <v>78.872109485606416</v>
      </c>
      <c r="N5" s="6">
        <v>7148</v>
      </c>
      <c r="O5" s="6">
        <v>8.33</v>
      </c>
      <c r="P5" s="6">
        <f t="shared" si="6"/>
        <v>59.542840000000005</v>
      </c>
      <c r="R5" s="5"/>
      <c r="S5" s="5"/>
      <c r="T5" s="5"/>
      <c r="V5" s="3">
        <v>57020</v>
      </c>
      <c r="W5" s="3">
        <v>91.4</v>
      </c>
      <c r="X5" s="3">
        <f t="shared" si="7"/>
        <v>10.940919037199125</v>
      </c>
      <c r="Y5" s="3">
        <f t="shared" si="8"/>
        <v>623.85120350109412</v>
      </c>
      <c r="Z5" s="4">
        <v>113793</v>
      </c>
      <c r="AA5" s="4">
        <v>117.2</v>
      </c>
      <c r="AB5" s="4">
        <f t="shared" si="9"/>
        <v>8.5324232081911262</v>
      </c>
      <c r="AC5" s="4">
        <f t="shared" si="10"/>
        <v>970.93003412969279</v>
      </c>
    </row>
    <row r="6" spans="1:29" ht="20.25" thickTop="1" thickBot="1" x14ac:dyDescent="0.35">
      <c r="A6" s="25" t="s">
        <v>25</v>
      </c>
      <c r="B6" s="25" t="s">
        <v>22</v>
      </c>
      <c r="C6" s="18">
        <f t="shared" si="0"/>
        <v>205263</v>
      </c>
      <c r="D6" s="22">
        <f t="shared" si="1"/>
        <v>296398</v>
      </c>
      <c r="E6" s="22">
        <f t="shared" si="1"/>
        <v>1254930</v>
      </c>
      <c r="F6" s="19">
        <f t="shared" si="2"/>
        <v>17750</v>
      </c>
      <c r="G6" s="22">
        <v>355</v>
      </c>
      <c r="H6">
        <f>65684/16</f>
        <v>4105.25</v>
      </c>
      <c r="I6">
        <f>94847.2/16</f>
        <v>5927.95</v>
      </c>
      <c r="J6" s="22">
        <v>25098.593124999999</v>
      </c>
      <c r="K6" s="18">
        <f t="shared" si="3"/>
        <v>11.564112676056338</v>
      </c>
      <c r="L6" s="59">
        <f t="shared" si="4"/>
        <v>16.698478873239438</v>
      </c>
      <c r="M6" s="19">
        <f t="shared" si="5"/>
        <v>70.700281690140841</v>
      </c>
      <c r="N6" s="6"/>
      <c r="O6" s="6"/>
      <c r="P6" s="6"/>
      <c r="R6" s="5"/>
      <c r="S6" s="5"/>
      <c r="T6" s="5"/>
      <c r="V6" s="3"/>
      <c r="W6" s="3"/>
      <c r="X6" s="3"/>
      <c r="Y6" s="3">
        <f t="shared" si="8"/>
        <v>0</v>
      </c>
      <c r="Z6" s="4"/>
      <c r="AA6" s="4">
        <v>117.2</v>
      </c>
      <c r="AB6" s="4">
        <f t="shared" si="9"/>
        <v>8.5324232081911262</v>
      </c>
      <c r="AC6" s="4">
        <f t="shared" si="10"/>
        <v>0</v>
      </c>
    </row>
    <row r="7" spans="1:29" ht="20.25" thickTop="1" thickBot="1" x14ac:dyDescent="0.35">
      <c r="A7" s="26" t="s">
        <v>26</v>
      </c>
      <c r="B7" s="26" t="s">
        <v>27</v>
      </c>
      <c r="C7" s="20">
        <f t="shared" si="0"/>
        <v>266669</v>
      </c>
      <c r="D7" s="7">
        <f t="shared" si="1"/>
        <v>376628</v>
      </c>
      <c r="E7" s="7">
        <f t="shared" si="1"/>
        <v>797885</v>
      </c>
      <c r="F7" s="21">
        <f t="shared" si="2"/>
        <v>9290</v>
      </c>
      <c r="G7" s="7">
        <v>185.8</v>
      </c>
      <c r="H7" s="20">
        <f>85334/16</f>
        <v>5333.375</v>
      </c>
      <c r="I7" s="20">
        <f>120520.777/16</f>
        <v>7532.5485625000001</v>
      </c>
      <c r="J7" s="7">
        <v>15957.7</v>
      </c>
      <c r="K7" s="20">
        <f t="shared" si="3"/>
        <v>28.704951560818085</v>
      </c>
      <c r="L7" s="61">
        <f t="shared" si="4"/>
        <v>40.541227125941873</v>
      </c>
      <c r="M7" s="21">
        <f t="shared" si="5"/>
        <v>85.886437029063515</v>
      </c>
      <c r="N7" s="6">
        <v>11800</v>
      </c>
      <c r="O7" s="6">
        <f>1000/105</f>
        <v>9.5238095238095237</v>
      </c>
      <c r="P7" s="6">
        <f t="shared" si="6"/>
        <v>112.38095238095238</v>
      </c>
      <c r="R7" s="5">
        <v>1703225</v>
      </c>
      <c r="S7" s="5" t="s">
        <v>36</v>
      </c>
      <c r="T7" s="5" t="s">
        <v>44</v>
      </c>
      <c r="V7" s="3">
        <v>180000</v>
      </c>
      <c r="W7" s="3">
        <v>91.4</v>
      </c>
      <c r="X7" s="3">
        <f t="shared" si="7"/>
        <v>10.940919037199125</v>
      </c>
      <c r="Y7" s="3">
        <f t="shared" si="8"/>
        <v>1969.3654266958424</v>
      </c>
      <c r="Z7" s="4">
        <v>318900</v>
      </c>
      <c r="AA7" s="4">
        <v>117.2</v>
      </c>
      <c r="AB7" s="4">
        <f t="shared" si="9"/>
        <v>8.5324232081911262</v>
      </c>
      <c r="AC7" s="4">
        <f>Z7*AB7/1000</f>
        <v>2720.9897610921503</v>
      </c>
    </row>
    <row r="8" spans="1:29" ht="19.5" thickTop="1" x14ac:dyDescent="0.3"/>
    <row r="10" spans="1:29" x14ac:dyDescent="0.3">
      <c r="A10" s="14" t="s">
        <v>64</v>
      </c>
      <c r="B10" s="15">
        <v>597</v>
      </c>
      <c r="F10" s="14" t="s">
        <v>65</v>
      </c>
      <c r="G10" s="15">
        <v>496</v>
      </c>
      <c r="I10" s="23" t="s">
        <v>8</v>
      </c>
    </row>
    <row r="11" spans="1:29" ht="37.5" x14ac:dyDescent="0.3">
      <c r="A11" s="16" t="s">
        <v>74</v>
      </c>
      <c r="B11" s="21">
        <f>G6*B10/(62*62)</f>
        <v>55.133975026014568</v>
      </c>
      <c r="F11" s="16" t="s">
        <v>74</v>
      </c>
      <c r="G11" s="21">
        <f>I6*G10/(62*62)</f>
        <v>764.89677419354837</v>
      </c>
      <c r="I11" s="26">
        <f>G11/B11</f>
        <v>13.873419680562437</v>
      </c>
    </row>
    <row r="13" spans="1:29" ht="19.5" thickBot="1" x14ac:dyDescent="0.35"/>
    <row r="14" spans="1:29" x14ac:dyDescent="0.3">
      <c r="A14" s="22"/>
      <c r="B14" s="22"/>
      <c r="D14" s="49"/>
      <c r="E14" s="53" t="s">
        <v>91</v>
      </c>
      <c r="F14" s="54"/>
      <c r="G14" s="55"/>
    </row>
    <row r="15" spans="1:29" x14ac:dyDescent="0.3">
      <c r="A15" s="22"/>
      <c r="B15" s="22"/>
      <c r="D15" s="50"/>
      <c r="E15" s="20" t="s">
        <v>92</v>
      </c>
      <c r="F15" s="7" t="s">
        <v>93</v>
      </c>
      <c r="G15" s="52" t="s">
        <v>95</v>
      </c>
    </row>
    <row r="16" spans="1:29" ht="19.5" thickBot="1" x14ac:dyDescent="0.35">
      <c r="A16" s="22"/>
      <c r="B16" s="22"/>
      <c r="C16" t="s">
        <v>97</v>
      </c>
      <c r="D16" s="51" t="s">
        <v>94</v>
      </c>
      <c r="E16" s="47">
        <v>35292</v>
      </c>
      <c r="F16" s="47">
        <v>1134</v>
      </c>
      <c r="G16" s="48">
        <f>E16/F16</f>
        <v>31.12169312169312</v>
      </c>
    </row>
    <row r="17" spans="1:7" ht="19.5" thickBot="1" x14ac:dyDescent="0.35">
      <c r="A17" s="22"/>
      <c r="B17" s="22"/>
      <c r="C17" t="s">
        <v>98</v>
      </c>
      <c r="D17" s="51" t="s">
        <v>96</v>
      </c>
      <c r="E17" s="47">
        <f>2288032/32</f>
        <v>71501</v>
      </c>
      <c r="F17" s="47">
        <f>76974/32</f>
        <v>2405.4375</v>
      </c>
      <c r="G17" s="48">
        <f>E17/F17</f>
        <v>29.724738223296178</v>
      </c>
    </row>
    <row r="18" spans="1:7" x14ac:dyDescent="0.3">
      <c r="A18" s="22"/>
      <c r="B18" s="22"/>
    </row>
    <row r="19" spans="1:7" x14ac:dyDescent="0.3">
      <c r="A19" s="22"/>
      <c r="B19" s="22"/>
    </row>
    <row r="20" spans="1:7" x14ac:dyDescent="0.3">
      <c r="A20" s="22"/>
      <c r="B20" s="2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1308-4AC0-41D0-B89B-2B482852A881}">
  <dimension ref="A1:I21"/>
  <sheetViews>
    <sheetView workbookViewId="0">
      <selection activeCell="I22" sqref="I22"/>
    </sheetView>
  </sheetViews>
  <sheetFormatPr defaultRowHeight="18.75" x14ac:dyDescent="0.3"/>
  <sheetData>
    <row r="1" spans="1:5" x14ac:dyDescent="0.3">
      <c r="A1" t="s">
        <v>3</v>
      </c>
      <c r="C1" t="s">
        <v>16</v>
      </c>
      <c r="E1" t="s">
        <v>17</v>
      </c>
    </row>
    <row r="2" spans="1:5" x14ac:dyDescent="0.3">
      <c r="A2" t="s">
        <v>14</v>
      </c>
      <c r="B2" t="s">
        <v>15</v>
      </c>
      <c r="C2" t="s">
        <v>14</v>
      </c>
      <c r="D2" t="s">
        <v>15</v>
      </c>
    </row>
    <row r="3" spans="1:5" x14ac:dyDescent="0.3">
      <c r="A3">
        <v>17250</v>
      </c>
      <c r="B3">
        <f>D3*50</f>
        <v>702250</v>
      </c>
      <c r="C3">
        <v>345</v>
      </c>
      <c r="D3">
        <v>14045</v>
      </c>
      <c r="E3">
        <f>D3/C3</f>
        <v>40.710144927536234</v>
      </c>
    </row>
    <row r="21" spans="9:9" x14ac:dyDescent="0.3">
      <c r="I21">
        <f>(597-496)/496</f>
        <v>0.20362903225806453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3D70-115C-4891-A262-DA8A0CAEF768}">
  <dimension ref="A1:F12"/>
  <sheetViews>
    <sheetView workbookViewId="0">
      <selection activeCell="E12" sqref="E12"/>
    </sheetView>
  </sheetViews>
  <sheetFormatPr defaultRowHeight="18.75" x14ac:dyDescent="0.3"/>
  <cols>
    <col min="1" max="1" width="34.19921875" customWidth="1"/>
  </cols>
  <sheetData>
    <row r="1" spans="1:6" x14ac:dyDescent="0.3">
      <c r="A1" t="s">
        <v>45</v>
      </c>
      <c r="B1">
        <f>CEILING(D1*50,1)</f>
        <v>6100</v>
      </c>
      <c r="C1">
        <f>CEILING(E1*50,1)</f>
        <v>406900</v>
      </c>
      <c r="D1">
        <v>122</v>
      </c>
      <c r="E1">
        <v>8138</v>
      </c>
      <c r="F1">
        <f>E1/D1</f>
        <v>66.704918032786878</v>
      </c>
    </row>
    <row r="2" spans="1:6" x14ac:dyDescent="0.3">
      <c r="A2" t="s">
        <v>46</v>
      </c>
      <c r="B2">
        <f t="shared" ref="B2:B6" si="0">CEILING(D2*50,1)</f>
        <v>3425</v>
      </c>
      <c r="C2">
        <f t="shared" ref="C2:C6" si="1">CEILING(E2*50,1)</f>
        <v>54700</v>
      </c>
      <c r="D2">
        <v>68.5</v>
      </c>
      <c r="E2">
        <v>1094</v>
      </c>
      <c r="F2">
        <f t="shared" ref="F2:F6" si="2">E2/D2</f>
        <v>15.97080291970803</v>
      </c>
    </row>
    <row r="3" spans="1:6" x14ac:dyDescent="0.3">
      <c r="A3" t="s">
        <v>47</v>
      </c>
      <c r="B3">
        <f t="shared" si="0"/>
        <v>123750</v>
      </c>
      <c r="C3">
        <f t="shared" si="1"/>
        <v>6510400</v>
      </c>
      <c r="D3">
        <v>2475</v>
      </c>
      <c r="E3">
        <v>130208</v>
      </c>
      <c r="F3">
        <f t="shared" si="2"/>
        <v>52.609292929292927</v>
      </c>
    </row>
    <row r="4" spans="1:6" x14ac:dyDescent="0.3">
      <c r="A4" t="s">
        <v>48</v>
      </c>
      <c r="B4">
        <f t="shared" si="0"/>
        <v>56300</v>
      </c>
      <c r="C4">
        <f t="shared" si="1"/>
        <v>6560100</v>
      </c>
      <c r="D4">
        <v>1126</v>
      </c>
      <c r="E4">
        <v>131202</v>
      </c>
      <c r="F4">
        <f t="shared" si="2"/>
        <v>116.52042628774423</v>
      </c>
    </row>
    <row r="5" spans="1:6" x14ac:dyDescent="0.3">
      <c r="A5" t="s">
        <v>49</v>
      </c>
      <c r="B5">
        <f t="shared" si="0"/>
        <v>169500</v>
      </c>
      <c r="C5">
        <f t="shared" si="1"/>
        <v>17039900</v>
      </c>
      <c r="D5">
        <v>3390</v>
      </c>
      <c r="E5">
        <v>340798</v>
      </c>
      <c r="F5">
        <f t="shared" si="2"/>
        <v>100.53038348082596</v>
      </c>
    </row>
    <row r="6" spans="1:6" x14ac:dyDescent="0.3">
      <c r="A6" t="s">
        <v>50</v>
      </c>
      <c r="B6">
        <f t="shared" si="0"/>
        <v>16750</v>
      </c>
      <c r="C6">
        <f t="shared" si="1"/>
        <v>835000</v>
      </c>
      <c r="D6">
        <v>335</v>
      </c>
      <c r="E6">
        <v>16700</v>
      </c>
      <c r="F6">
        <f t="shared" si="2"/>
        <v>49.850746268656714</v>
      </c>
    </row>
    <row r="10" spans="1:6" x14ac:dyDescent="0.3">
      <c r="A10" t="s">
        <v>3</v>
      </c>
      <c r="C10" t="s">
        <v>16</v>
      </c>
      <c r="E10" t="s">
        <v>17</v>
      </c>
    </row>
    <row r="11" spans="1:6" x14ac:dyDescent="0.3">
      <c r="A11" t="s">
        <v>14</v>
      </c>
      <c r="B11" t="s">
        <v>15</v>
      </c>
      <c r="C11" t="s">
        <v>14</v>
      </c>
      <c r="D11" t="s">
        <v>15</v>
      </c>
    </row>
    <row r="12" spans="1:6" x14ac:dyDescent="0.3">
      <c r="A12">
        <f>CEILING(C12*50,1)</f>
        <v>240650</v>
      </c>
      <c r="B12">
        <f>CEILING(D12*50,1)</f>
        <v>4699978</v>
      </c>
      <c r="C12">
        <v>4813</v>
      </c>
      <c r="D12">
        <v>93999.557000000001</v>
      </c>
      <c r="E12">
        <f>D12/C12</f>
        <v>19.530346353625596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5B46-B1C4-48F3-82AC-21AC6C55F6F6}">
  <dimension ref="A1:Q23"/>
  <sheetViews>
    <sheetView workbookViewId="0">
      <selection activeCell="K3" sqref="K3:K6"/>
    </sheetView>
  </sheetViews>
  <sheetFormatPr defaultRowHeight="18.75" x14ac:dyDescent="0.3"/>
  <sheetData>
    <row r="1" spans="1:17" ht="56.25" x14ac:dyDescent="0.3">
      <c r="A1" s="9" t="s">
        <v>13</v>
      </c>
      <c r="B1" s="14" t="s">
        <v>3</v>
      </c>
      <c r="C1" s="10"/>
      <c r="D1" s="10"/>
      <c r="E1" s="15"/>
      <c r="F1" s="14" t="s">
        <v>16</v>
      </c>
      <c r="G1" s="10"/>
      <c r="H1" s="10"/>
      <c r="I1" s="15"/>
      <c r="J1" s="14" t="s">
        <v>17</v>
      </c>
      <c r="K1" s="10"/>
      <c r="L1" s="15"/>
      <c r="O1" s="31" t="s">
        <v>7</v>
      </c>
      <c r="P1" s="38"/>
      <c r="Q1" s="32"/>
    </row>
    <row r="2" spans="1:17" ht="56.25" x14ac:dyDescent="0.3">
      <c r="A2" s="7"/>
      <c r="B2" s="20" t="s">
        <v>14</v>
      </c>
      <c r="C2" s="13" t="s">
        <v>75</v>
      </c>
      <c r="D2" s="8" t="s">
        <v>76</v>
      </c>
      <c r="E2" s="21" t="s">
        <v>15</v>
      </c>
      <c r="F2" s="20" t="s">
        <v>14</v>
      </c>
      <c r="G2" s="8" t="s">
        <v>52</v>
      </c>
      <c r="H2" s="8" t="s">
        <v>53</v>
      </c>
      <c r="I2" s="21" t="s">
        <v>51</v>
      </c>
      <c r="J2" s="20" t="s">
        <v>54</v>
      </c>
      <c r="K2" s="7" t="s">
        <v>55</v>
      </c>
      <c r="L2" s="21" t="s">
        <v>56</v>
      </c>
      <c r="O2" s="33" t="s">
        <v>90</v>
      </c>
      <c r="P2" s="11" t="s">
        <v>67</v>
      </c>
      <c r="Q2" s="34" t="s">
        <v>8</v>
      </c>
    </row>
    <row r="3" spans="1:17" x14ac:dyDescent="0.3">
      <c r="A3">
        <v>8</v>
      </c>
      <c r="B3" s="18">
        <f>CEILING(F3*50,1)</f>
        <v>3142</v>
      </c>
      <c r="D3">
        <f>CEILING(H3*50,1)</f>
        <v>39772</v>
      </c>
      <c r="E3" s="19"/>
      <c r="F3" s="18">
        <v>62.84</v>
      </c>
      <c r="H3">
        <v>795.43700000000001</v>
      </c>
      <c r="I3" s="19"/>
      <c r="J3" s="18"/>
      <c r="K3" s="58">
        <f>H3/F3</f>
        <v>12.658131763208146</v>
      </c>
      <c r="L3" s="19"/>
      <c r="O3" s="33"/>
      <c r="P3" s="11"/>
      <c r="Q3" s="34"/>
    </row>
    <row r="4" spans="1:17" x14ac:dyDescent="0.3">
      <c r="A4">
        <v>16</v>
      </c>
      <c r="B4" s="18">
        <f t="shared" ref="B4:B8" si="0">CEILING(F4*50,1)</f>
        <v>3662</v>
      </c>
      <c r="D4">
        <f t="shared" ref="D4:D8" si="1">CEILING(H4*50,1)</f>
        <v>115915</v>
      </c>
      <c r="E4" s="19"/>
      <c r="F4" s="18">
        <v>73.239999999999995</v>
      </c>
      <c r="H4">
        <v>2318.297</v>
      </c>
      <c r="I4" s="19"/>
      <c r="J4" s="18"/>
      <c r="K4" s="58">
        <f t="shared" ref="K4:K8" si="2">H4/F4</f>
        <v>31.653427089022394</v>
      </c>
      <c r="L4" s="19"/>
      <c r="O4" s="33"/>
      <c r="P4" s="11"/>
      <c r="Q4" s="34"/>
    </row>
    <row r="5" spans="1:17" x14ac:dyDescent="0.3">
      <c r="A5">
        <v>32</v>
      </c>
      <c r="B5" s="18">
        <f t="shared" si="0"/>
        <v>5087</v>
      </c>
      <c r="D5">
        <f t="shared" si="1"/>
        <v>226760</v>
      </c>
      <c r="E5" s="19"/>
      <c r="F5" s="18">
        <v>101.73</v>
      </c>
      <c r="H5">
        <v>4535.2</v>
      </c>
      <c r="I5" s="19"/>
      <c r="J5" s="18"/>
      <c r="K5" s="58">
        <f t="shared" si="2"/>
        <v>44.580752973557452</v>
      </c>
      <c r="L5" s="19"/>
      <c r="O5" s="33"/>
      <c r="P5" s="11"/>
      <c r="Q5" s="34"/>
    </row>
    <row r="6" spans="1:17" x14ac:dyDescent="0.3">
      <c r="A6">
        <v>64</v>
      </c>
      <c r="B6" s="18">
        <f t="shared" si="0"/>
        <v>6782</v>
      </c>
      <c r="D6">
        <f t="shared" si="1"/>
        <v>449770</v>
      </c>
      <c r="E6" s="19"/>
      <c r="F6" s="18">
        <v>135.63300000000001</v>
      </c>
      <c r="H6">
        <v>8995.39</v>
      </c>
      <c r="I6" s="19"/>
      <c r="J6" s="18"/>
      <c r="K6" s="58">
        <f t="shared" si="2"/>
        <v>66.321544166980004</v>
      </c>
      <c r="L6" s="19"/>
      <c r="O6" s="33">
        <v>1266</v>
      </c>
      <c r="P6" s="11">
        <v>114027</v>
      </c>
      <c r="Q6" s="34">
        <f t="shared" ref="Q6" si="3">P6/O6</f>
        <v>90.068720379146924</v>
      </c>
    </row>
    <row r="7" spans="1:17" x14ac:dyDescent="0.3">
      <c r="A7">
        <v>128</v>
      </c>
      <c r="B7" s="18">
        <f t="shared" si="0"/>
        <v>187242</v>
      </c>
      <c r="D7">
        <f t="shared" si="1"/>
        <v>895195</v>
      </c>
      <c r="E7" s="19"/>
      <c r="F7" s="18">
        <v>3744.83</v>
      </c>
      <c r="H7">
        <v>17903.897000000001</v>
      </c>
      <c r="I7" s="19"/>
      <c r="J7" s="18"/>
      <c r="K7">
        <f t="shared" si="2"/>
        <v>4.7809638888814714</v>
      </c>
      <c r="L7" s="19"/>
      <c r="O7" s="33"/>
      <c r="P7" s="11"/>
      <c r="Q7" s="34"/>
    </row>
    <row r="8" spans="1:17" x14ac:dyDescent="0.3">
      <c r="A8">
        <v>256</v>
      </c>
      <c r="B8" s="18">
        <f t="shared" si="0"/>
        <v>374883</v>
      </c>
      <c r="D8">
        <f t="shared" si="1"/>
        <v>3056080</v>
      </c>
      <c r="E8" s="19"/>
      <c r="F8" s="18">
        <v>7497.66</v>
      </c>
      <c r="H8">
        <v>61121.599999999999</v>
      </c>
      <c r="I8" s="19"/>
      <c r="J8" s="18"/>
      <c r="K8">
        <f t="shared" si="2"/>
        <v>8.1520901187837271</v>
      </c>
      <c r="L8" s="19"/>
      <c r="O8" s="33"/>
      <c r="P8" s="11"/>
      <c r="Q8" s="34"/>
    </row>
    <row r="9" spans="1:17" x14ac:dyDescent="0.3">
      <c r="B9" s="18"/>
      <c r="E9" s="19"/>
      <c r="F9" s="18"/>
      <c r="I9" s="19"/>
      <c r="J9" s="18"/>
      <c r="L9" s="19"/>
      <c r="O9" s="33"/>
      <c r="P9" s="11"/>
      <c r="Q9" s="34"/>
    </row>
    <row r="10" spans="1:17" x14ac:dyDescent="0.3">
      <c r="B10" s="20"/>
      <c r="C10" s="7"/>
      <c r="D10" s="7"/>
      <c r="E10" s="21"/>
      <c r="F10" s="20"/>
      <c r="G10" s="7"/>
      <c r="H10" s="7"/>
      <c r="I10" s="21"/>
      <c r="J10" s="20"/>
      <c r="K10" s="7"/>
      <c r="L10" s="21"/>
      <c r="O10" s="16"/>
      <c r="P10" s="8"/>
      <c r="Q10" s="17"/>
    </row>
    <row r="11" spans="1:17" x14ac:dyDescent="0.3">
      <c r="O11" s="1"/>
      <c r="P11" s="1"/>
      <c r="Q11" s="1"/>
    </row>
    <row r="16" spans="1:17" x14ac:dyDescent="0.3">
      <c r="A16" s="1"/>
    </row>
    <row r="22" spans="1:9" x14ac:dyDescent="0.3">
      <c r="A22" s="14" t="s">
        <v>69</v>
      </c>
      <c r="B22" s="15">
        <v>597</v>
      </c>
      <c r="F22" s="14" t="s">
        <v>65</v>
      </c>
      <c r="G22" s="15">
        <v>496</v>
      </c>
      <c r="I22" s="23" t="s">
        <v>8</v>
      </c>
    </row>
    <row r="23" spans="1:9" x14ac:dyDescent="0.3">
      <c r="A23" s="20" t="s">
        <v>70</v>
      </c>
      <c r="B23" s="21">
        <f>B22*F6/(1000*64)</f>
        <v>1.2652015781250001</v>
      </c>
      <c r="F23" s="20" t="s">
        <v>63</v>
      </c>
      <c r="G23" s="21">
        <f>G22*H6/(64000)</f>
        <v>69.714272499999993</v>
      </c>
      <c r="I23" s="26">
        <f>G23/B23</f>
        <v>55.101316426837656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874D-8A67-495D-8FC2-13CB881FE035}">
  <dimension ref="A1:H7"/>
  <sheetViews>
    <sheetView workbookViewId="0">
      <selection activeCell="G13" sqref="G13"/>
    </sheetView>
  </sheetViews>
  <sheetFormatPr defaultRowHeight="18.75" x14ac:dyDescent="0.3"/>
  <cols>
    <col min="2" max="2" width="9.8984375" bestFit="1" customWidth="1"/>
  </cols>
  <sheetData>
    <row r="1" spans="1:8" x14ac:dyDescent="0.3">
      <c r="B1" t="s">
        <v>79</v>
      </c>
      <c r="C1" t="s">
        <v>80</v>
      </c>
      <c r="D1" s="46">
        <v>2200000000</v>
      </c>
      <c r="H1" t="s">
        <v>83</v>
      </c>
    </row>
    <row r="2" spans="1:8" x14ac:dyDescent="0.3">
      <c r="A2" t="s">
        <v>84</v>
      </c>
      <c r="B2">
        <v>201948748</v>
      </c>
      <c r="C2">
        <v>57662471</v>
      </c>
      <c r="E2" s="46">
        <f>B2/$D$1*1000</f>
        <v>91.794885454545451</v>
      </c>
      <c r="F2" s="46">
        <f>C2/$D$1*1000</f>
        <v>26.210214090909091</v>
      </c>
      <c r="G2" t="s">
        <v>81</v>
      </c>
      <c r="H2">
        <f>B2/C2</f>
        <v>3.5022562248503015</v>
      </c>
    </row>
    <row r="3" spans="1:8" x14ac:dyDescent="0.3">
      <c r="A3" t="s">
        <v>85</v>
      </c>
      <c r="B3">
        <v>24691568</v>
      </c>
      <c r="C3">
        <v>1703225</v>
      </c>
      <c r="E3" s="46">
        <f t="shared" ref="E3:F7" si="0">B3/$D$1*1000000</f>
        <v>11223.439999999999</v>
      </c>
      <c r="F3" s="46">
        <f t="shared" si="0"/>
        <v>774.19318181818176</v>
      </c>
      <c r="G3" t="s">
        <v>82</v>
      </c>
      <c r="H3">
        <f t="shared" ref="H3:H7" si="1">B3/C3</f>
        <v>14.496950197419601</v>
      </c>
    </row>
    <row r="4" spans="1:8" x14ac:dyDescent="0.3">
      <c r="A4" t="s">
        <v>86</v>
      </c>
      <c r="B4">
        <v>638077</v>
      </c>
      <c r="C4">
        <v>109532</v>
      </c>
      <c r="E4" s="46">
        <f t="shared" si="0"/>
        <v>290.03500000000003</v>
      </c>
      <c r="F4" s="46">
        <f t="shared" si="0"/>
        <v>49.787272727272729</v>
      </c>
      <c r="G4" t="s">
        <v>82</v>
      </c>
      <c r="H4">
        <f t="shared" si="1"/>
        <v>5.8254847898331077</v>
      </c>
    </row>
    <row r="5" spans="1:8" x14ac:dyDescent="0.3">
      <c r="A5" t="s">
        <v>89</v>
      </c>
      <c r="B5">
        <v>391168</v>
      </c>
      <c r="C5">
        <v>125477</v>
      </c>
      <c r="E5" s="46">
        <f t="shared" si="0"/>
        <v>177.80363636363634</v>
      </c>
      <c r="F5" s="46">
        <f t="shared" si="0"/>
        <v>57.034999999999997</v>
      </c>
      <c r="G5" t="s">
        <v>82</v>
      </c>
      <c r="H5">
        <f t="shared" si="1"/>
        <v>3.1174478191222295</v>
      </c>
    </row>
    <row r="6" spans="1:8" x14ac:dyDescent="0.3">
      <c r="A6" t="s">
        <v>88</v>
      </c>
      <c r="B6">
        <v>232946</v>
      </c>
      <c r="C6">
        <v>55526</v>
      </c>
      <c r="E6" s="46">
        <f t="shared" si="0"/>
        <v>105.88454545454546</v>
      </c>
      <c r="F6" s="46">
        <f t="shared" si="0"/>
        <v>25.239090909090912</v>
      </c>
      <c r="G6" t="s">
        <v>82</v>
      </c>
      <c r="H6">
        <f t="shared" si="1"/>
        <v>4.1952598782552322</v>
      </c>
    </row>
    <row r="7" spans="1:8" x14ac:dyDescent="0.3">
      <c r="A7" t="s">
        <v>87</v>
      </c>
      <c r="B7">
        <v>101441</v>
      </c>
      <c r="C7">
        <v>24474</v>
      </c>
      <c r="E7" s="46">
        <f t="shared" si="0"/>
        <v>46.109545454545454</v>
      </c>
      <c r="F7" s="46">
        <f t="shared" si="0"/>
        <v>11.124545454545455</v>
      </c>
      <c r="G7" t="s">
        <v>82</v>
      </c>
      <c r="H7">
        <f t="shared" si="1"/>
        <v>4.1448475933643865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SAXPY</vt:lpstr>
      <vt:lpstr>VMATMUL</vt:lpstr>
      <vt:lpstr>MATMUL</vt:lpstr>
      <vt:lpstr>CONV2D</vt:lpstr>
      <vt:lpstr>MLP</vt:lpstr>
      <vt:lpstr>CNN</vt:lpstr>
      <vt:lpstr>Perceptron</vt:lpstr>
      <vt:lpstr>Profiling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VNC</dc:creator>
  <cp:lastModifiedBy>Naveen Chander V</cp:lastModifiedBy>
  <dcterms:created xsi:type="dcterms:W3CDTF">2021-06-10T00:12:54Z</dcterms:created>
  <dcterms:modified xsi:type="dcterms:W3CDTF">2021-06-30T19:32:40Z</dcterms:modified>
</cp:coreProperties>
</file>