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esktop\DATA\da-ds-notes\Excel\"/>
    </mc:Choice>
  </mc:AlternateContent>
  <xr:revisionPtr revIDLastSave="0" documentId="13_ncr:1_{7E463BA1-151F-4F66-834A-ECF8FCC9F00C}" xr6:coauthVersionLast="47" xr6:coauthVersionMax="47" xr10:uidLastSave="{00000000-0000-0000-0000-000000000000}"/>
  <bookViews>
    <workbookView xWindow="-108" yWindow="-108" windowWidth="23256" windowHeight="12456" firstSheet="12" activeTab="16" xr2:uid="{00000000-000D-0000-FFFF-FFFF00000000}"/>
  </bookViews>
  <sheets>
    <sheet name="Data Validation" sheetId="1" r:id="rId1"/>
    <sheet name="Text Functions" sheetId="2" r:id="rId2"/>
    <sheet name="Text Functions 2" sheetId="3" r:id="rId3"/>
    <sheet name="Conditionals" sheetId="4" r:id="rId4"/>
    <sheet name="Random-Round" sheetId="5" r:id="rId5"/>
    <sheet name="Minifs-Maxifs" sheetId="10" r:id="rId6"/>
    <sheet name="Database Functions" sheetId="12" r:id="rId7"/>
    <sheet name="Logical Functions &amp; IF" sheetId="13" r:id="rId8"/>
    <sheet name="Financial Functions" sheetId="15" r:id="rId9"/>
    <sheet name="Date Functions" sheetId="17" r:id="rId10"/>
    <sheet name="Vlookup-Hlookup" sheetId="19" r:id="rId11"/>
    <sheet name="Index &amp; Match" sheetId="25" r:id="rId12"/>
    <sheet name="Power Query" sheetId="30" r:id="rId13"/>
    <sheet name="Pivot Table (DATA)" sheetId="32" r:id="rId14"/>
    <sheet name="Pivot Table &amp; Charts" sheetId="31" r:id="rId15"/>
    <sheet name="Scenario Summary" sheetId="34" r:id="rId16"/>
    <sheet name="What-If Analysis" sheetId="33" r:id="rId17"/>
    <sheet name="Assignment 1" sheetId="8" r:id="rId18"/>
    <sheet name="Assignment 2" sheetId="9" r:id="rId19"/>
    <sheet name="Assignment 3" sheetId="11" r:id="rId20"/>
    <sheet name="Assignment 4" sheetId="14" r:id="rId21"/>
    <sheet name="Assignment 5" sheetId="16" r:id="rId22"/>
    <sheet name="Assignment 6" sheetId="18" r:id="rId23"/>
    <sheet name="Assignment 7" sheetId="21" r:id="rId24"/>
    <sheet name="Assignment 8" sheetId="23" r:id="rId25"/>
    <sheet name="Assignment 9" sheetId="24" r:id="rId26"/>
    <sheet name="Assignment 10" sheetId="26" r:id="rId27"/>
    <sheet name="Assignment 11" sheetId="27" r:id="rId28"/>
  </sheets>
  <definedNames>
    <definedName name="ExternalData_1" localSheetId="12" hidden="1">'Power Query'!$A$1:$O$673</definedName>
  </definedNames>
  <calcPr calcId="191029"/>
  <pivotCaches>
    <pivotCache cacheId="0" r:id="rId2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30" roundtripDataChecksum="sCUOYFUx2qqVf1bTUVZaBaIU3nh63l0w2d6KssZuSMs="/>
    </ext>
  </extLst>
</workbook>
</file>

<file path=xl/calcChain.xml><?xml version="1.0" encoding="utf-8"?>
<calcChain xmlns="http://schemas.openxmlformats.org/spreadsheetml/2006/main">
  <c r="C16" i="33" l="1"/>
  <c r="C15" i="33"/>
  <c r="C17" i="33" s="1"/>
  <c r="G7" i="33"/>
  <c r="G6" i="33"/>
  <c r="G8" i="33" s="1"/>
  <c r="C7" i="33"/>
  <c r="C6" i="33"/>
  <c r="C8" i="33" s="1"/>
  <c r="G11" i="33" s="1"/>
  <c r="J4" i="32"/>
  <c r="J5" i="32"/>
  <c r="J6" i="32"/>
  <c r="J7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3" i="32"/>
  <c r="S5" i="26"/>
  <c r="S6" i="26"/>
  <c r="S7" i="26"/>
  <c r="S8" i="26"/>
  <c r="S9" i="26"/>
  <c r="S10" i="26"/>
  <c r="S11" i="26"/>
  <c r="S12" i="26"/>
  <c r="S13" i="26"/>
  <c r="S14" i="26"/>
  <c r="S15" i="26"/>
  <c r="S16" i="26"/>
  <c r="S17" i="26"/>
  <c r="S18" i="26"/>
  <c r="S19" i="26"/>
  <c r="S20" i="26"/>
  <c r="S21" i="26"/>
  <c r="S22" i="26"/>
  <c r="S4" i="26"/>
  <c r="F9" i="3"/>
  <c r="D12" i="27"/>
  <c r="D13" i="27"/>
  <c r="D14" i="27"/>
  <c r="D11" i="27"/>
  <c r="N9" i="25"/>
  <c r="N8" i="25"/>
  <c r="N6" i="25"/>
  <c r="N7" i="25"/>
  <c r="N4" i="25"/>
  <c r="N5" i="25"/>
  <c r="J27" i="26" a="1"/>
  <c r="J27" i="26" s="1"/>
  <c r="J25" i="26" a="1"/>
  <c r="J25" i="26" s="1"/>
  <c r="H4" i="26"/>
  <c r="J26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P22" i="19"/>
  <c r="Q22" i="19"/>
  <c r="R22" i="19"/>
  <c r="S22" i="19"/>
  <c r="T22" i="19"/>
  <c r="U22" i="19"/>
  <c r="V22" i="19"/>
  <c r="W22" i="19"/>
  <c r="P23" i="19"/>
  <c r="Q23" i="19"/>
  <c r="R23" i="19"/>
  <c r="S23" i="19"/>
  <c r="T23" i="19"/>
  <c r="U23" i="19"/>
  <c r="V23" i="19"/>
  <c r="W23" i="19"/>
  <c r="O23" i="19"/>
  <c r="O22" i="19"/>
  <c r="S5" i="19"/>
  <c r="T5" i="19"/>
  <c r="S6" i="19"/>
  <c r="T6" i="19"/>
  <c r="S7" i="19"/>
  <c r="T7" i="19"/>
  <c r="S8" i="19"/>
  <c r="T8" i="19"/>
  <c r="S9" i="19"/>
  <c r="T9" i="19"/>
  <c r="S10" i="19"/>
  <c r="T10" i="19"/>
  <c r="S11" i="19"/>
  <c r="T11" i="19"/>
  <c r="S12" i="19"/>
  <c r="T12" i="19"/>
  <c r="T4" i="19"/>
  <c r="S4" i="19"/>
  <c r="E5" i="24"/>
  <c r="E6" i="24"/>
  <c r="E7" i="24"/>
  <c r="E8" i="24"/>
  <c r="E9" i="24"/>
  <c r="E4" i="24"/>
  <c r="G7" i="23"/>
  <c r="G6" i="23"/>
  <c r="P4" i="23"/>
  <c r="H20" i="23"/>
  <c r="H19" i="23"/>
  <c r="G5" i="23"/>
  <c r="G4" i="23"/>
  <c r="G4" i="21"/>
  <c r="G5" i="21"/>
  <c r="G6" i="21"/>
  <c r="G7" i="21"/>
  <c r="G8" i="21"/>
  <c r="G9" i="21"/>
  <c r="G10" i="21"/>
  <c r="G11" i="21"/>
  <c r="G3" i="21"/>
  <c r="K20" i="19"/>
  <c r="K19" i="19"/>
  <c r="K17" i="19"/>
  <c r="K16" i="19"/>
  <c r="K12" i="19"/>
  <c r="K11" i="19"/>
  <c r="K10" i="19"/>
  <c r="K6" i="19"/>
  <c r="K5" i="19"/>
  <c r="K4" i="19"/>
  <c r="H16" i="18"/>
  <c r="D4" i="18"/>
  <c r="E4" i="18"/>
  <c r="F4" i="18"/>
  <c r="G4" i="18"/>
  <c r="H4" i="18" s="1"/>
  <c r="D5" i="18"/>
  <c r="E5" i="18"/>
  <c r="F5" i="18"/>
  <c r="G5" i="18"/>
  <c r="H5" i="18" s="1"/>
  <c r="D6" i="18"/>
  <c r="E6" i="18"/>
  <c r="F6" i="18"/>
  <c r="G6" i="18"/>
  <c r="H6" i="18" s="1"/>
  <c r="D7" i="18"/>
  <c r="E7" i="18"/>
  <c r="F7" i="18"/>
  <c r="G7" i="18"/>
  <c r="H7" i="18" s="1"/>
  <c r="D8" i="18"/>
  <c r="E8" i="18"/>
  <c r="F8" i="18"/>
  <c r="G8" i="18"/>
  <c r="H8" i="18" s="1"/>
  <c r="D9" i="18"/>
  <c r="E9" i="18"/>
  <c r="F9" i="18"/>
  <c r="G9" i="18"/>
  <c r="H9" i="18" s="1"/>
  <c r="D10" i="18"/>
  <c r="E10" i="18"/>
  <c r="F10" i="18"/>
  <c r="G10" i="18"/>
  <c r="H10" i="18" s="1"/>
  <c r="D11" i="18"/>
  <c r="E11" i="18"/>
  <c r="F11" i="18"/>
  <c r="G11" i="18"/>
  <c r="H11" i="18" s="1"/>
  <c r="D12" i="18"/>
  <c r="E12" i="18"/>
  <c r="F12" i="18"/>
  <c r="G12" i="18"/>
  <c r="H12" i="18" s="1"/>
  <c r="D13" i="18"/>
  <c r="E13" i="18"/>
  <c r="F13" i="18"/>
  <c r="G13" i="18" s="1"/>
  <c r="H13" i="18" s="1"/>
  <c r="G3" i="18"/>
  <c r="H3" i="18" s="1"/>
  <c r="F3" i="18"/>
  <c r="E3" i="18"/>
  <c r="D3" i="18"/>
  <c r="I12" i="17" a="1"/>
  <c r="I12" i="17" s="1"/>
  <c r="D23" i="17"/>
  <c r="D22" i="17"/>
  <c r="D18" i="17"/>
  <c r="D17" i="17"/>
  <c r="D13" i="17"/>
  <c r="D12" i="17"/>
  <c r="D5" i="17"/>
  <c r="D4" i="17"/>
  <c r="D7" i="17" s="1"/>
  <c r="I19" i="16"/>
  <c r="J18" i="16"/>
  <c r="I18" i="16"/>
  <c r="I16" i="16"/>
  <c r="I14" i="16"/>
  <c r="H4" i="16"/>
  <c r="H6" i="16"/>
  <c r="H8" i="16"/>
  <c r="H9" i="16"/>
  <c r="H10" i="16"/>
  <c r="H11" i="16"/>
  <c r="H3" i="16"/>
  <c r="F4" i="16"/>
  <c r="G4" i="16" s="1"/>
  <c r="F5" i="16"/>
  <c r="G5" i="16"/>
  <c r="I15" i="16" s="1"/>
  <c r="F6" i="16"/>
  <c r="G6" i="16"/>
  <c r="F7" i="16"/>
  <c r="G7" i="16"/>
  <c r="H7" i="16" s="1"/>
  <c r="F8" i="16"/>
  <c r="G8" i="16" s="1"/>
  <c r="F9" i="16"/>
  <c r="G9" i="16"/>
  <c r="F10" i="16"/>
  <c r="G10" i="16"/>
  <c r="F11" i="16"/>
  <c r="G11" i="16"/>
  <c r="G3" i="16"/>
  <c r="F3" i="16"/>
  <c r="J3" i="15"/>
  <c r="J4" i="15"/>
  <c r="J5" i="15"/>
  <c r="J6" i="15"/>
  <c r="J7" i="15"/>
  <c r="J8" i="15"/>
  <c r="J9" i="15"/>
  <c r="J10" i="15"/>
  <c r="K3" i="15"/>
  <c r="L3" i="15"/>
  <c r="K4" i="15"/>
  <c r="L4" i="15"/>
  <c r="K5" i="15"/>
  <c r="L5" i="15"/>
  <c r="K6" i="15"/>
  <c r="L6" i="15"/>
  <c r="K7" i="15"/>
  <c r="L7" i="15"/>
  <c r="K8" i="15"/>
  <c r="L8" i="15"/>
  <c r="K9" i="15"/>
  <c r="L9" i="15"/>
  <c r="K10" i="15"/>
  <c r="L10" i="15"/>
  <c r="I15" i="14"/>
  <c r="H4" i="14"/>
  <c r="H5" i="14"/>
  <c r="H6" i="14"/>
  <c r="H7" i="14"/>
  <c r="H8" i="14"/>
  <c r="H9" i="14"/>
  <c r="H10" i="14"/>
  <c r="H11" i="14"/>
  <c r="H3" i="14"/>
  <c r="I14" i="14"/>
  <c r="G4" i="14"/>
  <c r="G5" i="14"/>
  <c r="G6" i="14"/>
  <c r="G7" i="14"/>
  <c r="G8" i="14"/>
  <c r="G9" i="14"/>
  <c r="G10" i="14"/>
  <c r="G11" i="14"/>
  <c r="G3" i="14"/>
  <c r="F4" i="14"/>
  <c r="F5" i="14"/>
  <c r="F6" i="14"/>
  <c r="F7" i="14"/>
  <c r="F8" i="14"/>
  <c r="F9" i="14"/>
  <c r="F10" i="14"/>
  <c r="F11" i="14"/>
  <c r="F3" i="14"/>
  <c r="P8" i="13"/>
  <c r="P7" i="13"/>
  <c r="P6" i="13"/>
  <c r="P5" i="13"/>
  <c r="P4" i="13"/>
  <c r="P3" i="13"/>
  <c r="P12" i="13"/>
  <c r="P14" i="13"/>
  <c r="P13" i="13"/>
  <c r="P11" i="13"/>
  <c r="P19" i="13"/>
  <c r="P18" i="13"/>
  <c r="P23" i="13"/>
  <c r="P29" i="13"/>
  <c r="P28" i="13"/>
  <c r="P24" i="13"/>
  <c r="H28" i="13"/>
  <c r="H27" i="13"/>
  <c r="H26" i="13"/>
  <c r="H25" i="13"/>
  <c r="H21" i="13"/>
  <c r="H20" i="13"/>
  <c r="H19" i="13"/>
  <c r="H18" i="13"/>
  <c r="H14" i="13"/>
  <c r="H13" i="13"/>
  <c r="H12" i="13"/>
  <c r="H11" i="13"/>
  <c r="K78" i="12"/>
  <c r="K74" i="12"/>
  <c r="K70" i="12"/>
  <c r="K66" i="12"/>
  <c r="K62" i="12"/>
  <c r="K58" i="12"/>
  <c r="K54" i="12"/>
  <c r="K50" i="12"/>
  <c r="K46" i="12"/>
  <c r="K42" i="12"/>
  <c r="K38" i="12"/>
  <c r="K34" i="12"/>
  <c r="K30" i="12"/>
  <c r="K24" i="12"/>
  <c r="K20" i="12"/>
  <c r="K16" i="12"/>
  <c r="K12" i="12"/>
  <c r="K7" i="12"/>
  <c r="K6" i="12"/>
  <c r="K5" i="12"/>
  <c r="K4" i="12"/>
  <c r="K3" i="12"/>
  <c r="G32" i="10"/>
  <c r="G30" i="10"/>
  <c r="C29" i="11"/>
  <c r="C27" i="11"/>
  <c r="D26" i="11"/>
  <c r="C26" i="11"/>
  <c r="C25" i="11"/>
  <c r="C24" i="11"/>
  <c r="G31" i="10"/>
  <c r="G29" i="10"/>
  <c r="G28" i="10"/>
  <c r="G27" i="10"/>
  <c r="G26" i="10"/>
  <c r="G25" i="10"/>
  <c r="G24" i="10"/>
  <c r="G23" i="10"/>
  <c r="G22" i="10"/>
  <c r="G21" i="10"/>
  <c r="G15" i="10"/>
  <c r="G14" i="10"/>
  <c r="G13" i="10"/>
  <c r="G12" i="10"/>
  <c r="G11" i="10"/>
  <c r="G7" i="10"/>
  <c r="G6" i="10"/>
  <c r="G5" i="10"/>
  <c r="G4" i="10"/>
  <c r="G3" i="10"/>
  <c r="G2" i="10"/>
  <c r="E46" i="9"/>
  <c r="E44" i="9"/>
  <c r="E42" i="9"/>
  <c r="E40" i="9"/>
  <c r="F25" i="9"/>
  <c r="E25" i="9"/>
  <c r="E21" i="9"/>
  <c r="E20" i="9"/>
  <c r="E17" i="9"/>
  <c r="E38" i="9"/>
  <c r="F38" i="9" s="1"/>
  <c r="E37" i="9"/>
  <c r="F37" i="9" s="1"/>
  <c r="E36" i="9"/>
  <c r="F36" i="9" s="1"/>
  <c r="E35" i="9"/>
  <c r="F35" i="9" s="1"/>
  <c r="E34" i="9"/>
  <c r="F34" i="9" s="1"/>
  <c r="E33" i="9"/>
  <c r="F33" i="9" s="1"/>
  <c r="E32" i="9"/>
  <c r="F32" i="9" s="1"/>
  <c r="E31" i="9"/>
  <c r="F31" i="9" s="1"/>
  <c r="E30" i="9"/>
  <c r="F30" i="9" s="1"/>
  <c r="E29" i="9"/>
  <c r="F29" i="9" s="1"/>
  <c r="G13" i="9"/>
  <c r="G12" i="9"/>
  <c r="G11" i="9"/>
  <c r="G10" i="9"/>
  <c r="G25" i="9" s="1"/>
  <c r="G9" i="9"/>
  <c r="G8" i="9"/>
  <c r="G7" i="9"/>
  <c r="G6" i="9"/>
  <c r="G5" i="9"/>
  <c r="G4" i="9"/>
  <c r="F34" i="8"/>
  <c r="E34" i="8"/>
  <c r="F33" i="8"/>
  <c r="E33" i="8"/>
  <c r="E29" i="8"/>
  <c r="F26" i="8"/>
  <c r="E26" i="8"/>
  <c r="F25" i="8"/>
  <c r="E25" i="8"/>
  <c r="K12" i="8"/>
  <c r="J12" i="8"/>
  <c r="I12" i="8"/>
  <c r="J11" i="8"/>
  <c r="K11" i="8" s="1"/>
  <c r="I11" i="8"/>
  <c r="J10" i="8"/>
  <c r="K10" i="8" s="1"/>
  <c r="I10" i="8"/>
  <c r="J9" i="8"/>
  <c r="K9" i="8" s="1"/>
  <c r="I9" i="8"/>
  <c r="K8" i="8"/>
  <c r="J8" i="8"/>
  <c r="I8" i="8"/>
  <c r="J7" i="8"/>
  <c r="K7" i="8" s="1"/>
  <c r="I7" i="8"/>
  <c r="J6" i="8"/>
  <c r="K6" i="8" s="1"/>
  <c r="I6" i="8"/>
  <c r="J5" i="8"/>
  <c r="K5" i="8" s="1"/>
  <c r="I5" i="8"/>
  <c r="K4" i="8"/>
  <c r="J4" i="8"/>
  <c r="I4" i="8"/>
  <c r="J3" i="8"/>
  <c r="K3" i="8" s="1"/>
  <c r="I3" i="8"/>
  <c r="H20" i="18" l="1"/>
  <c r="H18" i="18"/>
  <c r="H17" i="18"/>
  <c r="J10" i="17"/>
  <c r="J8" i="17"/>
  <c r="J9" i="17"/>
  <c r="J7" i="17"/>
  <c r="J6" i="17"/>
  <c r="J5" i="17"/>
  <c r="J4" i="17"/>
  <c r="D8" i="17"/>
  <c r="D6" i="17"/>
  <c r="H5" i="16"/>
  <c r="E21" i="8"/>
  <c r="E20" i="8"/>
  <c r="E17" i="2" l="1"/>
  <c r="E16" i="2"/>
  <c r="E15" i="2"/>
  <c r="E14" i="2"/>
  <c r="E13" i="2"/>
  <c r="D5" i="5"/>
  <c r="D4" i="5"/>
  <c r="D3" i="5"/>
  <c r="F23" i="4"/>
  <c r="F22" i="4"/>
  <c r="F21" i="4"/>
  <c r="F19" i="4"/>
  <c r="F18" i="4"/>
  <c r="F17" i="4"/>
  <c r="F15" i="4"/>
  <c r="F14" i="4"/>
  <c r="F13" i="4"/>
  <c r="F15" i="3"/>
  <c r="F14" i="3"/>
  <c r="F13" i="3"/>
  <c r="F12" i="3"/>
  <c r="F11" i="3"/>
  <c r="F10" i="3"/>
  <c r="F8" i="3"/>
  <c r="F7" i="3"/>
  <c r="F6" i="3"/>
  <c r="F5" i="3"/>
  <c r="F4" i="3"/>
  <c r="F3" i="3"/>
  <c r="K17" i="2"/>
  <c r="J17" i="2"/>
  <c r="I17" i="2"/>
  <c r="H17" i="2"/>
  <c r="G17" i="2"/>
  <c r="F17" i="2"/>
  <c r="K16" i="2"/>
  <c r="J16" i="2"/>
  <c r="I16" i="2"/>
  <c r="H16" i="2"/>
  <c r="G16" i="2"/>
  <c r="F16" i="2"/>
  <c r="K15" i="2"/>
  <c r="J15" i="2"/>
  <c r="I15" i="2"/>
  <c r="H15" i="2"/>
  <c r="G15" i="2"/>
  <c r="F15" i="2"/>
  <c r="K14" i="2"/>
  <c r="J14" i="2"/>
  <c r="I14" i="2"/>
  <c r="H14" i="2"/>
  <c r="G14" i="2"/>
  <c r="F14" i="2"/>
  <c r="K13" i="2"/>
  <c r="J13" i="2"/>
  <c r="I13" i="2"/>
  <c r="H13" i="2"/>
  <c r="G13" i="2"/>
  <c r="F13" i="2"/>
  <c r="H10" i="2"/>
  <c r="H9" i="2"/>
  <c r="H8" i="2"/>
  <c r="H7" i="2"/>
  <c r="H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A9E5D-3591-4131-B7D3-97F32580267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<sst xmlns="http://schemas.openxmlformats.org/spreadsheetml/2006/main" count="10199" uniqueCount="2012">
  <si>
    <t>validation  rules</t>
  </si>
  <si>
    <t>list source</t>
  </si>
  <si>
    <t>1. text</t>
  </si>
  <si>
    <t>borivali</t>
  </si>
  <si>
    <t>2. whole number</t>
  </si>
  <si>
    <t>nala sopara</t>
  </si>
  <si>
    <t>3. decimal</t>
  </si>
  <si>
    <t>thane</t>
  </si>
  <si>
    <t>4. date</t>
  </si>
  <si>
    <t>dadar</t>
  </si>
  <si>
    <t>5. list</t>
  </si>
  <si>
    <t>vasai</t>
  </si>
  <si>
    <t>text</t>
  </si>
  <si>
    <t>whole number</t>
  </si>
  <si>
    <t>decimal</t>
  </si>
  <si>
    <t>date</t>
  </si>
  <si>
    <t>list</t>
  </si>
  <si>
    <t>time</t>
  </si>
  <si>
    <t>rohit</t>
  </si>
  <si>
    <t>yash</t>
  </si>
  <si>
    <t>aakash</t>
  </si>
  <si>
    <t>karamchand</t>
  </si>
  <si>
    <t>yowai mo</t>
  </si>
  <si>
    <t>First Name</t>
  </si>
  <si>
    <t>Department</t>
  </si>
  <si>
    <t>TEXT FUNCTIONS</t>
  </si>
  <si>
    <t>John</t>
  </si>
  <si>
    <t>Sales</t>
  </si>
  <si>
    <t>Emily</t>
  </si>
  <si>
    <t>Marketing</t>
  </si>
  <si>
    <t>Michael</t>
  </si>
  <si>
    <t>IT</t>
  </si>
  <si>
    <t>Sarah</t>
  </si>
  <si>
    <t>HR</t>
  </si>
  <si>
    <t>1. search 'ly' in B4</t>
  </si>
  <si>
    <t>search</t>
  </si>
  <si>
    <t>David</t>
  </si>
  <si>
    <t>Finance</t>
  </si>
  <si>
    <t>2. find 'ch' in B5</t>
  </si>
  <si>
    <t>find</t>
  </si>
  <si>
    <t>3. 3 char from left of B3</t>
  </si>
  <si>
    <t>left</t>
  </si>
  <si>
    <t>4. 3 char from right of B3</t>
  </si>
  <si>
    <t>right</t>
  </si>
  <si>
    <t>3. 3 char from 4th char of B5</t>
  </si>
  <si>
    <t>mid</t>
  </si>
  <si>
    <t>concat</t>
  </si>
  <si>
    <t>trim</t>
  </si>
  <si>
    <t>length</t>
  </si>
  <si>
    <t>lower</t>
  </si>
  <si>
    <t>upper</t>
  </si>
  <si>
    <t>proper</t>
  </si>
  <si>
    <t>Text Data</t>
  </si>
  <si>
    <t>Function</t>
  </si>
  <si>
    <t>Description</t>
  </si>
  <si>
    <t>Answer</t>
  </si>
  <si>
    <t>Namrta -HR</t>
  </si>
  <si>
    <t>SEARCH</t>
  </si>
  <si>
    <t>1) Position of HR in B2</t>
  </si>
  <si>
    <t>Rahul -Finance Department</t>
  </si>
  <si>
    <t>2) Find position of "-" from B3</t>
  </si>
  <si>
    <t>Nidhi - IT Support</t>
  </si>
  <si>
    <t>FIND</t>
  </si>
  <si>
    <t>3) Find "Finance" in B6</t>
  </si>
  <si>
    <t>Akruti - HR Manager</t>
  </si>
  <si>
    <t>LEFT</t>
  </si>
  <si>
    <t>4) First 5 characters in B2</t>
  </si>
  <si>
    <t>Arush - Finance Lead</t>
  </si>
  <si>
    <t>RIGHT</t>
  </si>
  <si>
    <t>5) Last 4 characters in B2</t>
  </si>
  <si>
    <t>MID</t>
  </si>
  <si>
    <t>Extract the 2 characters from B3</t>
  </si>
  <si>
    <t>CONCATENATE</t>
  </si>
  <si>
    <t>6) Concatenate two strings</t>
  </si>
  <si>
    <t>TRIM</t>
  </si>
  <si>
    <t>7) Remove extra spaces</t>
  </si>
  <si>
    <t>LEN</t>
  </si>
  <si>
    <t>8) Return length of string</t>
  </si>
  <si>
    <t>LOWER</t>
  </si>
  <si>
    <t>9) Convert text into lowercase</t>
  </si>
  <si>
    <t>UPPER</t>
  </si>
  <si>
    <t>10) Convert text into uppercase</t>
  </si>
  <si>
    <t>PROPER</t>
  </si>
  <si>
    <t>11) Capitalize the first letter of each word</t>
  </si>
  <si>
    <t>EXACT</t>
  </si>
  <si>
    <t>12) Exact match of the text</t>
  </si>
  <si>
    <t>Employee</t>
  </si>
  <si>
    <t>Salary</t>
  </si>
  <si>
    <t>Gender</t>
  </si>
  <si>
    <t>Performance rating</t>
  </si>
  <si>
    <t>Alice</t>
  </si>
  <si>
    <t>F</t>
  </si>
  <si>
    <t>Bob</t>
  </si>
  <si>
    <t>M</t>
  </si>
  <si>
    <t>Charlie</t>
  </si>
  <si>
    <t>Diana</t>
  </si>
  <si>
    <t>Eva</t>
  </si>
  <si>
    <t>Fiona</t>
  </si>
  <si>
    <t>George</t>
  </si>
  <si>
    <t>1) Sum</t>
  </si>
  <si>
    <t>1) Total salary of employee</t>
  </si>
  <si>
    <t>2) Sumif</t>
  </si>
  <si>
    <t>2) Total salary of HR department</t>
  </si>
  <si>
    <t>3) Sumifs</t>
  </si>
  <si>
    <t>3) Total salary of male employee in HR department</t>
  </si>
  <si>
    <t>4) Avg</t>
  </si>
  <si>
    <t>1) Avg salary of employee</t>
  </si>
  <si>
    <t>5) Avgif</t>
  </si>
  <si>
    <t>2) Avg salary of Finance department</t>
  </si>
  <si>
    <t>6) Avgifs</t>
  </si>
  <si>
    <t>3) Avg salary of male employee in HR department</t>
  </si>
  <si>
    <t>7) Count</t>
  </si>
  <si>
    <t>1) Count salary of department</t>
  </si>
  <si>
    <t>8) Countif</t>
  </si>
  <si>
    <t>2) Count of Finance department employee</t>
  </si>
  <si>
    <t>9) Countifs</t>
  </si>
  <si>
    <t>3) Count of females in IT</t>
  </si>
  <si>
    <t>Functions</t>
  </si>
  <si>
    <t>Result</t>
  </si>
  <si>
    <t>1) Rand()</t>
  </si>
  <si>
    <t>1) Return random decimal number between 0 to 1</t>
  </si>
  <si>
    <t xml:space="preserve">2) Randbetween()  </t>
  </si>
  <si>
    <t>2) Return random whole number between given range (top to bottom)</t>
  </si>
  <si>
    <t>3) Round()</t>
  </si>
  <si>
    <t>3) Rounds a number to a specified number of decimals</t>
  </si>
  <si>
    <t>grade</t>
  </si>
  <si>
    <t>A</t>
  </si>
  <si>
    <t>C</t>
  </si>
  <si>
    <t>D</t>
  </si>
  <si>
    <t>B</t>
  </si>
  <si>
    <t>Category</t>
  </si>
  <si>
    <t>Supplier</t>
  </si>
  <si>
    <t>Price</t>
  </si>
  <si>
    <t>Stock</t>
  </si>
  <si>
    <t>Query</t>
  </si>
  <si>
    <t>Electronics</t>
  </si>
  <si>
    <t>TechCorp</t>
  </si>
  <si>
    <t>1) Find the highest salary of a female employee in Sales</t>
  </si>
  <si>
    <t>Accessories</t>
  </si>
  <si>
    <t>GearHouse</t>
  </si>
  <si>
    <t>ViewWorld</t>
  </si>
  <si>
    <t>3) Find the maximum salary in IT department with performance above 4.0</t>
  </si>
  <si>
    <t>4) Find the minimum salary of any employee with performance below 4.0</t>
  </si>
  <si>
    <t>Furniture</t>
  </si>
  <si>
    <t>HomeFurnish</t>
  </si>
  <si>
    <t>5) Find the highest salary of a female with performance ≥ 4.0 in any department</t>
  </si>
  <si>
    <t>1) Find the lowest price of an Electronics product</t>
  </si>
  <si>
    <t>5) Find the minimum price of any product with stock greater than 100</t>
  </si>
  <si>
    <t>Roll no</t>
  </si>
  <si>
    <t>Student</t>
  </si>
  <si>
    <t>hindi</t>
  </si>
  <si>
    <t>english</t>
  </si>
  <si>
    <t>maths</t>
  </si>
  <si>
    <t>physics</t>
  </si>
  <si>
    <t>chemistry</t>
  </si>
  <si>
    <t xml:space="preserve">total </t>
  </si>
  <si>
    <t>average</t>
  </si>
  <si>
    <t>RAM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</si>
  <si>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</si>
  <si>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</si>
  <si>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</si>
  <si>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</si>
  <si>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</si>
  <si>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</si>
  <si>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</si>
  <si>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</si>
  <si>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</si>
  <si>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Q.1</t>
  </si>
  <si>
    <t>finding total and average</t>
  </si>
  <si>
    <t>Q.2</t>
  </si>
  <si>
    <t>using if to find grade , if more than 80 than A else B</t>
  </si>
  <si>
    <t>Q.3</t>
  </si>
  <si>
    <t>number of students who got A and B</t>
  </si>
  <si>
    <t>no of students</t>
  </si>
  <si>
    <t>Q.4</t>
  </si>
  <si>
    <t>ASHOK and MANOJ total marks and average</t>
  </si>
  <si>
    <t>Total marks</t>
  </si>
  <si>
    <t>Q.5</t>
  </si>
  <si>
    <t>count how many students</t>
  </si>
  <si>
    <t>Q.6</t>
  </si>
  <si>
    <t>how many students in hindi and english got marks greater than 80 less tha 65</t>
  </si>
  <si>
    <t>more than 65</t>
  </si>
  <si>
    <t>less than 80</t>
  </si>
  <si>
    <t>count</t>
  </si>
  <si>
    <t>Count of cooler whose rate is 10000</t>
  </si>
  <si>
    <t>Q.9</t>
  </si>
  <si>
    <t>count of cooler items</t>
  </si>
  <si>
    <t>Q.8</t>
  </si>
  <si>
    <t>Sum of Cooler items quantity</t>
  </si>
  <si>
    <t>Q.7</t>
  </si>
  <si>
    <t>Find sum of cooler item only</t>
  </si>
  <si>
    <t>PRINTER</t>
  </si>
  <si>
    <t>MOUSE</t>
  </si>
  <si>
    <t>KEYBOARD</t>
  </si>
  <si>
    <t>COMPUTER</t>
  </si>
  <si>
    <t>COOLER</t>
  </si>
  <si>
    <t>TV</t>
  </si>
  <si>
    <t>WASHING MACHINE</t>
  </si>
  <si>
    <t>FRIDGE</t>
  </si>
  <si>
    <t>AC</t>
  </si>
  <si>
    <t>Grade</t>
  </si>
  <si>
    <t>AMOUNT</t>
  </si>
  <si>
    <t>ITEMS</t>
  </si>
  <si>
    <t>if items amt is less than 50000 then "Expensive" or else "lets buy it"</t>
  </si>
  <si>
    <t>Amount</t>
  </si>
  <si>
    <t>Rate</t>
  </si>
  <si>
    <t>find QTY Rate and AMOUNT of computer using sumif</t>
  </si>
  <si>
    <t>less than 20</t>
  </si>
  <si>
    <t>greater than 20</t>
  </si>
  <si>
    <t>How many items QTY greater than 20 and less than 20</t>
  </si>
  <si>
    <t>Q,3</t>
  </si>
  <si>
    <t>RATE</t>
  </si>
  <si>
    <t>QTY</t>
  </si>
  <si>
    <t>sr no</t>
  </si>
  <si>
    <t>Find Amount</t>
  </si>
  <si>
    <t>How many items in the list?</t>
  </si>
  <si>
    <t>Name</t>
  </si>
  <si>
    <t>Emma</t>
  </si>
  <si>
    <t>Carol</t>
  </si>
  <si>
    <t>Admin</t>
  </si>
  <si>
    <t>1) Find the lowest salary in the Sales department</t>
  </si>
  <si>
    <t>2) Find the highest salary in the HR department</t>
  </si>
  <si>
    <t>3) Lowest salary in IT</t>
  </si>
  <si>
    <t>4) Highest salary in Sales</t>
  </si>
  <si>
    <t>6) Find salary out Emma salary (she works in Admin)</t>
  </si>
  <si>
    <t>5) Find Emma salary which is low</t>
  </si>
  <si>
    <t>2) Find the lowest salary of a male employee in HR with performance rating</t>
  </si>
  <si>
    <t>Performance</t>
  </si>
  <si>
    <r>
      <t xml:space="preserve">2) Find the highest price of any product from supplier </t>
    </r>
    <r>
      <rPr>
        <i/>
        <sz val="11"/>
        <color theme="1"/>
        <rFont val="Calibri"/>
        <family val="2"/>
        <scheme val="minor"/>
      </rPr>
      <t>GearHouse</t>
    </r>
  </si>
  <si>
    <t>3) Find the minimum stock among Accessories category items</t>
  </si>
  <si>
    <t>4) Find the highest price among Furniture products with stock greater than 25</t>
  </si>
  <si>
    <t>6) Find the maximum price of an Electronics product with stock less than 20</t>
  </si>
  <si>
    <t>7) Find the minimum price of a Furniture product with stock between 20 and 60</t>
  </si>
  <si>
    <t>8) Find the highest stock of an Accessories product priced below $50</t>
  </si>
  <si>
    <t>9) Find the lowest price of a product with stock above the average stock (avg = 87.6)</t>
  </si>
  <si>
    <t>10) Find the minimum stock of Electronics items priced above $500</t>
  </si>
  <si>
    <t>11) Find the maximum stock of any product priced between $100 and $800</t>
  </si>
  <si>
    <t>12) Find the minimum stock of an Accessories product (not from GearHouse) priced under $50</t>
  </si>
  <si>
    <t>Items</t>
  </si>
  <si>
    <t>Date</t>
  </si>
  <si>
    <t>Cost</t>
  </si>
  <si>
    <t>BRAKES</t>
  </si>
  <si>
    <t>TYRES</t>
  </si>
  <si>
    <t>SERVICE</t>
  </si>
  <si>
    <t>WINDOW</t>
  </si>
  <si>
    <t>CLUTCH</t>
  </si>
  <si>
    <t>Question</t>
  </si>
  <si>
    <t>Answer / Formula Used</t>
  </si>
  <si>
    <t>Q1. How many items?</t>
  </si>
  <si>
    <t>Q2. How many BRAKES, WINDOW &amp; TYRES have been bought?</t>
  </si>
  <si>
    <t>Q3. How many items cost more than 1000 and less than 1000?</t>
  </si>
  <si>
    <t>Q4. Highlight TYRES items costing between 500 and 2000</t>
  </si>
  <si>
    <t>Q5. Items in column 15, 18 &amp; 20 (find their names)</t>
  </si>
  <si>
    <t>Q6. Total cost of WINDOW and BRAKES items</t>
  </si>
  <si>
    <t>Neha</t>
  </si>
  <si>
    <t>DSUM</t>
  </si>
  <si>
    <t>Neeta</t>
  </si>
  <si>
    <t>DMIN</t>
  </si>
  <si>
    <t>Nisha</t>
  </si>
  <si>
    <t>DMAX</t>
  </si>
  <si>
    <t>Nikki</t>
  </si>
  <si>
    <t>DCOUNT</t>
  </si>
  <si>
    <t>Nikita</t>
  </si>
  <si>
    <t>DAVG</t>
  </si>
  <si>
    <t>Namra</t>
  </si>
  <si>
    <t>Nidhi</t>
  </si>
  <si>
    <t>#</t>
  </si>
  <si>
    <t>Sum of salary in IT department</t>
  </si>
  <si>
    <t>Count number of employees in IT</t>
  </si>
  <si>
    <t>Minimum salary from IT department</t>
  </si>
  <si>
    <t>Maximum salary from IT department</t>
  </si>
  <si>
    <t>Average salary in IT department</t>
  </si>
  <si>
    <t>Experience</t>
  </si>
  <si>
    <t>Nitya</t>
  </si>
  <si>
    <t>Total salary from IT employees who have more than 4 years experience</t>
  </si>
  <si>
    <t>Count IT employees with more than 4 years experience</t>
  </si>
  <si>
    <t>Minimum salary among IT employees with &gt; 4 years experience</t>
  </si>
  <si>
    <t>Maximum salary among IT employees with &gt; 4 years experience</t>
  </si>
  <si>
    <t>Criteria</t>
  </si>
  <si>
    <t>&gt;4</t>
  </si>
  <si>
    <t>Age</t>
  </si>
  <si>
    <t>Apeksha</t>
  </si>
  <si>
    <t>Amol</t>
  </si>
  <si>
    <t>Ashish</t>
  </si>
  <si>
    <t>Akshata</t>
  </si>
  <si>
    <t>What is the minimum salary of a female employee in the HR department?</t>
  </si>
  <si>
    <t>What is the maximum salary of a female employee in the HR department?</t>
  </si>
  <si>
    <t>What is the total salary paid to female employees in the HR department?</t>
  </si>
  <si>
    <t>How many male employees are in the IT department?</t>
  </si>
  <si>
    <t>What is the average salary of male employees in the IT department?</t>
  </si>
  <si>
    <t>What is the minimum age of female employees in the IT department?</t>
  </si>
  <si>
    <t>What is the minimum age of male employees in the HR department?</t>
  </si>
  <si>
    <t>What is the maximum age of female employees in the IT department?</t>
  </si>
  <si>
    <t>What is the maximum age of male employees in the HR department?</t>
  </si>
  <si>
    <t>What is the total age of female employees in the HR department?</t>
  </si>
  <si>
    <t>What is the total age of male employees in the IT department?</t>
  </si>
  <si>
    <t>How many female employees in the HR department have an age listed?</t>
  </si>
  <si>
    <t>What is the average age of females in the HR department?</t>
  </si>
  <si>
    <t>Funtion</t>
  </si>
  <si>
    <t>Arushi</t>
  </si>
  <si>
    <t>Amrut</t>
  </si>
  <si>
    <t>English</t>
  </si>
  <si>
    <t>Math</t>
  </si>
  <si>
    <t>Science</t>
  </si>
  <si>
    <t>Total</t>
  </si>
  <si>
    <t>Avg</t>
  </si>
  <si>
    <t>AND</t>
  </si>
  <si>
    <t>OR</t>
  </si>
  <si>
    <t>NOT</t>
  </si>
  <si>
    <t>Is Alice's English &gt;70 AND Math &gt;80?</t>
  </si>
  <si>
    <t>Is David's Avg &lt;60 AND Grade is "B"?</t>
  </si>
  <si>
    <t>Is Charlie's Science &gt;90 AND Grade "C"?</t>
  </si>
  <si>
    <t>Is Bob's Total 200 AND Grade is "A"?</t>
  </si>
  <si>
    <t>Is Alice's English &lt;60 OR Grade "B"?</t>
  </si>
  <si>
    <t>Is Bob's Math &gt;75 OR Avg &gt;70?</t>
  </si>
  <si>
    <t>Is Charlie’s Grade "B" OR Science &gt;90?</t>
  </si>
  <si>
    <t>Is David’s Avg &gt;80 OR Total &lt;200?</t>
  </si>
  <si>
    <t>Is Alice's Grade NOT "B"?</t>
  </si>
  <si>
    <t>Is Charlie’s Avg NOT less than 90?</t>
  </si>
  <si>
    <t>Is Bob's Science NOT greater than 65?</t>
  </si>
  <si>
    <t>Is David’s Total NOT greater than 180?</t>
  </si>
  <si>
    <t>If Alice’s average is 85 or more, does she pass?</t>
  </si>
  <si>
    <t>If Bob’s science score is less than 65, does he fail?</t>
  </si>
  <si>
    <t>If David’s total marks are more than 180, does he pass?</t>
  </si>
  <si>
    <t>If Eva’s math score is below 85, does she fail?</t>
  </si>
  <si>
    <t>If Charlie’s English &gt; 85 and Math &gt; 85, does he pass?</t>
  </si>
  <si>
    <t>If Bob’s English &gt; 70 and Science &gt; 60, does he pass?</t>
  </si>
  <si>
    <t>If Eva’s average &gt; 85 or Science &gt; 90, does she pass?</t>
  </si>
  <si>
    <t>If David’s English &lt; 50 or Math &lt; 55, does he fail?</t>
  </si>
  <si>
    <t>If Charlie’s grade is not B, does he pass?</t>
  </si>
  <si>
    <t>If Alice’s English score is not more than 80, does she fail?</t>
  </si>
  <si>
    <t>Criteria Type</t>
  </si>
  <si>
    <t>Condition</t>
  </si>
  <si>
    <t>By Average</t>
  </si>
  <si>
    <t>Average ≥ 70</t>
  </si>
  <si>
    <t>Pass</t>
  </si>
  <si>
    <t>Average &lt; 70</t>
  </si>
  <si>
    <t>Fail</t>
  </si>
  <si>
    <t>By Subject Marks</t>
  </si>
  <si>
    <t>All subjects ≥ 60</t>
  </si>
  <si>
    <t>Any subject &lt; 60</t>
  </si>
  <si>
    <t>By Total Marks</t>
  </si>
  <si>
    <t>Total ≥ 210</t>
  </si>
  <si>
    <t>Total &lt; 210</t>
  </si>
  <si>
    <t>IF-STATEMENT</t>
  </si>
  <si>
    <t>IF-AND</t>
  </si>
  <si>
    <t>IF-OR</t>
  </si>
  <si>
    <t>IF-NOT</t>
  </si>
  <si>
    <t>Alice's English = 60</t>
  </si>
  <si>
    <t>Bob's Math &gt; 50</t>
  </si>
  <si>
    <t>Charlie's Science &lt; 70</t>
  </si>
  <si>
    <t>David's Total not 60</t>
  </si>
  <si>
    <t>Eva's Avg &gt;= 60</t>
  </si>
  <si>
    <t>Alice's Science &lt;= 70</t>
  </si>
  <si>
    <t>Normal Conditions</t>
  </si>
  <si>
    <t>Subject</t>
  </si>
  <si>
    <t>1st</t>
  </si>
  <si>
    <t>2nd</t>
  </si>
  <si>
    <t>3rd</t>
  </si>
  <si>
    <t>Average</t>
  </si>
  <si>
    <t>Hindi</t>
  </si>
  <si>
    <t>Physics</t>
  </si>
  <si>
    <t>Chemistry</t>
  </si>
  <si>
    <t>History</t>
  </si>
  <si>
    <t>Geography</t>
  </si>
  <si>
    <t>Biology</t>
  </si>
  <si>
    <t>Botany</t>
  </si>
  <si>
    <t>Q.No</t>
  </si>
  <si>
    <t>How many subjects?</t>
  </si>
  <si>
    <t>How many subjects have the 1st paper greater than 20?</t>
  </si>
  <si>
    <t>Total and grade for Hindi, Math, and English</t>
  </si>
  <si>
    <t>If average &gt; 20, then "A"; if average &gt; 15, then "B"; otherwise "C"</t>
  </si>
  <si>
    <t>[GRADE COLUMN]</t>
  </si>
  <si>
    <t>HLOOKUP</t>
  </si>
  <si>
    <t>[IN TABLE]</t>
  </si>
  <si>
    <t>PMT</t>
  </si>
  <si>
    <t>IPMT</t>
  </si>
  <si>
    <t>PPMT</t>
  </si>
  <si>
    <t>Per Month Installment</t>
  </si>
  <si>
    <t>Interest Per Month Installment</t>
  </si>
  <si>
    <t>Principal Per Month Installment</t>
  </si>
  <si>
    <t>Loan Amount</t>
  </si>
  <si>
    <t>Loan Rate (per year)</t>
  </si>
  <si>
    <t>Loan Period (in years)</t>
  </si>
  <si>
    <t>Student Name</t>
  </si>
  <si>
    <t>Maths</t>
  </si>
  <si>
    <t>TOTAL</t>
  </si>
  <si>
    <t>PERCENTAGE</t>
  </si>
  <si>
    <t>GRADE</t>
  </si>
  <si>
    <t>Alan</t>
  </si>
  <si>
    <t>Eric</t>
  </si>
  <si>
    <t>Gail</t>
  </si>
  <si>
    <t>Harry</t>
  </si>
  <si>
    <t>Ian</t>
  </si>
  <si>
    <t>Janice</t>
  </si>
  <si>
    <t>Question No</t>
  </si>
  <si>
    <t>How many students?</t>
  </si>
  <si>
    <t>How many students have percentage &gt; 50?</t>
  </si>
  <si>
    <t>Bob and Eric total number? (Sum of their TOTAL)</t>
  </si>
  <si>
    <t>If % &gt;70 → "Excellent", % &gt;50 → "Good", otherwise "Bad"</t>
  </si>
  <si>
    <t>How many students are Good and Bad?</t>
  </si>
  <si>
    <t>How many students sat for Physics paper (i.e., physics ≠ 0)?</t>
  </si>
  <si>
    <t>Absent</t>
  </si>
  <si>
    <t>[TABLE]</t>
  </si>
  <si>
    <t>Today()</t>
  </si>
  <si>
    <t>Current date</t>
  </si>
  <si>
    <t>Now()</t>
  </si>
  <si>
    <t>Current date &amp; time</t>
  </si>
  <si>
    <t>Day()</t>
  </si>
  <si>
    <t>Day from a date</t>
  </si>
  <si>
    <t>Month()</t>
  </si>
  <si>
    <t>Month from a date</t>
  </si>
  <si>
    <t>Year()</t>
  </si>
  <si>
    <t>Year from a date</t>
  </si>
  <si>
    <t>Base Date</t>
  </si>
  <si>
    <t>Operation</t>
  </si>
  <si>
    <t>Formula</t>
  </si>
  <si>
    <t>Add 5 days</t>
  </si>
  <si>
    <t>Subtract 5 days</t>
  </si>
  <si>
    <t>Add 3 months</t>
  </si>
  <si>
    <t>Subtract 3 months</t>
  </si>
  <si>
    <t>Add 3 years</t>
  </si>
  <si>
    <t>Subtract 3 years</t>
  </si>
  <si>
    <t>Function Type</t>
  </si>
  <si>
    <t>TEXT() - Day</t>
  </si>
  <si>
    <t>Extract day as text from a date</t>
  </si>
  <si>
    <t>TEXT() - Month (name)</t>
  </si>
  <si>
    <t>Extract full month name</t>
  </si>
  <si>
    <t>TEXT() - Year</t>
  </si>
  <si>
    <t>Extract year as text</t>
  </si>
  <si>
    <t>TEXT() - Full Format</t>
  </si>
  <si>
    <t>Format date as custom text (e.g., 3rd February 2023)</t>
  </si>
  <si>
    <t>EOMONTH() - Current</t>
  </si>
  <si>
    <t>End of current month</t>
  </si>
  <si>
    <t>EOMONTH() + n months</t>
  </si>
  <si>
    <t>End of month after 3 months</t>
  </si>
  <si>
    <t>EOMONTH() - n months</t>
  </si>
  <si>
    <t>End of month 3 months before</t>
  </si>
  <si>
    <t>Add / Subtract Months (Using EDATE)</t>
  </si>
  <si>
    <t>Add / Subtract Days</t>
  </si>
  <si>
    <t>Excel Date Function</t>
  </si>
  <si>
    <t>X</t>
  </si>
  <si>
    <t>Add / Subtract Years</t>
  </si>
  <si>
    <t>Additional Date &amp; Text Functions</t>
  </si>
  <si>
    <t>Date of Birth</t>
  </si>
  <si>
    <t>DAY</t>
  </si>
  <si>
    <t>MONTH</t>
  </si>
  <si>
    <t>YEAR</t>
  </si>
  <si>
    <t>AGE (in years)</t>
  </si>
  <si>
    <t>STATUS (Adult/Child)</t>
  </si>
  <si>
    <t>RAMESH</t>
  </si>
  <si>
    <t>RAKESH</t>
  </si>
  <si>
    <t>RAHUL</t>
  </si>
  <si>
    <t>AJEET</t>
  </si>
  <si>
    <t>ALOK</t>
  </si>
  <si>
    <t>AMRIT</t>
  </si>
  <si>
    <t>SURENDRA</t>
  </si>
  <si>
    <t>SHASHI</t>
  </si>
  <si>
    <t>Student Surendra is how many years old?</t>
  </si>
  <si>
    <t>How many students age greater than 20?</t>
  </si>
  <si>
    <t>If student age &gt; 20 then "ADULT" else "CHILD"</t>
  </si>
  <si>
    <t>How many students age is &gt;= 25 years?</t>
  </si>
  <si>
    <t xml:space="preserve">ID </t>
  </si>
  <si>
    <t>NAME</t>
  </si>
  <si>
    <t>MARKS</t>
  </si>
  <si>
    <t>Albert</t>
  </si>
  <si>
    <t>marks of student with id 103</t>
  </si>
  <si>
    <t>name of student with id 103</t>
  </si>
  <si>
    <t>Arthur</t>
  </si>
  <si>
    <t>marks of Dutch</t>
  </si>
  <si>
    <t>Dutch</t>
  </si>
  <si>
    <t>VLOOKUP</t>
  </si>
  <si>
    <t>ID</t>
  </si>
  <si>
    <t>Product Name</t>
  </si>
  <si>
    <t>Quantity</t>
  </si>
  <si>
    <t>AC price</t>
  </si>
  <si>
    <t>PC</t>
  </si>
  <si>
    <t>LAPTOP quantity</t>
  </si>
  <si>
    <t>which product has quantity of 20</t>
  </si>
  <si>
    <t>LAPTOP</t>
  </si>
  <si>
    <t>which product is priced at 1000</t>
  </si>
  <si>
    <t>FAN</t>
  </si>
  <si>
    <t>PRACTICE</t>
  </si>
  <si>
    <t>PHYSICS</t>
  </si>
  <si>
    <t>CHEMISTRY</t>
  </si>
  <si>
    <t>MATHS</t>
  </si>
  <si>
    <t>BIOLOGY</t>
  </si>
  <si>
    <t>PASSED THE EXAM?</t>
  </si>
  <si>
    <t>NITIN</t>
  </si>
  <si>
    <t>PASS</t>
  </si>
  <si>
    <t>FAIL</t>
  </si>
  <si>
    <t>FEROZ</t>
  </si>
  <si>
    <t>ANITHA</t>
  </si>
  <si>
    <t>MADAN</t>
  </si>
  <si>
    <t>HARRY</t>
  </si>
  <si>
    <t>SUMITH</t>
  </si>
  <si>
    <t>HARSH</t>
  </si>
  <si>
    <t>TRIVEDI</t>
  </si>
  <si>
    <t>ASHISH</t>
  </si>
  <si>
    <t>Units Sold</t>
  </si>
  <si>
    <t>E</t>
  </si>
  <si>
    <t>Table 1</t>
  </si>
  <si>
    <t>Average of "B"</t>
  </si>
  <si>
    <t>Average of "D"</t>
  </si>
  <si>
    <t>Semester</t>
  </si>
  <si>
    <t>Score</t>
  </si>
  <si>
    <t>Second</t>
  </si>
  <si>
    <t>Gary</t>
  </si>
  <si>
    <t>Third</t>
  </si>
  <si>
    <t>Richa</t>
  </si>
  <si>
    <t>Hari</t>
  </si>
  <si>
    <t>Tom</t>
  </si>
  <si>
    <t>Will</t>
  </si>
  <si>
    <t>Average of 2nd Sem.</t>
  </si>
  <si>
    <t>Average of 3rd Sem.</t>
  </si>
  <si>
    <t>Table 2</t>
  </si>
  <si>
    <t>Zone</t>
  </si>
  <si>
    <t>City</t>
  </si>
  <si>
    <t>South</t>
  </si>
  <si>
    <t>Chennai</t>
  </si>
  <si>
    <t>East</t>
  </si>
  <si>
    <t>Patna</t>
  </si>
  <si>
    <t>North</t>
  </si>
  <si>
    <t>Delhi</t>
  </si>
  <si>
    <t>Kanpur</t>
  </si>
  <si>
    <t>West</t>
  </si>
  <si>
    <t>Gandhinagar</t>
  </si>
  <si>
    <t>Hubli</t>
  </si>
  <si>
    <t>Mangalore</t>
  </si>
  <si>
    <t>Chandigarh</t>
  </si>
  <si>
    <t>Pune</t>
  </si>
  <si>
    <t>Hyderabad</t>
  </si>
  <si>
    <t>Meerut</t>
  </si>
  <si>
    <t>Nagpur</t>
  </si>
  <si>
    <t>Table 3</t>
  </si>
  <si>
    <t>Average of West</t>
  </si>
  <si>
    <t>Avg of units below 250</t>
  </si>
  <si>
    <t>Avg of units below 100</t>
  </si>
  <si>
    <t>Emp ID</t>
  </si>
  <si>
    <t>Last Name</t>
  </si>
  <si>
    <t>Full Name</t>
  </si>
  <si>
    <t>D21</t>
  </si>
  <si>
    <t>Vishal</t>
  </si>
  <si>
    <t>Mohan</t>
  </si>
  <si>
    <t>D22</t>
  </si>
  <si>
    <t>Mathew</t>
  </si>
  <si>
    <t>D23</t>
  </si>
  <si>
    <t>Jameenah</t>
  </si>
  <si>
    <t>Powel</t>
  </si>
  <si>
    <t>D24</t>
  </si>
  <si>
    <t>Arundhati</t>
  </si>
  <si>
    <t>Savannah</t>
  </si>
  <si>
    <t>D25</t>
  </si>
  <si>
    <t>Peter</t>
  </si>
  <si>
    <t>Potter</t>
  </si>
  <si>
    <t>D26</t>
  </si>
  <si>
    <t>Roger</t>
  </si>
  <si>
    <t>Williams</t>
  </si>
  <si>
    <t>Find "Full Name" using CONCAT()</t>
  </si>
  <si>
    <t>Riya</t>
  </si>
  <si>
    <t>Maya</t>
  </si>
  <si>
    <t>Chhaya</t>
  </si>
  <si>
    <t>Niya</t>
  </si>
  <si>
    <t>Kiya</t>
  </si>
  <si>
    <t>Siya</t>
  </si>
  <si>
    <t>No.</t>
  </si>
  <si>
    <t>The sales in 2021 for name Niya</t>
  </si>
  <si>
    <t>The sales in 2019 for name Siya</t>
  </si>
  <si>
    <t>Return the name of person who had highest sales in 2021</t>
  </si>
  <si>
    <t>Total sales whose name is Chhaya</t>
  </si>
  <si>
    <t>Return the name of person who had minimum sales in 2021</t>
  </si>
  <si>
    <t>Brand</t>
  </si>
  <si>
    <t>Product</t>
  </si>
  <si>
    <t>Dell</t>
  </si>
  <si>
    <t>Computer</t>
  </si>
  <si>
    <t>Logitech</t>
  </si>
  <si>
    <t>Keyboard</t>
  </si>
  <si>
    <t>Mouse</t>
  </si>
  <si>
    <t>HP</t>
  </si>
  <si>
    <t>Printer</t>
  </si>
  <si>
    <t>Field</t>
  </si>
  <si>
    <t>Questions</t>
  </si>
  <si>
    <t>Emp Name</t>
  </si>
  <si>
    <t>Raju</t>
  </si>
  <si>
    <t>Prd001</t>
  </si>
  <si>
    <t>Ramesh</t>
  </si>
  <si>
    <t>Prd002</t>
  </si>
  <si>
    <t>Ramila</t>
  </si>
  <si>
    <t>Prd003</t>
  </si>
  <si>
    <t>Rajeshwar</t>
  </si>
  <si>
    <t>Prd004</t>
  </si>
  <si>
    <t>Karan</t>
  </si>
  <si>
    <t>Prd005</t>
  </si>
  <si>
    <t>Rohith</t>
  </si>
  <si>
    <t>Prd006</t>
  </si>
  <si>
    <t>Fleming</t>
  </si>
  <si>
    <t>Prd007</t>
  </si>
  <si>
    <t>Navya</t>
  </si>
  <si>
    <t>Prd008</t>
  </si>
  <si>
    <t>Kavya</t>
  </si>
  <si>
    <t>Prd009</t>
  </si>
  <si>
    <t>Santosh</t>
  </si>
  <si>
    <t>Prd010</t>
  </si>
  <si>
    <t>Shankar</t>
  </si>
  <si>
    <t>Prd011</t>
  </si>
  <si>
    <t>Rajesh</t>
  </si>
  <si>
    <t>Prd012</t>
  </si>
  <si>
    <t>Mahesh</t>
  </si>
  <si>
    <t>Prd013</t>
  </si>
  <si>
    <t>Hemaraj</t>
  </si>
  <si>
    <t>Prd014</t>
  </si>
  <si>
    <t>Nagaraj</t>
  </si>
  <si>
    <t>Prd015</t>
  </si>
  <si>
    <t>Johson</t>
  </si>
  <si>
    <t>Prd016</t>
  </si>
  <si>
    <t>Prd017</t>
  </si>
  <si>
    <t>Anderson</t>
  </si>
  <si>
    <t>Prd018</t>
  </si>
  <si>
    <t>Prd019</t>
  </si>
  <si>
    <t>DATA</t>
  </si>
  <si>
    <t>Q1. How many employees are in HR, IT, and Marketing departments?</t>
  </si>
  <si>
    <t>Q2. What is the salary of employee Santosh?</t>
  </si>
  <si>
    <t>Q3. What is the total salary of employees in the IT and Marketing departments?</t>
  </si>
  <si>
    <t>Return the name of person which had highest 2020 sales</t>
  </si>
  <si>
    <t>Region</t>
  </si>
  <si>
    <t>Jan</t>
  </si>
  <si>
    <t>Feb</t>
  </si>
  <si>
    <t>Mar</t>
  </si>
  <si>
    <t>Month</t>
  </si>
  <si>
    <t>Value</t>
  </si>
  <si>
    <t>Data Table</t>
  </si>
  <si>
    <t>Questions (Index Match)</t>
  </si>
  <si>
    <t>FUNCTIONS</t>
  </si>
  <si>
    <t>x`x`</t>
  </si>
  <si>
    <t>exact</t>
  </si>
  <si>
    <t>INDEX MATCH</t>
  </si>
  <si>
    <t>Job Title</t>
  </si>
  <si>
    <t>Rating</t>
  </si>
  <si>
    <t>Company Name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</si>
  <si>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</si>
  <si>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</si>
  <si>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</si>
  <si>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</si>
  <si>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</si>
  <si>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</si>
  <si>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</si>
  <si>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</si>
  <si>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</si>
  <si>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Min Salary</t>
  </si>
  <si>
    <t>Max Salary</t>
  </si>
  <si>
    <t>Column15</t>
  </si>
  <si>
    <t>Sr Data Scientist</t>
  </si>
  <si>
    <t>3.1</t>
  </si>
  <si>
    <t>Healthfirst</t>
  </si>
  <si>
    <t>New York, NY</t>
  </si>
  <si>
    <t>1001 to 5000 employees</t>
  </si>
  <si>
    <t>1993.0</t>
  </si>
  <si>
    <t>Nonprofit Organization</t>
  </si>
  <si>
    <t>Insurance Carriers</t>
  </si>
  <si>
    <t>Insurance</t>
  </si>
  <si>
    <t/>
  </si>
  <si>
    <t>EmblemHealth, UnitedHealth Group, Aetna</t>
  </si>
  <si>
    <t>137000.0</t>
  </si>
  <si>
    <t>Data Scientist</t>
  </si>
  <si>
    <t>4.2</t>
  </si>
  <si>
    <t>ManTech</t>
  </si>
  <si>
    <t>Chantilly, VA</t>
  </si>
  <si>
    <t>Herndon, VA</t>
  </si>
  <si>
    <t>5001 to 10000 employees</t>
  </si>
  <si>
    <t>1968.0</t>
  </si>
  <si>
    <t>Company - Public</t>
  </si>
  <si>
    <t>Research &amp; Development</t>
  </si>
  <si>
    <t>Business Services</t>
  </si>
  <si>
    <t>$1 to $2 billion (USD)</t>
  </si>
  <si>
    <t>3.8</t>
  </si>
  <si>
    <t>Analysis Group</t>
  </si>
  <si>
    <t>Boston, MA</t>
  </si>
  <si>
    <t>1981.0</t>
  </si>
  <si>
    <t>Private Practice / Firm</t>
  </si>
  <si>
    <t>Consulting</t>
  </si>
  <si>
    <t>$100 to $500 million (USD)</t>
  </si>
  <si>
    <t>3.5</t>
  </si>
  <si>
    <t>INFICON</t>
  </si>
  <si>
    <t>Newton, MA</t>
  </si>
  <si>
    <t>Bad Ragaz, Switzerland</t>
  </si>
  <si>
    <t>501 to 1000 employees</t>
  </si>
  <si>
    <t>2000.0</t>
  </si>
  <si>
    <t>Electrical &amp; Electronic Manufacturing</t>
  </si>
  <si>
    <t>Manufacturing</t>
  </si>
  <si>
    <t>MKS Instruments, Pfeiffer Vacuum, Agilent Technologies</t>
  </si>
  <si>
    <t>2.9</t>
  </si>
  <si>
    <t>Affinity Solutions</t>
  </si>
  <si>
    <t>51 to 200 employees</t>
  </si>
  <si>
    <t>1998.0</t>
  </si>
  <si>
    <t>Company - Private</t>
  </si>
  <si>
    <t>Advertising &amp; Marketing</t>
  </si>
  <si>
    <t>Commerce Signals, Cardlytics, Yodlee</t>
  </si>
  <si>
    <t>HG Insights</t>
  </si>
  <si>
    <t>Santa Barbara, CA</t>
  </si>
  <si>
    <t>2010.0</t>
  </si>
  <si>
    <t>Computer Hardware &amp; Software</t>
  </si>
  <si>
    <t>Information Technology</t>
  </si>
  <si>
    <t>Data Scientist / Machine Learning Expert</t>
  </si>
  <si>
    <t>3.9</t>
  </si>
  <si>
    <t>Novartis</t>
  </si>
  <si>
    <t>Cambridge, MA</t>
  </si>
  <si>
    <t>Basel, Switzerland</t>
  </si>
  <si>
    <t>10000+ employees</t>
  </si>
  <si>
    <t>1996.0</t>
  </si>
  <si>
    <t>Biotech &amp; Pharmaceuticals</t>
  </si>
  <si>
    <t>$10+ billion (USD)</t>
  </si>
  <si>
    <t>iRobot</t>
  </si>
  <si>
    <t>Bedford, MA</t>
  </si>
  <si>
    <t>1990.0</t>
  </si>
  <si>
    <t>Consumer Electronics &amp; Appliances Stores</t>
  </si>
  <si>
    <t>Retail</t>
  </si>
  <si>
    <t>Staff Data Scientist - Analytics</t>
  </si>
  <si>
    <t>4.4</t>
  </si>
  <si>
    <t>Intuit - Data</t>
  </si>
  <si>
    <t>San Diego, CA</t>
  </si>
  <si>
    <t>Mountain View, CA</t>
  </si>
  <si>
    <t>1983.0</t>
  </si>
  <si>
    <t>$2 to $5 billion (USD)</t>
  </si>
  <si>
    <t>Square, PayPal, H&amp;R Block</t>
  </si>
  <si>
    <t>3.6</t>
  </si>
  <si>
    <t>XSELL Technologies</t>
  </si>
  <si>
    <t>Chicago, IL</t>
  </si>
  <si>
    <t>2014.0</t>
  </si>
  <si>
    <t>Enterprise Software &amp; Network Solutions</t>
  </si>
  <si>
    <t>4.5</t>
  </si>
  <si>
    <t>Novetta</t>
  </si>
  <si>
    <t>Mc Lean, VA</t>
  </si>
  <si>
    <t>2012.0</t>
  </si>
  <si>
    <t>Leidos, CACI International, Booz Allen Hamilton</t>
  </si>
  <si>
    <t>4.7</t>
  </si>
  <si>
    <t>1904labs</t>
  </si>
  <si>
    <t>Saint Louis, MO</t>
  </si>
  <si>
    <t>2016.0</t>
  </si>
  <si>
    <t>IT Services</t>
  </si>
  <si>
    <t>Slalom, Daugherty Business Solutions</t>
  </si>
  <si>
    <t>Data Scientist - Statistics</t>
  </si>
  <si>
    <t xml:space="preserve"> Early Career</t>
  </si>
  <si>
    <t>3.7</t>
  </si>
  <si>
    <t>PNNL</t>
  </si>
  <si>
    <t>Richland, WA</t>
  </si>
  <si>
    <t>1965.0</t>
  </si>
  <si>
    <t>Government</t>
  </si>
  <si>
    <t>Energy</t>
  </si>
  <si>
    <t>Oil, Gas, Energy &amp; Utilities</t>
  </si>
  <si>
    <t>$500 million to $1 billion (USD)</t>
  </si>
  <si>
    <t>Oak Ridge National Laboratory, National Renewable Energy Lab, Los Alamos National Laboratory</t>
  </si>
  <si>
    <t>Data Modeler</t>
  </si>
  <si>
    <t>Old World Industries</t>
  </si>
  <si>
    <t>Northbrook, IL</t>
  </si>
  <si>
    <t>201 to 500 employees</t>
  </si>
  <si>
    <t>1973.0</t>
  </si>
  <si>
    <t>Chemical Manufacturing</t>
  </si>
  <si>
    <t>3.4</t>
  </si>
  <si>
    <t>Mathematica Policy Research</t>
  </si>
  <si>
    <t>Washington, DC</t>
  </si>
  <si>
    <t>Princeton, NJ</t>
  </si>
  <si>
    <t>1986.0</t>
  </si>
  <si>
    <t>Experienced Data Scientist</t>
  </si>
  <si>
    <t>Guzman &amp; Griffin Technologies (GGTI)</t>
  </si>
  <si>
    <t>Mays Landing, NJ</t>
  </si>
  <si>
    <t>1 to 50 employees</t>
  </si>
  <si>
    <t>1997.0</t>
  </si>
  <si>
    <t>Federal Agencies</t>
  </si>
  <si>
    <t>Data Scientist - Contract</t>
  </si>
  <si>
    <t>4.1</t>
  </si>
  <si>
    <t>Upside Business Travel</t>
  </si>
  <si>
    <t>Remote</t>
  </si>
  <si>
    <t>2015.0</t>
  </si>
  <si>
    <t>Internet</t>
  </si>
  <si>
    <t>Buckman</t>
  </si>
  <si>
    <t>Memphis, TN</t>
  </si>
  <si>
    <t>1945.0</t>
  </si>
  <si>
    <t>Data Analyst II</t>
  </si>
  <si>
    <t>Insight Enterprises, Inc.</t>
  </si>
  <si>
    <t>Plano, TX</t>
  </si>
  <si>
    <t>Tempe, AZ</t>
  </si>
  <si>
    <t>1988.0</t>
  </si>
  <si>
    <t>$5 to $10 billion (USD)</t>
  </si>
  <si>
    <t>CDW, PCM, SHI International</t>
  </si>
  <si>
    <t>Medical Lab Scientist</t>
  </si>
  <si>
    <t>Tower Health</t>
  </si>
  <si>
    <t>West Grove, PA</t>
  </si>
  <si>
    <t>Reading, PA</t>
  </si>
  <si>
    <t>2017.0</t>
  </si>
  <si>
    <t>Health Care Services &amp; Hospitals</t>
  </si>
  <si>
    <t>Health Care</t>
  </si>
  <si>
    <t>3.2</t>
  </si>
  <si>
    <t>Triplebyte</t>
  </si>
  <si>
    <t>San Francisco, CA</t>
  </si>
  <si>
    <t>Data Scientist/Machine Learning</t>
  </si>
  <si>
    <t>4.3</t>
  </si>
  <si>
    <t>PulsePoint</t>
  </si>
  <si>
    <t>2011.0</t>
  </si>
  <si>
    <t>Crossix Solutions Inc., AppNexus, The Trade Desk</t>
  </si>
  <si>
    <t>Human Factors Scientist</t>
  </si>
  <si>
    <t>Exponent</t>
  </si>
  <si>
    <t>Phoenix, AZ</t>
  </si>
  <si>
    <t>Menlo Park, CA</t>
  </si>
  <si>
    <t>1967.0</t>
  </si>
  <si>
    <t>Business Intelligence Analyst I- Data Insights</t>
  </si>
  <si>
    <t>Guardian Life</t>
  </si>
  <si>
    <t>Appleton, WI</t>
  </si>
  <si>
    <t>1860.0</t>
  </si>
  <si>
    <t>Northwestern Mutual</t>
  </si>
  <si>
    <t>Spectrum Communications and Consulting</t>
  </si>
  <si>
    <t>1992.0</t>
  </si>
  <si>
    <t>$10 to $25 million (USD)</t>
  </si>
  <si>
    <t>Oversight Systems</t>
  </si>
  <si>
    <t>Atlanta, GA</t>
  </si>
  <si>
    <t>2003.0</t>
  </si>
  <si>
    <t>$25 to $50 million (USD)</t>
  </si>
  <si>
    <t>Data Scientist - Risk</t>
  </si>
  <si>
    <t>LSQ</t>
  </si>
  <si>
    <t>Orlando, FL</t>
  </si>
  <si>
    <t>Investment Banking &amp; Asset Management</t>
  </si>
  <si>
    <t>Data Scientist-Human Resources</t>
  </si>
  <si>
    <t>MIT Lincoln Laboratory</t>
  </si>
  <si>
    <t>Lexington, MA</t>
  </si>
  <si>
    <t>1951.0</t>
  </si>
  <si>
    <t>Aerospace &amp; Defense</t>
  </si>
  <si>
    <t>Kingfisher Systems</t>
  </si>
  <si>
    <t>McLean, VA</t>
  </si>
  <si>
    <t>Falls Church, VA</t>
  </si>
  <si>
    <t>2005.0</t>
  </si>
  <si>
    <t>2.8</t>
  </si>
  <si>
    <t>Formation</t>
  </si>
  <si>
    <t>75000.0</t>
  </si>
  <si>
    <t>5.0</t>
  </si>
  <si>
    <t>Cohere Health</t>
  </si>
  <si>
    <t>2019.0</t>
  </si>
  <si>
    <t>Senior Research Statistician- Data Scientist</t>
  </si>
  <si>
    <t>4.8</t>
  </si>
  <si>
    <t>Acuity Insurance</t>
  </si>
  <si>
    <t>Sheboygan, WI</t>
  </si>
  <si>
    <t>1925.0</t>
  </si>
  <si>
    <t>Data Engineer</t>
  </si>
  <si>
    <t>Chef</t>
  </si>
  <si>
    <t>United States</t>
  </si>
  <si>
    <t>Seattle, WA</t>
  </si>
  <si>
    <t>2008.0</t>
  </si>
  <si>
    <t>$50 to $100 million (USD)</t>
  </si>
  <si>
    <t>Puppet, Ansible, SaltStack</t>
  </si>
  <si>
    <t>Associate Data Scientist</t>
  </si>
  <si>
    <t>3.3</t>
  </si>
  <si>
    <t>Puget Sound Energy</t>
  </si>
  <si>
    <t>Bothell, WA</t>
  </si>
  <si>
    <t>Bellevue, WA</t>
  </si>
  <si>
    <t>1999.0</t>
  </si>
  <si>
    <t>Utilities</t>
  </si>
  <si>
    <t>Business Intelligence Analyst</t>
  </si>
  <si>
    <t>2.7</t>
  </si>
  <si>
    <t>Sandhills Global</t>
  </si>
  <si>
    <t>Lincoln, NE</t>
  </si>
  <si>
    <t>1978.0</t>
  </si>
  <si>
    <t>A Place for Mom</t>
  </si>
  <si>
    <t>Overland Park, KS</t>
  </si>
  <si>
    <t>Enlivant, Sunrise Senior Living, Brookdale Senior Living</t>
  </si>
  <si>
    <t>2.2</t>
  </si>
  <si>
    <t>Great-Circle Technologies</t>
  </si>
  <si>
    <t>$1 to $5 million (USD)</t>
  </si>
  <si>
    <t>Senior Analyst/Data Scientist</t>
  </si>
  <si>
    <t>Edmunds.com</t>
  </si>
  <si>
    <t>Santa Monica, CA</t>
  </si>
  <si>
    <t>1966.0</t>
  </si>
  <si>
    <t>TrueCar, Cars.com, Kelley Blue Book</t>
  </si>
  <si>
    <t>Data Analyst</t>
  </si>
  <si>
    <t>Cambridge Associates, LLC</t>
  </si>
  <si>
    <t>Machine Learning Engineer</t>
  </si>
  <si>
    <t>Liberty Mutual Insurance</t>
  </si>
  <si>
    <t>Portsmouth, NH</t>
  </si>
  <si>
    <t>1912.0</t>
  </si>
  <si>
    <t>Travelers, Allstate, State Farm</t>
  </si>
  <si>
    <t>Data Analyst I</t>
  </si>
  <si>
    <t>2.6</t>
  </si>
  <si>
    <t>Cenlar</t>
  </si>
  <si>
    <t>Ewing, NJ</t>
  </si>
  <si>
    <t>1958.0</t>
  </si>
  <si>
    <t>-1</t>
  </si>
  <si>
    <t>Scientist - Molecular Biology</t>
  </si>
  <si>
    <t>Arsenal Biosciences</t>
  </si>
  <si>
    <t>South San Francisco, CA</t>
  </si>
  <si>
    <t>Eversight</t>
  </si>
  <si>
    <t>Palo Alto, CA</t>
  </si>
  <si>
    <t>2013.0</t>
  </si>
  <si>
    <t>Computational Scientist</t>
  </si>
  <si>
    <t xml:space="preserve"> Machine Learning</t>
  </si>
  <si>
    <t>Pfizer</t>
  </si>
  <si>
    <t>1849.0</t>
  </si>
  <si>
    <t>Senior Data Scientist</t>
  </si>
  <si>
    <t>Klaviyo</t>
  </si>
  <si>
    <t>Intellectual Ventures</t>
  </si>
  <si>
    <t>GovTech</t>
  </si>
  <si>
    <t>Singapore, Singapore</t>
  </si>
  <si>
    <t>Quick Base</t>
  </si>
  <si>
    <t>Giving Assistant</t>
  </si>
  <si>
    <t>Takeda</t>
  </si>
  <si>
    <t>OSAKA, Japan</t>
  </si>
  <si>
    <t>1781.0</t>
  </si>
  <si>
    <t>Novartis, Baxter, Pfizer</t>
  </si>
  <si>
    <t>4.0</t>
  </si>
  <si>
    <t>Netskope</t>
  </si>
  <si>
    <t>Santa Clara, CA</t>
  </si>
  <si>
    <t>Skyhigh Networks, Zscaler, NortonLifeLock</t>
  </si>
  <si>
    <t>Jr. Data Engineer</t>
  </si>
  <si>
    <t>IT Concepts</t>
  </si>
  <si>
    <t>Vienna, VA</t>
  </si>
  <si>
    <t>E-Commerce Data Analyst</t>
  </si>
  <si>
    <t>iSeatz</t>
  </si>
  <si>
    <t>New Orleans, LA</t>
  </si>
  <si>
    <t>Data Analytics Engineer</t>
  </si>
  <si>
    <t>Summa Health System</t>
  </si>
  <si>
    <t>Akron, OH</t>
  </si>
  <si>
    <t>1926.0</t>
  </si>
  <si>
    <t>Benson Hill</t>
  </si>
  <si>
    <t>Product Data Scientist - Ads Data Science</t>
  </si>
  <si>
    <t>Twitter</t>
  </si>
  <si>
    <t>2006.0</t>
  </si>
  <si>
    <t>Facebook, Google, Pinterest</t>
  </si>
  <si>
    <t>Postmates - Corporate HQ</t>
  </si>
  <si>
    <t>Express Delivery Services</t>
  </si>
  <si>
    <t>Transportation &amp; Logistics</t>
  </si>
  <si>
    <t>DoorDash, Uber, Grubhub</t>
  </si>
  <si>
    <t>Data Scientist - Intermediate</t>
  </si>
  <si>
    <t>Envision LLC</t>
  </si>
  <si>
    <t>1994.0</t>
  </si>
  <si>
    <t>Staffing &amp; Outsourcing</t>
  </si>
  <si>
    <t>Swiss Re</t>
  </si>
  <si>
    <t>Fort Wayne, IN</t>
  </si>
  <si>
    <t>Zurich, Switzerland</t>
  </si>
  <si>
    <t>1863.0</t>
  </si>
  <si>
    <t>Insurance Agencies &amp; Brokerages</t>
  </si>
  <si>
    <t>Munich Re, Hannover RE, SCOR</t>
  </si>
  <si>
    <t>Systems &amp; Technology Research</t>
  </si>
  <si>
    <t>Woburn, MA</t>
  </si>
  <si>
    <t>79000.0</t>
  </si>
  <si>
    <t>Global Data Analyst</t>
  </si>
  <si>
    <t>Dermalogica</t>
  </si>
  <si>
    <t>Carson, CA</t>
  </si>
  <si>
    <t>Subsidiary or Business Segment</t>
  </si>
  <si>
    <t>Consumer Products Manufacturing</t>
  </si>
  <si>
    <t>IMAGE Skincare, Aveda, Kiehl's</t>
  </si>
  <si>
    <t>Bayview Asset Management</t>
  </si>
  <si>
    <t>Coral Gables, FL</t>
  </si>
  <si>
    <t>1995.0</t>
  </si>
  <si>
    <t>Via Transportation</t>
  </si>
  <si>
    <t>Grid Dynamics</t>
  </si>
  <si>
    <t>San Ramon, CA</t>
  </si>
  <si>
    <t>Luxoft, EPAM, Capgemini Invent</t>
  </si>
  <si>
    <t>Data &amp; Machine Learning Scientist</t>
  </si>
  <si>
    <t>Tempus Labs</t>
  </si>
  <si>
    <t>Data Scientist - Machine Learning</t>
  </si>
  <si>
    <t>2.5</t>
  </si>
  <si>
    <t>CareDx</t>
  </si>
  <si>
    <t>Brisbane, CA</t>
  </si>
  <si>
    <t>Sequenom</t>
  </si>
  <si>
    <t>Data Engineer (Remote)</t>
  </si>
  <si>
    <t>IZEA</t>
  </si>
  <si>
    <t>Winter Park, FL</t>
  </si>
  <si>
    <t>Linqia, Collective Bias</t>
  </si>
  <si>
    <t xml:space="preserve"> Applied Machine Learning - Bay Area</t>
  </si>
  <si>
    <t>Redwood City, CA</t>
  </si>
  <si>
    <t>Principal Data Scientist</t>
  </si>
  <si>
    <t>Autodesk</t>
  </si>
  <si>
    <t>San Rafael, CA</t>
  </si>
  <si>
    <t>1982.0</t>
  </si>
  <si>
    <t>Business Data Analyst</t>
  </si>
  <si>
    <t>Caterpillar</t>
  </si>
  <si>
    <t>Peoria, IL</t>
  </si>
  <si>
    <t>Deerfield, IL</t>
  </si>
  <si>
    <t>Industrial Manufacturing</t>
  </si>
  <si>
    <t>John Deere, Komatsu, CNH Industrial</t>
  </si>
  <si>
    <t>Purification Scientist</t>
  </si>
  <si>
    <t>4.9</t>
  </si>
  <si>
    <t>New England Biolabs</t>
  </si>
  <si>
    <t>Ipswich, MA</t>
  </si>
  <si>
    <t>1974.0</t>
  </si>
  <si>
    <t>Thermo Fisher Scientific, Enzymatics, Illumina</t>
  </si>
  <si>
    <t>Allied Solutions</t>
  </si>
  <si>
    <t>Carmel, IN</t>
  </si>
  <si>
    <t>2001.0</t>
  </si>
  <si>
    <t>CUNA Mutual, SWBC, Overby-Seawell</t>
  </si>
  <si>
    <t xml:space="preserve"> Enterprise Analytics</t>
  </si>
  <si>
    <t>The Knot Worldwide</t>
  </si>
  <si>
    <t>Chevy Chase, MD</t>
  </si>
  <si>
    <t>Zola Registry</t>
  </si>
  <si>
    <t>IFG Companies</t>
  </si>
  <si>
    <t>Hartford, CT</t>
  </si>
  <si>
    <t>1985.0</t>
  </si>
  <si>
    <t>Colony Specialty, Markel, RLI</t>
  </si>
  <si>
    <t>Data Scientist 3 (718)</t>
  </si>
  <si>
    <t>Amyris</t>
  </si>
  <si>
    <t>Emeryville, CA</t>
  </si>
  <si>
    <t>Real World Science</t>
  </si>
  <si>
    <t xml:space="preserve"> Data Scientist</t>
  </si>
  <si>
    <t>AstraZeneca</t>
  </si>
  <si>
    <t>Gaithersburg, MD</t>
  </si>
  <si>
    <t>Cambridge, United Kingdom</t>
  </si>
  <si>
    <t>1913.0</t>
  </si>
  <si>
    <t>Roche, GlaxoSmithKline, Novartis</t>
  </si>
  <si>
    <t>Powertek</t>
  </si>
  <si>
    <t>Rockville, MD</t>
  </si>
  <si>
    <t>Object Partners</t>
  </si>
  <si>
    <t>Minneapolis, MN</t>
  </si>
  <si>
    <t>Solution Design Group, Intertech (Minnesota)</t>
  </si>
  <si>
    <t>Data Scientist - Image and Video Analytics</t>
  </si>
  <si>
    <t>The Mom Project</t>
  </si>
  <si>
    <t>Longmont, CO</t>
  </si>
  <si>
    <t>Lightspeed Systems</t>
  </si>
  <si>
    <t>Austin, TX</t>
  </si>
  <si>
    <t>Data Science Manager</t>
  </si>
  <si>
    <t xml:space="preserve"> Payment Acceptance - USA</t>
  </si>
  <si>
    <t>Stripe</t>
  </si>
  <si>
    <t>Braintree, Authorize.Net, PayPal</t>
  </si>
  <si>
    <t>Comprehensive Healthcare</t>
  </si>
  <si>
    <t>Yakima, WA</t>
  </si>
  <si>
    <t>1971.0</t>
  </si>
  <si>
    <t>Data Scientist / Applied Mathematician</t>
  </si>
  <si>
    <t>Fullpower Technologies, Inc.</t>
  </si>
  <si>
    <t>Santa Cruz, CA</t>
  </si>
  <si>
    <t>Mars</t>
  </si>
  <si>
    <t>1911.0</t>
  </si>
  <si>
    <t>Food &amp; Beverage Manufacturing</t>
  </si>
  <si>
    <t>Patient Safety- Associate Data Scientist</t>
  </si>
  <si>
    <t>NuWave Solutions</t>
  </si>
  <si>
    <t>Springfield, VA</t>
  </si>
  <si>
    <t>$5 to $10 million (USD)</t>
  </si>
  <si>
    <t>Alexandria, VA</t>
  </si>
  <si>
    <t>(Sr.) Data Scientist -</t>
  </si>
  <si>
    <t>Merrick Bank</t>
  </si>
  <si>
    <t>Utah</t>
  </si>
  <si>
    <t>South Jordan, UT</t>
  </si>
  <si>
    <t>Banks &amp; Credit Unions</t>
  </si>
  <si>
    <t>99000.0</t>
  </si>
  <si>
    <t>QOMPLX</t>
  </si>
  <si>
    <t>Reston, VA</t>
  </si>
  <si>
    <t xml:space="preserve"> Kinship - NYC/Portland</t>
  </si>
  <si>
    <t>GutCheck</t>
  </si>
  <si>
    <t>Denver, CO</t>
  </si>
  <si>
    <t>2009.0</t>
  </si>
  <si>
    <t>Nielsen, Zappi, SurveyMonkey</t>
  </si>
  <si>
    <t>Applied Technology Researcher / Data Scientist</t>
  </si>
  <si>
    <t>Inter-American Development Bank</t>
  </si>
  <si>
    <t>1959.0</t>
  </si>
  <si>
    <t>Other Organization</t>
  </si>
  <si>
    <t>The World Bank, IMF</t>
  </si>
  <si>
    <t>Avlino</t>
  </si>
  <si>
    <t>New Jersey</t>
  </si>
  <si>
    <t>Holmdel, NJ</t>
  </si>
  <si>
    <t>Less than $1 million (USD)</t>
  </si>
  <si>
    <t>Stratagem Group</t>
  </si>
  <si>
    <t>Aurora, CO</t>
  </si>
  <si>
    <t>2007.0</t>
  </si>
  <si>
    <t>Health Data Scientist - Biomedical/Biostats</t>
  </si>
  <si>
    <t>Evidation</t>
  </si>
  <si>
    <t>San Mateo, CA</t>
  </si>
  <si>
    <t>Staff Data Scientist</t>
  </si>
  <si>
    <t>Tecolote Research</t>
  </si>
  <si>
    <t>Hill AFB, UT</t>
  </si>
  <si>
    <t>Goleta, CA</t>
  </si>
  <si>
    <t>Sr Data Engineer (Sr BI Developer)</t>
  </si>
  <si>
    <t>Tivity Health</t>
  </si>
  <si>
    <t>Chandler, AZ</t>
  </si>
  <si>
    <t>Franklin, TN</t>
  </si>
  <si>
    <t>hc1</t>
  </si>
  <si>
    <t>Indianapolis, IN</t>
  </si>
  <si>
    <t>Lead Data Scientist</t>
  </si>
  <si>
    <t>HP Inc.</t>
  </si>
  <si>
    <t>1939.0</t>
  </si>
  <si>
    <t>SAIC</t>
  </si>
  <si>
    <t>Booz Allen Hamilton, CACI International</t>
  </si>
  <si>
    <t>RFP Data Analyst</t>
  </si>
  <si>
    <t>AllianceBernstein</t>
  </si>
  <si>
    <t>Nashville, TN</t>
  </si>
  <si>
    <t>Big Huge Games</t>
  </si>
  <si>
    <t>Timonium, MD</t>
  </si>
  <si>
    <t>Lutherville Timonium, MD</t>
  </si>
  <si>
    <t>Video Games</t>
  </si>
  <si>
    <t>Media</t>
  </si>
  <si>
    <t>Data Scientist (TS/SCI)</t>
  </si>
  <si>
    <t>Maxar Technologies</t>
  </si>
  <si>
    <t>Westminster, CO</t>
  </si>
  <si>
    <t>Phantom AI</t>
  </si>
  <si>
    <t>Burlingame, CA</t>
  </si>
  <si>
    <t>Noblis</t>
  </si>
  <si>
    <t>Booz Allen Hamilton, SAIC, LMI</t>
  </si>
  <si>
    <t>Spring Health</t>
  </si>
  <si>
    <t>Software Engineer - Data Science</t>
  </si>
  <si>
    <t>ClearEdge</t>
  </si>
  <si>
    <t>Annapolis Junction, MD</t>
  </si>
  <si>
    <t>2002.0</t>
  </si>
  <si>
    <t>Data Analyst/Engineer</t>
  </si>
  <si>
    <t>NGS Scientist</t>
  </si>
  <si>
    <t>GetWellNetwork</t>
  </si>
  <si>
    <t>Bethesda, MD</t>
  </si>
  <si>
    <t>Epic, CipherHealth</t>
  </si>
  <si>
    <t>TACG Solutions</t>
  </si>
  <si>
    <t>Dayton, OH</t>
  </si>
  <si>
    <t>Beavercreek, OH</t>
  </si>
  <si>
    <t>Copper River Shared Services, Chenega Corporation, Deloitte</t>
  </si>
  <si>
    <t>Senior Data Engineer</t>
  </si>
  <si>
    <t>Scoop</t>
  </si>
  <si>
    <t>Montway Inc</t>
  </si>
  <si>
    <t>Schaumburg, IL</t>
  </si>
  <si>
    <t>Shipping</t>
  </si>
  <si>
    <t>Sr. ML/Data Scientist - AI/NLP/Chatbot</t>
  </si>
  <si>
    <t>Juniper Networks</t>
  </si>
  <si>
    <t>Cupertino, CA</t>
  </si>
  <si>
    <t>Sunnyvale, CA</t>
  </si>
  <si>
    <t>Telecommunications Services</t>
  </si>
  <si>
    <t>Telecommunications</t>
  </si>
  <si>
    <t>90000.0</t>
  </si>
  <si>
    <t>Notion Labs</t>
  </si>
  <si>
    <t>Lendio</t>
  </si>
  <si>
    <t>Lehi, UT</t>
  </si>
  <si>
    <t>Lending</t>
  </si>
  <si>
    <t>Direct Agents</t>
  </si>
  <si>
    <t>Culver City, CA</t>
  </si>
  <si>
    <t>NAVEX Global</t>
  </si>
  <si>
    <t>Lake Oswego, OR</t>
  </si>
  <si>
    <t>Upstart</t>
  </si>
  <si>
    <t>AppLovin</t>
  </si>
  <si>
    <t>Data Integration and Modeling Engineer</t>
  </si>
  <si>
    <t>ISO New England</t>
  </si>
  <si>
    <t>Holyoke, MA</t>
  </si>
  <si>
    <t>Tableau Data Engineer 20-0117</t>
  </si>
  <si>
    <t>Relativity</t>
  </si>
  <si>
    <t>Tempo Automation</t>
  </si>
  <si>
    <t>AI Data Scientist</t>
  </si>
  <si>
    <t>MITRE</t>
  </si>
  <si>
    <t>Battelle, General Atomics, SAIC</t>
  </si>
  <si>
    <t>Expedition Technology, Inc.</t>
  </si>
  <si>
    <t>Dulles, VA</t>
  </si>
  <si>
    <t>Research Scientist Patient Preferences (Remote)</t>
  </si>
  <si>
    <t>Evidera</t>
  </si>
  <si>
    <t>IQVIA, ICON</t>
  </si>
  <si>
    <t>Plymouth Rock Assurance</t>
  </si>
  <si>
    <t>Woodbridge, NJ</t>
  </si>
  <si>
    <t>Arbella Insurance, Safety Insurance</t>
  </si>
  <si>
    <t>Scientist - Biomarker and Flow Cytometry</t>
  </si>
  <si>
    <t>2.4</t>
  </si>
  <si>
    <t>Crown Bioscience</t>
  </si>
  <si>
    <t>GNS Healthcare</t>
  </si>
  <si>
    <t>Analytics Manager</t>
  </si>
  <si>
    <t>OneMagnify</t>
  </si>
  <si>
    <t>Dearborn, MI</t>
  </si>
  <si>
    <t>Detroit, MI</t>
  </si>
  <si>
    <t>SPECTRUM</t>
  </si>
  <si>
    <t>Maryland Heights, MO</t>
  </si>
  <si>
    <t>Stamford, CT</t>
  </si>
  <si>
    <t>Cable, Internet &amp; Telephone Providers</t>
  </si>
  <si>
    <t>Staff Scientist- Upstream PD</t>
  </si>
  <si>
    <t>Advanced BioScience Laboratories</t>
  </si>
  <si>
    <t>1961.0</t>
  </si>
  <si>
    <t>Procore Technologies</t>
  </si>
  <si>
    <t>Carpinteria, CA</t>
  </si>
  <si>
    <t>Sr Scientist - Extractables &amp; Leachables</t>
  </si>
  <si>
    <t>Ritedose</t>
  </si>
  <si>
    <t>Columbia, SC</t>
  </si>
  <si>
    <t>ELISA RESEARCH SCIENTIST (CV-15)</t>
  </si>
  <si>
    <t>Covid-19 Search Partners</t>
  </si>
  <si>
    <t>Hauppauge, NY</t>
  </si>
  <si>
    <t>bioMérieux</t>
  </si>
  <si>
    <t>Marcy-l'Etoile, France</t>
  </si>
  <si>
    <t>1963.0</t>
  </si>
  <si>
    <t>101000.0</t>
  </si>
  <si>
    <t>Radical Convergence</t>
  </si>
  <si>
    <t>Leidos</t>
  </si>
  <si>
    <t>Fort Meade, MD</t>
  </si>
  <si>
    <t>1969.0</t>
  </si>
  <si>
    <t>Demandbase</t>
  </si>
  <si>
    <t>Engagio, Bombora, Terminus</t>
  </si>
  <si>
    <t>Say Business Data Analyst</t>
  </si>
  <si>
    <t>Shelter Insurance</t>
  </si>
  <si>
    <t>Columbia, MO</t>
  </si>
  <si>
    <t>1946.0</t>
  </si>
  <si>
    <t>Geospatial Data Scientist</t>
  </si>
  <si>
    <t>USAC</t>
  </si>
  <si>
    <t>General Dynamics Information Technology</t>
  </si>
  <si>
    <t>Vicksburg, MS</t>
  </si>
  <si>
    <t>Fairfax, VA</t>
  </si>
  <si>
    <t>SAIC, Leidos, Northrop Grumman</t>
  </si>
  <si>
    <t>Offerpad</t>
  </si>
  <si>
    <t>Real Estate</t>
  </si>
  <si>
    <t>Senior Data Analyst</t>
  </si>
  <si>
    <t>Magna International Inc.</t>
  </si>
  <si>
    <t>Birmingham, AL</t>
  </si>
  <si>
    <t>Aurora, Canada</t>
  </si>
  <si>
    <t>1957.0</t>
  </si>
  <si>
    <t>Bosch, Lear Corporation, Faurecia</t>
  </si>
  <si>
    <t>Sr Data Analyst</t>
  </si>
  <si>
    <t>2.3</t>
  </si>
  <si>
    <t>United BioSource</t>
  </si>
  <si>
    <t>Blue Bell, PA</t>
  </si>
  <si>
    <t>Covance, ICON</t>
  </si>
  <si>
    <t>Kelly</t>
  </si>
  <si>
    <t>Troy, MI</t>
  </si>
  <si>
    <t>Adecco, ManpowerGroup, Allegis Corporation</t>
  </si>
  <si>
    <t>Machine Learning Scientist - Bay Area</t>
  </si>
  <si>
    <t xml:space="preserve"> CA</t>
  </si>
  <si>
    <t>C3.ai</t>
  </si>
  <si>
    <t>GE Digital, Palantir Technologies, Uptake</t>
  </si>
  <si>
    <t>Senior Data Scientist - Algorithms</t>
  </si>
  <si>
    <t>Quartet Health</t>
  </si>
  <si>
    <t>Midland Credit Management</t>
  </si>
  <si>
    <t>1953.0</t>
  </si>
  <si>
    <t>PRA Group</t>
  </si>
  <si>
    <t>Senior Data &amp; Machine Learning Scientist</t>
  </si>
  <si>
    <t>Resurgent Capital Services</t>
  </si>
  <si>
    <t>Cincinnati, OH</t>
  </si>
  <si>
    <t>Greenville, SC</t>
  </si>
  <si>
    <t>Venture Capital &amp; Private Equity</t>
  </si>
  <si>
    <t>56000.0</t>
  </si>
  <si>
    <t>Arlington, VA</t>
  </si>
  <si>
    <t>Research Scientist - Patient-Centered Research (Remote)</t>
  </si>
  <si>
    <t>Jr. Business Data Analyst (position added 6/12/2020)</t>
  </si>
  <si>
    <t>webfx.com</t>
  </si>
  <si>
    <t>Harrisburg, PA</t>
  </si>
  <si>
    <t>Sr. Data Scientist II</t>
  </si>
  <si>
    <t>Argo Group US</t>
  </si>
  <si>
    <t>Hamilton, Bermuda</t>
  </si>
  <si>
    <t>1948.0</t>
  </si>
  <si>
    <t>BWX Technologies</t>
  </si>
  <si>
    <t>Oak Ridge, TN</t>
  </si>
  <si>
    <t>Lynchburg, VA</t>
  </si>
  <si>
    <t>1850.0</t>
  </si>
  <si>
    <t>Life360</t>
  </si>
  <si>
    <t>MassMutual</t>
  </si>
  <si>
    <t>Springfield, MA</t>
  </si>
  <si>
    <t>1851.0</t>
  </si>
  <si>
    <t>Production Engineer - Statistics/Data Analysis</t>
  </si>
  <si>
    <t>Natera</t>
  </si>
  <si>
    <t>San Carlos, CA</t>
  </si>
  <si>
    <t>2004.0</t>
  </si>
  <si>
    <t>Genomic Health, 23andMe, Illumina</t>
  </si>
  <si>
    <t>Statistical Scientist</t>
  </si>
  <si>
    <t>Genentech</t>
  </si>
  <si>
    <t>1976.0</t>
  </si>
  <si>
    <t>Computational Behavioral Scientist</t>
  </si>
  <si>
    <t>Ntrepid</t>
  </si>
  <si>
    <t>Bromium, FireEye, Authentic8</t>
  </si>
  <si>
    <t>Principal Data Scientist - Machine Learning</t>
  </si>
  <si>
    <t>Constant Contact</t>
  </si>
  <si>
    <t>Waltham, MA</t>
  </si>
  <si>
    <t>Unknown</t>
  </si>
  <si>
    <t>Drip, iContact, Mailchimp</t>
  </si>
  <si>
    <t>Principal Machine Learning Scientist</t>
  </si>
  <si>
    <t>Sage Intacct</t>
  </si>
  <si>
    <t>San Jose, CA</t>
  </si>
  <si>
    <t>Shape Security</t>
  </si>
  <si>
    <t>SkillSoniq</t>
  </si>
  <si>
    <t>Jersey City, NJ</t>
  </si>
  <si>
    <t>Senior Data Scientist - R&amp;D Oncology</t>
  </si>
  <si>
    <t>Joby Aviation</t>
  </si>
  <si>
    <t>Health Plan Data Analyst</t>
  </si>
  <si>
    <t xml:space="preserve"> Sr</t>
  </si>
  <si>
    <t>Cook Children's Health Care System</t>
  </si>
  <si>
    <t>Fort Worth, TX</t>
  </si>
  <si>
    <t>1918.0</t>
  </si>
  <si>
    <t>Children's Health, Texas Health Resources, Baylor Scott &amp; White Health</t>
  </si>
  <si>
    <t>Principal Scientist/Associate Director</t>
  </si>
  <si>
    <t xml:space="preserve"> Quality Control and Analytical Technologies</t>
  </si>
  <si>
    <t>Rubius Therapeutics</t>
  </si>
  <si>
    <t>Smithfield, RI</t>
  </si>
  <si>
    <t>Analytics - Business Assurance Data Analyst</t>
  </si>
  <si>
    <t>4.6</t>
  </si>
  <si>
    <t>GreatAmerica Financial Services</t>
  </si>
  <si>
    <t>Cedar Rapids, IA</t>
  </si>
  <si>
    <t>Coverent</t>
  </si>
  <si>
    <t>Mteq</t>
  </si>
  <si>
    <t>Fort Belvoir, VA</t>
  </si>
  <si>
    <t>Lorton, VA</t>
  </si>
  <si>
    <t>1954.0</t>
  </si>
  <si>
    <t>Harris, Fibertek</t>
  </si>
  <si>
    <t>Rocket Lawyer</t>
  </si>
  <si>
    <t>Senior Data Scientist – Image Analytics</t>
  </si>
  <si>
    <t xml:space="preserve"> Novartis AI Innovation Lab</t>
  </si>
  <si>
    <t>Alion Science &amp; Technology</t>
  </si>
  <si>
    <t>Linthicum Heights, MD</t>
  </si>
  <si>
    <t>Data Science Instructor</t>
  </si>
  <si>
    <t>Senior Business Intelligence Analyst</t>
  </si>
  <si>
    <t>Protolabs</t>
  </si>
  <si>
    <t>Maple Plain, MN</t>
  </si>
  <si>
    <t>Miscellaneous Manufacturing</t>
  </si>
  <si>
    <t>In-Line Inspection Data Analyst</t>
  </si>
  <si>
    <t>Quest Integrity</t>
  </si>
  <si>
    <t>Tulsa, OK</t>
  </si>
  <si>
    <t>Kent, WA</t>
  </si>
  <si>
    <t>Oil &amp; Gas Services</t>
  </si>
  <si>
    <t>Data Scientist - TS/SCI FSP or CI Required</t>
  </si>
  <si>
    <t>Phoenix Operations Group</t>
  </si>
  <si>
    <t>Woodbine, MD</t>
  </si>
  <si>
    <t>Dice.com</t>
  </si>
  <si>
    <t>Monster Worldwide, CareerBuilder, Craigslist</t>
  </si>
  <si>
    <t>Data Scientist - TS/SCI Required</t>
  </si>
  <si>
    <t>Baltimore, MD</t>
  </si>
  <si>
    <t>Data Science Software Engineer</t>
  </si>
  <si>
    <t>ENGINEER - COMPUTER SCIENTIST - RESEARCH COMPUTER SCIENTIST - SIGNAL PROCESSING - SAN ANTONIO OR</t>
  </si>
  <si>
    <t>Southwest Research Institute</t>
  </si>
  <si>
    <t>Oklahoma City, OK</t>
  </si>
  <si>
    <t>San Antonio, TX</t>
  </si>
  <si>
    <t>1947.0</t>
  </si>
  <si>
    <t>Los Alamos National Laboratory, Battelle, SRI International</t>
  </si>
  <si>
    <t>AI Ops Data Scientist</t>
  </si>
  <si>
    <t>Intelligence Data Analyst</t>
  </si>
  <si>
    <t xml:space="preserve"> Senior</t>
  </si>
  <si>
    <t>The Buffalo Group</t>
  </si>
  <si>
    <t>ManTech, Booz Allen Hamilton, Leidos</t>
  </si>
  <si>
    <t>Analytics Manager - Data Mart</t>
  </si>
  <si>
    <t>Central California Alliance for Health</t>
  </si>
  <si>
    <t>Scotts Valley, CA</t>
  </si>
  <si>
    <t>Data Modeler (Analytical Systems)</t>
  </si>
  <si>
    <t>Senior Machine Learning Scientist - Bay Area</t>
  </si>
  <si>
    <t>Report Writer-Data Analyst</t>
  </si>
  <si>
    <t>Security Finance Corporation of Spartanburg</t>
  </si>
  <si>
    <t>Spartanburg, SC</t>
  </si>
  <si>
    <t>1955.0</t>
  </si>
  <si>
    <t>71000.0</t>
  </si>
  <si>
    <t>Staff Data Scientist - Pricing</t>
  </si>
  <si>
    <t>Opendoor</t>
  </si>
  <si>
    <t>Global Data Management Inc</t>
  </si>
  <si>
    <t>3.0</t>
  </si>
  <si>
    <t>Photon Infotech</t>
  </si>
  <si>
    <t>Chennai, India</t>
  </si>
  <si>
    <t>REE</t>
  </si>
  <si>
    <t>Tel Aviv-Yafo, Israel</t>
  </si>
  <si>
    <t>2018.0</t>
  </si>
  <si>
    <t>Transportation Equipment Manufacturing</t>
  </si>
  <si>
    <t>Riverside Research Institute</t>
  </si>
  <si>
    <t>Equity Data Insights Analyst - Quantitative Analyst</t>
  </si>
  <si>
    <t>T. Rowe Price</t>
  </si>
  <si>
    <t>1937.0</t>
  </si>
  <si>
    <t>Encode, Inc.</t>
  </si>
  <si>
    <t>Norfolk, VA</t>
  </si>
  <si>
    <t>Manalapan, NJ</t>
  </si>
  <si>
    <t>Operations Data Analyst</t>
  </si>
  <si>
    <t>Brighthouse Financial</t>
  </si>
  <si>
    <t>Charlotte, NC</t>
  </si>
  <si>
    <t>II-VI Incorporated</t>
  </si>
  <si>
    <t>Champaign, IL</t>
  </si>
  <si>
    <t>Saxonburg, PA</t>
  </si>
  <si>
    <t>Telecommunications Manufacturing</t>
  </si>
  <si>
    <t>Lumentum Operations, Keysight Technologies, O-Net Technologies</t>
  </si>
  <si>
    <t>Surya Systems</t>
  </si>
  <si>
    <t>Bristol, PA</t>
  </si>
  <si>
    <t>PayPal</t>
  </si>
  <si>
    <t>Texas</t>
  </si>
  <si>
    <t>Square, Amazon, Apple</t>
  </si>
  <si>
    <t>Predictive Research Inc</t>
  </si>
  <si>
    <t>Bangalore, India</t>
  </si>
  <si>
    <t>Software Data Engineer</t>
  </si>
  <si>
    <t>1010data</t>
  </si>
  <si>
    <t>Gigya</t>
  </si>
  <si>
    <t>Real World Evidence (RWE) Scientist</t>
  </si>
  <si>
    <t>Genesis Research</t>
  </si>
  <si>
    <t>Hoboken, NJ</t>
  </si>
  <si>
    <t>Sanofi</t>
  </si>
  <si>
    <t>Paris, France</t>
  </si>
  <si>
    <t>Pfizer, GlaxoSmithKline</t>
  </si>
  <si>
    <t>XPO Logistics</t>
  </si>
  <si>
    <t>Lebanon, IN</t>
  </si>
  <si>
    <t>Greenwich, CT</t>
  </si>
  <si>
    <t>Transportation Management</t>
  </si>
  <si>
    <t>DHL Supply Chain, UPS, FedEx</t>
  </si>
  <si>
    <t>Trace Data</t>
  </si>
  <si>
    <t>Oakland, CA</t>
  </si>
  <si>
    <t>Santa Ana, CA</t>
  </si>
  <si>
    <t>Descript</t>
  </si>
  <si>
    <t>Houston, TX</t>
  </si>
  <si>
    <t>Computer Scientist 1</t>
  </si>
  <si>
    <t>Rincon Research Corporation</t>
  </si>
  <si>
    <t>Melbourne, FL</t>
  </si>
  <si>
    <t>Tucson, AZ</t>
  </si>
  <si>
    <t>Raytheon Technologies, General Dynamics, MIT Lincoln Laboratory</t>
  </si>
  <si>
    <t>Better Hire</t>
  </si>
  <si>
    <t>Parker Hannifin</t>
  </si>
  <si>
    <t>Cleveland, OH</t>
  </si>
  <si>
    <t>1917.0</t>
  </si>
  <si>
    <t>Eaton, SMC Corporation, Bosch Rexroth</t>
  </si>
  <si>
    <t>Gallup</t>
  </si>
  <si>
    <t>1935.0</t>
  </si>
  <si>
    <t>Advisory Board, Booz Allen Hamilton, McKinsey &amp; Company</t>
  </si>
  <si>
    <t>Insider Inc</t>
  </si>
  <si>
    <t>News Outlet</t>
  </si>
  <si>
    <t>Rapid Value Solutions</t>
  </si>
  <si>
    <t>Pleasanton, CA</t>
  </si>
  <si>
    <t>Environmental Data Science</t>
  </si>
  <si>
    <t>Battelle</t>
  </si>
  <si>
    <t>Norwell, MA</t>
  </si>
  <si>
    <t>Columbus, OH</t>
  </si>
  <si>
    <t>1929.0</t>
  </si>
  <si>
    <t>The Drive Media, Inc.</t>
  </si>
  <si>
    <t>Staff BI and Data Engineer</t>
  </si>
  <si>
    <t>91000.0</t>
  </si>
  <si>
    <t xml:space="preserve"> Mid-Career</t>
  </si>
  <si>
    <t>Pacific Northwest National Laboratory</t>
  </si>
  <si>
    <t>Director of Data Science</t>
  </si>
  <si>
    <t>US Pharmacopeia</t>
  </si>
  <si>
    <t>1820.0</t>
  </si>
  <si>
    <t>Itlize Global</t>
  </si>
  <si>
    <t>Piscataway, NJ</t>
  </si>
  <si>
    <t>eBay</t>
  </si>
  <si>
    <t>Amazon, Apple</t>
  </si>
  <si>
    <t xml:space="preserve"> Digital &amp; Comp Pathology</t>
  </si>
  <si>
    <t>Paige</t>
  </si>
  <si>
    <t>Manager / Lead</t>
  </si>
  <si>
    <t xml:space="preserve"> Data Science &amp; Analytics</t>
  </si>
  <si>
    <t>ABIOMED</t>
  </si>
  <si>
    <t>Danvers, MA</t>
  </si>
  <si>
    <t>Covidien, Boston Scientific</t>
  </si>
  <si>
    <t>Comcast</t>
  </si>
  <si>
    <t>Philadelphia, PA</t>
  </si>
  <si>
    <t>AT&amp;T, Verizon</t>
  </si>
  <si>
    <t>Metronome, LLC</t>
  </si>
  <si>
    <t>Lawrence Livermore National Lab</t>
  </si>
  <si>
    <t>Livermore, CA</t>
  </si>
  <si>
    <t>1952.0</t>
  </si>
  <si>
    <t>Los Alamos National Laboratory, NASA Jet Propulsion Laboratory, Sandia National Laboratories</t>
  </si>
  <si>
    <t>Diversity and Inclusion Data Analyst</t>
  </si>
  <si>
    <t>FHLBank Pittsburgh</t>
  </si>
  <si>
    <t>Pittsburgh, PA</t>
  </si>
  <si>
    <t>1932.0</t>
  </si>
  <si>
    <t>Jacobs</t>
  </si>
  <si>
    <t>Dallas, TX</t>
  </si>
  <si>
    <t>Architectural &amp; Engineering Services</t>
  </si>
  <si>
    <t>Fluor, Bechtel, AECOM</t>
  </si>
  <si>
    <t>Underwriters Laboratories</t>
  </si>
  <si>
    <t>1894.0</t>
  </si>
  <si>
    <t>Intertek, SGS, Bureau Veritas</t>
  </si>
  <si>
    <t>Altus Group</t>
  </si>
  <si>
    <t>Irvine, CA</t>
  </si>
  <si>
    <t>Toronto, Canada</t>
  </si>
  <si>
    <t>Jobot</t>
  </si>
  <si>
    <t>Trovetechs Inc</t>
  </si>
  <si>
    <t>Hillsborough, NJ</t>
  </si>
  <si>
    <t>141000.0</t>
  </si>
  <si>
    <t>Oshkosh Corporation</t>
  </si>
  <si>
    <t>Oshkosh, WI</t>
  </si>
  <si>
    <t>Lockheed Martin, Caterpillar, John Deere</t>
  </si>
  <si>
    <t>Mackin</t>
  </si>
  <si>
    <t>1960.0</t>
  </si>
  <si>
    <t>PETADATA</t>
  </si>
  <si>
    <t>Fremont, CA</t>
  </si>
  <si>
    <t>VBeyond Corporation</t>
  </si>
  <si>
    <t>Data Scientist Machine Learning</t>
  </si>
  <si>
    <t>Take-Two</t>
  </si>
  <si>
    <t>Activision Blizzard, Electronic Arts</t>
  </si>
  <si>
    <t>Colony Brands</t>
  </si>
  <si>
    <t>Monroe, WI</t>
  </si>
  <si>
    <t>Food &amp; Beverage Stores</t>
  </si>
  <si>
    <t>Capio Group</t>
  </si>
  <si>
    <t>Sacramento, CA</t>
  </si>
  <si>
    <t>Goteborg, Sweden</t>
  </si>
  <si>
    <t>Hospital</t>
  </si>
  <si>
    <t>SleePare</t>
  </si>
  <si>
    <t>Other Retail Stores</t>
  </si>
  <si>
    <t>ShorePoint</t>
  </si>
  <si>
    <t>Dolphin</t>
  </si>
  <si>
    <t>Lake Buena Vista, FL</t>
  </si>
  <si>
    <t>Hotels, Motels, &amp; Resorts</t>
  </si>
  <si>
    <t>Travel &amp; Tourism</t>
  </si>
  <si>
    <t>TE Connectivity</t>
  </si>
  <si>
    <t>Hampton, VA</t>
  </si>
  <si>
    <t>Schaffhausen, Switzerland</t>
  </si>
  <si>
    <t>State of Virginia</t>
  </si>
  <si>
    <t>Richmond, VA</t>
  </si>
  <si>
    <t>1788.0</t>
  </si>
  <si>
    <t>State &amp; Regional Agencies</t>
  </si>
  <si>
    <t>TA Digital</t>
  </si>
  <si>
    <t>Newark, CA</t>
  </si>
  <si>
    <t>Market America Inc</t>
  </si>
  <si>
    <t>Monterey, CA</t>
  </si>
  <si>
    <t>Greensboro, NC</t>
  </si>
  <si>
    <t>145000.0</t>
  </si>
  <si>
    <t>Chief Scientist</t>
  </si>
  <si>
    <t>TrueAccord</t>
  </si>
  <si>
    <t>ALTA IT Services</t>
  </si>
  <si>
    <t>Woodlawn, MD</t>
  </si>
  <si>
    <t>Kollasoft Inc.</t>
  </si>
  <si>
    <t>Scottsdale, AZ</t>
  </si>
  <si>
    <t>Irving, TX</t>
  </si>
  <si>
    <t>ASRC Federal Holding Company</t>
  </si>
  <si>
    <t>Beltsville, MD</t>
  </si>
  <si>
    <t>Adwait Algorithm</t>
  </si>
  <si>
    <t>Cambridge FX</t>
  </si>
  <si>
    <t>Financial Transaction Processing</t>
  </si>
  <si>
    <t>Metromile</t>
  </si>
  <si>
    <t>Criteo</t>
  </si>
  <si>
    <t>Ann Arbor, MI</t>
  </si>
  <si>
    <t>MediaMath, Conversant, AppNexus</t>
  </si>
  <si>
    <t>Advance Sourcing Concepts</t>
  </si>
  <si>
    <t>Enterprise Solutions Inc</t>
  </si>
  <si>
    <t>Naperville, IL</t>
  </si>
  <si>
    <t>Microagility</t>
  </si>
  <si>
    <t>Conch Technologies, Inc</t>
  </si>
  <si>
    <t>Concord, CA</t>
  </si>
  <si>
    <t>Development Scientist</t>
  </si>
  <si>
    <t xml:space="preserve"> Voltaren</t>
  </si>
  <si>
    <t>GSK</t>
  </si>
  <si>
    <t>Brentford, United Kingdom</t>
  </si>
  <si>
    <t>1830.0</t>
  </si>
  <si>
    <t>Pfizer, AstraZeneca, Merck</t>
  </si>
  <si>
    <t>Rainmaker Resources, LLC</t>
  </si>
  <si>
    <t>22nd Century Technologies</t>
  </si>
  <si>
    <t>Somerset, NJ</t>
  </si>
  <si>
    <t>Huxley</t>
  </si>
  <si>
    <t>London, United Kingdom</t>
  </si>
  <si>
    <t>FM Systems</t>
  </si>
  <si>
    <t>Raleigh, NC</t>
  </si>
  <si>
    <t>1984.0</t>
  </si>
  <si>
    <t>Archibus, iOffice, Planon</t>
  </si>
  <si>
    <t>B4Corp</t>
  </si>
  <si>
    <t>Leesburg, VA</t>
  </si>
  <si>
    <t>Principal Data &amp; Analytics Platform Engineer</t>
  </si>
  <si>
    <t>Blue Cross and Blue Shield of North Carolina</t>
  </si>
  <si>
    <t>Durham, NC</t>
  </si>
  <si>
    <t>1933.0</t>
  </si>
  <si>
    <t>Machine Learning Engineer/Scientist</t>
  </si>
  <si>
    <t>Jane Street</t>
  </si>
  <si>
    <t>SSATI</t>
  </si>
  <si>
    <t>Solving IT International Inc</t>
  </si>
  <si>
    <t>The Davey Tree Expert Company</t>
  </si>
  <si>
    <t>Kent, OH</t>
  </si>
  <si>
    <t>1880.0</t>
  </si>
  <si>
    <t>Self-employed</t>
  </si>
  <si>
    <t>Timber Operations</t>
  </si>
  <si>
    <t>Agriculture &amp; Forestry</t>
  </si>
  <si>
    <t>ACRT Services, Bartlett Tree Experts</t>
  </si>
  <si>
    <t>Centauri</t>
  </si>
  <si>
    <t>TASC, Vencore, Booz Allen Hamilton</t>
  </si>
  <si>
    <t>Stride Search</t>
  </si>
  <si>
    <t>Westlake Village, CA</t>
  </si>
  <si>
    <t>Software Engineering Institute</t>
  </si>
  <si>
    <t>College / University</t>
  </si>
  <si>
    <t>Colleges &amp; Universities</t>
  </si>
  <si>
    <t>Education</t>
  </si>
  <si>
    <t>Data Analyst - Unilever Prestige</t>
  </si>
  <si>
    <t>TechProjects</t>
  </si>
  <si>
    <t>North Brunswick, NJ</t>
  </si>
  <si>
    <t>VP</t>
  </si>
  <si>
    <t xml:space="preserve"> Data Science</t>
  </si>
  <si>
    <t>7Park Data</t>
  </si>
  <si>
    <t>122000.0</t>
  </si>
  <si>
    <t>Ameritas Life Insurance Corp</t>
  </si>
  <si>
    <t>1887.0</t>
  </si>
  <si>
    <t>Data Engineer - Kafka</t>
  </si>
  <si>
    <t>Western Digital</t>
  </si>
  <si>
    <t>1970.0</t>
  </si>
  <si>
    <t>Seagate Technology, Toshiba</t>
  </si>
  <si>
    <t>Shimento, Inc.</t>
  </si>
  <si>
    <t>Benicia, CA</t>
  </si>
  <si>
    <t>Averity</t>
  </si>
  <si>
    <t>Praxis Engineering</t>
  </si>
  <si>
    <t>Raytheon Technologies, Northrop Grumman, Booz Allen Hamilton</t>
  </si>
  <si>
    <t>Point72 Ventures</t>
  </si>
  <si>
    <t>Decision Scientist</t>
  </si>
  <si>
    <t>Johns Hopkins University Applied Physics Laboratory</t>
  </si>
  <si>
    <t>Laurel, MD</t>
  </si>
  <si>
    <t>1942.0</t>
  </si>
  <si>
    <t>MIT Lincoln Laboratory, Lockheed Martin, Northrop Grumman</t>
  </si>
  <si>
    <t>Cambridge Mobile Telematics</t>
  </si>
  <si>
    <t>Data Science All Star Program - Data Engineer Track</t>
  </si>
  <si>
    <t>Blend360</t>
  </si>
  <si>
    <t>Columbia, MD</t>
  </si>
  <si>
    <t>Nolij Consulting</t>
  </si>
  <si>
    <t>Hatch Data Inc</t>
  </si>
  <si>
    <t>112000.0</t>
  </si>
  <si>
    <t>Compass Consulting Group</t>
  </si>
  <si>
    <t>Thousand Oaks, CA</t>
  </si>
  <si>
    <t>Danville, CA</t>
  </si>
  <si>
    <t>SolutionIT, Inc.</t>
  </si>
  <si>
    <t>Edison, NJ</t>
  </si>
  <si>
    <t>Wilmington, MA</t>
  </si>
  <si>
    <t>Perspecta</t>
  </si>
  <si>
    <t>Adelphi, MD</t>
  </si>
  <si>
    <t>Smith Hanley Associates</t>
  </si>
  <si>
    <t>New York, 061</t>
  </si>
  <si>
    <t>1980.0</t>
  </si>
  <si>
    <t>Kforce, PageGroup, Robert Half</t>
  </si>
  <si>
    <t>Scientist - Machine Learning</t>
  </si>
  <si>
    <t>Allen Institute</t>
  </si>
  <si>
    <t>Eliassen Group</t>
  </si>
  <si>
    <t>Reading, MA</t>
  </si>
  <si>
    <t>1989.0</t>
  </si>
  <si>
    <t>TEKsystems, Kforce, Randstad US</t>
  </si>
  <si>
    <t>Bayside Solutions</t>
  </si>
  <si>
    <t>Sr. Data Scientist</t>
  </si>
  <si>
    <t>Evolve Vacation Rental</t>
  </si>
  <si>
    <t>Travel Agencies</t>
  </si>
  <si>
    <t>AgreeYa Solutions</t>
  </si>
  <si>
    <t>Folsom, CA</t>
  </si>
  <si>
    <t>Carolina Power &amp; Light Co</t>
  </si>
  <si>
    <t>1908.0</t>
  </si>
  <si>
    <t>South Carolina Electric &amp; Gas, Virginia Electric and Power</t>
  </si>
  <si>
    <t>Applied AI Scientist / Engineer</t>
  </si>
  <si>
    <t>New Iron Group, Inc.</t>
  </si>
  <si>
    <t>Contract</t>
  </si>
  <si>
    <t>Data Engineer (Analytics</t>
  </si>
  <si>
    <t xml:space="preserve"> SQL</t>
  </si>
  <si>
    <t xml:space="preserve"> Python</t>
  </si>
  <si>
    <t xml:space="preserve"> AWS)</t>
  </si>
  <si>
    <t>Travelers</t>
  </si>
  <si>
    <t>1853.0</t>
  </si>
  <si>
    <t>Senior Data Analyst - Finance &amp; Platform Analytics</t>
  </si>
  <si>
    <t>Twitch</t>
  </si>
  <si>
    <t>110000.0</t>
  </si>
  <si>
    <t>Market Research Data Scientist</t>
  </si>
  <si>
    <t>IT Partner Digital Health Technology and Data Science</t>
  </si>
  <si>
    <t>Biogen</t>
  </si>
  <si>
    <t>HireAi</t>
  </si>
  <si>
    <t>Software Engineer (Data Scientist</t>
  </si>
  <si>
    <t xml:space="preserve"> C</t>
  </si>
  <si>
    <t>C++</t>
  </si>
  <si>
    <t>Linux</t>
  </si>
  <si>
    <t>Unix) - SISW - MG</t>
  </si>
  <si>
    <t>Mentor Graphics</t>
  </si>
  <si>
    <t>Wilsonville, OR</t>
  </si>
  <si>
    <t>Senior Clinical Data Scientist Programmer</t>
  </si>
  <si>
    <t>WCG (WIRB-Copernicus Group)</t>
  </si>
  <si>
    <t>Hamilton, NJ</t>
  </si>
  <si>
    <t>Computer Vision / Deep Learning Scientist</t>
  </si>
  <si>
    <t>Data Solutions Engineer - Data Modeler</t>
  </si>
  <si>
    <t>Visionary Integration Professionals</t>
  </si>
  <si>
    <t>CGI (Nevada), Accenture, Deloitte</t>
  </si>
  <si>
    <t>Data Scientist (TS/SCI w/ Poly)</t>
  </si>
  <si>
    <t>Weapons and Sensors Engineer/Scientist</t>
  </si>
  <si>
    <t>Dynetics</t>
  </si>
  <si>
    <t>Huntsville, AL</t>
  </si>
  <si>
    <t>Applied Computer Scientist</t>
  </si>
  <si>
    <t>Cloud Data Engineer (Azure)</t>
  </si>
  <si>
    <t>Navy Federal Credit Union</t>
  </si>
  <si>
    <t>Merrifield, VA</t>
  </si>
  <si>
    <t>Lead Certified Clinical Laboratory Scientist - Saturday - Tuesday</t>
  </si>
  <si>
    <t xml:space="preserve"> 8:00pm - 6:30am shift</t>
  </si>
  <si>
    <t>Exact Sciences Corporation</t>
  </si>
  <si>
    <t>Madison, WI</t>
  </si>
  <si>
    <t>Sr. Data Analyst</t>
  </si>
  <si>
    <t>Community Behavioral Health</t>
  </si>
  <si>
    <t>Phila, PA</t>
  </si>
  <si>
    <t>Senior Scientist - Toxicologist - Product Integrity (Stewardship)</t>
  </si>
  <si>
    <t>Reynolds American</t>
  </si>
  <si>
    <t>Winston-Salem, NC</t>
  </si>
  <si>
    <t>1875.0</t>
  </si>
  <si>
    <t>Senior Machine Learning Engineer</t>
  </si>
  <si>
    <t>LifeOmic</t>
  </si>
  <si>
    <t>124000.0</t>
  </si>
  <si>
    <t>Visionist, Inc.</t>
  </si>
  <si>
    <t>Navio</t>
  </si>
  <si>
    <t>Half Moon Bay, CA</t>
  </si>
  <si>
    <t>Concerto HealthAI</t>
  </si>
  <si>
    <t>Evolvinc</t>
  </si>
  <si>
    <t>Burbank, CA</t>
  </si>
  <si>
    <t>Los Angeles, CA</t>
  </si>
  <si>
    <t>PROPRIUS</t>
  </si>
  <si>
    <t>TECHNOCRAFT Solutions</t>
  </si>
  <si>
    <t>Hilliard, OH</t>
  </si>
  <si>
    <t>Latitude, Inc.</t>
  </si>
  <si>
    <t>Hanover, MD</t>
  </si>
  <si>
    <t>Royce Geospatial</t>
  </si>
  <si>
    <t>CyberCoders</t>
  </si>
  <si>
    <t>Booz Allen Hamilton Inc.</t>
  </si>
  <si>
    <t>Oxnard, CA</t>
  </si>
  <si>
    <t>1914.0</t>
  </si>
  <si>
    <t>Accenture, Deloitte, PwC</t>
  </si>
  <si>
    <t>Burns &amp; McDonnell</t>
  </si>
  <si>
    <t>Kansas City, MO</t>
  </si>
  <si>
    <t>1898.0</t>
  </si>
  <si>
    <t>Bechtel Jacobs, Black &amp; Veatch, HNTB</t>
  </si>
  <si>
    <t>InvenTech Info</t>
  </si>
  <si>
    <t>Bengaluru, India</t>
  </si>
  <si>
    <t>Robert Half</t>
  </si>
  <si>
    <t>Manchester, NH</t>
  </si>
  <si>
    <t>Adecco, Manpower</t>
  </si>
  <si>
    <t>Conflux Systems Inc.</t>
  </si>
  <si>
    <t>Winters, TX</t>
  </si>
  <si>
    <t>Alpharetta, GA</t>
  </si>
  <si>
    <t>Accounting</t>
  </si>
  <si>
    <t>Accounting &amp; Legal</t>
  </si>
  <si>
    <t>Voice</t>
  </si>
  <si>
    <t>Brooklyn, NY</t>
  </si>
  <si>
    <t>Falcon IT &amp; Staffing Solutions</t>
  </si>
  <si>
    <t>DataLab USA</t>
  </si>
  <si>
    <t>Germantown, MD</t>
  </si>
  <si>
    <t>Acxiom, Merkle, Epsilon (North Carolina)</t>
  </si>
  <si>
    <t>Werner Enterprises Inc</t>
  </si>
  <si>
    <t>Omaha, NE</t>
  </si>
  <si>
    <t>1956.0</t>
  </si>
  <si>
    <t>Logistics &amp; Supply Chain</t>
  </si>
  <si>
    <t>PeopleCom</t>
  </si>
  <si>
    <t>VANTA Partners</t>
  </si>
  <si>
    <t>Open Fork, VA</t>
  </si>
  <si>
    <t>Clifton Park, NY</t>
  </si>
  <si>
    <t>Blue Icy Water, LLC</t>
  </si>
  <si>
    <t>Livonia, MI</t>
  </si>
  <si>
    <t>Farmer's Business Network, Inc.</t>
  </si>
  <si>
    <t>Farm Support Services</t>
  </si>
  <si>
    <t>Sonde Health</t>
  </si>
  <si>
    <t>Maxiom</t>
  </si>
  <si>
    <t>Ashburn, VA</t>
  </si>
  <si>
    <t>Change Healthcare</t>
  </si>
  <si>
    <t>Lombard, IL</t>
  </si>
  <si>
    <t>DCS Corp</t>
  </si>
  <si>
    <t>1977.0</t>
  </si>
  <si>
    <t>2.1</t>
  </si>
  <si>
    <t>Hive (CA)</t>
  </si>
  <si>
    <t>69000.0</t>
  </si>
  <si>
    <t>Hackensack Meridian Health</t>
  </si>
  <si>
    <t>Net2Source Inc.</t>
  </si>
  <si>
    <t>The Trade Desk</t>
  </si>
  <si>
    <t>Boulder, CO</t>
  </si>
  <si>
    <t>Ventura, CA</t>
  </si>
  <si>
    <t>Data Scientist- Industrial Discrete Sector Industry</t>
  </si>
  <si>
    <t>IBM</t>
  </si>
  <si>
    <t>Armonk, NY</t>
  </si>
  <si>
    <t>Amazon, Accenture, Microsoft</t>
  </si>
  <si>
    <t>Knowesis Inc.</t>
  </si>
  <si>
    <t>Booz Allen Hamilton, Deloitte, ERPi</t>
  </si>
  <si>
    <t>MoTek Technologies</t>
  </si>
  <si>
    <t>HPOne</t>
  </si>
  <si>
    <t>Trumbull, CT</t>
  </si>
  <si>
    <t>Blue Cloak LLC</t>
  </si>
  <si>
    <t>Sterling, VA</t>
  </si>
  <si>
    <t>TBWA\Chiat\Day</t>
  </si>
  <si>
    <t>ThreeBridge Solutions</t>
  </si>
  <si>
    <t>Numeric, LLC</t>
  </si>
  <si>
    <t>Chadds Ford, PA</t>
  </si>
  <si>
    <t>Centraprise</t>
  </si>
  <si>
    <t>Foster City, CA</t>
  </si>
  <si>
    <t>DW Simpson</t>
  </si>
  <si>
    <t>Frederick, MD</t>
  </si>
  <si>
    <t>31000.0</t>
  </si>
  <si>
    <t>LinQuest</t>
  </si>
  <si>
    <t>Colorado Springs, CO</t>
  </si>
  <si>
    <t>Trexquant Investment</t>
  </si>
  <si>
    <t>Fleetcor</t>
  </si>
  <si>
    <t>Radiant Digital</t>
  </si>
  <si>
    <t>Child Care Aware of America</t>
  </si>
  <si>
    <t>1987.0</t>
  </si>
  <si>
    <t>Social Assistance</t>
  </si>
  <si>
    <t>Non-Profit</t>
  </si>
  <si>
    <t>IntelliPro Group Inc.</t>
  </si>
  <si>
    <t>USI</t>
  </si>
  <si>
    <t>Southfield, MI</t>
  </si>
  <si>
    <t>Saint Paul, MN</t>
  </si>
  <si>
    <t>Construction</t>
  </si>
  <si>
    <t>Construction, Repair &amp; Maintenance</t>
  </si>
  <si>
    <t>Apex Systems</t>
  </si>
  <si>
    <t>Glen Allen, VA</t>
  </si>
  <si>
    <t>TEKsystems, Insight Global, Accenture</t>
  </si>
  <si>
    <t>Pragmatics, Inc.</t>
  </si>
  <si>
    <t>95000.0</t>
  </si>
  <si>
    <t>Crossover Health</t>
  </si>
  <si>
    <t>San Clemente, CA</t>
  </si>
  <si>
    <t>Aliso Viejo, CA</t>
  </si>
  <si>
    <t>Lorven Technologies Inc</t>
  </si>
  <si>
    <t>Plainsboro, NJ</t>
  </si>
  <si>
    <t>Gap Inc.</t>
  </si>
  <si>
    <t>Department, Clothing, &amp; Shoe Stores</t>
  </si>
  <si>
    <t>H&amp;M, Inditex, Fast Retailing</t>
  </si>
  <si>
    <t>Tygart Technology, Inc</t>
  </si>
  <si>
    <t>Fairmont, WV</t>
  </si>
  <si>
    <t>Murray Resources</t>
  </si>
  <si>
    <t>The Woodlands, TX</t>
  </si>
  <si>
    <t>New York Technology Partners</t>
  </si>
  <si>
    <t>Two95 International Inc.</t>
  </si>
  <si>
    <t>Cherry Hill, NJ</t>
  </si>
  <si>
    <t>Sophinea</t>
  </si>
  <si>
    <t>CRS Group</t>
  </si>
  <si>
    <t>Itasca, IL</t>
  </si>
  <si>
    <t>Blackstone Talent Group</t>
  </si>
  <si>
    <t>Senior Principal Data Scientist (Python/R)</t>
  </si>
  <si>
    <t>Roche</t>
  </si>
  <si>
    <t>1896.0</t>
  </si>
  <si>
    <t>Novartis, AstraZeneca, Siemens Healthineers</t>
  </si>
  <si>
    <t>212000.0</t>
  </si>
  <si>
    <t>Wilmington, DE</t>
  </si>
  <si>
    <t>Creative Circle</t>
  </si>
  <si>
    <t>Aquent, 24 Seven Talent</t>
  </si>
  <si>
    <t>Data Scientist(s)/Machine Learning Engineer</t>
  </si>
  <si>
    <t>Blue Horizon Tek Solutions</t>
  </si>
  <si>
    <t>Coconut Creek, FL</t>
  </si>
  <si>
    <t>Sharpedge Solutions Inc</t>
  </si>
  <si>
    <t>Publishing</t>
  </si>
  <si>
    <t>Alaka`ina Foundation Family of Companies</t>
  </si>
  <si>
    <t>Fort Sam Houston, TX</t>
  </si>
  <si>
    <t>Honolulu, HI</t>
  </si>
  <si>
    <t>Hexagon US Federal</t>
  </si>
  <si>
    <t>Lexington Park, MD</t>
  </si>
  <si>
    <t>Scientist / Group Lead</t>
  </si>
  <si>
    <t xml:space="preserve"> Cancer Biology</t>
  </si>
  <si>
    <t>Monte Rosa Therapeutics</t>
  </si>
  <si>
    <t>Comtech Global Inc</t>
  </si>
  <si>
    <t>Health, Beauty, &amp; Fitness</t>
  </si>
  <si>
    <t>Consumer Services</t>
  </si>
  <si>
    <t>Aveshka, Inc.</t>
  </si>
  <si>
    <t>Manager</t>
  </si>
  <si>
    <t xml:space="preserve"> Field Application Scientist</t>
  </si>
  <si>
    <t xml:space="preserve"> Southeast</t>
  </si>
  <si>
    <t>10x Genomics</t>
  </si>
  <si>
    <t>COMPUTER SCIENTIST - ENGINEER - RESEARCH COMPUTER SCIENTIST - SIGNAL PROCESSING</t>
  </si>
  <si>
    <t>CompuForce</t>
  </si>
  <si>
    <t>1-800-Flowers</t>
  </si>
  <si>
    <t>Carle Place, NY</t>
  </si>
  <si>
    <t>Wholesale</t>
  </si>
  <si>
    <t>Aptive</t>
  </si>
  <si>
    <t>66000.0</t>
  </si>
  <si>
    <t>JCD Staffing</t>
  </si>
  <si>
    <t>Thumbtack</t>
  </si>
  <si>
    <t>MILVETS Systems Technology, Inc.</t>
  </si>
  <si>
    <t>Patuxent, Anne Arundel, MD</t>
  </si>
  <si>
    <t>Machine Learning Scientist / Engineer</t>
  </si>
  <si>
    <t>Apple</t>
  </si>
  <si>
    <t>Google, Microsoft, Samsung Electronics</t>
  </si>
  <si>
    <t>Kforce</t>
  </si>
  <si>
    <t>Tampa, FL</t>
  </si>
  <si>
    <t>Data Science Analyst</t>
  </si>
  <si>
    <t>OppLoans</t>
  </si>
  <si>
    <t>COMPUTER SCIENTIST - ENGINEER - RESEARCH COMPUTER SCIENTIST - TRANSPORTATION TECHNOLOGY</t>
  </si>
  <si>
    <t>Brillient</t>
  </si>
  <si>
    <t>Silver Spring, MD</t>
  </si>
  <si>
    <t>Xator Corporation</t>
  </si>
  <si>
    <t>HAN IT Staffing Inc.</t>
  </si>
  <si>
    <t>Totowa, NJ</t>
  </si>
  <si>
    <t>Infinitive Inc</t>
  </si>
  <si>
    <t>128000.0</t>
  </si>
  <si>
    <t>Software Engineer - Machine Learning &amp; Data Science (Applied Intelligence Services Team)</t>
  </si>
  <si>
    <t>New Relic</t>
  </si>
  <si>
    <t>Portland, OR</t>
  </si>
  <si>
    <t>AppDynamics, Datadog, Dynatrace</t>
  </si>
  <si>
    <t>ICW Group</t>
  </si>
  <si>
    <t>1972.0</t>
  </si>
  <si>
    <t>Liberty Mutual Insurance, EMPLOYERS, Travelers</t>
  </si>
  <si>
    <t>Clinical Data Analyst</t>
  </si>
  <si>
    <t>NYSTEC</t>
  </si>
  <si>
    <t>Rome, NY</t>
  </si>
  <si>
    <t>KPMG, Accenture, Deloitte</t>
  </si>
  <si>
    <t>E3 Federal Solutions</t>
  </si>
  <si>
    <t>Data Scientist Technical Specialist</t>
  </si>
  <si>
    <t>Peraton</t>
  </si>
  <si>
    <t>Group O</t>
  </si>
  <si>
    <t>Milan, IL</t>
  </si>
  <si>
    <t>Big Data Engineer</t>
  </si>
  <si>
    <t>CaptiveAire</t>
  </si>
  <si>
    <t>Data Architect</t>
  </si>
  <si>
    <t>Temboo</t>
  </si>
  <si>
    <t>Kibo</t>
  </si>
  <si>
    <t>Marbella, Spain</t>
  </si>
  <si>
    <t>Aviation AI/ML Data Scientist</t>
  </si>
  <si>
    <t>138000.0</t>
  </si>
  <si>
    <t xml:space="preserve"> Sr.</t>
  </si>
  <si>
    <t>AeroVironment</t>
  </si>
  <si>
    <t>Simi Valley, CA</t>
  </si>
  <si>
    <t>General Atomics, Boeing, Northrop Grumman</t>
  </si>
  <si>
    <t>Information Systems Engineering Specialist (Engineering Scientist)</t>
  </si>
  <si>
    <t>Applied Research Laboratories</t>
  </si>
  <si>
    <t>Scientist/Research Associate-Metabolic Engineering</t>
  </si>
  <si>
    <t>2.0</t>
  </si>
  <si>
    <t>Conagen</t>
  </si>
  <si>
    <t>New Bedford, MA</t>
  </si>
  <si>
    <t>Vice President</t>
  </si>
  <si>
    <t xml:space="preserve"> Biometrics and Clinical Data Management</t>
  </si>
  <si>
    <t>Alector</t>
  </si>
  <si>
    <t>Enterprise Data Analyst (Enterprise Portfolio Management Office)</t>
  </si>
  <si>
    <t>Lead Data Scientist – Network Analysis and Control</t>
  </si>
  <si>
    <t>Sr. Research Associate/ Scientist</t>
  </si>
  <si>
    <t xml:space="preserve"> NGS prep &amp; Molecular Genomics</t>
  </si>
  <si>
    <t>Homology Medicines, Inc.</t>
  </si>
  <si>
    <t>Developer III - Data Science</t>
  </si>
  <si>
    <t>Inland Empire Health Plan</t>
  </si>
  <si>
    <t>Rancho Cucamonga, CA</t>
  </si>
  <si>
    <t>Hydrogen/Tritium Materials Scientist (Experienced)</t>
  </si>
  <si>
    <t>Sandia National Laboratories</t>
  </si>
  <si>
    <t>Albuquerque, NM</t>
  </si>
  <si>
    <t>1949.0</t>
  </si>
  <si>
    <t>Los Alamos National Laboratory, Lawrence Livermore National Laboratory</t>
  </si>
  <si>
    <t>80000.0</t>
  </si>
  <si>
    <t>Collegeville, PA</t>
  </si>
  <si>
    <t>CIA</t>
  </si>
  <si>
    <t>Langley, VA</t>
  </si>
  <si>
    <t>Maven Wave Partners</t>
  </si>
  <si>
    <t>Ovative Group</t>
  </si>
  <si>
    <t>Kognetics</t>
  </si>
  <si>
    <t>Gahanna, OH</t>
  </si>
  <si>
    <t>Envision Healthcare</t>
  </si>
  <si>
    <t>ConsumerTrack</t>
  </si>
  <si>
    <t>California</t>
  </si>
  <si>
    <t>Meridian Knowledge Solutions</t>
  </si>
  <si>
    <t>UST Global</t>
  </si>
  <si>
    <t>Cognizant Technology Solutions, Infosys, Wipro</t>
  </si>
  <si>
    <t>IMG Systems</t>
  </si>
  <si>
    <t>Trident Systems Inc</t>
  </si>
  <si>
    <t>87000.0</t>
  </si>
  <si>
    <t>GrainBridge, LLC</t>
  </si>
  <si>
    <t>First Health Group</t>
  </si>
  <si>
    <t>Wellesley, MA</t>
  </si>
  <si>
    <t>Humana</t>
  </si>
  <si>
    <t>Sprezzatura Management Consulting</t>
  </si>
  <si>
    <t>Washington, VA</t>
  </si>
  <si>
    <t>Progress Rail, A Caterpillar Company</t>
  </si>
  <si>
    <t>Albertville, AL</t>
  </si>
  <si>
    <t>Rail</t>
  </si>
  <si>
    <t>Axiologic Solutions</t>
  </si>
  <si>
    <t>Indigo Slate</t>
  </si>
  <si>
    <t>Cubic</t>
  </si>
  <si>
    <t>Accenture, Northrop Grumman, Xerox</t>
  </si>
  <si>
    <t>Advanced Bio-Logic Solutions Corp</t>
  </si>
  <si>
    <t>Alignment Healthcare</t>
  </si>
  <si>
    <t>Orange, CA</t>
  </si>
  <si>
    <t>WGSN</t>
  </si>
  <si>
    <t>ISYS Technologies, Inc.</t>
  </si>
  <si>
    <t>Littleton, CO</t>
  </si>
  <si>
    <t>TransVoyant</t>
  </si>
  <si>
    <t>Data Scientist/Data Analytics Practitioner</t>
  </si>
  <si>
    <t>Bridgeport, WV</t>
  </si>
  <si>
    <t>Geotab</t>
  </si>
  <si>
    <t>Oakville, CA</t>
  </si>
  <si>
    <t>Oakville, Canada</t>
  </si>
  <si>
    <t>EGlobalTech</t>
  </si>
  <si>
    <t>92000.0</t>
  </si>
  <si>
    <t>Central Business Solutions, Inc</t>
  </si>
  <si>
    <t>KeHE Distributors</t>
  </si>
  <si>
    <t>United Natural Foods, US Foods, DPI Specialty Foods</t>
  </si>
  <si>
    <t>Moxie Software</t>
  </si>
  <si>
    <t>San Bruno, CA</t>
  </si>
  <si>
    <t>LivePerson, Salesforce, SAP</t>
  </si>
  <si>
    <t>Unicom Technologies INC</t>
  </si>
  <si>
    <t>Americo Life</t>
  </si>
  <si>
    <t>Tokio Marine HCC</t>
  </si>
  <si>
    <t>Zurich Insurance, AXA XL, Allianz</t>
  </si>
  <si>
    <t>CACI International</t>
  </si>
  <si>
    <t>1962.0</t>
  </si>
  <si>
    <t>CSC, ManTech, SAIC</t>
  </si>
  <si>
    <t>AI/ML - Machine Learning Scientist</t>
  </si>
  <si>
    <t xml:space="preserve"> Siri Understanding</t>
  </si>
  <si>
    <t>105000.0</t>
  </si>
  <si>
    <t>Berico Technologies</t>
  </si>
  <si>
    <t>Kehe Food Distributors</t>
  </si>
  <si>
    <t>Pactera Edge</t>
  </si>
  <si>
    <t>Redmond, WA</t>
  </si>
  <si>
    <t>Qurate Retail Group</t>
  </si>
  <si>
    <t>West Chester, PA</t>
  </si>
  <si>
    <t>A-Line Staffing Solutions</t>
  </si>
  <si>
    <t>Utica, MI</t>
  </si>
  <si>
    <t>Clear Ridge Defense</t>
  </si>
  <si>
    <t>Quantico, VA</t>
  </si>
  <si>
    <t>Criterion Systems, Inc.</t>
  </si>
  <si>
    <t>Foundation Medicine</t>
  </si>
  <si>
    <t>Genomic Health, Myriad Genetics, The Broad Institute</t>
  </si>
  <si>
    <t>TRANZACT</t>
  </si>
  <si>
    <t>Fort Lee, NJ</t>
  </si>
  <si>
    <t>JKGT</t>
  </si>
  <si>
    <t>AccessHope</t>
  </si>
  <si>
    <t>Irwindale, CA</t>
  </si>
  <si>
    <t>ChaTeck Incorporated</t>
  </si>
  <si>
    <t>Store ID</t>
  </si>
  <si>
    <t>Product Category</t>
  </si>
  <si>
    <t>Unit Price</t>
  </si>
  <si>
    <t>Total Revenue</t>
  </si>
  <si>
    <t>Customer Type</t>
  </si>
  <si>
    <t>Payment Method</t>
  </si>
  <si>
    <t>S002</t>
  </si>
  <si>
    <t>Grocery</t>
  </si>
  <si>
    <t>Apples</t>
  </si>
  <si>
    <t>Returning</t>
  </si>
  <si>
    <t>Online</t>
  </si>
  <si>
    <t>S003</t>
  </si>
  <si>
    <t>Bread</t>
  </si>
  <si>
    <t>New</t>
  </si>
  <si>
    <t>S001</t>
  </si>
  <si>
    <t>Apparel</t>
  </si>
  <si>
    <t>Jacket</t>
  </si>
  <si>
    <t>Card</t>
  </si>
  <si>
    <t>Milk</t>
  </si>
  <si>
    <t>Jeans</t>
  </si>
  <si>
    <t>Home</t>
  </si>
  <si>
    <t>Lamp</t>
  </si>
  <si>
    <t>Cash</t>
  </si>
  <si>
    <t>Table</t>
  </si>
  <si>
    <t>S004</t>
  </si>
  <si>
    <t>USB Cable</t>
  </si>
  <si>
    <t>Headphones</t>
  </si>
  <si>
    <t>Row Labels</t>
  </si>
  <si>
    <t>Grand Total</t>
  </si>
  <si>
    <t>Column Labels</t>
  </si>
  <si>
    <t>Sum of Total Revenue</t>
  </si>
  <si>
    <t>Unit Cost</t>
  </si>
  <si>
    <t>Selling Price</t>
  </si>
  <si>
    <t>Total Cost</t>
  </si>
  <si>
    <t>Profit</t>
  </si>
  <si>
    <t>Scenario Manager</t>
  </si>
  <si>
    <t>Goal Seek</t>
  </si>
  <si>
    <t>Qty</t>
  </si>
  <si>
    <t>$C$5</t>
  </si>
  <si>
    <t>$C$3</t>
  </si>
  <si>
    <t>$C$8</t>
  </si>
  <si>
    <t>Default</t>
  </si>
  <si>
    <t>Created by HP on 30-09-2025
Modified by HP on 30-09-2025</t>
  </si>
  <si>
    <t>Qty 200</t>
  </si>
  <si>
    <t>Created by HP on 30-09-2025</t>
  </si>
  <si>
    <t>Qty 300</t>
  </si>
  <si>
    <t>Unit Price 11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</si>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</sst>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d/m/yyyy"/>
  </numFmts>
  <fonts count="3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4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1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7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16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14" fillId="11" borderId="13" applyFont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269">
    <xf numFmtId="0" fontId="0" fillId="0" borderId="0" xfId="0"/>
    <xf numFmtId="0" fontId="10" fillId="0" borderId="3" xfId="0" applyFont="1" applyBorder="1"/>
    <xf numFmtId="0" fontId="12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4" fillId="0" borderId="3" xfId="0" applyFont="1" applyBorder="1"/>
    <xf numFmtId="0" fontId="10" fillId="0" borderId="13" xfId="0" applyFont="1" applyBorder="1"/>
    <xf numFmtId="164" fontId="10" fillId="0" borderId="13" xfId="0" applyNumberFormat="1" applyFont="1" applyBorder="1"/>
    <xf numFmtId="20" fontId="10" fillId="0" borderId="13" xfId="0" applyNumberFormat="1" applyFont="1" applyBorder="1"/>
    <xf numFmtId="0" fontId="14" fillId="0" borderId="13" xfId="0" applyFont="1" applyBorder="1"/>
    <xf numFmtId="0" fontId="17" fillId="0" borderId="13" xfId="0" applyFont="1" applyBorder="1"/>
    <xf numFmtId="0" fontId="17" fillId="0" borderId="0" xfId="0" applyFont="1"/>
    <xf numFmtId="0" fontId="0" fillId="0" borderId="13" xfId="0" applyBorder="1"/>
    <xf numFmtId="0" fontId="18" fillId="5" borderId="13" xfId="0" applyFont="1" applyFill="1" applyBorder="1"/>
    <xf numFmtId="0" fontId="0" fillId="7" borderId="13" xfId="0" applyFill="1" applyBorder="1"/>
    <xf numFmtId="0" fontId="0" fillId="11" borderId="13" xfId="4" applyFont="1"/>
    <xf numFmtId="0" fontId="19" fillId="11" borderId="13" xfId="4" applyFont="1"/>
    <xf numFmtId="0" fontId="19" fillId="12" borderId="13" xfId="4" applyFont="1" applyFill="1"/>
    <xf numFmtId="0" fontId="0" fillId="12" borderId="13" xfId="4" applyFont="1" applyFill="1"/>
    <xf numFmtId="0" fontId="18" fillId="9" borderId="13" xfId="0" applyFont="1" applyFill="1" applyBorder="1"/>
    <xf numFmtId="0" fontId="17" fillId="8" borderId="13" xfId="0" applyFont="1" applyFill="1" applyBorder="1"/>
    <xf numFmtId="0" fontId="17" fillId="9" borderId="13" xfId="0" applyFont="1" applyFill="1" applyBorder="1"/>
    <xf numFmtId="0" fontId="17" fillId="8" borderId="14" xfId="0" applyFont="1" applyFill="1" applyBorder="1"/>
    <xf numFmtId="0" fontId="17" fillId="6" borderId="13" xfId="0" applyFont="1" applyFill="1" applyBorder="1"/>
    <xf numFmtId="0" fontId="9" fillId="4" borderId="13" xfId="3" applyBorder="1"/>
    <xf numFmtId="0" fontId="0" fillId="10" borderId="13" xfId="0" applyFill="1" applyBorder="1"/>
    <xf numFmtId="0" fontId="0" fillId="14" borderId="13" xfId="0" applyFill="1" applyBorder="1"/>
    <xf numFmtId="0" fontId="0" fillId="15" borderId="13" xfId="0" applyFill="1" applyBorder="1"/>
    <xf numFmtId="0" fontId="0" fillId="7" borderId="15" xfId="0" applyFill="1" applyBorder="1"/>
    <xf numFmtId="0" fontId="17" fillId="13" borderId="13" xfId="0" applyFont="1" applyFill="1" applyBorder="1"/>
    <xf numFmtId="0" fontId="17" fillId="10" borderId="13" xfId="0" applyFont="1" applyFill="1" applyBorder="1" applyAlignment="1">
      <alignment horizontal="center"/>
    </xf>
    <xf numFmtId="0" fontId="17" fillId="10" borderId="13" xfId="0" applyFont="1" applyFill="1" applyBorder="1"/>
    <xf numFmtId="0" fontId="16" fillId="2" borderId="13" xfId="1" applyBorder="1"/>
    <xf numFmtId="14" fontId="0" fillId="0" borderId="13" xfId="0" applyNumberFormat="1" applyBorder="1"/>
    <xf numFmtId="1" fontId="0" fillId="0" borderId="13" xfId="0" applyNumberFormat="1" applyBorder="1"/>
    <xf numFmtId="0" fontId="7" fillId="0" borderId="13" xfId="0" applyFont="1" applyBorder="1"/>
    <xf numFmtId="0" fontId="17" fillId="16" borderId="13" xfId="0" applyFont="1" applyFill="1" applyBorder="1"/>
    <xf numFmtId="0" fontId="17" fillId="16" borderId="22" xfId="0" applyFont="1" applyFill="1" applyBorder="1"/>
    <xf numFmtId="0" fontId="17" fillId="16" borderId="23" xfId="0" applyFont="1" applyFill="1" applyBorder="1"/>
    <xf numFmtId="0" fontId="17" fillId="16" borderId="24" xfId="0" applyFon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7" fillId="16" borderId="25" xfId="0" applyFont="1" applyFill="1" applyBorder="1"/>
    <xf numFmtId="0" fontId="17" fillId="16" borderId="26" xfId="0" applyFont="1" applyFill="1" applyBorder="1"/>
    <xf numFmtId="0" fontId="6" fillId="0" borderId="26" xfId="0" applyFont="1" applyBorder="1"/>
    <xf numFmtId="0" fontId="6" fillId="0" borderId="29" xfId="0" applyFont="1" applyBorder="1"/>
    <xf numFmtId="0" fontId="6" fillId="0" borderId="0" xfId="0" applyFont="1"/>
    <xf numFmtId="0" fontId="17" fillId="0" borderId="26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0" fillId="0" borderId="24" xfId="0" applyBorder="1"/>
    <xf numFmtId="3" fontId="0" fillId="0" borderId="25" xfId="0" applyNumberFormat="1" applyBorder="1"/>
    <xf numFmtId="3" fontId="0" fillId="0" borderId="27" xfId="0" applyNumberFormat="1" applyBorder="1"/>
    <xf numFmtId="8" fontId="0" fillId="0" borderId="13" xfId="0" applyNumberFormat="1" applyBorder="1"/>
    <xf numFmtId="9" fontId="0" fillId="0" borderId="13" xfId="0" applyNumberFormat="1" applyBorder="1"/>
    <xf numFmtId="9" fontId="0" fillId="0" borderId="28" xfId="0" applyNumberFormat="1" applyBorder="1"/>
    <xf numFmtId="8" fontId="0" fillId="0" borderId="26" xfId="0" applyNumberFormat="1" applyBorder="1"/>
    <xf numFmtId="8" fontId="0" fillId="0" borderId="28" xfId="0" applyNumberFormat="1" applyBorder="1"/>
    <xf numFmtId="8" fontId="0" fillId="0" borderId="29" xfId="0" applyNumberFormat="1" applyBorder="1"/>
    <xf numFmtId="0" fontId="5" fillId="0" borderId="0" xfId="0" applyFont="1"/>
    <xf numFmtId="0" fontId="5" fillId="0" borderId="13" xfId="0" applyFont="1" applyBorder="1"/>
    <xf numFmtId="9" fontId="0" fillId="0" borderId="13" xfId="6" applyFont="1" applyBorder="1"/>
    <xf numFmtId="0" fontId="17" fillId="0" borderId="30" xfId="0" applyFont="1" applyBorder="1"/>
    <xf numFmtId="0" fontId="0" fillId="0" borderId="31" xfId="0" applyBorder="1"/>
    <xf numFmtId="0" fontId="0" fillId="0" borderId="32" xfId="0" applyBorder="1"/>
    <xf numFmtId="14" fontId="0" fillId="0" borderId="0" xfId="0" applyNumberFormat="1"/>
    <xf numFmtId="22" fontId="0" fillId="0" borderId="0" xfId="0" applyNumberFormat="1"/>
    <xf numFmtId="14" fontId="0" fillId="0" borderId="28" xfId="0" applyNumberFormat="1" applyBorder="1"/>
    <xf numFmtId="14" fontId="0" fillId="0" borderId="26" xfId="0" applyNumberFormat="1" applyBorder="1"/>
    <xf numFmtId="22" fontId="0" fillId="0" borderId="26" xfId="0" applyNumberFormat="1" applyBorder="1"/>
    <xf numFmtId="14" fontId="0" fillId="0" borderId="25" xfId="0" applyNumberFormat="1" applyBorder="1"/>
    <xf numFmtId="14" fontId="0" fillId="0" borderId="27" xfId="0" applyNumberFormat="1" applyBorder="1"/>
    <xf numFmtId="14" fontId="0" fillId="0" borderId="29" xfId="0" applyNumberFormat="1" applyBorder="1"/>
    <xf numFmtId="14" fontId="0" fillId="0" borderId="26" xfId="5" applyNumberFormat="1" applyFont="1" applyBorder="1"/>
    <xf numFmtId="14" fontId="0" fillId="0" borderId="29" xfId="5" applyNumberFormat="1" applyFont="1" applyBorder="1"/>
    <xf numFmtId="0" fontId="17" fillId="16" borderId="27" xfId="0" applyFont="1" applyFill="1" applyBorder="1"/>
    <xf numFmtId="0" fontId="4" fillId="0" borderId="25" xfId="0" applyFont="1" applyBorder="1"/>
    <xf numFmtId="0" fontId="4" fillId="0" borderId="27" xfId="0" applyFont="1" applyBorder="1"/>
    <xf numFmtId="0" fontId="17" fillId="16" borderId="25" xfId="0" applyFont="1" applyFill="1" applyBorder="1" applyAlignment="1">
      <alignment horizontal="left"/>
    </xf>
    <xf numFmtId="0" fontId="17" fillId="16" borderId="26" xfId="0" applyFont="1" applyFill="1" applyBorder="1" applyAlignment="1">
      <alignment horizontal="left"/>
    </xf>
    <xf numFmtId="2" fontId="0" fillId="0" borderId="26" xfId="0" applyNumberFormat="1" applyBorder="1"/>
    <xf numFmtId="0" fontId="0" fillId="0" borderId="23" xfId="0" applyBorder="1"/>
    <xf numFmtId="0" fontId="0" fillId="0" borderId="33" xfId="0" applyBorder="1"/>
    <xf numFmtId="0" fontId="0" fillId="0" borderId="22" xfId="0" applyBorder="1"/>
    <xf numFmtId="0" fontId="0" fillId="0" borderId="44" xfId="0" applyBorder="1"/>
    <xf numFmtId="0" fontId="3" fillId="0" borderId="25" xfId="0" applyFont="1" applyBorder="1"/>
    <xf numFmtId="0" fontId="3" fillId="0" borderId="13" xfId="0" applyFont="1" applyBorder="1"/>
    <xf numFmtId="0" fontId="3" fillId="0" borderId="26" xfId="0" applyFont="1" applyBorder="1"/>
    <xf numFmtId="3" fontId="0" fillId="0" borderId="13" xfId="0" applyNumberFormat="1" applyBorder="1"/>
    <xf numFmtId="3" fontId="0" fillId="0" borderId="28" xfId="0" applyNumberFormat="1" applyBorder="1"/>
    <xf numFmtId="0" fontId="0" fillId="0" borderId="26" xfId="0" applyBorder="1" applyAlignment="1">
      <alignment horizontal="left"/>
    </xf>
    <xf numFmtId="0" fontId="0" fillId="0" borderId="29" xfId="0" applyBorder="1" applyAlignment="1">
      <alignment horizontal="left"/>
    </xf>
    <xf numFmtId="3" fontId="0" fillId="0" borderId="26" xfId="0" applyNumberFormat="1" applyBorder="1"/>
    <xf numFmtId="3" fontId="0" fillId="0" borderId="29" xfId="0" applyNumberFormat="1" applyBorder="1"/>
    <xf numFmtId="0" fontId="17" fillId="0" borderId="26" xfId="0" applyFont="1" applyBorder="1"/>
    <xf numFmtId="0" fontId="17" fillId="0" borderId="24" xfId="0" applyFont="1" applyBorder="1"/>
    <xf numFmtId="0" fontId="0" fillId="0" borderId="46" xfId="0" applyBorder="1"/>
    <xf numFmtId="0" fontId="17" fillId="16" borderId="47" xfId="0" applyFont="1" applyFill="1" applyBorder="1"/>
    <xf numFmtId="0" fontId="0" fillId="0" borderId="35" xfId="0" applyBorder="1"/>
    <xf numFmtId="0" fontId="2" fillId="0" borderId="0" xfId="0" applyFont="1"/>
    <xf numFmtId="0" fontId="7" fillId="0" borderId="26" xfId="0" applyFont="1" applyBorder="1"/>
    <xf numFmtId="0" fontId="7" fillId="0" borderId="28" xfId="0" applyFont="1" applyBorder="1"/>
    <xf numFmtId="0" fontId="7" fillId="0" borderId="29" xfId="0" applyFont="1" applyBorder="1"/>
    <xf numFmtId="0" fontId="0" fillId="17" borderId="15" xfId="0" applyFill="1" applyBorder="1"/>
    <xf numFmtId="0" fontId="0" fillId="17" borderId="13" xfId="0" applyFill="1" applyBorder="1"/>
    <xf numFmtId="0" fontId="0" fillId="17" borderId="18" xfId="0" applyFill="1" applyBorder="1"/>
    <xf numFmtId="0" fontId="0" fillId="17" borderId="19" xfId="0" applyFill="1" applyBorder="1"/>
    <xf numFmtId="0" fontId="0" fillId="17" borderId="20" xfId="0" applyFill="1" applyBorder="1"/>
    <xf numFmtId="0" fontId="0" fillId="17" borderId="21" xfId="0" applyFill="1" applyBorder="1"/>
    <xf numFmtId="0" fontId="23" fillId="16" borderId="16" xfId="0" applyFont="1" applyFill="1" applyBorder="1"/>
    <xf numFmtId="0" fontId="23" fillId="16" borderId="14" xfId="0" applyFont="1" applyFill="1" applyBorder="1"/>
    <xf numFmtId="0" fontId="23" fillId="16" borderId="17" xfId="0" applyFont="1" applyFill="1" applyBorder="1"/>
    <xf numFmtId="0" fontId="17" fillId="16" borderId="22" xfId="0" applyFont="1" applyFill="1" applyBorder="1" applyAlignment="1">
      <alignment horizontal="center" vertical="center" wrapText="1"/>
    </xf>
    <xf numFmtId="0" fontId="17" fillId="16" borderId="24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22" fillId="16" borderId="16" xfId="0" applyFont="1" applyFill="1" applyBorder="1" applyAlignment="1">
      <alignment horizontal="center" vertical="center" wrapText="1"/>
    </xf>
    <xf numFmtId="0" fontId="22" fillId="16" borderId="14" xfId="0" applyFont="1" applyFill="1" applyBorder="1" applyAlignment="1">
      <alignment horizontal="center" vertical="center" wrapText="1"/>
    </xf>
    <xf numFmtId="0" fontId="22" fillId="16" borderId="17" xfId="0" applyFont="1" applyFill="1" applyBorder="1" applyAlignment="1">
      <alignment horizontal="center" vertical="center" wrapText="1"/>
    </xf>
    <xf numFmtId="0" fontId="22" fillId="16" borderId="44" xfId="0" applyFont="1" applyFill="1" applyBorder="1" applyAlignment="1">
      <alignment horizontal="center" vertical="center" wrapText="1"/>
    </xf>
    <xf numFmtId="0" fontId="22" fillId="16" borderId="48" xfId="0" applyFont="1" applyFill="1" applyBorder="1" applyAlignment="1">
      <alignment horizontal="center" vertical="center" wrapText="1"/>
    </xf>
    <xf numFmtId="0" fontId="22" fillId="16" borderId="45" xfId="0" applyFont="1" applyFill="1" applyBorder="1" applyAlignment="1">
      <alignment horizontal="center" vertical="center" wrapText="1"/>
    </xf>
    <xf numFmtId="0" fontId="8" fillId="17" borderId="15" xfId="0" applyFont="1" applyFill="1" applyBorder="1" applyAlignment="1">
      <alignment vertical="center" wrapText="1"/>
    </xf>
    <xf numFmtId="0" fontId="8" fillId="17" borderId="13" xfId="0" applyFont="1" applyFill="1" applyBorder="1" applyAlignment="1">
      <alignment vertical="center" wrapText="1"/>
    </xf>
    <xf numFmtId="0" fontId="8" fillId="17" borderId="18" xfId="0" applyFont="1" applyFill="1" applyBorder="1" applyAlignment="1">
      <alignment vertical="center" wrapText="1"/>
    </xf>
    <xf numFmtId="0" fontId="8" fillId="17" borderId="19" xfId="0" applyFont="1" applyFill="1" applyBorder="1" applyAlignment="1">
      <alignment vertical="center" wrapText="1"/>
    </xf>
    <xf numFmtId="0" fontId="8" fillId="17" borderId="20" xfId="0" applyFont="1" applyFill="1" applyBorder="1" applyAlignment="1">
      <alignment vertical="center" wrapText="1"/>
    </xf>
    <xf numFmtId="0" fontId="8" fillId="17" borderId="21" xfId="0" applyFont="1" applyFill="1" applyBorder="1" applyAlignment="1">
      <alignment vertical="center" wrapText="1"/>
    </xf>
    <xf numFmtId="0" fontId="8" fillId="17" borderId="23" xfId="0" applyFont="1" applyFill="1" applyBorder="1" applyAlignment="1">
      <alignment vertical="center" wrapText="1"/>
    </xf>
    <xf numFmtId="0" fontId="23" fillId="16" borderId="0" xfId="0" applyFont="1" applyFill="1"/>
    <xf numFmtId="0" fontId="8" fillId="17" borderId="38" xfId="0" applyFont="1" applyFill="1" applyBorder="1" applyAlignment="1">
      <alignment vertical="center" wrapText="1"/>
    </xf>
    <xf numFmtId="0" fontId="8" fillId="17" borderId="49" xfId="0" applyFont="1" applyFill="1" applyBorder="1" applyAlignment="1">
      <alignment vertical="center" wrapText="1"/>
    </xf>
    <xf numFmtId="0" fontId="15" fillId="16" borderId="22" xfId="0" applyFont="1" applyFill="1" applyBorder="1"/>
    <xf numFmtId="0" fontId="15" fillId="16" borderId="23" xfId="0" applyFont="1" applyFill="1" applyBorder="1"/>
    <xf numFmtId="0" fontId="15" fillId="16" borderId="24" xfId="0" applyFont="1" applyFill="1" applyBorder="1"/>
    <xf numFmtId="0" fontId="14" fillId="0" borderId="25" xfId="0" applyFont="1" applyBorder="1"/>
    <xf numFmtId="0" fontId="14" fillId="0" borderId="26" xfId="0" applyFont="1" applyBorder="1"/>
    <xf numFmtId="0" fontId="14" fillId="0" borderId="27" xfId="0" applyFont="1" applyBorder="1"/>
    <xf numFmtId="0" fontId="14" fillId="0" borderId="28" xfId="0" applyFont="1" applyBorder="1"/>
    <xf numFmtId="0" fontId="14" fillId="0" borderId="29" xfId="0" applyFont="1" applyBorder="1"/>
    <xf numFmtId="0" fontId="17" fillId="0" borderId="29" xfId="0" applyFont="1" applyBorder="1"/>
    <xf numFmtId="0" fontId="14" fillId="0" borderId="51" xfId="0" applyFont="1" applyBorder="1"/>
    <xf numFmtId="0" fontId="14" fillId="0" borderId="52" xfId="0" applyFont="1" applyBorder="1"/>
    <xf numFmtId="0" fontId="14" fillId="0" borderId="56" xfId="0" applyFont="1" applyBorder="1"/>
    <xf numFmtId="0" fontId="14" fillId="0" borderId="57" xfId="0" applyFont="1" applyBorder="1"/>
    <xf numFmtId="0" fontId="14" fillId="0" borderId="58" xfId="0" applyFont="1" applyBorder="1"/>
    <xf numFmtId="0" fontId="14" fillId="0" borderId="59" xfId="0" applyFont="1" applyBorder="1"/>
    <xf numFmtId="0" fontId="14" fillId="0" borderId="60" xfId="0" applyFont="1" applyBorder="1"/>
    <xf numFmtId="0" fontId="12" fillId="16" borderId="53" xfId="0" applyFont="1" applyFill="1" applyBorder="1"/>
    <xf numFmtId="0" fontId="12" fillId="16" borderId="54" xfId="0" applyFont="1" applyFill="1" applyBorder="1"/>
    <xf numFmtId="0" fontId="24" fillId="16" borderId="55" xfId="0" applyFont="1" applyFill="1" applyBorder="1"/>
    <xf numFmtId="0" fontId="10" fillId="0" borderId="56" xfId="0" applyFont="1" applyBorder="1"/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10" fillId="0" borderId="60" xfId="0" applyFont="1" applyBorder="1"/>
    <xf numFmtId="0" fontId="10" fillId="0" borderId="55" xfId="0" applyFont="1" applyBorder="1"/>
    <xf numFmtId="0" fontId="12" fillId="0" borderId="50" xfId="0" applyFont="1" applyBorder="1"/>
    <xf numFmtId="0" fontId="12" fillId="0" borderId="51" xfId="0" applyFont="1" applyBorder="1"/>
    <xf numFmtId="0" fontId="12" fillId="0" borderId="52" xfId="0" applyFont="1" applyBorder="1"/>
    <xf numFmtId="0" fontId="17" fillId="16" borderId="50" xfId="0" applyFont="1" applyFill="1" applyBorder="1"/>
    <xf numFmtId="0" fontId="17" fillId="16" borderId="53" xfId="0" applyFont="1" applyFill="1" applyBorder="1"/>
    <xf numFmtId="0" fontId="17" fillId="16" borderId="54" xfId="0" applyFont="1" applyFill="1" applyBorder="1"/>
    <xf numFmtId="0" fontId="17" fillId="16" borderId="55" xfId="0" applyFont="1" applyFill="1" applyBorder="1"/>
    <xf numFmtId="0" fontId="2" fillId="0" borderId="56" xfId="0" applyFont="1" applyBorder="1"/>
    <xf numFmtId="0" fontId="2" fillId="0" borderId="3" xfId="0" applyFont="1" applyBorder="1"/>
    <xf numFmtId="0" fontId="2" fillId="0" borderId="57" xfId="0" applyFont="1" applyBorder="1"/>
    <xf numFmtId="0" fontId="0" fillId="0" borderId="18" xfId="0" applyBorder="1"/>
    <xf numFmtId="0" fontId="0" fillId="0" borderId="15" xfId="0" applyBorder="1"/>
    <xf numFmtId="0" fontId="0" fillId="0" borderId="0" xfId="0" pivotButton="1"/>
    <xf numFmtId="0" fontId="0" fillId="0" borderId="0" xfId="0" applyAlignment="1">
      <alignment horizontal="left"/>
    </xf>
    <xf numFmtId="0" fontId="17" fillId="16" borderId="16" xfId="0" applyFont="1" applyFill="1" applyBorder="1"/>
    <xf numFmtId="0" fontId="17" fillId="16" borderId="14" xfId="0" applyFont="1" applyFill="1" applyBorder="1"/>
    <xf numFmtId="0" fontId="17" fillId="16" borderId="17" xfId="0" applyFont="1" applyFill="1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14" fontId="0" fillId="0" borderId="0" xfId="0" applyNumberFormat="1" applyAlignment="1">
      <alignment horizontal="left"/>
    </xf>
    <xf numFmtId="0" fontId="10" fillId="0" borderId="13" xfId="0" applyFont="1" applyBorder="1"/>
    <xf numFmtId="0" fontId="10" fillId="0" borderId="1" xfId="0" applyFont="1" applyBorder="1"/>
    <xf numFmtId="0" fontId="11" fillId="0" borderId="2" xfId="0" applyFont="1" applyBorder="1"/>
    <xf numFmtId="0" fontId="10" fillId="0" borderId="1" xfId="0" applyFont="1" applyBorder="1" applyAlignment="1">
      <alignment horizontal="center"/>
    </xf>
    <xf numFmtId="0" fontId="12" fillId="0" borderId="65" xfId="0" applyFont="1" applyBorder="1"/>
    <xf numFmtId="0" fontId="11" fillId="0" borderId="66" xfId="0" applyFont="1" applyBorder="1"/>
    <xf numFmtId="0" fontId="11" fillId="0" borderId="67" xfId="0" applyFont="1" applyBorder="1"/>
    <xf numFmtId="0" fontId="13" fillId="0" borderId="4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6" xfId="0" applyFont="1" applyBorder="1"/>
    <xf numFmtId="0" fontId="11" fillId="0" borderId="7" xfId="0" applyFont="1" applyBorder="1"/>
    <xf numFmtId="0" fontId="0" fillId="0" borderId="0" xfId="0"/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1" xfId="0" applyFont="1" applyBorder="1"/>
    <xf numFmtId="0" fontId="12" fillId="0" borderId="61" xfId="0" applyFont="1" applyBorder="1"/>
    <xf numFmtId="0" fontId="11" fillId="0" borderId="62" xfId="0" applyFont="1" applyBorder="1"/>
    <xf numFmtId="0" fontId="11" fillId="0" borderId="63" xfId="0" applyFont="1" applyBorder="1"/>
    <xf numFmtId="0" fontId="12" fillId="0" borderId="64" xfId="0" applyFont="1" applyBorder="1"/>
    <xf numFmtId="0" fontId="11" fillId="0" borderId="12" xfId="0" applyFont="1" applyBorder="1"/>
    <xf numFmtId="0" fontId="17" fillId="16" borderId="22" xfId="0" applyFont="1" applyFill="1" applyBorder="1" applyAlignment="1">
      <alignment horizontal="center"/>
    </xf>
    <xf numFmtId="0" fontId="15" fillId="16" borderId="23" xfId="0" applyFont="1" applyFill="1" applyBorder="1" applyAlignment="1">
      <alignment horizontal="center"/>
    </xf>
    <xf numFmtId="0" fontId="15" fillId="16" borderId="24" xfId="0" applyFont="1" applyFill="1" applyBorder="1" applyAlignment="1">
      <alignment horizontal="center"/>
    </xf>
    <xf numFmtId="0" fontId="10" fillId="0" borderId="28" xfId="0" applyFont="1" applyBorder="1"/>
    <xf numFmtId="0" fontId="10" fillId="0" borderId="23" xfId="0" applyFont="1" applyBorder="1"/>
    <xf numFmtId="0" fontId="17" fillId="16" borderId="23" xfId="0" applyFont="1" applyFill="1" applyBorder="1" applyAlignment="1">
      <alignment horizontal="center"/>
    </xf>
    <xf numFmtId="0" fontId="17" fillId="16" borderId="24" xfId="0" applyFont="1" applyFill="1" applyBorder="1" applyAlignment="1">
      <alignment horizontal="center"/>
    </xf>
    <xf numFmtId="0" fontId="17" fillId="16" borderId="25" xfId="0" applyFont="1" applyFill="1" applyBorder="1"/>
    <xf numFmtId="0" fontId="17" fillId="16" borderId="13" xfId="0" applyFont="1" applyFill="1" applyBorder="1"/>
    <xf numFmtId="0" fontId="6" fillId="0" borderId="25" xfId="0" applyFont="1" applyBorder="1"/>
    <xf numFmtId="0" fontId="0" fillId="0" borderId="13" xfId="0" applyBorder="1"/>
    <xf numFmtId="0" fontId="6" fillId="0" borderId="27" xfId="0" applyFont="1" applyBorder="1"/>
    <xf numFmtId="0" fontId="0" fillId="0" borderId="28" xfId="0" applyBorder="1"/>
    <xf numFmtId="0" fontId="0" fillId="0" borderId="25" xfId="0" applyBorder="1"/>
    <xf numFmtId="0" fontId="0" fillId="0" borderId="27" xfId="0" applyBorder="1"/>
    <xf numFmtId="0" fontId="17" fillId="16" borderId="22" xfId="0" applyFont="1" applyFill="1" applyBorder="1"/>
    <xf numFmtId="0" fontId="17" fillId="16" borderId="23" xfId="0" applyFont="1" applyFill="1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9" xfId="0" applyBorder="1"/>
    <xf numFmtId="14" fontId="0" fillId="0" borderId="18" xfId="0" applyNumberFormat="1" applyBorder="1"/>
    <xf numFmtId="14" fontId="0" fillId="0" borderId="33" xfId="0" applyNumberFormat="1" applyBorder="1"/>
    <xf numFmtId="14" fontId="0" fillId="0" borderId="18" xfId="5" applyNumberFormat="1" applyFont="1" applyBorder="1"/>
    <xf numFmtId="14" fontId="0" fillId="0" borderId="33" xfId="5" applyNumberFormat="1" applyFont="1" applyBorder="1"/>
    <xf numFmtId="14" fontId="0" fillId="0" borderId="34" xfId="0" applyNumberFormat="1" applyBorder="1"/>
    <xf numFmtId="14" fontId="0" fillId="0" borderId="35" xfId="0" applyNumberFormat="1" applyBorder="1"/>
    <xf numFmtId="0" fontId="17" fillId="16" borderId="18" xfId="0" applyFont="1" applyFill="1" applyBorder="1"/>
    <xf numFmtId="0" fontId="17" fillId="16" borderId="33" xfId="0" applyFont="1" applyFill="1" applyBorder="1"/>
    <xf numFmtId="0" fontId="0" fillId="0" borderId="18" xfId="0" applyBorder="1"/>
    <xf numFmtId="0" fontId="0" fillId="0" borderId="33" xfId="0" applyBorder="1"/>
    <xf numFmtId="0" fontId="17" fillId="16" borderId="36" xfId="0" applyFont="1" applyFill="1" applyBorder="1"/>
    <xf numFmtId="0" fontId="17" fillId="16" borderId="37" xfId="0" applyFont="1" applyFill="1" applyBorder="1"/>
    <xf numFmtId="0" fontId="17" fillId="16" borderId="38" xfId="0" applyFont="1" applyFill="1" applyBorder="1"/>
    <xf numFmtId="0" fontId="0" fillId="0" borderId="39" xfId="0" applyBorder="1"/>
    <xf numFmtId="0" fontId="0" fillId="0" borderId="40" xfId="0" applyBorder="1"/>
    <xf numFmtId="0" fontId="0" fillId="0" borderId="15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22" xfId="0" applyBorder="1"/>
    <xf numFmtId="0" fontId="9" fillId="3" borderId="13" xfId="2" applyBorder="1" applyAlignment="1">
      <alignment horizontal="center"/>
    </xf>
    <xf numFmtId="0" fontId="17" fillId="8" borderId="13" xfId="0" applyFont="1" applyFill="1" applyBorder="1"/>
    <xf numFmtId="0" fontId="9" fillId="4" borderId="13" xfId="3" applyBorder="1"/>
    <xf numFmtId="0" fontId="4" fillId="0" borderId="13" xfId="0" applyFont="1" applyBorder="1"/>
    <xf numFmtId="0" fontId="4" fillId="0" borderId="26" xfId="0" applyFont="1" applyBorder="1"/>
    <xf numFmtId="0" fontId="4" fillId="0" borderId="28" xfId="0" applyFont="1" applyBorder="1"/>
    <xf numFmtId="0" fontId="4" fillId="0" borderId="29" xfId="0" applyFont="1" applyBorder="1"/>
    <xf numFmtId="0" fontId="17" fillId="16" borderId="24" xfId="0" applyFont="1" applyFill="1" applyBorder="1"/>
    <xf numFmtId="0" fontId="4" fillId="0" borderId="27" xfId="0" applyFont="1" applyBorder="1"/>
    <xf numFmtId="0" fontId="4" fillId="0" borderId="25" xfId="0" applyFont="1" applyBorder="1"/>
    <xf numFmtId="0" fontId="0" fillId="0" borderId="69" xfId="0" applyBorder="1"/>
    <xf numFmtId="0" fontId="0" fillId="0" borderId="16" xfId="0" applyBorder="1"/>
    <xf numFmtId="0" fontId="1" fillId="0" borderId="0" xfId="0" applyFont="1"/>
    <xf numFmtId="0" fontId="17" fillId="16" borderId="0" xfId="0" applyFont="1" applyFill="1" applyBorder="1"/>
    <xf numFmtId="0" fontId="0" fillId="0" borderId="0" xfId="0" applyFill="1" applyBorder="1" applyAlignment="1"/>
    <xf numFmtId="0" fontId="0" fillId="0" borderId="68" xfId="0" applyFill="1" applyBorder="1" applyAlignment="1"/>
    <xf numFmtId="0" fontId="25" fillId="18" borderId="69" xfId="0" applyFont="1" applyFill="1" applyBorder="1" applyAlignment="1">
      <alignment horizontal="left"/>
    </xf>
    <xf numFmtId="0" fontId="25" fillId="18" borderId="70" xfId="0" applyFont="1" applyFill="1" applyBorder="1" applyAlignment="1">
      <alignment horizontal="left"/>
    </xf>
    <xf numFmtId="0" fontId="0" fillId="0" borderId="40" xfId="0" applyFill="1" applyBorder="1" applyAlignment="1"/>
    <xf numFmtId="0" fontId="26" fillId="19" borderId="0" xfId="0" applyFont="1" applyFill="1" applyBorder="1" applyAlignment="1">
      <alignment horizontal="left"/>
    </xf>
    <xf numFmtId="0" fontId="27" fillId="19" borderId="40" xfId="0" applyFont="1" applyFill="1" applyBorder="1" applyAlignment="1">
      <alignment horizontal="left"/>
    </xf>
    <xf numFmtId="0" fontId="26" fillId="19" borderId="68" xfId="0" applyFont="1" applyFill="1" applyBorder="1" applyAlignment="1">
      <alignment horizontal="left"/>
    </xf>
    <xf numFmtId="0" fontId="28" fillId="18" borderId="70" xfId="0" applyFont="1" applyFill="1" applyBorder="1" applyAlignment="1">
      <alignment horizontal="right"/>
    </xf>
    <xf numFmtId="0" fontId="28" fillId="18" borderId="69" xfId="0" applyFont="1" applyFill="1" applyBorder="1" applyAlignment="1">
      <alignment horizontal="right"/>
    </xf>
    <xf numFmtId="0" fontId="0" fillId="20" borderId="0" xfId="0" applyFill="1" applyBorder="1" applyAlignment="1"/>
    <xf numFmtId="0" fontId="29" fillId="0" borderId="0" xfId="0" applyFont="1" applyFill="1" applyBorder="1" applyAlignment="1">
      <alignment vertical="top" wrapText="1"/>
    </xf>
  </cellXfs>
  <cellStyles count="7">
    <cellStyle name="40% - Accent5" xfId="2" builtinId="47"/>
    <cellStyle name="40% - Accent6" xfId="3" builtinId="51"/>
    <cellStyle name="Currency" xfId="5" builtinId="4"/>
    <cellStyle name="Neutral" xfId="1" builtinId="28"/>
    <cellStyle name="Normal" xfId="0" builtinId="0"/>
    <cellStyle name="Percent" xfId="6" builtinId="5"/>
    <cellStyle name="Style 1" xfId="4" xr:uid="{53DCE9A4-A2F8-493C-A814-E79848A678B3}"/>
  </cellStyles>
  <dxfs count="9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numFmt numFmtId="19" formatCode="dd/mm/yyyy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family val="2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C63FCE"/>
      <color rgb="FFE6F4EA"/>
      <color rgb="FFDAE8FC"/>
      <color rgb="FFD9D9D9"/>
      <color rgb="FFC6EFCE"/>
      <color rgb="FF6C3FCE"/>
      <color rgb="FFFFF2CC"/>
      <color rgb="FFCDACE6"/>
      <color rgb="FFE1C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metadata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[main.xlsx]Pivot Table &amp; Charts!PivotTable1</c:name>
    <c:fmtId val="0"/>
  </c:pivotSource>
  <c:chart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&amp; Charts'!$C$2:$C$3</c:f>
              <c:strCache>
                <c:ptCount val="1"/>
                <c:pt idx="0">
                  <c:v>Apparel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Charts'!$B$4:$B$8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&amp; Charts'!$C$4:$C$8</c:f>
              <c:numCache>
                <c:formatCode>General</c:formatCode>
                <c:ptCount val="4"/>
                <c:pt idx="0">
                  <c:v>357.62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5-4C54-953E-3FB3C561AA9E}"/>
            </c:ext>
          </c:extLst>
        </c:ser>
        <c:ser>
          <c:idx val="1"/>
          <c:order val="1"/>
          <c:tx>
            <c:strRef>
              <c:f>'Pivot Table &amp; Charts'!$D$2:$D$3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Charts'!$B$4:$B$8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&amp; Charts'!$D$4:$D$8</c:f>
              <c:numCache>
                <c:formatCode>General</c:formatCode>
                <c:ptCount val="4"/>
                <c:pt idx="0">
                  <c:v>136.29999999999998</c:v>
                </c:pt>
                <c:pt idx="1">
                  <c:v>74.88</c:v>
                </c:pt>
                <c:pt idx="3">
                  <c:v>109.74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5-4C54-953E-3FB3C561AA9E}"/>
            </c:ext>
          </c:extLst>
        </c:ser>
        <c:ser>
          <c:idx val="2"/>
          <c:order val="2"/>
          <c:tx>
            <c:strRef>
              <c:f>'Pivot Table &amp; Charts'!$E$2:$E$3</c:f>
              <c:strCache>
                <c:ptCount val="1"/>
                <c:pt idx="0">
                  <c:v>Grocery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Charts'!$B$4:$B$8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&amp; Charts'!$E$4:$E$8</c:f>
              <c:numCache>
                <c:formatCode>General</c:formatCode>
                <c:ptCount val="4"/>
                <c:pt idx="0">
                  <c:v>39.519999999999982</c:v>
                </c:pt>
                <c:pt idx="1">
                  <c:v>26.279999999999998</c:v>
                </c:pt>
                <c:pt idx="2">
                  <c:v>17.820000000000029</c:v>
                </c:pt>
                <c:pt idx="3">
                  <c:v>429.15999999999997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95-4C54-953E-3FB3C561AA9E}"/>
            </c:ext>
          </c:extLst>
        </c:ser>
        <c:ser>
          <c:idx val="3"/>
          <c:order val="3"/>
          <c:tx>
            <c:strRef>
              <c:f>'Pivot Table &amp; Charts'!$F$2:$F$3</c:f>
              <c:strCache>
                <c:ptCount val="1"/>
                <c:pt idx="0">
                  <c:v>Home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Charts'!$B$4:$B$8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&amp; Charts'!$F$4:$F$8</c:f>
              <c:numCache>
                <c:formatCode>General</c:formatCode>
                <c:ptCount val="4"/>
                <c:pt idx="1">
                  <c:v>56.559999999999988</c:v>
                </c:pt>
                <c:pt idx="2">
                  <c:v>81.599999999999994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95-4C54-953E-3FB3C561A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727495312"/>
        <c:axId val="727492432"/>
      </c:barChart>
      <c:catAx>
        <c:axId val="72749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92432"/>
        <c:crosses val="autoZero"/>
        <c:auto val="1"/>
        <c:lblAlgn val="ctr"/>
        <c:lblOffset val="100"/>
        <c:noMultiLvlLbl val="0"/>
      </c:catAx>
      <c:valAx>
        <c:axId val="72749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9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[main.xlsx]Pivot Table &amp; Charts!PivotTable2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 &amp; Charts'!$J$2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A2-4415-977A-DFD1413BF2A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A2-4415-977A-DFD1413BF2A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A2-4415-977A-DFD1413BF2A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CA2-4415-977A-DFD1413BF2A0}"/>
              </c:ext>
            </c:extLst>
          </c:dPt>
          <c:cat>
            <c:strRef>
              <c:f>'Pivot Table &amp; Charts'!$I$3:$I$7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&amp; Charts'!$J$3:$J$7</c:f>
              <c:numCache>
                <c:formatCode>General</c:formatCode>
                <c:ptCount val="4"/>
                <c:pt idx="0">
                  <c:v>533.43999999999994</c:v>
                </c:pt>
                <c:pt idx="1">
                  <c:v>157.71999999999997</c:v>
                </c:pt>
                <c:pt idx="2">
                  <c:v>99.420000000000016</c:v>
                </c:pt>
                <c:pt idx="3">
                  <c:v>538.9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D-447A-ACF7-05F7F738B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[main.xlsx]Pivot Table &amp; Charts!PivotTable3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&amp; Charts'!$P$2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'Pivot Table &amp; Charts'!$O$3:$O$13</c:f>
              <c:strCache>
                <c:ptCount val="10"/>
                <c:pt idx="0">
                  <c:v>45901</c:v>
                </c:pt>
                <c:pt idx="1">
                  <c:v>45902</c:v>
                </c:pt>
                <c:pt idx="2">
                  <c:v>45903</c:v>
                </c:pt>
                <c:pt idx="3">
                  <c:v>45904</c:v>
                </c:pt>
                <c:pt idx="4">
                  <c:v>45905</c:v>
                </c:pt>
                <c:pt idx="5">
                  <c:v>45906</c:v>
                </c:pt>
                <c:pt idx="6">
                  <c:v>45907</c:v>
                </c:pt>
                <c:pt idx="7">
                  <c:v>45908</c:v>
                </c:pt>
                <c:pt idx="8">
                  <c:v>45909</c:v>
                </c:pt>
                <c:pt idx="9">
                  <c:v>45910</c:v>
                </c:pt>
              </c:strCache>
            </c:strRef>
          </c:cat>
          <c:val>
            <c:numRef>
              <c:f>'Pivot Table &amp; Charts'!$P$3:$P$13</c:f>
              <c:numCache>
                <c:formatCode>General</c:formatCode>
                <c:ptCount val="10"/>
                <c:pt idx="0">
                  <c:v>189.76999999999998</c:v>
                </c:pt>
                <c:pt idx="1">
                  <c:v>136.29999999999998</c:v>
                </c:pt>
                <c:pt idx="2">
                  <c:v>140.76</c:v>
                </c:pt>
                <c:pt idx="3">
                  <c:v>158.06</c:v>
                </c:pt>
                <c:pt idx="4">
                  <c:v>117.80000000000001</c:v>
                </c:pt>
                <c:pt idx="5">
                  <c:v>265.54999999999995</c:v>
                </c:pt>
                <c:pt idx="6">
                  <c:v>109.74</c:v>
                </c:pt>
                <c:pt idx="7">
                  <c:v>96.4</c:v>
                </c:pt>
                <c:pt idx="8">
                  <c:v>1.660000000000025</c:v>
                </c:pt>
                <c:pt idx="9">
                  <c:v>113.44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A-4B1E-BA56-FEE7D8EDF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286192"/>
        <c:axId val="1423271312"/>
      </c:lineChart>
      <c:catAx>
        <c:axId val="142328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71312"/>
        <c:crosses val="autoZero"/>
        <c:auto val="1"/>
        <c:lblAlgn val="ctr"/>
        <c:lblOffset val="100"/>
        <c:noMultiLvlLbl val="0"/>
      </c:catAx>
      <c:valAx>
        <c:axId val="142327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8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20</xdr:row>
      <xdr:rowOff>30480</xdr:rowOff>
    </xdr:from>
    <xdr:to>
      <xdr:col>6</xdr:col>
      <xdr:colOff>571500</xdr:colOff>
      <xdr:row>25</xdr:row>
      <xdr:rowOff>147353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1DD91E-CFBD-A637-4F36-D7B0117AE939}"/>
            </a:ext>
          </a:extLst>
        </xdr:cNvPr>
        <xdr:cNvCxnSpPr/>
      </xdr:nvCxnSpPr>
      <xdr:spPr>
        <a:xfrm flipV="1">
          <a:off x="2895600" y="3771900"/>
          <a:ext cx="1790700" cy="10465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7620</xdr:rowOff>
    </xdr:from>
    <xdr:to>
      <xdr:col>6</xdr:col>
      <xdr:colOff>586740</xdr:colOff>
      <xdr:row>16</xdr:row>
      <xdr:rowOff>7620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1F90B5E-1D54-403B-F252-B4E4AA156A48}"/>
            </a:ext>
          </a:extLst>
        </xdr:cNvPr>
        <xdr:cNvCxnSpPr/>
      </xdr:nvCxnSpPr>
      <xdr:spPr>
        <a:xfrm>
          <a:off x="2895600" y="2994660"/>
          <a:ext cx="1805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9</xdr:row>
      <xdr:rowOff>26670</xdr:rowOff>
    </xdr:from>
    <xdr:to>
      <xdr:col>6</xdr:col>
      <xdr:colOff>441960</xdr:colOff>
      <xdr:row>24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1D6409-A25E-6E3D-0FB8-5CEF3737E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9292</xdr:colOff>
      <xdr:row>9</xdr:row>
      <xdr:rowOff>36241</xdr:rowOff>
    </xdr:from>
    <xdr:to>
      <xdr:col>13</xdr:col>
      <xdr:colOff>325243</xdr:colOff>
      <xdr:row>23</xdr:row>
      <xdr:rowOff>177490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40930D-D4A8-F851-DD15-13F227746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463379</xdr:colOff>
      <xdr:row>0</xdr:row>
      <xdr:rowOff>183292</xdr:rowOff>
    </xdr:from>
    <xdr:to>
      <xdr:col>25</xdr:col>
      <xdr:colOff>247135</xdr:colOff>
      <xdr:row>15</xdr:row>
      <xdr:rowOff>146222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34C97F-BFC4-5365-E438-189774A5C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2</xdr:row>
      <xdr:rowOff>99060</xdr:rowOff>
    </xdr:from>
    <xdr:to>
      <xdr:col>10</xdr:col>
      <xdr:colOff>266700</xdr:colOff>
      <xdr:row>6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A50C47-519D-6F61-B200-A9D1EC62FA35}"/>
            </a:ext>
          </a:extLst>
        </xdr:cNvPr>
        <xdr:cNvSpPr txBox="1"/>
      </xdr:nvSpPr>
      <xdr:spPr>
        <a:xfrm>
          <a:off x="5303520" y="472440"/>
          <a:ext cx="16383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100"/>
            <a:t>To</a:t>
          </a:r>
          <a:r>
            <a:rPr lang="en-IN" sz="1100" baseline="0"/>
            <a:t> find: How much quantity needed to reach profit of ₹1500</a:t>
          </a:r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609081</xdr:colOff>
      <xdr:row>12</xdr:row>
      <xdr:rowOff>173653</xdr:rowOff>
    </xdr:from>
    <xdr:to>
      <xdr:col>9</xdr:col>
      <xdr:colOff>38877</xdr:colOff>
      <xdr:row>13</xdr:row>
      <xdr:rowOff>127941</xdr:rowOff>
    </xdr:to>
    <xdr:sp macro="" textlink="">
      <xdr:nvSpPr>
        <xdr:cNvPr id="5" name="Arrow: Bent-Up 4">
          <a:extLst>
            <a:ext uri="{FF2B5EF4-FFF2-40B4-BE49-F238E27FC236}">
              <a16:creationId xmlns:a16="http://schemas.microsoft.com/office/drawing/2014/main" id="{64D1E711-ECF3-B831-40D2-EE50750D08BD}"/>
            </a:ext>
          </a:extLst>
        </xdr:cNvPr>
        <xdr:cNvSpPr/>
      </xdr:nvSpPr>
      <xdr:spPr>
        <a:xfrm>
          <a:off x="4263571" y="2381898"/>
          <a:ext cx="1386633" cy="138308"/>
        </a:xfrm>
        <a:prstGeom prst="bent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</a:t>
          </a:r>
        </a:p>
      </xdr:txBody>
    </xdr:sp>
    <xdr:clientData/>
  </xdr:twoCellAnchor>
  <xdr:twoCellAnchor>
    <xdr:from>
      <xdr:col>7</xdr:col>
      <xdr:colOff>4010</xdr:colOff>
      <xdr:row>12</xdr:row>
      <xdr:rowOff>64168</xdr:rowOff>
    </xdr:from>
    <xdr:to>
      <xdr:col>10</xdr:col>
      <xdr:colOff>356936</xdr:colOff>
      <xdr:row>15</xdr:row>
      <xdr:rowOff>123931</xdr:rowOff>
    </xdr:to>
    <xdr:sp macro="" textlink="">
      <xdr:nvSpPr>
        <xdr:cNvPr id="6" name="Arrow: Bent-Up 5">
          <a:extLst>
            <a:ext uri="{FF2B5EF4-FFF2-40B4-BE49-F238E27FC236}">
              <a16:creationId xmlns:a16="http://schemas.microsoft.com/office/drawing/2014/main" id="{01CF3F55-D751-4C12-BF51-AE07504501E1}"/>
            </a:ext>
          </a:extLst>
        </xdr:cNvPr>
        <xdr:cNvSpPr/>
      </xdr:nvSpPr>
      <xdr:spPr>
        <a:xfrm>
          <a:off x="4267581" y="2272413"/>
          <a:ext cx="2309763" cy="611824"/>
        </a:xfrm>
        <a:prstGeom prst="bentUpArrow">
          <a:avLst>
            <a:gd name="adj1" fmla="val 5511"/>
            <a:gd name="adj2" fmla="val 9137"/>
            <a:gd name="adj3" fmla="val 10967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</a:t>
          </a:r>
        </a:p>
      </xdr:txBody>
    </xdr:sp>
    <xdr:clientData/>
  </xdr:twoCellAnchor>
  <xdr:twoCellAnchor>
    <xdr:from>
      <xdr:col>8</xdr:col>
      <xdr:colOff>254368</xdr:colOff>
      <xdr:row>12</xdr:row>
      <xdr:rowOff>21131</xdr:rowOff>
    </xdr:from>
    <xdr:to>
      <xdr:col>9</xdr:col>
      <xdr:colOff>353295</xdr:colOff>
      <xdr:row>12</xdr:row>
      <xdr:rowOff>173531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E0A18F7C-F1F9-C087-B039-25783584B26E}"/>
            </a:ext>
          </a:extLst>
        </xdr:cNvPr>
        <xdr:cNvSpPr/>
      </xdr:nvSpPr>
      <xdr:spPr>
        <a:xfrm rot="5400000">
          <a:off x="5534418" y="1951571"/>
          <a:ext cx="152400" cy="708009"/>
        </a:xfrm>
        <a:prstGeom prst="rightBrace">
          <a:avLst>
            <a:gd name="adj1" fmla="val 79600"/>
            <a:gd name="adj2" fmla="val 50000"/>
          </a:avLst>
        </a:prstGeom>
        <a:noFill/>
        <a:ln w="28575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15241</xdr:colOff>
      <xdr:row>13</xdr:row>
      <xdr:rowOff>76200</xdr:rowOff>
    </xdr:from>
    <xdr:to>
      <xdr:col>6</xdr:col>
      <xdr:colOff>452702</xdr:colOff>
      <xdr:row>14</xdr:row>
      <xdr:rowOff>129540</xdr:rowOff>
    </xdr:to>
    <xdr:sp macro="" textlink="">
      <xdr:nvSpPr>
        <xdr:cNvPr id="2" name="Arrow: Bent-Up 1">
          <a:extLst>
            <a:ext uri="{FF2B5EF4-FFF2-40B4-BE49-F238E27FC236}">
              <a16:creationId xmlns:a16="http://schemas.microsoft.com/office/drawing/2014/main" id="{E546E1A5-DD8A-6A5B-E908-D203AF2C1C0B}"/>
            </a:ext>
          </a:extLst>
        </xdr:cNvPr>
        <xdr:cNvSpPr/>
      </xdr:nvSpPr>
      <xdr:spPr>
        <a:xfrm>
          <a:off x="2455890" y="2452178"/>
          <a:ext cx="1657786" cy="236107"/>
        </a:xfrm>
        <a:prstGeom prst="bent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23.547151736107" createdVersion="8" refreshedVersion="8" minRefreshableVersion="3" recordCount="20" xr:uid="{0C4E0A61-BFE6-4462-BA8B-6CDDF3C6A5F9}">
  <cacheSource type="worksheet">
    <worksheetSource name="Table9"/>
  </cacheSource>
  <cacheFields count="11">
    <cacheField name="Date" numFmtId="0">
      <sharedItems containsSemiMixedTypes="0" containsString="0" containsNumber="1" containsInteger="1" minValue="45901" maxValue="45910" count="10">
        <n v="45908"/>
        <n v="45901"/>
        <n v="45906"/>
        <n v="45905"/>
        <n v="45910"/>
        <n v="45909"/>
        <n v="45903"/>
        <n v="45904"/>
        <n v="45907"/>
        <n v="45902"/>
      </sharedItems>
    </cacheField>
    <cacheField name="Store ID" numFmtId="0">
      <sharedItems/>
    </cacheField>
    <cacheField name="Region" numFmtId="0">
      <sharedItems count="4">
        <s v="North"/>
        <s v="West"/>
        <s v="East"/>
        <s v="South"/>
      </sharedItems>
    </cacheField>
    <cacheField name="Product Category" numFmtId="0">
      <sharedItems count="4">
        <s v="Grocery"/>
        <s v="Apparel"/>
        <s v="Home"/>
        <s v="Electronics"/>
      </sharedItems>
    </cacheField>
    <cacheField name="Product Name" numFmtId="0">
      <sharedItems count="9">
        <s v="Apples"/>
        <s v="Bread"/>
        <s v="Jacket"/>
        <s v="Milk"/>
        <s v="Jeans"/>
        <s v="Lamp"/>
        <s v="Table"/>
        <s v="USB Cable"/>
        <s v="Headphones"/>
      </sharedItems>
    </cacheField>
    <cacheField name="Units Sold" numFmtId="0">
      <sharedItems containsSemiMixedTypes="0" containsString="0" containsNumber="1" containsInteger="1" minValue="1" maxValue="10"/>
    </cacheField>
    <cacheField name="Unit Price" numFmtId="0">
      <sharedItems containsSemiMixedTypes="0" containsString="0" containsNumber="1" minValue="7.82" maxValue="98.82"/>
    </cacheField>
    <cacheField name="Unit Cost" numFmtId="0">
      <sharedItems containsSemiMixedTypes="0" containsString="0" containsNumber="1" minValue="1.5" maxValue="88.4"/>
    </cacheField>
    <cacheField name="Total Revenue" numFmtId="0">
      <sharedItems containsSemiMixedTypes="0" containsString="0" containsNumber="1" minValue="-45.499999999999972" maxValue="226.03"/>
    </cacheField>
    <cacheField name="Customer Type" numFmtId="0">
      <sharedItems count="2">
        <s v="Returning"/>
        <s v="New"/>
      </sharedItems>
    </cacheField>
    <cacheField name="Payment Metho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S002"/>
    <x v="0"/>
    <x v="0"/>
    <x v="0"/>
    <n v="1"/>
    <n v="41.48"/>
    <n v="15.2"/>
    <n v="26.279999999999998"/>
    <x v="0"/>
    <s v="Online"/>
  </r>
  <r>
    <x v="0"/>
    <s v="S003"/>
    <x v="1"/>
    <x v="0"/>
    <x v="1"/>
    <n v="4"/>
    <n v="18.16"/>
    <n v="8.6"/>
    <n v="38.24"/>
    <x v="1"/>
    <s v="Online"/>
  </r>
  <r>
    <x v="1"/>
    <s v="S001"/>
    <x v="2"/>
    <x v="1"/>
    <x v="2"/>
    <n v="3"/>
    <n v="98.82"/>
    <n v="59.5"/>
    <n v="117.95999999999998"/>
    <x v="0"/>
    <s v="Card"/>
  </r>
  <r>
    <x v="2"/>
    <s v="S003"/>
    <x v="2"/>
    <x v="0"/>
    <x v="3"/>
    <n v="4"/>
    <n v="58.08"/>
    <n v="48.2"/>
    <n v="39.519999999999982"/>
    <x v="1"/>
    <s v="Card"/>
  </r>
  <r>
    <x v="3"/>
    <s v="S003"/>
    <x v="2"/>
    <x v="1"/>
    <x v="4"/>
    <n v="10"/>
    <n v="15.66"/>
    <n v="7.5"/>
    <n v="81.599999999999994"/>
    <x v="1"/>
    <s v="Card"/>
  </r>
  <r>
    <x v="4"/>
    <s v="S003"/>
    <x v="0"/>
    <x v="2"/>
    <x v="5"/>
    <n v="7"/>
    <n v="19.579999999999998"/>
    <n v="11.5"/>
    <n v="56.559999999999988"/>
    <x v="0"/>
    <s v="Cash"/>
  </r>
  <r>
    <x v="5"/>
    <s v="S003"/>
    <x v="3"/>
    <x v="2"/>
    <x v="6"/>
    <n v="1"/>
    <n v="84.66"/>
    <n v="37.5"/>
    <n v="47.16"/>
    <x v="1"/>
    <s v="Online"/>
  </r>
  <r>
    <x v="1"/>
    <s v="S001"/>
    <x v="1"/>
    <x v="0"/>
    <x v="1"/>
    <n v="4"/>
    <n v="39.630000000000003"/>
    <n v="24.59"/>
    <n v="60.160000000000011"/>
    <x v="1"/>
    <s v="Online"/>
  </r>
  <r>
    <x v="0"/>
    <s v="S004"/>
    <x v="3"/>
    <x v="0"/>
    <x v="0"/>
    <n v="4"/>
    <n v="10.55"/>
    <n v="2.58"/>
    <n v="31.880000000000003"/>
    <x v="1"/>
    <s v="Cash"/>
  </r>
  <r>
    <x v="6"/>
    <s v="S001"/>
    <x v="0"/>
    <x v="3"/>
    <x v="7"/>
    <n v="4"/>
    <n v="63.82"/>
    <n v="45.1"/>
    <n v="74.88"/>
    <x v="1"/>
    <s v="Card"/>
  </r>
  <r>
    <x v="3"/>
    <s v="S003"/>
    <x v="1"/>
    <x v="0"/>
    <x v="3"/>
    <n v="4"/>
    <n v="68.650000000000006"/>
    <n v="59.6"/>
    <n v="36.200000000000017"/>
    <x v="1"/>
    <s v="Cash"/>
  </r>
  <r>
    <x v="7"/>
    <s v="S003"/>
    <x v="2"/>
    <x v="1"/>
    <x v="2"/>
    <n v="7"/>
    <n v="50.58"/>
    <n v="28"/>
    <n v="158.06"/>
    <x v="0"/>
    <s v="Online"/>
  </r>
  <r>
    <x v="6"/>
    <s v="S002"/>
    <x v="3"/>
    <x v="2"/>
    <x v="5"/>
    <n v="4"/>
    <n v="80.81"/>
    <n v="72.2"/>
    <n v="34.44"/>
    <x v="0"/>
    <s v="Online"/>
  </r>
  <r>
    <x v="8"/>
    <s v="S004"/>
    <x v="1"/>
    <x v="3"/>
    <x v="8"/>
    <n v="6"/>
    <n v="53.89"/>
    <n v="35.6"/>
    <n v="109.74"/>
    <x v="0"/>
    <s v="Cash"/>
  </r>
  <r>
    <x v="1"/>
    <s v="S002"/>
    <x v="1"/>
    <x v="0"/>
    <x v="1"/>
    <n v="1"/>
    <n v="66.849999999999994"/>
    <n v="55.2"/>
    <n v="11.649999999999991"/>
    <x v="0"/>
    <s v="Cash"/>
  </r>
  <r>
    <x v="2"/>
    <s v="S001"/>
    <x v="1"/>
    <x v="0"/>
    <x v="1"/>
    <n v="7"/>
    <n v="80.89"/>
    <n v="48.6"/>
    <n v="226.03"/>
    <x v="0"/>
    <s v="Online"/>
  </r>
  <r>
    <x v="4"/>
    <s v="S003"/>
    <x v="1"/>
    <x v="0"/>
    <x v="1"/>
    <n v="9"/>
    <n v="7.82"/>
    <n v="1.5"/>
    <n v="56.88"/>
    <x v="0"/>
    <s v="Online"/>
  </r>
  <r>
    <x v="9"/>
    <s v="S004"/>
    <x v="2"/>
    <x v="3"/>
    <x v="8"/>
    <n v="5"/>
    <n v="56.66"/>
    <n v="29.4"/>
    <n v="136.29999999999998"/>
    <x v="0"/>
    <s v="Card"/>
  </r>
  <r>
    <x v="6"/>
    <s v="S003"/>
    <x v="3"/>
    <x v="0"/>
    <x v="0"/>
    <n v="4"/>
    <n v="96.26"/>
    <n v="88.4"/>
    <n v="31.439999999999998"/>
    <x v="0"/>
    <s v="Online"/>
  </r>
  <r>
    <x v="5"/>
    <s v="S002"/>
    <x v="3"/>
    <x v="0"/>
    <x v="1"/>
    <n v="10"/>
    <n v="61.45"/>
    <n v="66"/>
    <n v="-45.499999999999972"/>
    <x v="1"/>
    <s v="Onlin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0B11B-DAA2-4103-983A-BDCAFD2BC04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2:G8" firstHeaderRow="1" firstDataRow="2" firstDataCol="1"/>
  <pivotFields count="11"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axis="axisCol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>
      <items count="3">
        <item x="1"/>
        <item x="0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evenue" fld="8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443239-363B-4A1A-96D3-93DF80C5D41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O2:P13" firstHeaderRow="1" firstDataRow="1" firstDataCol="1"/>
  <pivotFields count="11">
    <pivotField axis="axisRow" showAll="0">
      <items count="11">
        <item x="1"/>
        <item x="9"/>
        <item x="6"/>
        <item x="7"/>
        <item x="3"/>
        <item x="2"/>
        <item x="8"/>
        <item x="0"/>
        <item x="5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otal Revenue" fld="8" baseField="0" baseItem="0"/>
  </dataFields>
  <formats count="1">
    <format dxfId="23">
      <pivotArea dataOnly="0" labelOnly="1" fieldPosition="0">
        <references count="1">
          <reference field="0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35B19D-3C15-4068-87E5-AEDD9254A11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I2:J7" firstHeaderRow="1" firstDataRow="1" firstDataCol="1"/>
  <pivotFields count="11"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>
      <items count="10">
        <item x="0"/>
        <item x="1"/>
        <item x="8"/>
        <item x="2"/>
        <item x="4"/>
        <item x="5"/>
        <item x="3"/>
        <item x="6"/>
        <item x="7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Revenue" fld="8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8A3916-792D-40BB-974C-E89F86E1CABE}" autoFormatId="16" applyNumberFormats="0" applyBorderFormats="0" applyFontFormats="0" applyPatternFormats="0" applyAlignmentFormats="0" applyWidthHeightFormats="0">
  <queryTableRefresh nextId="16">
    <queryTableFields count="15">
      <queryTableField id="1" name="Job Title" tableColumnId="1"/>
      <queryTableField id="2" name="Rating" tableColumnId="2"/>
      <queryTableField id="3" name="Company Name" tableColumnId="3"/>
      <queryTableField id="4" name="Location" tableColumnId="4"/>
      <queryTableField id="5" name="Headquarters" tableColumnId="5"/>
      <queryTableField id="6" name="Size" tableColumnId="6"/>
      <queryTableField id="7" name="Founded" tableColumnId="7"/>
      <queryTableField id="8" name="Type of ownership" tableColumnId="8"/>
      <queryTableField id="9" name="Industry" tableColumnId="9"/>
      <queryTableField id="10" name="Sector" tableColumnId="10"/>
      <queryTableField id="11" name="Revenue" tableColumnId="11"/>
      <queryTableField id="12" name="Competitors" tableColumnId="12"/>
      <queryTableField id="13" name="Min Salary" tableColumnId="13"/>
      <queryTableField id="14" name="Max Salary" tableColumnId="14"/>
      <queryTableField id="15" name="Column15" tableColumnId="15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55178-1256-482F-BAF4-0B8DCB8E9B10}" name="Table3" displayName="Table3" ref="A1:C8" totalsRowShown="0" headerRowDxfId="92" dataDxfId="91" tableBorderDxfId="90">
  <autoFilter ref="A1:C8" xr:uid="{24C55178-1256-482F-BAF4-0B8DCB8E9B10}"/>
  <tableColumns count="3">
    <tableColumn id="1" xr3:uid="{ED262602-B87A-4F94-8589-4E2BF65EF431}" name="Name" dataDxfId="89"/>
    <tableColumn id="2" xr3:uid="{2AB12155-B164-4FF4-A446-48D7DA87C9E9}" name="Department" dataDxfId="88"/>
    <tableColumn id="3" xr3:uid="{64D39C08-2789-42E2-A9C4-29ABF74561F1}" name="Salary" dataDxfId="8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BD7BEC-2EB5-4967-AE59-ACFC3141149C}" name="Table5" displayName="Table5" ref="A10:D18" totalsRowShown="0" headerRowDxfId="86" dataDxfId="84" headerRowBorderDxfId="85" tableBorderDxfId="83" totalsRowBorderDxfId="82">
  <autoFilter ref="A10:D18" xr:uid="{9BBD7BEC-2EB5-4967-AE59-ACFC3141149C}"/>
  <tableColumns count="4">
    <tableColumn id="1" xr3:uid="{75FD9C67-5EF5-45F5-AD90-7157EC2B20DD}" name="Department" dataDxfId="81"/>
    <tableColumn id="2" xr3:uid="{2F1BB63C-7270-4DB4-8043-7BB482DEDEF1}" name="Gender" dataDxfId="80"/>
    <tableColumn id="3" xr3:uid="{17DEF3CF-D136-414E-B626-0EC213596C90}" name="Salary" dataDxfId="79"/>
    <tableColumn id="4" xr3:uid="{B2B74037-40A0-4043-8006-68146AAC0D4F}" name="Performance" dataDxfId="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A49B3A-9AEE-4406-B914-FB740B9F2D61}" name="Table6" displayName="Table6" ref="A20:D28" totalsRowShown="0" headerRowDxfId="77" dataDxfId="75" headerRowBorderDxfId="76" tableBorderDxfId="74" totalsRowBorderDxfId="73">
  <autoFilter ref="A20:D28" xr:uid="{15A49B3A-9AEE-4406-B914-FB740B9F2D61}"/>
  <tableColumns count="4">
    <tableColumn id="1" xr3:uid="{220B467B-DFB3-40F8-A01B-A4E00D569ECE}" name="Category" dataDxfId="72"/>
    <tableColumn id="2" xr3:uid="{1D4338C3-9788-4BDA-8CFC-884EBCE530E1}" name="Supplier" dataDxfId="71"/>
    <tableColumn id="3" xr3:uid="{441C2DBE-B7CC-41EB-AF57-86EA9FD9E56D}" name="Price" dataDxfId="70"/>
    <tableColumn id="4" xr3:uid="{A62C55AA-C792-4378-BEB6-62816C5F406F}" name="Stock" dataDxfId="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3A77D-3237-4BBF-BD1B-3E7E6E7ECE4A}" name="Table1" displayName="Table1" ref="B2:D9" totalsRowShown="0" headerRowDxfId="68" dataDxfId="66" headerRowBorderDxfId="67" tableBorderDxfId="65" totalsRowBorderDxfId="64">
  <autoFilter ref="B2:D9" xr:uid="{F1C3A77D-3237-4BBF-BD1B-3E7E6E7ECE4A}"/>
  <tableColumns count="3">
    <tableColumn id="1" xr3:uid="{F0F0E0B7-02A3-4F01-ADA4-3FA362C97123}" name="Name" dataDxfId="63"/>
    <tableColumn id="2" xr3:uid="{7EE238D7-6F1C-40B4-A0CD-C13FE5B2D6C1}" name="Department" dataDxfId="62"/>
    <tableColumn id="3" xr3:uid="{DF78D919-00D4-4D78-A63A-A2D317D0F956}" name="Salar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55D778-B84B-4F38-A1A7-B58D15632C77}" name="Table4" displayName="Table4" ref="B11:E20" totalsRowShown="0" headerRowDxfId="60" dataDxfId="58" headerRowBorderDxfId="59" tableBorderDxfId="57" totalsRowBorderDxfId="56">
  <autoFilter ref="B11:E20" xr:uid="{AC55D778-B84B-4F38-A1A7-B58D15632C77}"/>
  <tableColumns count="4">
    <tableColumn id="1" xr3:uid="{8D773C40-47AB-4B9A-8653-DEAABE7DC611}" name="Name" dataDxfId="55"/>
    <tableColumn id="2" xr3:uid="{E241A9CF-8651-4119-94A8-40C789CF7F55}" name="Department" dataDxfId="54"/>
    <tableColumn id="3" xr3:uid="{62FAD55A-DF32-4C52-9848-A00FB70F3808}" name="Salary" dataDxfId="53"/>
    <tableColumn id="4" xr3:uid="{B8C7A272-7749-4963-AA29-5FCFDD3D3FF4}" name="Experience" dataDxfId="5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1E80BE-FB70-490B-BAF5-78CA70FAC7EA}" name="Sheet1" displayName="Sheet1" ref="A1:O673" tableType="queryTable" totalsRowShown="0">
  <autoFilter ref="A1:O673" xr:uid="{D91E80BE-FB70-490B-BAF5-78CA70FAC7EA}"/>
  <tableColumns count="15">
    <tableColumn id="1" xr3:uid="{D42B47CA-E1E6-4D8C-8D20-6B22D9963D80}" uniqueName="1" name="Job Title" queryTableFieldId="1" dataDxfId="51"/>
    <tableColumn id="2" xr3:uid="{5881259C-E197-447D-AF63-370FB344518C}" uniqueName="2" name="Rating" queryTableFieldId="2" dataDxfId="50"/>
    <tableColumn id="3" xr3:uid="{3FB301C8-9949-4D67-BAA3-362CF0D52E01}" uniqueName="3" name="Company Name" queryTableFieldId="3" dataDxfId="49"/>
    <tableColumn id="4" xr3:uid="{F5CDB051-24C0-4074-9154-05C6A3E1BAD6}" uniqueName="4" name="Location" queryTableFieldId="4" dataDxfId="48"/>
    <tableColumn id="5" xr3:uid="{300373AC-3C53-4E61-90BB-1834FBAE0821}" uniqueName="5" name="Headquarters" queryTableFieldId="5" dataDxfId="47"/>
    <tableColumn id="6" xr3:uid="{64021D30-9A6C-4778-A296-EE7B5502FFF4}" uniqueName="6" name="Size" queryTableFieldId="6" dataDxfId="46"/>
    <tableColumn id="7" xr3:uid="{A7591C58-942B-4496-9ED2-67E12E4D7FC0}" uniqueName="7" name="Founded" queryTableFieldId="7" dataDxfId="45"/>
    <tableColumn id="8" xr3:uid="{DD93DBC2-1CC6-454B-AC7A-B2C799237D34}" uniqueName="8" name="Type of ownership" queryTableFieldId="8" dataDxfId="44"/>
    <tableColumn id="9" xr3:uid="{A9A8EF18-4422-4117-B787-9E7041A47B82}" uniqueName="9" name="Industry" queryTableFieldId="9" dataDxfId="43"/>
    <tableColumn id="10" xr3:uid="{74CD7FFD-3DD7-4A8D-9517-D382681F9E9E}" uniqueName="10" name="Sector" queryTableFieldId="10" dataDxfId="42"/>
    <tableColumn id="11" xr3:uid="{99665902-AB21-48CC-85F4-B390601EAF72}" uniqueName="11" name="Revenue" queryTableFieldId="11" dataDxfId="41"/>
    <tableColumn id="12" xr3:uid="{877C97EF-7EE5-4204-99C0-E67F0F18E976}" uniqueName="12" name="Competitors" queryTableFieldId="12" dataDxfId="40"/>
    <tableColumn id="13" xr3:uid="{FF4454B2-B6D1-4193-A3F5-CC9504E5948E}" uniqueName="13" name="Min Salary" queryTableFieldId="13" dataDxfId="39"/>
    <tableColumn id="14" xr3:uid="{6B217FA3-2445-4825-9CA0-5270340E6177}" uniqueName="14" name="Max Salary" queryTableFieldId="14"/>
    <tableColumn id="15" xr3:uid="{EDCE9550-761D-4CCC-82B6-231EAB65FEDA}" uniqueName="15" name="Column15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2BAF9C-7D5E-4863-845D-39F699A06E85}" name="Table9" displayName="Table9" ref="B2:L22" totalsRowShown="0" headerRowDxfId="38" headerRowBorderDxfId="37" tableBorderDxfId="36" totalsRowBorderDxfId="35">
  <autoFilter ref="B2:L22" xr:uid="{702BAF9C-7D5E-4863-845D-39F699A06E85}"/>
  <tableColumns count="11">
    <tableColumn id="1" xr3:uid="{5AF12E71-5D62-4B7D-8F13-ED88180132B4}" name="Date" dataDxfId="34"/>
    <tableColumn id="2" xr3:uid="{9F51DD7A-DDD8-4299-92D1-F383BDBF34D5}" name="Store ID" dataDxfId="33"/>
    <tableColumn id="3" xr3:uid="{D818FB7C-1C59-4F2F-BD14-740EA5358415}" name="Region" dataDxfId="32"/>
    <tableColumn id="4" xr3:uid="{9BC1883E-6BA5-42D9-BA2A-EA8FFA56E126}" name="Product Category" dataDxfId="31"/>
    <tableColumn id="5" xr3:uid="{63A10691-8513-4D22-BE97-A62D3A86C450}" name="Product Name" dataDxfId="30"/>
    <tableColumn id="6" xr3:uid="{C3EE18B9-2109-4D84-9A26-1EDD57A10C41}" name="Units Sold" dataDxfId="29"/>
    <tableColumn id="7" xr3:uid="{24B45D1D-9A08-4944-BFBF-99E8C1D12C48}" name="Unit Price" dataDxfId="28"/>
    <tableColumn id="8" xr3:uid="{684D7D09-E748-4DA9-BCD7-0D854D0A8D04}" name="Unit Cost" dataDxfId="27"/>
    <tableColumn id="9" xr3:uid="{E27AEF17-9D42-4907-A361-0E4DB0DBEDC2}" name="Total Revenue" dataDxfId="26">
      <calculatedColumnFormula>(H3 - I3) * G3</calculatedColumnFormula>
    </tableColumn>
    <tableColumn id="10" xr3:uid="{57BCC662-D621-4A78-B6A9-0255D83030BA}" name="Customer Type" dataDxfId="25"/>
    <tableColumn id="11" xr3:uid="{C8DFFA74-5368-4821-8E0B-910BEF47317E}" name="Payment Method" dataDxfId="2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1DD20C-5069-491A-B332-7BE11C2A85DE}" name="Table2" displayName="Table2" ref="C3:G13" totalsRowShown="0" headerRowDxfId="22">
  <autoFilter ref="C3:G13" xr:uid="{321DD20C-5069-491A-B332-7BE11C2A85DE}"/>
  <tableColumns count="5">
    <tableColumn id="1" xr3:uid="{52B8C531-2F46-4165-AD00-CC9675A9AD96}" name="sr no" dataDxfId="21"/>
    <tableColumn id="2" xr3:uid="{5C60A310-FB7F-4241-88E1-06AE9F60A5A9}" name="ITEMS" dataDxfId="20"/>
    <tableColumn id="3" xr3:uid="{18D91AC6-2346-4C64-B5CF-54E2F1E5D32C}" name="QTY" dataDxfId="19"/>
    <tableColumn id="4" xr3:uid="{838D817B-EE9D-45A9-B5BE-AFFCD04D5314}" name="RATE" dataDxfId="18"/>
    <tableColumn id="5" xr3:uid="{EB5BBFA3-5803-4AFC-A8C2-B4A65875378B}" name="AMOUNT" dataDxfId="17">
      <calculatedColumnFormula>E4*F4</calculatedColumnFormula>
    </tableColumn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F8FC4F-770C-4D4A-9EB6-6F040142D375}" name="Table7" displayName="Table7" ref="B2:D21" totalsRowShown="0">
  <autoFilter ref="B2:D21" xr:uid="{17F8FC4F-770C-4D4A-9EB6-6F040142D375}"/>
  <tableColumns count="3">
    <tableColumn id="1" xr3:uid="{B0E49CD2-C3E8-40C3-A443-74791CA360B6}" name="Items" dataDxfId="16"/>
    <tableColumn id="2" xr3:uid="{86D52FC2-11AA-4A01-929A-436E001947D4}" name="Date" dataDxfId="15"/>
    <tableColumn id="3" xr3:uid="{D8310B11-B2F7-4028-9F29-CFC07071B75F}" name="Cost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00"/>
  <sheetViews>
    <sheetView workbookViewId="0">
      <selection activeCell="J16" sqref="J16"/>
    </sheetView>
  </sheetViews>
  <sheetFormatPr defaultColWidth="14.44140625" defaultRowHeight="15" customHeight="1" x14ac:dyDescent="0.3"/>
  <cols>
    <col min="1" max="1" width="8.6640625" customWidth="1"/>
    <col min="2" max="2" width="11.6640625" customWidth="1"/>
    <col min="3" max="3" width="8.6640625" customWidth="1"/>
    <col min="4" max="4" width="12.6640625" bestFit="1" customWidth="1"/>
    <col min="5" max="5" width="8" bestFit="1" customWidth="1"/>
    <col min="6" max="6" width="10.33203125" bestFit="1" customWidth="1"/>
    <col min="7" max="7" width="10.44140625" bestFit="1" customWidth="1"/>
    <col min="8" max="26" width="8.6640625" customWidth="1"/>
  </cols>
  <sheetData>
    <row r="2" spans="2:8" ht="14.4" x14ac:dyDescent="0.3">
      <c r="B2" s="184" t="s">
        <v>0</v>
      </c>
      <c r="C2" s="183"/>
      <c r="G2" s="182" t="s">
        <v>1</v>
      </c>
      <c r="H2" s="183"/>
    </row>
    <row r="3" spans="2:8" ht="14.4" x14ac:dyDescent="0.3">
      <c r="B3" s="182" t="s">
        <v>2</v>
      </c>
      <c r="C3" s="183"/>
      <c r="G3" s="182" t="s">
        <v>3</v>
      </c>
      <c r="H3" s="183"/>
    </row>
    <row r="4" spans="2:8" ht="14.4" x14ac:dyDescent="0.3">
      <c r="B4" s="182" t="s">
        <v>4</v>
      </c>
      <c r="C4" s="183"/>
      <c r="G4" s="182" t="s">
        <v>5</v>
      </c>
      <c r="H4" s="183"/>
    </row>
    <row r="5" spans="2:8" ht="14.4" x14ac:dyDescent="0.3">
      <c r="B5" s="182" t="s">
        <v>6</v>
      </c>
      <c r="C5" s="183"/>
      <c r="G5" s="182" t="s">
        <v>7</v>
      </c>
      <c r="H5" s="183"/>
    </row>
    <row r="6" spans="2:8" ht="14.4" x14ac:dyDescent="0.3">
      <c r="B6" s="182" t="s">
        <v>8</v>
      </c>
      <c r="C6" s="183"/>
      <c r="G6" s="182" t="s">
        <v>9</v>
      </c>
      <c r="H6" s="183"/>
    </row>
    <row r="7" spans="2:8" ht="14.4" x14ac:dyDescent="0.3">
      <c r="B7" s="182" t="s">
        <v>10</v>
      </c>
      <c r="C7" s="183"/>
      <c r="G7" s="182" t="s">
        <v>11</v>
      </c>
      <c r="H7" s="183"/>
    </row>
    <row r="10" spans="2:8" ht="14.4" x14ac:dyDescent="0.3">
      <c r="B10" s="181" t="s">
        <v>12</v>
      </c>
      <c r="C10" s="181"/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</row>
    <row r="11" spans="2:8" ht="14.4" x14ac:dyDescent="0.3">
      <c r="B11" s="181" t="s">
        <v>18</v>
      </c>
      <c r="C11" s="181"/>
      <c r="D11" s="5">
        <v>65</v>
      </c>
      <c r="E11" s="5">
        <v>0.2</v>
      </c>
      <c r="F11" s="6">
        <v>45658</v>
      </c>
      <c r="G11" s="5" t="s">
        <v>3</v>
      </c>
      <c r="H11" s="7">
        <v>0.41666666666666669</v>
      </c>
    </row>
    <row r="12" spans="2:8" ht="14.4" x14ac:dyDescent="0.3">
      <c r="B12" s="181" t="s">
        <v>19</v>
      </c>
      <c r="C12" s="181"/>
      <c r="D12" s="5">
        <v>45</v>
      </c>
      <c r="E12" s="5">
        <v>5</v>
      </c>
      <c r="F12" s="6">
        <v>45904</v>
      </c>
      <c r="G12" s="5" t="s">
        <v>5</v>
      </c>
      <c r="H12" s="7">
        <v>0.45833333333333331</v>
      </c>
    </row>
    <row r="13" spans="2:8" ht="14.4" x14ac:dyDescent="0.3">
      <c r="B13" s="181" t="s">
        <v>20</v>
      </c>
      <c r="C13" s="181"/>
      <c r="D13" s="5">
        <v>35</v>
      </c>
      <c r="E13" s="5">
        <v>1.6</v>
      </c>
      <c r="F13" s="6">
        <v>45749</v>
      </c>
      <c r="G13" s="5" t="s">
        <v>9</v>
      </c>
      <c r="H13" s="7">
        <v>0.5395833333333333</v>
      </c>
    </row>
    <row r="14" spans="2:8" ht="14.4" x14ac:dyDescent="0.3">
      <c r="B14" s="181" t="s">
        <v>21</v>
      </c>
      <c r="C14" s="181"/>
      <c r="D14" s="5">
        <v>99</v>
      </c>
      <c r="E14" s="5">
        <v>1.4565399999999999</v>
      </c>
      <c r="F14" s="6">
        <v>45972</v>
      </c>
      <c r="G14" s="5" t="s">
        <v>11</v>
      </c>
      <c r="H14" s="7">
        <v>0.68333333333333324</v>
      </c>
    </row>
    <row r="15" spans="2:8" ht="14.4" x14ac:dyDescent="0.3">
      <c r="B15" s="181" t="s">
        <v>22</v>
      </c>
      <c r="C15" s="181"/>
      <c r="D15" s="5">
        <v>78</v>
      </c>
      <c r="E15" s="5">
        <v>2.4860000000000002</v>
      </c>
      <c r="F15" s="6">
        <v>46003</v>
      </c>
      <c r="G15" s="5" t="s">
        <v>3</v>
      </c>
      <c r="H15" s="7">
        <v>0.56458333333333333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8">
    <mergeCell ref="G5:H5"/>
    <mergeCell ref="B2:C2"/>
    <mergeCell ref="G2:H2"/>
    <mergeCell ref="B3:C3"/>
    <mergeCell ref="G3:H3"/>
    <mergeCell ref="B4:C4"/>
    <mergeCell ref="G4:H4"/>
    <mergeCell ref="B5:C5"/>
    <mergeCell ref="B12:C12"/>
    <mergeCell ref="B13:C13"/>
    <mergeCell ref="B14:C14"/>
    <mergeCell ref="B15:C15"/>
    <mergeCell ref="G6:H6"/>
    <mergeCell ref="G7:H7"/>
    <mergeCell ref="B6:C6"/>
    <mergeCell ref="B7:C7"/>
    <mergeCell ref="B10:C10"/>
    <mergeCell ref="B11:C11"/>
  </mergeCells>
  <dataValidations count="6">
    <dataValidation type="list" allowBlank="1" showInputMessage="1" showErrorMessage="1" prompt="info - select one from give options." sqref="G11:G15" xr:uid="{00000000-0002-0000-0000-000000000000}">
      <formula1>$G$3:$G$7</formula1>
    </dataValidation>
    <dataValidation type="date" allowBlank="1" showInputMessage="1" showErrorMessage="1" prompt="info - date should lie between 01/01/25 and 01/01/26" sqref="F11:F15" xr:uid="{00000000-0002-0000-0000-000001000000}">
      <formula1>45658</formula1>
      <formula2>46023</formula2>
    </dataValidation>
    <dataValidation type="custom" allowBlank="1" showInputMessage="1" showErrorMessage="1" prompt="info - time should be between 9am to 5pm." sqref="H11:H15" xr:uid="{00000000-0002-0000-0000-000002000000}">
      <formula1>AND(GTE(H11,MIN((0.375),(0.708333333333333))),LTE(H11,MAX((0.375),(0.708333333333333))))</formula1>
    </dataValidation>
    <dataValidation type="decimal" allowBlank="1" showInputMessage="1" showErrorMessage="1" prompt="info - numbers should lie within the range of 35 to 100." sqref="D11:D15" xr:uid="{00000000-0002-0000-0000-000003000000}">
      <formula1>35</formula1>
      <formula2>100</formula2>
    </dataValidation>
    <dataValidation type="decimal" allowBlank="1" showInputMessage="1" showErrorMessage="1" prompt="info - numbers should lie within the range of 0.1 to 5.0." sqref="E11:E15" xr:uid="{00000000-0002-0000-0000-000004000000}">
      <formula1>0.1</formula1>
      <formula2>5</formula2>
    </dataValidation>
    <dataValidation type="custom" allowBlank="1" showInputMessage="1" showErrorMessage="1" prompt="info - input length should be between 3 and 10 characters." sqref="B11:B15" xr:uid="{00000000-0002-0000-0000-000005000000}">
      <formula1>AND(GTE(LEN(B11),MIN((3),(10))),LTE(LEN(B11),MAX((3),(10))))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000"/>
  <sheetViews>
    <sheetView workbookViewId="0">
      <selection activeCell="E18" sqref="E18"/>
    </sheetView>
  </sheetViews>
  <sheetFormatPr defaultColWidth="14.44140625" defaultRowHeight="15" customHeight="1" x14ac:dyDescent="0.3"/>
  <cols>
    <col min="1" max="1" width="8.6640625" customWidth="1"/>
    <col min="2" max="2" width="9.88671875" bestFit="1" customWidth="1"/>
    <col min="3" max="3" width="11.109375" bestFit="1" customWidth="1"/>
    <col min="4" max="4" width="8.6640625" customWidth="1"/>
    <col min="5" max="5" width="15.6640625" customWidth="1"/>
    <col min="6" max="26" width="8.6640625" customWidth="1"/>
  </cols>
  <sheetData>
    <row r="2" spans="2:11" ht="14.4" x14ac:dyDescent="0.3">
      <c r="B2" s="2" t="s">
        <v>23</v>
      </c>
      <c r="C2" s="2" t="s">
        <v>24</v>
      </c>
      <c r="E2" s="188" t="s">
        <v>25</v>
      </c>
      <c r="F2" s="189"/>
      <c r="G2" s="190"/>
    </row>
    <row r="3" spans="2:11" ht="14.4" x14ac:dyDescent="0.3">
      <c r="B3" s="3" t="s">
        <v>26</v>
      </c>
      <c r="C3" s="3" t="s">
        <v>27</v>
      </c>
      <c r="E3" s="191"/>
      <c r="F3" s="192"/>
      <c r="G3" s="193"/>
    </row>
    <row r="4" spans="2:11" ht="14.4" x14ac:dyDescent="0.3">
      <c r="B4" s="3" t="s">
        <v>28</v>
      </c>
      <c r="C4" s="3" t="s">
        <v>29</v>
      </c>
      <c r="E4" s="194"/>
      <c r="F4" s="195"/>
      <c r="G4" s="196"/>
    </row>
    <row r="5" spans="2:11" thickBot="1" x14ac:dyDescent="0.35">
      <c r="B5" s="3" t="s">
        <v>30</v>
      </c>
      <c r="C5" s="3" t="s">
        <v>31</v>
      </c>
    </row>
    <row r="6" spans="2:11" ht="14.4" x14ac:dyDescent="0.3">
      <c r="B6" s="3" t="s">
        <v>32</v>
      </c>
      <c r="C6" s="3" t="s">
        <v>33</v>
      </c>
      <c r="E6" s="197" t="s">
        <v>34</v>
      </c>
      <c r="F6" s="198"/>
      <c r="G6" s="199"/>
      <c r="H6" s="159">
        <f>SEARCH("ly", B4)</f>
        <v>4</v>
      </c>
      <c r="J6" s="160" t="s">
        <v>35</v>
      </c>
    </row>
    <row r="7" spans="2:11" ht="14.4" x14ac:dyDescent="0.3">
      <c r="B7" s="3" t="s">
        <v>36</v>
      </c>
      <c r="C7" s="3" t="s">
        <v>37</v>
      </c>
      <c r="E7" s="200" t="s">
        <v>38</v>
      </c>
      <c r="F7" s="201"/>
      <c r="G7" s="183"/>
      <c r="H7" s="155">
        <f>FIND("ch", B5)</f>
        <v>3</v>
      </c>
      <c r="J7" s="161" t="s">
        <v>39</v>
      </c>
    </row>
    <row r="8" spans="2:11" ht="14.4" x14ac:dyDescent="0.3">
      <c r="E8" s="200" t="s">
        <v>40</v>
      </c>
      <c r="F8" s="201"/>
      <c r="G8" s="183"/>
      <c r="H8" s="155" t="str">
        <f>LEFT(B3, 3)</f>
        <v>Joh</v>
      </c>
      <c r="J8" s="161" t="s">
        <v>41</v>
      </c>
    </row>
    <row r="9" spans="2:11" ht="14.4" x14ac:dyDescent="0.3">
      <c r="E9" s="200" t="s">
        <v>42</v>
      </c>
      <c r="F9" s="201"/>
      <c r="G9" s="183"/>
      <c r="H9" s="155" t="str">
        <f>RIGHT(B3, 3)</f>
        <v>ohn</v>
      </c>
      <c r="J9" s="161" t="s">
        <v>43</v>
      </c>
    </row>
    <row r="10" spans="2:11" thickBot="1" x14ac:dyDescent="0.35">
      <c r="E10" s="185" t="s">
        <v>44</v>
      </c>
      <c r="F10" s="186"/>
      <c r="G10" s="187"/>
      <c r="H10" s="158" t="str">
        <f>MID(B5, 4, 3)</f>
        <v>hae</v>
      </c>
      <c r="J10" s="162" t="s">
        <v>45</v>
      </c>
    </row>
    <row r="11" spans="2:11" ht="15" customHeight="1" thickBot="1" x14ac:dyDescent="0.35"/>
    <row r="12" spans="2:11" ht="14.4" x14ac:dyDescent="0.3">
      <c r="E12" s="151" t="s">
        <v>46</v>
      </c>
      <c r="F12" s="152" t="s">
        <v>47</v>
      </c>
      <c r="G12" s="152" t="s">
        <v>48</v>
      </c>
      <c r="H12" s="152" t="s">
        <v>49</v>
      </c>
      <c r="I12" s="152" t="s">
        <v>50</v>
      </c>
      <c r="J12" s="152" t="s">
        <v>51</v>
      </c>
      <c r="K12" s="153" t="s">
        <v>634</v>
      </c>
    </row>
    <row r="13" spans="2:11" ht="14.4" x14ac:dyDescent="0.3">
      <c r="E13" s="154" t="str">
        <f>_xlfn.CONCAT(B3, "-", C3)</f>
        <v>John-Sales</v>
      </c>
      <c r="F13" s="1" t="str">
        <f t="shared" ref="F13:F17" si="0">TRIM(B3)</f>
        <v>John</v>
      </c>
      <c r="G13" s="1">
        <f t="shared" ref="G13:G17" si="1">LEN(B3)</f>
        <v>4</v>
      </c>
      <c r="H13" s="1" t="str">
        <f t="shared" ref="H13:H17" si="2">LOWER(B3)</f>
        <v>john</v>
      </c>
      <c r="I13" s="1" t="str">
        <f t="shared" ref="I13:I17" si="3">UPPER(B3)</f>
        <v>JOHN</v>
      </c>
      <c r="J13" s="1" t="str">
        <f t="shared" ref="J13:J17" si="4">PROPER(B3)</f>
        <v>John</v>
      </c>
      <c r="K13" s="155" t="b">
        <f t="shared" ref="K13:K17" si="5">EXACT(B3,C3)</f>
        <v>0</v>
      </c>
    </row>
    <row r="14" spans="2:11" ht="14.4" x14ac:dyDescent="0.3">
      <c r="E14" s="154" t="str">
        <f t="shared" ref="E14:E17" si="6">_xlfn.CONCAT(B4, "-", C4)</f>
        <v>Emily-Marketing</v>
      </c>
      <c r="F14" s="1" t="str">
        <f t="shared" si="0"/>
        <v>Emily</v>
      </c>
      <c r="G14" s="1">
        <f t="shared" si="1"/>
        <v>5</v>
      </c>
      <c r="H14" s="1" t="str">
        <f t="shared" si="2"/>
        <v>emily</v>
      </c>
      <c r="I14" s="1" t="str">
        <f t="shared" si="3"/>
        <v>EMILY</v>
      </c>
      <c r="J14" s="1" t="str">
        <f t="shared" si="4"/>
        <v>Emily</v>
      </c>
      <c r="K14" s="155" t="b">
        <f t="shared" si="5"/>
        <v>0</v>
      </c>
    </row>
    <row r="15" spans="2:11" ht="14.4" x14ac:dyDescent="0.3">
      <c r="E15" s="154" t="str">
        <f t="shared" si="6"/>
        <v>Michael-IT</v>
      </c>
      <c r="F15" s="1" t="str">
        <f t="shared" si="0"/>
        <v>Michael</v>
      </c>
      <c r="G15" s="1">
        <f t="shared" si="1"/>
        <v>7</v>
      </c>
      <c r="H15" s="1" t="str">
        <f t="shared" si="2"/>
        <v>michael</v>
      </c>
      <c r="I15" s="1" t="str">
        <f t="shared" si="3"/>
        <v>MICHAEL</v>
      </c>
      <c r="J15" s="1" t="str">
        <f t="shared" si="4"/>
        <v>Michael</v>
      </c>
      <c r="K15" s="155" t="b">
        <f t="shared" si="5"/>
        <v>0</v>
      </c>
    </row>
    <row r="16" spans="2:11" ht="14.4" x14ac:dyDescent="0.3">
      <c r="E16" s="154" t="str">
        <f t="shared" si="6"/>
        <v>Sarah-HR</v>
      </c>
      <c r="F16" s="1" t="str">
        <f t="shared" si="0"/>
        <v>Sarah</v>
      </c>
      <c r="G16" s="1">
        <f t="shared" si="1"/>
        <v>5</v>
      </c>
      <c r="H16" s="1" t="str">
        <f t="shared" si="2"/>
        <v>sarah</v>
      </c>
      <c r="I16" s="1" t="str">
        <f t="shared" si="3"/>
        <v>SARAH</v>
      </c>
      <c r="J16" s="1" t="str">
        <f t="shared" si="4"/>
        <v>Sarah</v>
      </c>
      <c r="K16" s="155" t="b">
        <f t="shared" si="5"/>
        <v>0</v>
      </c>
    </row>
    <row r="17" spans="5:11" thickBot="1" x14ac:dyDescent="0.35">
      <c r="E17" s="156" t="str">
        <f t="shared" si="6"/>
        <v>David-Finance</v>
      </c>
      <c r="F17" s="157" t="str">
        <f t="shared" si="0"/>
        <v>David</v>
      </c>
      <c r="G17" s="157">
        <f t="shared" si="1"/>
        <v>5</v>
      </c>
      <c r="H17" s="157" t="str">
        <f t="shared" si="2"/>
        <v>david</v>
      </c>
      <c r="I17" s="157" t="str">
        <f t="shared" si="3"/>
        <v>DAVID</v>
      </c>
      <c r="J17" s="157" t="str">
        <f t="shared" si="4"/>
        <v>David</v>
      </c>
      <c r="K17" s="158" t="b">
        <f t="shared" si="5"/>
        <v>0</v>
      </c>
    </row>
    <row r="21" spans="5:11" ht="15.75" customHeight="1" x14ac:dyDescent="0.3"/>
    <row r="22" spans="5:11" ht="15.75" customHeight="1" x14ac:dyDescent="0.3"/>
    <row r="23" spans="5:11" ht="15.75" customHeight="1" x14ac:dyDescent="0.3"/>
    <row r="24" spans="5:11" ht="15.75" customHeight="1" x14ac:dyDescent="0.3"/>
    <row r="25" spans="5:11" ht="15.75" customHeight="1" x14ac:dyDescent="0.3"/>
    <row r="26" spans="5:11" ht="15.75" customHeight="1" x14ac:dyDescent="0.3"/>
    <row r="27" spans="5:11" ht="15.75" customHeight="1" x14ac:dyDescent="0.3"/>
    <row r="28" spans="5:11" ht="15.75" customHeight="1" x14ac:dyDescent="0.3"/>
    <row r="29" spans="5:11" ht="15.75" customHeight="1" x14ac:dyDescent="0.3"/>
    <row r="30" spans="5:11" ht="15.75" customHeight="1" x14ac:dyDescent="0.3"/>
    <row r="31" spans="5:11" ht="15.75" customHeight="1" x14ac:dyDescent="0.3"/>
    <row r="32" spans="5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">
    <mergeCell ref="E10:G10"/>
    <mergeCell ref="E2:G4"/>
    <mergeCell ref="E6:G6"/>
    <mergeCell ref="E7:G7"/>
    <mergeCell ref="E8:G8"/>
    <mergeCell ref="E9:G9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F15"/>
  <sheetViews>
    <sheetView workbookViewId="0">
      <selection activeCell="G12" sqref="G12"/>
    </sheetView>
  </sheetViews>
  <sheetFormatPr defaultColWidth="14.44140625" defaultRowHeight="15" customHeight="1" x14ac:dyDescent="0.3"/>
  <cols>
    <col min="1" max="1" width="12.21875" customWidth="1"/>
    <col min="2" max="2" width="24.44140625" customWidth="1"/>
    <col min="3" max="3" width="16.21875" customWidth="1"/>
    <col min="4" max="4" width="13.5546875" bestFit="1" customWidth="1"/>
    <col min="5" max="5" width="35.44140625" bestFit="1" customWidth="1"/>
    <col min="6" max="6" width="33.33203125" bestFit="1" customWidth="1"/>
  </cols>
  <sheetData>
    <row r="1" spans="2:6" thickBot="1" x14ac:dyDescent="0.35"/>
    <row r="2" spans="2:6" ht="14.4" x14ac:dyDescent="0.3">
      <c r="B2" s="163" t="s">
        <v>52</v>
      </c>
      <c r="D2" s="164" t="s">
        <v>53</v>
      </c>
      <c r="E2" s="165" t="s">
        <v>54</v>
      </c>
      <c r="F2" s="166" t="s">
        <v>55</v>
      </c>
    </row>
    <row r="3" spans="2:6" ht="14.4" x14ac:dyDescent="0.3">
      <c r="B3" s="144" t="s">
        <v>56</v>
      </c>
      <c r="D3" s="167" t="s">
        <v>57</v>
      </c>
      <c r="E3" s="168" t="s">
        <v>58</v>
      </c>
      <c r="F3" s="169">
        <f>SEARCH("HR",B3)</f>
        <v>9</v>
      </c>
    </row>
    <row r="4" spans="2:6" ht="14.4" x14ac:dyDescent="0.3">
      <c r="B4" s="144" t="s">
        <v>59</v>
      </c>
      <c r="D4" s="167" t="s">
        <v>57</v>
      </c>
      <c r="E4" s="168" t="s">
        <v>60</v>
      </c>
      <c r="F4" s="169">
        <f>SEARCH("-", B4)</f>
        <v>7</v>
      </c>
    </row>
    <row r="5" spans="2:6" ht="14.4" x14ac:dyDescent="0.3">
      <c r="B5" s="144" t="s">
        <v>61</v>
      </c>
      <c r="D5" s="146" t="s">
        <v>62</v>
      </c>
      <c r="E5" s="4" t="s">
        <v>63</v>
      </c>
      <c r="F5" s="147">
        <f>FIND("Finance", B7)</f>
        <v>9</v>
      </c>
    </row>
    <row r="6" spans="2:6" ht="14.4" x14ac:dyDescent="0.3">
      <c r="B6" s="144" t="s">
        <v>64</v>
      </c>
      <c r="D6" s="146" t="s">
        <v>65</v>
      </c>
      <c r="E6" s="4" t="s">
        <v>66</v>
      </c>
      <c r="F6" s="147" t="str">
        <f>LEFT(B3, 5)</f>
        <v>Namrt</v>
      </c>
    </row>
    <row r="7" spans="2:6" thickBot="1" x14ac:dyDescent="0.35">
      <c r="B7" s="145" t="s">
        <v>67</v>
      </c>
      <c r="D7" s="146" t="s">
        <v>68</v>
      </c>
      <c r="E7" s="4" t="s">
        <v>69</v>
      </c>
      <c r="F7" s="147" t="str">
        <f>RIGHT(B3, 4)</f>
        <v xml:space="preserve"> -HR</v>
      </c>
    </row>
    <row r="8" spans="2:6" ht="14.4" x14ac:dyDescent="0.3">
      <c r="D8" s="146" t="s">
        <v>70</v>
      </c>
      <c r="E8" s="4" t="s">
        <v>71</v>
      </c>
      <c r="F8" s="147" t="str">
        <f>MID(B4, 8,2)</f>
        <v>Fi</v>
      </c>
    </row>
    <row r="9" spans="2:6" ht="14.4" x14ac:dyDescent="0.3">
      <c r="D9" s="146" t="s">
        <v>72</v>
      </c>
      <c r="E9" s="4" t="s">
        <v>73</v>
      </c>
      <c r="F9" s="147" t="str">
        <f>_xlfn.CONCAT(B3,B4)</f>
        <v>Namrta -HRRahul -Finance Department</v>
      </c>
    </row>
    <row r="10" spans="2:6" ht="14.4" x14ac:dyDescent="0.3">
      <c r="D10" s="146" t="s">
        <v>74</v>
      </c>
      <c r="E10" s="4" t="s">
        <v>75</v>
      </c>
      <c r="F10" s="147" t="str">
        <f>TRIM(B3)</f>
        <v>Namrta -HR</v>
      </c>
    </row>
    <row r="11" spans="2:6" ht="14.4" x14ac:dyDescent="0.3">
      <c r="D11" s="146" t="s">
        <v>76</v>
      </c>
      <c r="E11" s="4" t="s">
        <v>77</v>
      </c>
      <c r="F11" s="147">
        <f>LEN(B3)</f>
        <v>10</v>
      </c>
    </row>
    <row r="12" spans="2:6" ht="14.4" x14ac:dyDescent="0.3">
      <c r="D12" s="146" t="s">
        <v>78</v>
      </c>
      <c r="E12" s="4" t="s">
        <v>79</v>
      </c>
      <c r="F12" s="147" t="str">
        <f>LOWER(B3)</f>
        <v>namrta -hr</v>
      </c>
    </row>
    <row r="13" spans="2:6" ht="14.4" x14ac:dyDescent="0.3">
      <c r="D13" s="146" t="s">
        <v>80</v>
      </c>
      <c r="E13" s="4" t="s">
        <v>81</v>
      </c>
      <c r="F13" s="147" t="str">
        <f>UPPER(B3)</f>
        <v>NAMRTA -HR</v>
      </c>
    </row>
    <row r="14" spans="2:6" ht="14.4" x14ac:dyDescent="0.3">
      <c r="D14" s="146" t="s">
        <v>82</v>
      </c>
      <c r="E14" s="4" t="s">
        <v>83</v>
      </c>
      <c r="F14" s="147" t="str">
        <f>PROPER(B3)</f>
        <v>Namrta -Hr</v>
      </c>
    </row>
    <row r="15" spans="2:6" ht="15" customHeight="1" thickBot="1" x14ac:dyDescent="0.35">
      <c r="D15" s="148" t="s">
        <v>84</v>
      </c>
      <c r="E15" s="149" t="s">
        <v>85</v>
      </c>
      <c r="F15" s="150" t="b">
        <f>EXACT(B3,B4)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F23"/>
  <sheetViews>
    <sheetView zoomScale="79" workbookViewId="0">
      <selection activeCell="E9" sqref="E9"/>
    </sheetView>
  </sheetViews>
  <sheetFormatPr defaultColWidth="14.44140625" defaultRowHeight="15" customHeight="1" x14ac:dyDescent="0.3"/>
  <cols>
    <col min="1" max="1" width="15.21875" customWidth="1"/>
    <col min="6" max="6" width="18" bestFit="1" customWidth="1"/>
  </cols>
  <sheetData>
    <row r="1" spans="2:6" thickBot="1" x14ac:dyDescent="0.35"/>
    <row r="2" spans="2:6" ht="14.4" x14ac:dyDescent="0.3">
      <c r="B2" s="36" t="s">
        <v>86</v>
      </c>
      <c r="C2" s="37" t="s">
        <v>24</v>
      </c>
      <c r="D2" s="37" t="s">
        <v>87</v>
      </c>
      <c r="E2" s="37" t="s">
        <v>88</v>
      </c>
      <c r="F2" s="38" t="s">
        <v>89</v>
      </c>
    </row>
    <row r="3" spans="2:6" ht="14.4" x14ac:dyDescent="0.3">
      <c r="B3" s="138" t="s">
        <v>90</v>
      </c>
      <c r="C3" s="8" t="s">
        <v>33</v>
      </c>
      <c r="D3" s="8">
        <v>50000</v>
      </c>
      <c r="E3" s="8" t="s">
        <v>91</v>
      </c>
      <c r="F3" s="139">
        <v>3</v>
      </c>
    </row>
    <row r="4" spans="2:6" ht="14.4" x14ac:dyDescent="0.3">
      <c r="B4" s="138" t="s">
        <v>92</v>
      </c>
      <c r="C4" s="8" t="s">
        <v>37</v>
      </c>
      <c r="D4" s="8">
        <v>60000</v>
      </c>
      <c r="E4" s="8" t="s">
        <v>93</v>
      </c>
      <c r="F4" s="139">
        <v>4</v>
      </c>
    </row>
    <row r="5" spans="2:6" ht="14.4" x14ac:dyDescent="0.3">
      <c r="B5" s="138" t="s">
        <v>94</v>
      </c>
      <c r="C5" s="8" t="s">
        <v>33</v>
      </c>
      <c r="D5" s="8">
        <v>55000</v>
      </c>
      <c r="E5" s="8" t="s">
        <v>93</v>
      </c>
      <c r="F5" s="139">
        <v>5</v>
      </c>
    </row>
    <row r="6" spans="2:6" ht="14.4" x14ac:dyDescent="0.3">
      <c r="B6" s="138" t="s">
        <v>95</v>
      </c>
      <c r="C6" s="8" t="s">
        <v>31</v>
      </c>
      <c r="D6" s="8">
        <v>70000</v>
      </c>
      <c r="E6" s="8" t="s">
        <v>91</v>
      </c>
      <c r="F6" s="139">
        <v>5</v>
      </c>
    </row>
    <row r="7" spans="2:6" ht="14.4" x14ac:dyDescent="0.3">
      <c r="B7" s="138" t="s">
        <v>96</v>
      </c>
      <c r="C7" s="8" t="s">
        <v>37</v>
      </c>
      <c r="D7" s="8">
        <v>65000</v>
      </c>
      <c r="E7" s="8" t="s">
        <v>93</v>
      </c>
      <c r="F7" s="139">
        <v>2</v>
      </c>
    </row>
    <row r="8" spans="2:6" ht="14.4" x14ac:dyDescent="0.3">
      <c r="B8" s="138" t="s">
        <v>97</v>
      </c>
      <c r="C8" s="8" t="s">
        <v>31</v>
      </c>
      <c r="D8" s="8">
        <v>72000</v>
      </c>
      <c r="E8" s="8" t="s">
        <v>91</v>
      </c>
      <c r="F8" s="139">
        <v>3</v>
      </c>
    </row>
    <row r="9" spans="2:6" ht="15" customHeight="1" thickBot="1" x14ac:dyDescent="0.35">
      <c r="B9" s="140" t="s">
        <v>98</v>
      </c>
      <c r="C9" s="141" t="s">
        <v>33</v>
      </c>
      <c r="D9" s="141">
        <v>48000</v>
      </c>
      <c r="E9" s="141" t="s">
        <v>93</v>
      </c>
      <c r="F9" s="142">
        <v>4</v>
      </c>
    </row>
    <row r="11" spans="2:6" thickBot="1" x14ac:dyDescent="0.35"/>
    <row r="12" spans="2:6" ht="14.4" x14ac:dyDescent="0.3">
      <c r="B12" s="202" t="s">
        <v>632</v>
      </c>
      <c r="C12" s="203"/>
      <c r="D12" s="203"/>
      <c r="E12" s="203"/>
      <c r="F12" s="204"/>
    </row>
    <row r="13" spans="2:6" ht="14.4" x14ac:dyDescent="0.3">
      <c r="B13" s="44" t="s">
        <v>99</v>
      </c>
      <c r="C13" s="181" t="s">
        <v>100</v>
      </c>
      <c r="D13" s="181"/>
      <c r="E13" s="181"/>
      <c r="F13" s="95">
        <f>SUM(D3:D9)</f>
        <v>420000</v>
      </c>
    </row>
    <row r="14" spans="2:6" ht="14.4" x14ac:dyDescent="0.3">
      <c r="B14" s="44" t="s">
        <v>101</v>
      </c>
      <c r="C14" s="181" t="s">
        <v>102</v>
      </c>
      <c r="D14" s="181"/>
      <c r="E14" s="181"/>
      <c r="F14" s="95">
        <f>SUMIF(C3:C9,"HR",D3:D9)</f>
        <v>153000</v>
      </c>
    </row>
    <row r="15" spans="2:6" ht="15" customHeight="1" thickBot="1" x14ac:dyDescent="0.35">
      <c r="B15" s="76" t="s">
        <v>103</v>
      </c>
      <c r="C15" s="205" t="s">
        <v>104</v>
      </c>
      <c r="D15" s="205"/>
      <c r="E15" s="205"/>
      <c r="F15" s="143">
        <f>SUMIFS(D3:D9,C3:C9,"HR")</f>
        <v>153000</v>
      </c>
    </row>
    <row r="16" spans="2:6" thickBot="1" x14ac:dyDescent="0.35">
      <c r="B16" s="10"/>
    </row>
    <row r="17" spans="2:6" ht="14.4" x14ac:dyDescent="0.3">
      <c r="B17" s="36" t="s">
        <v>105</v>
      </c>
      <c r="C17" s="206" t="s">
        <v>106</v>
      </c>
      <c r="D17" s="206"/>
      <c r="E17" s="206"/>
      <c r="F17" s="96">
        <f>AVERAGE(D3:D9)</f>
        <v>60000</v>
      </c>
    </row>
    <row r="18" spans="2:6" ht="14.4" x14ac:dyDescent="0.3">
      <c r="B18" s="44" t="s">
        <v>107</v>
      </c>
      <c r="C18" s="181" t="s">
        <v>108</v>
      </c>
      <c r="D18" s="181"/>
      <c r="E18" s="181"/>
      <c r="F18" s="95">
        <f>AVERAGEIF(C3:C9, "Finance", D3:D9)</f>
        <v>62500</v>
      </c>
    </row>
    <row r="19" spans="2:6" ht="15" customHeight="1" thickBot="1" x14ac:dyDescent="0.35">
      <c r="B19" s="76" t="s">
        <v>109</v>
      </c>
      <c r="C19" s="205" t="s">
        <v>110</v>
      </c>
      <c r="D19" s="205"/>
      <c r="E19" s="205"/>
      <c r="F19" s="143">
        <f>AVERAGEIFS(D3:D9, E3:E9, "M", C3:C9, "Finance")</f>
        <v>62500</v>
      </c>
    </row>
    <row r="20" spans="2:6" thickBot="1" x14ac:dyDescent="0.35">
      <c r="B20" s="10"/>
    </row>
    <row r="21" spans="2:6" ht="14.4" x14ac:dyDescent="0.3">
      <c r="B21" s="36" t="s">
        <v>111</v>
      </c>
      <c r="C21" s="206" t="s">
        <v>112</v>
      </c>
      <c r="D21" s="206"/>
      <c r="E21" s="206"/>
      <c r="F21" s="96">
        <f>COUNTA(C3:C9)</f>
        <v>7</v>
      </c>
    </row>
    <row r="22" spans="2:6" ht="14.4" x14ac:dyDescent="0.3">
      <c r="B22" s="44" t="s">
        <v>113</v>
      </c>
      <c r="C22" s="181" t="s">
        <v>114</v>
      </c>
      <c r="D22" s="181"/>
      <c r="E22" s="181"/>
      <c r="F22" s="95">
        <f>COUNTIF(C3:C9, "Finance")</f>
        <v>2</v>
      </c>
    </row>
    <row r="23" spans="2:6" ht="15" customHeight="1" thickBot="1" x14ac:dyDescent="0.35">
      <c r="B23" s="76" t="s">
        <v>115</v>
      </c>
      <c r="C23" s="205" t="s">
        <v>116</v>
      </c>
      <c r="D23" s="205"/>
      <c r="E23" s="205"/>
      <c r="F23" s="143">
        <f>COUNTIFS(E3:E9, "F", C3:C9, "IT")</f>
        <v>2</v>
      </c>
    </row>
  </sheetData>
  <mergeCells count="10">
    <mergeCell ref="B12:F12"/>
    <mergeCell ref="C23:E23"/>
    <mergeCell ref="C17:E17"/>
    <mergeCell ref="C18:E18"/>
    <mergeCell ref="C19:E19"/>
    <mergeCell ref="C13:E13"/>
    <mergeCell ref="C14:E14"/>
    <mergeCell ref="C15:E15"/>
    <mergeCell ref="C21:E21"/>
    <mergeCell ref="C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D5"/>
  <sheetViews>
    <sheetView zoomScale="73" workbookViewId="0">
      <selection activeCell="C12" sqref="C12"/>
    </sheetView>
  </sheetViews>
  <sheetFormatPr defaultColWidth="14.44140625" defaultRowHeight="15" customHeight="1" x14ac:dyDescent="0.3"/>
  <cols>
    <col min="1" max="1" width="9.5546875" customWidth="1"/>
    <col min="2" max="2" width="16.33203125" bestFit="1" customWidth="1"/>
    <col min="3" max="3" width="59" bestFit="1" customWidth="1"/>
    <col min="4" max="4" width="12" bestFit="1" customWidth="1"/>
    <col min="5" max="5" width="14" customWidth="1"/>
  </cols>
  <sheetData>
    <row r="1" spans="2:4" thickBot="1" x14ac:dyDescent="0.35"/>
    <row r="2" spans="2:4" ht="14.4" x14ac:dyDescent="0.3">
      <c r="B2" s="135" t="s">
        <v>117</v>
      </c>
      <c r="C2" s="136" t="s">
        <v>54</v>
      </c>
      <c r="D2" s="137" t="s">
        <v>118</v>
      </c>
    </row>
    <row r="3" spans="2:4" ht="14.4" x14ac:dyDescent="0.3">
      <c r="B3" s="138" t="s">
        <v>119</v>
      </c>
      <c r="C3" s="8" t="s">
        <v>120</v>
      </c>
      <c r="D3" s="139">
        <f ca="1">RAND()</f>
        <v>0.37367320122059011</v>
      </c>
    </row>
    <row r="4" spans="2:4" ht="14.4" x14ac:dyDescent="0.3">
      <c r="B4" s="138" t="s">
        <v>121</v>
      </c>
      <c r="C4" s="8" t="s">
        <v>122</v>
      </c>
      <c r="D4" s="139">
        <f ca="1">RANDBETWEEN(2,10)</f>
        <v>4</v>
      </c>
    </row>
    <row r="5" spans="2:4" ht="15" customHeight="1" thickBot="1" x14ac:dyDescent="0.35">
      <c r="B5" s="140" t="s">
        <v>123</v>
      </c>
      <c r="C5" s="141" t="s">
        <v>124</v>
      </c>
      <c r="D5" s="142">
        <f>ROUND(10.34985749, 3)</f>
        <v>10.35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9BB2-938D-455D-97FF-7AD01804209E}">
  <dimension ref="A1:G32"/>
  <sheetViews>
    <sheetView zoomScale="73" workbookViewId="0">
      <selection activeCell="D32" sqref="D32"/>
    </sheetView>
  </sheetViews>
  <sheetFormatPr defaultRowHeight="14.4" x14ac:dyDescent="0.3"/>
  <cols>
    <col min="1" max="1" width="15.5546875" bestFit="1" customWidth="1"/>
    <col min="2" max="2" width="13.33203125" bestFit="1" customWidth="1"/>
    <col min="3" max="3" width="10.5546875" bestFit="1" customWidth="1"/>
    <col min="4" max="4" width="16.33203125" bestFit="1" customWidth="1"/>
    <col min="5" max="5" width="9.21875" customWidth="1"/>
    <col min="6" max="6" width="66.88671875" bestFit="1" customWidth="1"/>
  </cols>
  <sheetData>
    <row r="1" spans="1:7" x14ac:dyDescent="0.3">
      <c r="A1" s="132" t="s">
        <v>216</v>
      </c>
      <c r="B1" s="132" t="s">
        <v>24</v>
      </c>
      <c r="C1" s="132" t="s">
        <v>87</v>
      </c>
      <c r="F1" s="36" t="s">
        <v>134</v>
      </c>
      <c r="G1" s="38" t="s">
        <v>55</v>
      </c>
    </row>
    <row r="2" spans="1:7" x14ac:dyDescent="0.3">
      <c r="A2" s="104" t="s">
        <v>26</v>
      </c>
      <c r="B2" s="105" t="s">
        <v>27</v>
      </c>
      <c r="C2" s="106">
        <v>55000</v>
      </c>
      <c r="F2" s="39" t="s">
        <v>220</v>
      </c>
      <c r="G2" s="40">
        <f>_xlfn.MINIFS(Table3[Salary], Table3[Department], "Sales")</f>
        <v>52000</v>
      </c>
    </row>
    <row r="3" spans="1:7" x14ac:dyDescent="0.3">
      <c r="A3" s="104" t="s">
        <v>90</v>
      </c>
      <c r="B3" s="105" t="s">
        <v>33</v>
      </c>
      <c r="C3" s="106">
        <v>60000</v>
      </c>
      <c r="F3" s="39" t="s">
        <v>221</v>
      </c>
      <c r="G3" s="40">
        <f>_xlfn.MAXIFS(Table3[Salary],Table3[Department],"HR")</f>
        <v>60000</v>
      </c>
    </row>
    <row r="4" spans="1:7" x14ac:dyDescent="0.3">
      <c r="A4" s="104" t="s">
        <v>92</v>
      </c>
      <c r="B4" s="105" t="s">
        <v>27</v>
      </c>
      <c r="C4" s="106">
        <v>52000</v>
      </c>
      <c r="F4" s="39" t="s">
        <v>222</v>
      </c>
      <c r="G4" s="40">
        <f>_xlfn.MAXIFS(Table3[Salary],Table3[Department], "IT")</f>
        <v>70000</v>
      </c>
    </row>
    <row r="5" spans="1:7" x14ac:dyDescent="0.3">
      <c r="A5" s="104" t="s">
        <v>217</v>
      </c>
      <c r="B5" s="105" t="s">
        <v>31</v>
      </c>
      <c r="C5" s="106">
        <v>70000</v>
      </c>
      <c r="F5" s="39" t="s">
        <v>223</v>
      </c>
      <c r="G5" s="40">
        <f>_xlfn.MAXIFS(Table3[Salary],Table3[Department], "Sales")</f>
        <v>61000</v>
      </c>
    </row>
    <row r="6" spans="1:7" x14ac:dyDescent="0.3">
      <c r="A6" s="104" t="s">
        <v>36</v>
      </c>
      <c r="B6" s="105" t="s">
        <v>33</v>
      </c>
      <c r="C6" s="106">
        <v>58000</v>
      </c>
      <c r="F6" s="39" t="s">
        <v>224</v>
      </c>
      <c r="G6" s="40">
        <f>_xlfn.MINIFS(Table3[Salary],Table3[Department],"IT",Table3[Name],"Emma")</f>
        <v>70000</v>
      </c>
    </row>
    <row r="7" spans="1:7" ht="15" thickBot="1" x14ac:dyDescent="0.35">
      <c r="A7" s="104" t="s">
        <v>218</v>
      </c>
      <c r="B7" s="105" t="s">
        <v>27</v>
      </c>
      <c r="C7" s="106">
        <v>61000</v>
      </c>
      <c r="F7" s="41" t="s">
        <v>225</v>
      </c>
      <c r="G7" s="43">
        <f>_xlfn.MINIFS(Table3[Salary],Table3[Name],"Emma")</f>
        <v>70000</v>
      </c>
    </row>
    <row r="8" spans="1:7" x14ac:dyDescent="0.3">
      <c r="A8" s="107" t="s">
        <v>217</v>
      </c>
      <c r="B8" s="108" t="s">
        <v>219</v>
      </c>
      <c r="C8" s="109">
        <v>95000</v>
      </c>
    </row>
    <row r="9" spans="1:7" ht="15" thickBot="1" x14ac:dyDescent="0.35"/>
    <row r="10" spans="1:7" x14ac:dyDescent="0.3">
      <c r="A10" s="119" t="s">
        <v>24</v>
      </c>
      <c r="B10" s="120" t="s">
        <v>88</v>
      </c>
      <c r="C10" s="120" t="s">
        <v>87</v>
      </c>
      <c r="D10" s="121" t="s">
        <v>227</v>
      </c>
      <c r="F10" s="36" t="s">
        <v>134</v>
      </c>
      <c r="G10" s="38" t="s">
        <v>55</v>
      </c>
    </row>
    <row r="11" spans="1:7" x14ac:dyDescent="0.3">
      <c r="A11" s="125" t="s">
        <v>27</v>
      </c>
      <c r="B11" s="126" t="s">
        <v>93</v>
      </c>
      <c r="C11" s="126">
        <v>55000</v>
      </c>
      <c r="D11" s="127">
        <v>3.8</v>
      </c>
      <c r="F11" s="39" t="s">
        <v>137</v>
      </c>
      <c r="G11" s="40">
        <f>_xlfn.MAXIFS(Table5[Salary],Table5[Gender],"F")</f>
        <v>70000</v>
      </c>
    </row>
    <row r="12" spans="1:7" x14ac:dyDescent="0.3">
      <c r="A12" s="125" t="s">
        <v>33</v>
      </c>
      <c r="B12" s="126" t="s">
        <v>91</v>
      </c>
      <c r="C12" s="126">
        <v>60000</v>
      </c>
      <c r="D12" s="127">
        <v>4.2</v>
      </c>
      <c r="F12" s="39" t="s">
        <v>226</v>
      </c>
      <c r="G12" s="40">
        <f>_xlfn.MINIFS(Table5[Salary],Table5[Gender],"M",Table5[Department],"HR")</f>
        <v>58000</v>
      </c>
    </row>
    <row r="13" spans="1:7" x14ac:dyDescent="0.3">
      <c r="A13" s="125" t="s">
        <v>27</v>
      </c>
      <c r="B13" s="126" t="s">
        <v>93</v>
      </c>
      <c r="C13" s="126">
        <v>52000</v>
      </c>
      <c r="D13" s="127">
        <v>4</v>
      </c>
      <c r="F13" s="39" t="s">
        <v>141</v>
      </c>
      <c r="G13" s="40">
        <f>_xlfn.MAXIFS(Table5[Salary],Table5[Department],"IT",Table5[Performance],"&gt;4.0")</f>
        <v>70000</v>
      </c>
    </row>
    <row r="14" spans="1:7" x14ac:dyDescent="0.3">
      <c r="A14" s="125" t="s">
        <v>31</v>
      </c>
      <c r="B14" s="126" t="s">
        <v>91</v>
      </c>
      <c r="C14" s="126">
        <v>70000</v>
      </c>
      <c r="D14" s="127">
        <v>4.5</v>
      </c>
      <c r="F14" s="39" t="s">
        <v>142</v>
      </c>
      <c r="G14" s="40">
        <f>_xlfn.MINIFS(Table5[Salary],Table5[Performance],"&gt;4.0")</f>
        <v>60000</v>
      </c>
    </row>
    <row r="15" spans="1:7" ht="15" thickBot="1" x14ac:dyDescent="0.35">
      <c r="A15" s="125" t="s">
        <v>33</v>
      </c>
      <c r="B15" s="126" t="s">
        <v>93</v>
      </c>
      <c r="C15" s="126">
        <v>58000</v>
      </c>
      <c r="D15" s="127">
        <v>3.6</v>
      </c>
      <c r="F15" s="41" t="s">
        <v>145</v>
      </c>
      <c r="G15" s="43">
        <f>_xlfn.MAXIFS(Table5[Salary],Table5[Gender],"F", Table5[Performance],"&gt;4.0")</f>
        <v>70000</v>
      </c>
    </row>
    <row r="16" spans="1:7" x14ac:dyDescent="0.3">
      <c r="A16" s="125" t="s">
        <v>27</v>
      </c>
      <c r="B16" s="126" t="s">
        <v>91</v>
      </c>
      <c r="C16" s="126">
        <v>61000</v>
      </c>
      <c r="D16" s="127">
        <v>4.3</v>
      </c>
    </row>
    <row r="17" spans="1:7" x14ac:dyDescent="0.3">
      <c r="A17" s="125" t="s">
        <v>31</v>
      </c>
      <c r="B17" s="126" t="s">
        <v>93</v>
      </c>
      <c r="C17" s="126">
        <v>68000</v>
      </c>
      <c r="D17" s="127">
        <v>4</v>
      </c>
    </row>
    <row r="18" spans="1:7" x14ac:dyDescent="0.3">
      <c r="A18" s="128" t="s">
        <v>27</v>
      </c>
      <c r="B18" s="129" t="s">
        <v>91</v>
      </c>
      <c r="C18" s="129">
        <v>63000</v>
      </c>
      <c r="D18" s="130">
        <v>3.9</v>
      </c>
    </row>
    <row r="19" spans="1:7" ht="15" thickBot="1" x14ac:dyDescent="0.35"/>
    <row r="20" spans="1:7" ht="15" thickBot="1" x14ac:dyDescent="0.35">
      <c r="A20" s="122" t="s">
        <v>130</v>
      </c>
      <c r="B20" s="123" t="s">
        <v>131</v>
      </c>
      <c r="C20" s="123" t="s">
        <v>132</v>
      </c>
      <c r="D20" s="124" t="s">
        <v>133</v>
      </c>
      <c r="F20" s="113" t="s">
        <v>134</v>
      </c>
      <c r="G20" s="114" t="s">
        <v>55</v>
      </c>
    </row>
    <row r="21" spans="1:7" x14ac:dyDescent="0.3">
      <c r="A21" s="133" t="s">
        <v>135</v>
      </c>
      <c r="B21" s="131" t="s">
        <v>136</v>
      </c>
      <c r="C21" s="131">
        <v>1200</v>
      </c>
      <c r="D21" s="134">
        <v>15</v>
      </c>
      <c r="F21" s="115" t="s">
        <v>146</v>
      </c>
      <c r="G21" s="116">
        <f>_xlfn.MINIFS(Table6[Price],Table6[Category],"Electronics")</f>
        <v>80</v>
      </c>
    </row>
    <row r="22" spans="1:7" x14ac:dyDescent="0.3">
      <c r="A22" s="125" t="s">
        <v>138</v>
      </c>
      <c r="B22" s="126" t="s">
        <v>136</v>
      </c>
      <c r="C22" s="126">
        <v>25</v>
      </c>
      <c r="D22" s="127">
        <v>200</v>
      </c>
      <c r="F22" s="115" t="s">
        <v>228</v>
      </c>
      <c r="G22" s="116">
        <f>_xlfn.MAXIFS(Table6[Price],Table6[Supplier],"GearHouse")</f>
        <v>75</v>
      </c>
    </row>
    <row r="23" spans="1:7" x14ac:dyDescent="0.3">
      <c r="A23" s="125" t="s">
        <v>135</v>
      </c>
      <c r="B23" s="126" t="s">
        <v>140</v>
      </c>
      <c r="C23" s="126">
        <v>300</v>
      </c>
      <c r="D23" s="127">
        <v>50</v>
      </c>
      <c r="F23" s="115" t="s">
        <v>229</v>
      </c>
      <c r="G23" s="116">
        <f>_xlfn.MINIFS(Table6[Stock],Table6[Category],"Accessories")</f>
        <v>120</v>
      </c>
    </row>
    <row r="24" spans="1:7" x14ac:dyDescent="0.3">
      <c r="A24" s="125" t="s">
        <v>138</v>
      </c>
      <c r="B24" s="126" t="s">
        <v>139</v>
      </c>
      <c r="C24" s="126">
        <v>45</v>
      </c>
      <c r="D24" s="127">
        <v>120</v>
      </c>
      <c r="F24" s="115" t="s">
        <v>230</v>
      </c>
      <c r="G24" s="116">
        <f>_xlfn.MAXIFS(Table6[Price],Table6[Stock],"&gt;25",Table6[Category],"Furniture")</f>
        <v>150</v>
      </c>
    </row>
    <row r="25" spans="1:7" x14ac:dyDescent="0.3">
      <c r="A25" s="125" t="s">
        <v>143</v>
      </c>
      <c r="B25" s="126" t="s">
        <v>144</v>
      </c>
      <c r="C25" s="126">
        <v>150</v>
      </c>
      <c r="D25" s="127">
        <v>40</v>
      </c>
      <c r="F25" s="115" t="s">
        <v>147</v>
      </c>
      <c r="G25" s="116">
        <f>_xlfn.MINIFS(Table6[Price],Table6[Stock],"&gt;100")</f>
        <v>25</v>
      </c>
    </row>
    <row r="26" spans="1:7" x14ac:dyDescent="0.3">
      <c r="A26" s="125" t="s">
        <v>143</v>
      </c>
      <c r="B26" s="126" t="s">
        <v>144</v>
      </c>
      <c r="C26" s="126">
        <v>350</v>
      </c>
      <c r="D26" s="127">
        <v>20</v>
      </c>
      <c r="F26" s="115" t="s">
        <v>231</v>
      </c>
      <c r="G26" s="116">
        <f>_xlfn.MAXIFS(Table6[Price],Table6[Category],"Electronics",Table6[Stock],"&lt;20")</f>
        <v>1200</v>
      </c>
    </row>
    <row r="27" spans="1:7" x14ac:dyDescent="0.3">
      <c r="A27" s="125" t="s">
        <v>135</v>
      </c>
      <c r="B27" s="126" t="s">
        <v>136</v>
      </c>
      <c r="C27" s="126">
        <v>80</v>
      </c>
      <c r="D27" s="127">
        <v>90</v>
      </c>
      <c r="F27" s="115" t="s">
        <v>232</v>
      </c>
      <c r="G27" s="116">
        <f>_xlfn.MINIFS(Table6[Price],Table6[Category],"Furniture",Table6[Stock],"&gt;20",Table6[Stock],"&lt;60")</f>
        <v>150</v>
      </c>
    </row>
    <row r="28" spans="1:7" x14ac:dyDescent="0.3">
      <c r="A28" s="128" t="s">
        <v>138</v>
      </c>
      <c r="B28" s="129" t="s">
        <v>139</v>
      </c>
      <c r="C28" s="129">
        <v>75</v>
      </c>
      <c r="D28" s="130">
        <v>150</v>
      </c>
      <c r="F28" s="115" t="s">
        <v>233</v>
      </c>
      <c r="G28" s="116">
        <f>_xlfn.MAXIFS(Table6[Price],Table6[Price],"&lt;50")</f>
        <v>45</v>
      </c>
    </row>
    <row r="29" spans="1:7" ht="28.8" x14ac:dyDescent="0.3">
      <c r="F29" s="115" t="s">
        <v>234</v>
      </c>
      <c r="G29" s="116">
        <f>_xlfn.MINIFS(Table6[Price],Table6[Stock],"&gt;87.6")</f>
        <v>25</v>
      </c>
    </row>
    <row r="30" spans="1:7" x14ac:dyDescent="0.3">
      <c r="F30" s="115" t="s">
        <v>235</v>
      </c>
      <c r="G30" s="116">
        <f>_xlfn.MINIFS(Table6[Stock],Table6[Category],"Electronics",Table6[Price],"&gt;500")</f>
        <v>15</v>
      </c>
    </row>
    <row r="31" spans="1:7" x14ac:dyDescent="0.3">
      <c r="F31" s="115" t="s">
        <v>236</v>
      </c>
      <c r="G31" s="116">
        <f>_xlfn.MAXIFS(Table6[Stock],Table6[Price],"&gt;100",Table6[Price],"&lt;800")</f>
        <v>50</v>
      </c>
    </row>
    <row r="32" spans="1:7" ht="29.4" thickBot="1" x14ac:dyDescent="0.35">
      <c r="F32" s="117" t="s">
        <v>237</v>
      </c>
      <c r="G32" s="118">
        <f>_xlfn.MINIFS(Table6[Stock],Table6[Category],"Accessories",Table6[Supplier],"&lt;&gt;Gearhouse")</f>
        <v>200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7CA9-339B-499E-992E-808919A377AC}">
  <dimension ref="B1:L80"/>
  <sheetViews>
    <sheetView zoomScale="82" workbookViewId="0">
      <selection activeCell="F8" sqref="F8"/>
    </sheetView>
  </sheetViews>
  <sheetFormatPr defaultRowHeight="14.4" x14ac:dyDescent="0.3"/>
  <cols>
    <col min="2" max="2" width="7.88671875" customWidth="1"/>
    <col min="3" max="3" width="13" customWidth="1"/>
    <col min="4" max="4" width="8.21875" customWidth="1"/>
    <col min="5" max="5" width="12" customWidth="1"/>
    <col min="6" max="6" width="9.6640625" customWidth="1"/>
    <col min="7" max="7" width="8.77734375" bestFit="1" customWidth="1"/>
    <col min="8" max="8" width="13.109375" bestFit="1" customWidth="1"/>
    <col min="9" max="9" width="75.21875" bestFit="1" customWidth="1"/>
    <col min="10" max="10" width="72.77734375" bestFit="1" customWidth="1"/>
    <col min="11" max="11" width="16.33203125" bestFit="1" customWidth="1"/>
    <col min="12" max="12" width="12.5546875" bestFit="1" customWidth="1"/>
  </cols>
  <sheetData>
    <row r="1" spans="2:12" ht="15" thickBot="1" x14ac:dyDescent="0.35"/>
    <row r="2" spans="2:12" x14ac:dyDescent="0.3">
      <c r="B2" s="110" t="s">
        <v>216</v>
      </c>
      <c r="C2" s="111" t="s">
        <v>24</v>
      </c>
      <c r="D2" s="112" t="s">
        <v>87</v>
      </c>
      <c r="H2" s="36" t="s">
        <v>117</v>
      </c>
      <c r="I2" s="37" t="s">
        <v>266</v>
      </c>
      <c r="J2" s="37" t="s">
        <v>134</v>
      </c>
      <c r="K2" s="37" t="s">
        <v>55</v>
      </c>
      <c r="L2" s="98" t="s">
        <v>278</v>
      </c>
    </row>
    <row r="3" spans="2:12" x14ac:dyDescent="0.3">
      <c r="B3" s="104" t="s">
        <v>254</v>
      </c>
      <c r="C3" s="105" t="s">
        <v>33</v>
      </c>
      <c r="D3" s="106">
        <v>50000</v>
      </c>
      <c r="H3" s="39" t="s">
        <v>255</v>
      </c>
      <c r="I3" s="11">
        <v>1</v>
      </c>
      <c r="J3" s="11" t="s">
        <v>267</v>
      </c>
      <c r="K3" s="11">
        <f>DSUM(B2:D9,"Salary",L3:L4)</f>
        <v>187000</v>
      </c>
      <c r="L3" s="83" t="s">
        <v>24</v>
      </c>
    </row>
    <row r="4" spans="2:12" ht="15" thickBot="1" x14ac:dyDescent="0.35">
      <c r="B4" s="104" t="s">
        <v>256</v>
      </c>
      <c r="C4" s="105" t="s">
        <v>31</v>
      </c>
      <c r="D4" s="106">
        <v>60000</v>
      </c>
      <c r="H4" s="39" t="s">
        <v>257</v>
      </c>
      <c r="I4" s="11">
        <v>2</v>
      </c>
      <c r="J4" s="11" t="s">
        <v>268</v>
      </c>
      <c r="K4" s="11">
        <f>DCOUNTA(B2:D9,"Name",L3:L4)</f>
        <v>3</v>
      </c>
      <c r="L4" s="99" t="s">
        <v>31</v>
      </c>
    </row>
    <row r="5" spans="2:12" x14ac:dyDescent="0.3">
      <c r="B5" s="104" t="s">
        <v>258</v>
      </c>
      <c r="C5" s="105" t="s">
        <v>31</v>
      </c>
      <c r="D5" s="106">
        <v>65000</v>
      </c>
      <c r="H5" s="39" t="s">
        <v>259</v>
      </c>
      <c r="I5" s="11">
        <v>3</v>
      </c>
      <c r="J5" s="11" t="s">
        <v>269</v>
      </c>
      <c r="K5" s="40">
        <f>DMIN(B2:D9,"Salary",L3:L4)</f>
        <v>60000</v>
      </c>
    </row>
    <row r="6" spans="2:12" x14ac:dyDescent="0.3">
      <c r="B6" s="104" t="s">
        <v>260</v>
      </c>
      <c r="C6" s="105" t="s">
        <v>33</v>
      </c>
      <c r="D6" s="106">
        <v>55000</v>
      </c>
      <c r="H6" s="39" t="s">
        <v>261</v>
      </c>
      <c r="I6" s="11">
        <v>4</v>
      </c>
      <c r="J6" s="11" t="s">
        <v>270</v>
      </c>
      <c r="K6" s="40">
        <f>DMAX(B2:D9,"Salary",L3:L4)</f>
        <v>65000</v>
      </c>
    </row>
    <row r="7" spans="2:12" ht="15" thickBot="1" x14ac:dyDescent="0.35">
      <c r="B7" s="104" t="s">
        <v>262</v>
      </c>
      <c r="C7" s="105" t="s">
        <v>27</v>
      </c>
      <c r="D7" s="106">
        <v>70000</v>
      </c>
      <c r="H7" s="41" t="s">
        <v>263</v>
      </c>
      <c r="I7" s="42">
        <v>5</v>
      </c>
      <c r="J7" s="42" t="s">
        <v>271</v>
      </c>
      <c r="K7" s="43">
        <f>DAVERAGE(B2:D9,"Salary",L3:L4)</f>
        <v>62333.333333333336</v>
      </c>
    </row>
    <row r="8" spans="2:12" x14ac:dyDescent="0.3">
      <c r="B8" s="104" t="s">
        <v>264</v>
      </c>
      <c r="C8" s="105" t="s">
        <v>27</v>
      </c>
      <c r="D8" s="106">
        <v>68000</v>
      </c>
    </row>
    <row r="9" spans="2:12" x14ac:dyDescent="0.3">
      <c r="B9" s="107" t="s">
        <v>265</v>
      </c>
      <c r="C9" s="108" t="s">
        <v>31</v>
      </c>
      <c r="D9" s="109">
        <v>62000</v>
      </c>
    </row>
    <row r="10" spans="2:12" ht="15" thickBot="1" x14ac:dyDescent="0.35"/>
    <row r="11" spans="2:12" x14ac:dyDescent="0.3">
      <c r="B11" s="110" t="s">
        <v>216</v>
      </c>
      <c r="C11" s="111" t="s">
        <v>24</v>
      </c>
      <c r="D11" s="111" t="s">
        <v>87</v>
      </c>
      <c r="E11" s="112" t="s">
        <v>272</v>
      </c>
      <c r="H11" s="36" t="s">
        <v>53</v>
      </c>
      <c r="I11" s="38" t="s">
        <v>266</v>
      </c>
      <c r="J11" s="36" t="s">
        <v>134</v>
      </c>
      <c r="K11" s="38" t="s">
        <v>55</v>
      </c>
    </row>
    <row r="12" spans="2:12" x14ac:dyDescent="0.3">
      <c r="B12" s="104" t="s">
        <v>254</v>
      </c>
      <c r="C12" s="105" t="s">
        <v>33</v>
      </c>
      <c r="D12" s="105">
        <v>50000</v>
      </c>
      <c r="E12" s="106">
        <v>3</v>
      </c>
      <c r="H12" s="39" t="s">
        <v>255</v>
      </c>
      <c r="I12" s="11">
        <v>1</v>
      </c>
      <c r="J12" s="11" t="s">
        <v>274</v>
      </c>
      <c r="K12" s="40">
        <f>DSUM(B11:E20,D11,I13:J14)</f>
        <v>196000</v>
      </c>
    </row>
    <row r="13" spans="2:12" ht="15" thickBot="1" x14ac:dyDescent="0.35">
      <c r="B13" s="104" t="s">
        <v>256</v>
      </c>
      <c r="C13" s="105" t="s">
        <v>31</v>
      </c>
      <c r="D13" s="105">
        <v>60000</v>
      </c>
      <c r="E13" s="106">
        <v>5</v>
      </c>
      <c r="H13" s="41" t="s">
        <v>278</v>
      </c>
      <c r="I13" s="11" t="s">
        <v>24</v>
      </c>
      <c r="J13" s="11" t="s">
        <v>272</v>
      </c>
      <c r="K13" s="43"/>
    </row>
    <row r="14" spans="2:12" ht="15" thickBot="1" x14ac:dyDescent="0.35">
      <c r="B14" s="104" t="s">
        <v>258</v>
      </c>
      <c r="C14" s="105" t="s">
        <v>31</v>
      </c>
      <c r="D14" s="105">
        <v>65000</v>
      </c>
      <c r="E14" s="106">
        <v>6</v>
      </c>
      <c r="I14" s="97" t="s">
        <v>31</v>
      </c>
      <c r="J14" s="64" t="s">
        <v>279</v>
      </c>
    </row>
    <row r="15" spans="2:12" ht="15" thickBot="1" x14ac:dyDescent="0.35">
      <c r="B15" s="104" t="s">
        <v>260</v>
      </c>
      <c r="C15" s="105" t="s">
        <v>33</v>
      </c>
      <c r="D15" s="105">
        <v>55000</v>
      </c>
      <c r="E15" s="106">
        <v>2</v>
      </c>
    </row>
    <row r="16" spans="2:12" x14ac:dyDescent="0.3">
      <c r="B16" s="104" t="s">
        <v>262</v>
      </c>
      <c r="C16" s="105" t="s">
        <v>27</v>
      </c>
      <c r="D16" s="105">
        <v>70000</v>
      </c>
      <c r="E16" s="106">
        <v>4</v>
      </c>
      <c r="H16" s="84" t="s">
        <v>261</v>
      </c>
      <c r="I16" s="82">
        <v>2</v>
      </c>
      <c r="J16" s="82" t="s">
        <v>275</v>
      </c>
      <c r="K16" s="51">
        <f>DCOUNTA(B11:E20,B11,I17:J18)</f>
        <v>3</v>
      </c>
    </row>
    <row r="17" spans="2:11" ht="15" thickBot="1" x14ac:dyDescent="0.35">
      <c r="B17" s="104" t="s">
        <v>264</v>
      </c>
      <c r="C17" s="105" t="s">
        <v>27</v>
      </c>
      <c r="D17" s="105">
        <v>68000</v>
      </c>
      <c r="E17" s="106">
        <v>3</v>
      </c>
      <c r="H17" s="41" t="s">
        <v>278</v>
      </c>
      <c r="I17" s="11" t="s">
        <v>24</v>
      </c>
      <c r="J17" s="11" t="s">
        <v>272</v>
      </c>
      <c r="K17" s="43"/>
    </row>
    <row r="18" spans="2:11" ht="15" thickBot="1" x14ac:dyDescent="0.35">
      <c r="B18" s="104" t="s">
        <v>265</v>
      </c>
      <c r="C18" s="105" t="s">
        <v>31</v>
      </c>
      <c r="D18" s="105">
        <v>62000</v>
      </c>
      <c r="E18" s="106">
        <v>2</v>
      </c>
      <c r="I18" s="97" t="s">
        <v>31</v>
      </c>
      <c r="J18" s="64" t="s">
        <v>279</v>
      </c>
    </row>
    <row r="19" spans="2:11" ht="15" thickBot="1" x14ac:dyDescent="0.35">
      <c r="B19" s="104" t="s">
        <v>273</v>
      </c>
      <c r="C19" s="105" t="s">
        <v>31</v>
      </c>
      <c r="D19" s="105">
        <v>71000</v>
      </c>
      <c r="E19" s="106">
        <v>7</v>
      </c>
    </row>
    <row r="20" spans="2:11" x14ac:dyDescent="0.3">
      <c r="B20" s="107" t="s">
        <v>258</v>
      </c>
      <c r="C20" s="108" t="s">
        <v>33</v>
      </c>
      <c r="D20" s="108">
        <v>53000</v>
      </c>
      <c r="E20" s="109">
        <v>4</v>
      </c>
      <c r="H20" s="84" t="s">
        <v>257</v>
      </c>
      <c r="I20" s="82">
        <v>3</v>
      </c>
      <c r="J20" s="82" t="s">
        <v>276</v>
      </c>
      <c r="K20" s="51">
        <f>DMIN(B11:E20,D11,I21:J22)</f>
        <v>60000</v>
      </c>
    </row>
    <row r="21" spans="2:11" ht="15" thickBot="1" x14ac:dyDescent="0.35">
      <c r="H21" s="41" t="s">
        <v>278</v>
      </c>
      <c r="I21" s="11" t="s">
        <v>24</v>
      </c>
      <c r="J21" s="11" t="s">
        <v>272</v>
      </c>
      <c r="K21" s="43"/>
    </row>
    <row r="22" spans="2:11" ht="15" thickBot="1" x14ac:dyDescent="0.35">
      <c r="I22" s="97" t="s">
        <v>31</v>
      </c>
      <c r="J22" s="64" t="s">
        <v>279</v>
      </c>
    </row>
    <row r="23" spans="2:11" ht="15" thickBot="1" x14ac:dyDescent="0.35"/>
    <row r="24" spans="2:11" x14ac:dyDescent="0.3">
      <c r="H24" s="84" t="s">
        <v>259</v>
      </c>
      <c r="I24" s="82">
        <v>4</v>
      </c>
      <c r="J24" s="82" t="s">
        <v>277</v>
      </c>
      <c r="K24" s="51">
        <f>DMAX(B11:E20,D11,I25:J26)</f>
        <v>71000</v>
      </c>
    </row>
    <row r="25" spans="2:11" ht="15" thickBot="1" x14ac:dyDescent="0.35">
      <c r="H25" s="41" t="s">
        <v>278</v>
      </c>
      <c r="I25" s="11" t="s">
        <v>24</v>
      </c>
      <c r="J25" s="11" t="s">
        <v>272</v>
      </c>
      <c r="K25" s="43"/>
    </row>
    <row r="26" spans="2:11" ht="15" thickBot="1" x14ac:dyDescent="0.35">
      <c r="I26" s="97" t="s">
        <v>31</v>
      </c>
      <c r="J26" s="64" t="s">
        <v>279</v>
      </c>
    </row>
    <row r="28" spans="2:11" ht="15" thickBot="1" x14ac:dyDescent="0.35"/>
    <row r="29" spans="2:11" x14ac:dyDescent="0.3">
      <c r="B29" s="36" t="s">
        <v>24</v>
      </c>
      <c r="C29" s="37" t="s">
        <v>216</v>
      </c>
      <c r="D29" s="37" t="s">
        <v>87</v>
      </c>
      <c r="E29" s="37" t="s">
        <v>280</v>
      </c>
      <c r="F29" s="38" t="s">
        <v>88</v>
      </c>
      <c r="H29" s="36" t="s">
        <v>298</v>
      </c>
      <c r="I29" s="38" t="s">
        <v>266</v>
      </c>
      <c r="J29" s="36" t="s">
        <v>134</v>
      </c>
      <c r="K29" s="38" t="s">
        <v>55</v>
      </c>
    </row>
    <row r="30" spans="2:11" x14ac:dyDescent="0.3">
      <c r="B30" s="39" t="s">
        <v>33</v>
      </c>
      <c r="C30" s="11" t="s">
        <v>281</v>
      </c>
      <c r="D30" s="11">
        <v>50000</v>
      </c>
      <c r="E30" s="11">
        <v>28</v>
      </c>
      <c r="F30" s="40" t="s">
        <v>91</v>
      </c>
      <c r="H30" s="39" t="s">
        <v>255</v>
      </c>
      <c r="I30" s="11">
        <v>1</v>
      </c>
      <c r="J30" s="11" t="s">
        <v>285</v>
      </c>
      <c r="K30" s="40">
        <f>DMIN($B$29:$F$35,D29,I31:J32)</f>
        <v>50000</v>
      </c>
    </row>
    <row r="31" spans="2:11" ht="15" thickBot="1" x14ac:dyDescent="0.35">
      <c r="B31" s="39" t="s">
        <v>31</v>
      </c>
      <c r="C31" s="11" t="s">
        <v>282</v>
      </c>
      <c r="D31" s="11">
        <v>60000</v>
      </c>
      <c r="E31" s="11">
        <v>35</v>
      </c>
      <c r="F31" s="40" t="s">
        <v>93</v>
      </c>
      <c r="H31" s="41" t="s">
        <v>278</v>
      </c>
      <c r="I31" s="11" t="s">
        <v>24</v>
      </c>
      <c r="J31" s="11" t="s">
        <v>88</v>
      </c>
      <c r="K31" s="43"/>
    </row>
    <row r="32" spans="2:11" ht="15" thickBot="1" x14ac:dyDescent="0.35">
      <c r="B32" s="39" t="s">
        <v>33</v>
      </c>
      <c r="C32" s="34" t="s">
        <v>300</v>
      </c>
      <c r="D32" s="11">
        <v>55000</v>
      </c>
      <c r="E32" s="11">
        <v>32</v>
      </c>
      <c r="F32" s="101" t="s">
        <v>93</v>
      </c>
      <c r="I32" s="97" t="s">
        <v>33</v>
      </c>
      <c r="J32" s="64" t="s">
        <v>91</v>
      </c>
    </row>
    <row r="33" spans="2:11" ht="15" thickBot="1" x14ac:dyDescent="0.35">
      <c r="B33" s="39" t="s">
        <v>31</v>
      </c>
      <c r="C33" s="11" t="s">
        <v>283</v>
      </c>
      <c r="D33" s="11">
        <v>70000</v>
      </c>
      <c r="E33" s="11">
        <v>45</v>
      </c>
      <c r="F33" s="40" t="s">
        <v>93</v>
      </c>
    </row>
    <row r="34" spans="2:11" x14ac:dyDescent="0.3">
      <c r="B34" s="39" t="s">
        <v>33</v>
      </c>
      <c r="C34" s="11" t="s">
        <v>284</v>
      </c>
      <c r="D34" s="11">
        <v>52000</v>
      </c>
      <c r="E34" s="11">
        <v>29</v>
      </c>
      <c r="F34" s="40" t="s">
        <v>91</v>
      </c>
      <c r="H34" s="84" t="s">
        <v>255</v>
      </c>
      <c r="I34" s="82">
        <v>2</v>
      </c>
      <c r="J34" s="82" t="s">
        <v>286</v>
      </c>
      <c r="K34" s="51">
        <f>DMAX($B$29:$F$35,D29,I35:J36)</f>
        <v>52000</v>
      </c>
    </row>
    <row r="35" spans="2:11" ht="15" thickBot="1" x14ac:dyDescent="0.35">
      <c r="B35" s="41" t="s">
        <v>31</v>
      </c>
      <c r="C35" s="102" t="s">
        <v>299</v>
      </c>
      <c r="D35" s="42">
        <v>68000</v>
      </c>
      <c r="E35" s="42">
        <v>41</v>
      </c>
      <c r="F35" s="103" t="s">
        <v>91</v>
      </c>
      <c r="H35" s="41" t="s">
        <v>278</v>
      </c>
      <c r="I35" s="11" t="s">
        <v>24</v>
      </c>
      <c r="J35" s="11" t="s">
        <v>88</v>
      </c>
      <c r="K35" s="43"/>
    </row>
    <row r="36" spans="2:11" ht="15" thickBot="1" x14ac:dyDescent="0.35">
      <c r="I36" s="97" t="s">
        <v>33</v>
      </c>
      <c r="J36" s="64" t="s">
        <v>91</v>
      </c>
    </row>
    <row r="37" spans="2:11" ht="15" thickBot="1" x14ac:dyDescent="0.35"/>
    <row r="38" spans="2:11" x14ac:dyDescent="0.3">
      <c r="H38" s="84" t="s">
        <v>255</v>
      </c>
      <c r="I38" s="82">
        <v>3</v>
      </c>
      <c r="J38" s="82" t="s">
        <v>287</v>
      </c>
      <c r="K38" s="51">
        <f>DSUM($B$29:$F$35,D29,I39:J40)</f>
        <v>102000</v>
      </c>
    </row>
    <row r="39" spans="2:11" ht="15" thickBot="1" x14ac:dyDescent="0.35">
      <c r="H39" s="41" t="s">
        <v>278</v>
      </c>
      <c r="I39" s="11" t="s">
        <v>24</v>
      </c>
      <c r="J39" s="11" t="s">
        <v>88</v>
      </c>
      <c r="K39" s="43"/>
    </row>
    <row r="40" spans="2:11" ht="15" thickBot="1" x14ac:dyDescent="0.35">
      <c r="I40" s="97" t="s">
        <v>33</v>
      </c>
      <c r="J40" s="64" t="s">
        <v>91</v>
      </c>
    </row>
    <row r="41" spans="2:11" ht="15" thickBot="1" x14ac:dyDescent="0.35"/>
    <row r="42" spans="2:11" x14ac:dyDescent="0.3">
      <c r="H42" s="84" t="s">
        <v>255</v>
      </c>
      <c r="I42" s="82">
        <v>4</v>
      </c>
      <c r="J42" s="82" t="s">
        <v>288</v>
      </c>
      <c r="K42" s="51">
        <f>DCOUNT($B$29:$F$35,D29,I43:J44)</f>
        <v>2</v>
      </c>
    </row>
    <row r="43" spans="2:11" ht="15" thickBot="1" x14ac:dyDescent="0.35">
      <c r="H43" s="41" t="s">
        <v>278</v>
      </c>
      <c r="I43" s="11" t="s">
        <v>24</v>
      </c>
      <c r="J43" s="11" t="s">
        <v>88</v>
      </c>
      <c r="K43" s="43"/>
    </row>
    <row r="44" spans="2:11" ht="15" thickBot="1" x14ac:dyDescent="0.35">
      <c r="I44" s="97" t="s">
        <v>31</v>
      </c>
      <c r="J44" s="64" t="s">
        <v>93</v>
      </c>
    </row>
    <row r="45" spans="2:11" ht="15" thickBot="1" x14ac:dyDescent="0.35"/>
    <row r="46" spans="2:11" x14ac:dyDescent="0.3">
      <c r="H46" s="84" t="s">
        <v>255</v>
      </c>
      <c r="I46" s="82">
        <v>5</v>
      </c>
      <c r="J46" s="82" t="s">
        <v>289</v>
      </c>
      <c r="K46" s="51">
        <f>DAVERAGE($B$29:$F$35,D29,I47:J48)</f>
        <v>65000</v>
      </c>
    </row>
    <row r="47" spans="2:11" ht="15" thickBot="1" x14ac:dyDescent="0.35">
      <c r="H47" s="41" t="s">
        <v>278</v>
      </c>
      <c r="I47" s="11" t="s">
        <v>24</v>
      </c>
      <c r="J47" s="11" t="s">
        <v>88</v>
      </c>
      <c r="K47" s="43"/>
    </row>
    <row r="48" spans="2:11" ht="15" thickBot="1" x14ac:dyDescent="0.35">
      <c r="I48" s="97" t="s">
        <v>31</v>
      </c>
      <c r="J48" s="64" t="s">
        <v>93</v>
      </c>
    </row>
    <row r="49" spans="8:11" ht="15" thickBot="1" x14ac:dyDescent="0.35"/>
    <row r="50" spans="8:11" x14ac:dyDescent="0.3">
      <c r="H50" s="84" t="s">
        <v>255</v>
      </c>
      <c r="I50" s="82">
        <v>6</v>
      </c>
      <c r="J50" s="82" t="s">
        <v>290</v>
      </c>
      <c r="K50" s="51">
        <f>DMIN($B$29:$F$35,E29,I51:J52)</f>
        <v>41</v>
      </c>
    </row>
    <row r="51" spans="8:11" ht="15" thickBot="1" x14ac:dyDescent="0.35">
      <c r="H51" s="41" t="s">
        <v>278</v>
      </c>
      <c r="I51" s="11" t="s">
        <v>24</v>
      </c>
      <c r="J51" s="11" t="s">
        <v>88</v>
      </c>
      <c r="K51" s="43"/>
    </row>
    <row r="52" spans="8:11" ht="15" thickBot="1" x14ac:dyDescent="0.35">
      <c r="I52" s="97" t="s">
        <v>31</v>
      </c>
      <c r="J52" s="64" t="s">
        <v>91</v>
      </c>
    </row>
    <row r="53" spans="8:11" ht="15" thickBot="1" x14ac:dyDescent="0.35"/>
    <row r="54" spans="8:11" x14ac:dyDescent="0.3">
      <c r="H54" s="84" t="s">
        <v>255</v>
      </c>
      <c r="I54" s="82">
        <v>7</v>
      </c>
      <c r="J54" s="82" t="s">
        <v>291</v>
      </c>
      <c r="K54" s="51">
        <f>DMIN($B$29:$F$35,E29,I55:J56)</f>
        <v>32</v>
      </c>
    </row>
    <row r="55" spans="8:11" ht="15" thickBot="1" x14ac:dyDescent="0.35">
      <c r="H55" s="41" t="s">
        <v>278</v>
      </c>
      <c r="I55" s="11" t="s">
        <v>24</v>
      </c>
      <c r="J55" s="11" t="s">
        <v>88</v>
      </c>
      <c r="K55" s="43"/>
    </row>
    <row r="56" spans="8:11" ht="15" thickBot="1" x14ac:dyDescent="0.35">
      <c r="I56" s="97" t="s">
        <v>33</v>
      </c>
      <c r="J56" s="64" t="s">
        <v>93</v>
      </c>
    </row>
    <row r="57" spans="8:11" ht="15" thickBot="1" x14ac:dyDescent="0.35"/>
    <row r="58" spans="8:11" x14ac:dyDescent="0.3">
      <c r="H58" s="84" t="s">
        <v>255</v>
      </c>
      <c r="I58" s="82">
        <v>8</v>
      </c>
      <c r="J58" s="82" t="s">
        <v>292</v>
      </c>
      <c r="K58" s="51">
        <f>DMAX($B$29:$F$35,E29,I59:J60)</f>
        <v>41</v>
      </c>
    </row>
    <row r="59" spans="8:11" ht="15" thickBot="1" x14ac:dyDescent="0.35">
      <c r="H59" s="41" t="s">
        <v>278</v>
      </c>
      <c r="I59" s="11" t="s">
        <v>24</v>
      </c>
      <c r="J59" s="11" t="s">
        <v>88</v>
      </c>
      <c r="K59" s="43"/>
    </row>
    <row r="60" spans="8:11" ht="15" thickBot="1" x14ac:dyDescent="0.35">
      <c r="I60" s="97" t="s">
        <v>31</v>
      </c>
      <c r="J60" s="64" t="s">
        <v>91</v>
      </c>
    </row>
    <row r="61" spans="8:11" ht="15" thickBot="1" x14ac:dyDescent="0.35"/>
    <row r="62" spans="8:11" x14ac:dyDescent="0.3">
      <c r="H62" s="84" t="s">
        <v>255</v>
      </c>
      <c r="I62" s="82">
        <v>9</v>
      </c>
      <c r="J62" s="82" t="s">
        <v>293</v>
      </c>
      <c r="K62" s="51">
        <f>DMAX($B$29:$F$35,E29,I63:J64)</f>
        <v>32</v>
      </c>
    </row>
    <row r="63" spans="8:11" ht="15" thickBot="1" x14ac:dyDescent="0.35">
      <c r="H63" s="41" t="s">
        <v>278</v>
      </c>
      <c r="I63" s="11" t="s">
        <v>24</v>
      </c>
      <c r="J63" s="11" t="s">
        <v>88</v>
      </c>
      <c r="K63" s="43"/>
    </row>
    <row r="64" spans="8:11" ht="15" thickBot="1" x14ac:dyDescent="0.35">
      <c r="I64" s="97" t="s">
        <v>33</v>
      </c>
      <c r="J64" s="64" t="s">
        <v>93</v>
      </c>
    </row>
    <row r="65" spans="8:11" ht="15" thickBot="1" x14ac:dyDescent="0.35"/>
    <row r="66" spans="8:11" x14ac:dyDescent="0.3">
      <c r="H66" s="84" t="s">
        <v>255</v>
      </c>
      <c r="I66" s="82">
        <v>10</v>
      </c>
      <c r="J66" s="82" t="s">
        <v>294</v>
      </c>
      <c r="K66" s="51">
        <f>DSUM($B$29:$F$35,E29,I67:J68)</f>
        <v>57</v>
      </c>
    </row>
    <row r="67" spans="8:11" ht="15" thickBot="1" x14ac:dyDescent="0.35">
      <c r="H67" s="41" t="s">
        <v>278</v>
      </c>
      <c r="I67" s="11" t="s">
        <v>24</v>
      </c>
      <c r="J67" s="11" t="s">
        <v>88</v>
      </c>
      <c r="K67" s="43"/>
    </row>
    <row r="68" spans="8:11" ht="15" thickBot="1" x14ac:dyDescent="0.35">
      <c r="I68" s="97" t="s">
        <v>33</v>
      </c>
      <c r="J68" s="64" t="s">
        <v>91</v>
      </c>
    </row>
    <row r="69" spans="8:11" ht="15" thickBot="1" x14ac:dyDescent="0.35"/>
    <row r="70" spans="8:11" x14ac:dyDescent="0.3">
      <c r="H70" s="84" t="s">
        <v>255</v>
      </c>
      <c r="I70" s="82">
        <v>11</v>
      </c>
      <c r="J70" s="82" t="s">
        <v>295</v>
      </c>
      <c r="K70" s="51">
        <f>DSUM($B$29:$F$35,E29,I71:J72)</f>
        <v>80</v>
      </c>
    </row>
    <row r="71" spans="8:11" ht="15" thickBot="1" x14ac:dyDescent="0.35">
      <c r="H71" s="41" t="s">
        <v>278</v>
      </c>
      <c r="I71" s="11" t="s">
        <v>24</v>
      </c>
      <c r="J71" s="11" t="s">
        <v>88</v>
      </c>
      <c r="K71" s="43"/>
    </row>
    <row r="72" spans="8:11" ht="15" thickBot="1" x14ac:dyDescent="0.35">
      <c r="I72" s="97" t="s">
        <v>31</v>
      </c>
      <c r="J72" s="64" t="s">
        <v>93</v>
      </c>
    </row>
    <row r="73" spans="8:11" ht="15" thickBot="1" x14ac:dyDescent="0.35"/>
    <row r="74" spans="8:11" x14ac:dyDescent="0.3">
      <c r="H74" s="84" t="s">
        <v>255</v>
      </c>
      <c r="I74" s="82">
        <v>12</v>
      </c>
      <c r="J74" s="82" t="s">
        <v>296</v>
      </c>
      <c r="K74" s="51">
        <f>DCOUNT($B$29:$F$35,E29,I75:J76)</f>
        <v>2</v>
      </c>
    </row>
    <row r="75" spans="8:11" ht="15" thickBot="1" x14ac:dyDescent="0.35">
      <c r="H75" s="41" t="s">
        <v>278</v>
      </c>
      <c r="I75" s="11" t="s">
        <v>24</v>
      </c>
      <c r="J75" s="11" t="s">
        <v>88</v>
      </c>
      <c r="K75" s="43"/>
    </row>
    <row r="76" spans="8:11" ht="15" thickBot="1" x14ac:dyDescent="0.35">
      <c r="I76" s="97" t="s">
        <v>33</v>
      </c>
      <c r="J76" s="64" t="s">
        <v>91</v>
      </c>
    </row>
    <row r="77" spans="8:11" ht="15" thickBot="1" x14ac:dyDescent="0.35"/>
    <row r="78" spans="8:11" x14ac:dyDescent="0.3">
      <c r="H78" s="84" t="s">
        <v>255</v>
      </c>
      <c r="I78" s="82">
        <v>13</v>
      </c>
      <c r="J78" s="82" t="s">
        <v>297</v>
      </c>
      <c r="K78" s="51">
        <f>DAVERAGE($B$29:$F$35,E29,I79:J80)</f>
        <v>28.5</v>
      </c>
    </row>
    <row r="79" spans="8:11" ht="15" thickBot="1" x14ac:dyDescent="0.35">
      <c r="H79" s="41" t="s">
        <v>278</v>
      </c>
      <c r="I79" s="11" t="s">
        <v>24</v>
      </c>
      <c r="J79" s="11" t="s">
        <v>88</v>
      </c>
      <c r="K79" s="43"/>
    </row>
    <row r="80" spans="8:11" ht="15" thickBot="1" x14ac:dyDescent="0.35">
      <c r="I80" s="97" t="s">
        <v>33</v>
      </c>
      <c r="J80" s="64" t="s">
        <v>91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5C6C-5CCD-4D8D-B06E-4CB51491BC71}">
  <dimension ref="B1:P29"/>
  <sheetViews>
    <sheetView zoomScale="92" workbookViewId="0">
      <selection activeCell="J11" sqref="J11:O11"/>
    </sheetView>
  </sheetViews>
  <sheetFormatPr defaultRowHeight="14.4" x14ac:dyDescent="0.3"/>
  <cols>
    <col min="7" max="7" width="10.88671875" customWidth="1"/>
    <col min="10" max="10" width="14.88671875" bestFit="1" customWidth="1"/>
    <col min="11" max="11" width="14.21875" bestFit="1" customWidth="1"/>
  </cols>
  <sheetData>
    <row r="1" spans="2:16" ht="15" thickBot="1" x14ac:dyDescent="0.35"/>
    <row r="2" spans="2:16" x14ac:dyDescent="0.3">
      <c r="B2" s="36" t="s">
        <v>216</v>
      </c>
      <c r="C2" s="37" t="s">
        <v>301</v>
      </c>
      <c r="D2" s="37" t="s">
        <v>302</v>
      </c>
      <c r="E2" s="37" t="s">
        <v>303</v>
      </c>
      <c r="F2" s="37" t="s">
        <v>304</v>
      </c>
      <c r="G2" s="37" t="s">
        <v>305</v>
      </c>
      <c r="H2" s="38" t="s">
        <v>200</v>
      </c>
      <c r="J2" s="36" t="s">
        <v>331</v>
      </c>
      <c r="K2" s="37" t="s">
        <v>332</v>
      </c>
      <c r="L2" s="38" t="s">
        <v>118</v>
      </c>
      <c r="N2" s="217" t="s">
        <v>354</v>
      </c>
      <c r="O2" s="218"/>
      <c r="P2" s="38" t="s">
        <v>55</v>
      </c>
    </row>
    <row r="3" spans="2:16" x14ac:dyDescent="0.3">
      <c r="B3" s="39" t="s">
        <v>90</v>
      </c>
      <c r="C3" s="11">
        <v>78</v>
      </c>
      <c r="D3" s="11">
        <v>85</v>
      </c>
      <c r="E3" s="11">
        <v>92</v>
      </c>
      <c r="F3" s="11">
        <v>255</v>
      </c>
      <c r="G3" s="11">
        <v>85</v>
      </c>
      <c r="H3" s="40" t="s">
        <v>126</v>
      </c>
      <c r="J3" s="39" t="s">
        <v>333</v>
      </c>
      <c r="K3" s="11" t="s">
        <v>334</v>
      </c>
      <c r="L3" s="40" t="s">
        <v>335</v>
      </c>
      <c r="N3" s="211" t="s">
        <v>348</v>
      </c>
      <c r="O3" s="212"/>
      <c r="P3" s="40" t="b">
        <f>C3=60</f>
        <v>0</v>
      </c>
    </row>
    <row r="4" spans="2:16" x14ac:dyDescent="0.3">
      <c r="B4" s="39" t="s">
        <v>92</v>
      </c>
      <c r="C4" s="11">
        <v>65</v>
      </c>
      <c r="D4" s="11">
        <v>70</v>
      </c>
      <c r="E4" s="11">
        <v>60</v>
      </c>
      <c r="F4" s="11">
        <v>195</v>
      </c>
      <c r="G4" s="11">
        <v>65</v>
      </c>
      <c r="H4" s="40" t="s">
        <v>129</v>
      </c>
      <c r="J4" s="39"/>
      <c r="K4" s="11" t="s">
        <v>336</v>
      </c>
      <c r="L4" s="40" t="s">
        <v>337</v>
      </c>
      <c r="N4" s="211" t="s">
        <v>349</v>
      </c>
      <c r="O4" s="212"/>
      <c r="P4" s="40" t="b">
        <f>D4&gt;50</f>
        <v>1</v>
      </c>
    </row>
    <row r="5" spans="2:16" x14ac:dyDescent="0.3">
      <c r="B5" s="39" t="s">
        <v>94</v>
      </c>
      <c r="C5" s="11">
        <v>90</v>
      </c>
      <c r="D5" s="11">
        <v>88</v>
      </c>
      <c r="E5" s="11">
        <v>95</v>
      </c>
      <c r="F5" s="11">
        <v>273</v>
      </c>
      <c r="G5" s="11">
        <v>91</v>
      </c>
      <c r="H5" s="40" t="s">
        <v>126</v>
      </c>
      <c r="J5" s="39" t="s">
        <v>338</v>
      </c>
      <c r="K5" s="11" t="s">
        <v>339</v>
      </c>
      <c r="L5" s="40" t="s">
        <v>335</v>
      </c>
      <c r="N5" s="211" t="s">
        <v>350</v>
      </c>
      <c r="O5" s="212"/>
      <c r="P5" s="40" t="b">
        <f>E5&lt;70</f>
        <v>0</v>
      </c>
    </row>
    <row r="6" spans="2:16" x14ac:dyDescent="0.3">
      <c r="B6" s="39" t="s">
        <v>36</v>
      </c>
      <c r="C6" s="11">
        <v>55</v>
      </c>
      <c r="D6" s="11">
        <v>60</v>
      </c>
      <c r="E6" s="11">
        <v>58</v>
      </c>
      <c r="F6" s="11">
        <v>173</v>
      </c>
      <c r="G6" s="11">
        <v>57.67</v>
      </c>
      <c r="H6" s="40" t="s">
        <v>127</v>
      </c>
      <c r="J6" s="39"/>
      <c r="K6" s="11" t="s">
        <v>340</v>
      </c>
      <c r="L6" s="40" t="s">
        <v>337</v>
      </c>
      <c r="N6" s="211" t="s">
        <v>351</v>
      </c>
      <c r="O6" s="212"/>
      <c r="P6" s="40" t="b">
        <f>F6&lt;&gt;60</f>
        <v>1</v>
      </c>
    </row>
    <row r="7" spans="2:16" ht="15" thickBot="1" x14ac:dyDescent="0.35">
      <c r="B7" s="41" t="s">
        <v>96</v>
      </c>
      <c r="C7" s="42">
        <v>88</v>
      </c>
      <c r="D7" s="42">
        <v>90</v>
      </c>
      <c r="E7" s="42">
        <v>85</v>
      </c>
      <c r="F7" s="42">
        <v>263</v>
      </c>
      <c r="G7" s="42">
        <v>87.67</v>
      </c>
      <c r="H7" s="43" t="s">
        <v>126</v>
      </c>
      <c r="J7" s="39" t="s">
        <v>341</v>
      </c>
      <c r="K7" s="11" t="s">
        <v>342</v>
      </c>
      <c r="L7" s="40" t="s">
        <v>335</v>
      </c>
      <c r="N7" s="211" t="s">
        <v>352</v>
      </c>
      <c r="O7" s="212"/>
      <c r="P7" s="40" t="b">
        <f>G7&gt;=60</f>
        <v>1</v>
      </c>
    </row>
    <row r="8" spans="2:16" ht="15" thickBot="1" x14ac:dyDescent="0.35">
      <c r="J8" s="41"/>
      <c r="K8" s="42" t="s">
        <v>343</v>
      </c>
      <c r="L8" s="43" t="s">
        <v>337</v>
      </c>
      <c r="N8" s="213" t="s">
        <v>353</v>
      </c>
      <c r="O8" s="214"/>
      <c r="P8" s="43" t="b">
        <f>E3&lt;=70</f>
        <v>0</v>
      </c>
    </row>
    <row r="9" spans="2:16" x14ac:dyDescent="0.3">
      <c r="B9" s="202" t="s">
        <v>306</v>
      </c>
      <c r="C9" s="207"/>
      <c r="D9" s="207"/>
      <c r="E9" s="207"/>
      <c r="F9" s="207"/>
      <c r="G9" s="207"/>
      <c r="H9" s="208"/>
      <c r="J9" s="202" t="s">
        <v>344</v>
      </c>
      <c r="K9" s="207"/>
      <c r="L9" s="207"/>
      <c r="M9" s="207"/>
      <c r="N9" s="207"/>
      <c r="O9" s="207"/>
      <c r="P9" s="208"/>
    </row>
    <row r="10" spans="2:16" x14ac:dyDescent="0.3">
      <c r="B10" s="209" t="s">
        <v>246</v>
      </c>
      <c r="C10" s="210"/>
      <c r="D10" s="210"/>
      <c r="E10" s="210"/>
      <c r="F10" s="210"/>
      <c r="G10" s="210"/>
      <c r="H10" s="45" t="s">
        <v>118</v>
      </c>
      <c r="J10" s="209" t="s">
        <v>246</v>
      </c>
      <c r="K10" s="210"/>
      <c r="L10" s="210"/>
      <c r="M10" s="210"/>
      <c r="N10" s="210"/>
      <c r="O10" s="210"/>
      <c r="P10" s="45" t="s">
        <v>118</v>
      </c>
    </row>
    <row r="11" spans="2:16" x14ac:dyDescent="0.3">
      <c r="B11" s="211" t="s">
        <v>309</v>
      </c>
      <c r="C11" s="212"/>
      <c r="D11" s="212"/>
      <c r="E11" s="212"/>
      <c r="F11" s="212"/>
      <c r="G11" s="212"/>
      <c r="H11" s="40" t="b">
        <f>AND(C3&gt;70,D3&gt;80)</f>
        <v>1</v>
      </c>
      <c r="J11" s="215" t="s">
        <v>321</v>
      </c>
      <c r="K11" s="212"/>
      <c r="L11" s="212"/>
      <c r="M11" s="212"/>
      <c r="N11" s="212"/>
      <c r="O11" s="212"/>
      <c r="P11" s="40" t="b">
        <f>IF(G3&gt;=70,TRUE,FALSE)</f>
        <v>1</v>
      </c>
    </row>
    <row r="12" spans="2:16" x14ac:dyDescent="0.3">
      <c r="B12" s="211" t="s">
        <v>310</v>
      </c>
      <c r="C12" s="212"/>
      <c r="D12" s="212"/>
      <c r="E12" s="212"/>
      <c r="F12" s="212"/>
      <c r="G12" s="212"/>
      <c r="H12" s="40" t="b">
        <f>AND(G6&lt;60,H6="B")</f>
        <v>0</v>
      </c>
      <c r="J12" s="215" t="s">
        <v>322</v>
      </c>
      <c r="K12" s="212"/>
      <c r="L12" s="212"/>
      <c r="M12" s="212"/>
      <c r="N12" s="212"/>
      <c r="O12" s="212"/>
      <c r="P12" s="40" t="b">
        <f>IF(E4&gt;=65,TRUE,FALSE)</f>
        <v>0</v>
      </c>
    </row>
    <row r="13" spans="2:16" x14ac:dyDescent="0.3">
      <c r="B13" s="211" t="s">
        <v>311</v>
      </c>
      <c r="C13" s="212"/>
      <c r="D13" s="212"/>
      <c r="E13" s="212"/>
      <c r="F13" s="212"/>
      <c r="G13" s="212"/>
      <c r="H13" s="40" t="b">
        <f>AND(E5&gt;90,H5="C")</f>
        <v>0</v>
      </c>
      <c r="J13" s="215" t="s">
        <v>323</v>
      </c>
      <c r="K13" s="212"/>
      <c r="L13" s="212"/>
      <c r="M13" s="212"/>
      <c r="N13" s="212"/>
      <c r="O13" s="212"/>
      <c r="P13" s="40" t="b">
        <f>IF(F6&gt;=210,TRUE,FALSE)</f>
        <v>0</v>
      </c>
    </row>
    <row r="14" spans="2:16" ht="15" thickBot="1" x14ac:dyDescent="0.35">
      <c r="B14" s="213" t="s">
        <v>312</v>
      </c>
      <c r="C14" s="214"/>
      <c r="D14" s="214"/>
      <c r="E14" s="214"/>
      <c r="F14" s="214"/>
      <c r="G14" s="214"/>
      <c r="H14" s="43" t="b">
        <f>AND(F4=200,H4="A")</f>
        <v>0</v>
      </c>
      <c r="J14" s="216" t="s">
        <v>324</v>
      </c>
      <c r="K14" s="214"/>
      <c r="L14" s="214"/>
      <c r="M14" s="214"/>
      <c r="N14" s="214"/>
      <c r="O14" s="214"/>
      <c r="P14" s="43" t="b">
        <f>IF(D7&gt;=60,TRUE,FALSE)</f>
        <v>1</v>
      </c>
    </row>
    <row r="15" spans="2:16" ht="15" thickBot="1" x14ac:dyDescent="0.35"/>
    <row r="16" spans="2:16" x14ac:dyDescent="0.3">
      <c r="B16" s="202" t="s">
        <v>307</v>
      </c>
      <c r="C16" s="207"/>
      <c r="D16" s="207"/>
      <c r="E16" s="207"/>
      <c r="F16" s="207"/>
      <c r="G16" s="207"/>
      <c r="H16" s="208"/>
      <c r="J16" s="202" t="s">
        <v>345</v>
      </c>
      <c r="K16" s="207"/>
      <c r="L16" s="207"/>
      <c r="M16" s="207"/>
      <c r="N16" s="207"/>
      <c r="O16" s="207"/>
      <c r="P16" s="208"/>
    </row>
    <row r="17" spans="2:16" x14ac:dyDescent="0.3">
      <c r="B17" s="209" t="s">
        <v>246</v>
      </c>
      <c r="C17" s="210"/>
      <c r="D17" s="210"/>
      <c r="E17" s="210"/>
      <c r="F17" s="210"/>
      <c r="G17" s="210"/>
      <c r="H17" s="45" t="s">
        <v>118</v>
      </c>
      <c r="J17" s="209" t="s">
        <v>246</v>
      </c>
      <c r="K17" s="210"/>
      <c r="L17" s="210"/>
      <c r="M17" s="210"/>
      <c r="N17" s="210"/>
      <c r="O17" s="210"/>
      <c r="P17" s="45" t="s">
        <v>118</v>
      </c>
    </row>
    <row r="18" spans="2:16" x14ac:dyDescent="0.3">
      <c r="B18" s="211" t="s">
        <v>313</v>
      </c>
      <c r="C18" s="212"/>
      <c r="D18" s="212"/>
      <c r="E18" s="212"/>
      <c r="F18" s="212"/>
      <c r="G18" s="212"/>
      <c r="H18" s="40" t="b">
        <f>OR(C3&lt;60,H3="B")</f>
        <v>0</v>
      </c>
      <c r="J18" s="215" t="s">
        <v>325</v>
      </c>
      <c r="K18" s="212"/>
      <c r="L18" s="212"/>
      <c r="M18" s="212"/>
      <c r="N18" s="212"/>
      <c r="O18" s="212"/>
      <c r="P18" s="46" t="b">
        <f>IF(AND(C5&gt;85,D5&gt;85),TRUE,FALSE)</f>
        <v>1</v>
      </c>
    </row>
    <row r="19" spans="2:16" ht="15" thickBot="1" x14ac:dyDescent="0.35">
      <c r="B19" s="211" t="s">
        <v>314</v>
      </c>
      <c r="C19" s="212"/>
      <c r="D19" s="212"/>
      <c r="E19" s="212"/>
      <c r="F19" s="212"/>
      <c r="G19" s="212"/>
      <c r="H19" s="40" t="b">
        <f>OR(D4&gt;75,G4&gt;70)</f>
        <v>0</v>
      </c>
      <c r="J19" s="216" t="s">
        <v>326</v>
      </c>
      <c r="K19" s="214"/>
      <c r="L19" s="214"/>
      <c r="M19" s="214"/>
      <c r="N19" s="214"/>
      <c r="O19" s="214"/>
      <c r="P19" s="47" t="b">
        <f>IF(AND(C4&gt;70,E4&gt;60),TRUE,FALSE)</f>
        <v>0</v>
      </c>
    </row>
    <row r="20" spans="2:16" ht="15" thickBot="1" x14ac:dyDescent="0.35">
      <c r="B20" s="211" t="s">
        <v>315</v>
      </c>
      <c r="C20" s="212"/>
      <c r="D20" s="212"/>
      <c r="E20" s="212"/>
      <c r="F20" s="212"/>
      <c r="G20" s="212"/>
      <c r="H20" s="40" t="b">
        <f>OR(H5="B",E5&gt;90)</f>
        <v>1</v>
      </c>
    </row>
    <row r="21" spans="2:16" ht="15" thickBot="1" x14ac:dyDescent="0.35">
      <c r="B21" s="213" t="s">
        <v>316</v>
      </c>
      <c r="C21" s="214"/>
      <c r="D21" s="214"/>
      <c r="E21" s="214"/>
      <c r="F21" s="214"/>
      <c r="G21" s="214"/>
      <c r="H21" s="43" t="b">
        <f>OR(G6&gt;80,F6&lt;200)</f>
        <v>1</v>
      </c>
      <c r="J21" s="202" t="s">
        <v>346</v>
      </c>
      <c r="K21" s="207"/>
      <c r="L21" s="207"/>
      <c r="M21" s="207"/>
      <c r="N21" s="207"/>
      <c r="O21" s="207"/>
      <c r="P21" s="208"/>
    </row>
    <row r="22" spans="2:16" ht="15" thickBot="1" x14ac:dyDescent="0.35">
      <c r="J22" s="209" t="s">
        <v>246</v>
      </c>
      <c r="K22" s="210"/>
      <c r="L22" s="210"/>
      <c r="M22" s="210"/>
      <c r="N22" s="210"/>
      <c r="O22" s="210"/>
      <c r="P22" s="45" t="s">
        <v>118</v>
      </c>
    </row>
    <row r="23" spans="2:16" x14ac:dyDescent="0.3">
      <c r="B23" s="202" t="s">
        <v>308</v>
      </c>
      <c r="C23" s="207"/>
      <c r="D23" s="207"/>
      <c r="E23" s="207"/>
      <c r="F23" s="207"/>
      <c r="G23" s="207"/>
      <c r="H23" s="208"/>
      <c r="J23" s="215" t="s">
        <v>327</v>
      </c>
      <c r="K23" s="212"/>
      <c r="L23" s="212"/>
      <c r="M23" s="212"/>
      <c r="N23" s="212"/>
      <c r="O23" s="212"/>
      <c r="P23" s="46" t="b">
        <f>IF(OR(G7&gt;85,E7&gt;90),TRUE,FALSE)</f>
        <v>1</v>
      </c>
    </row>
    <row r="24" spans="2:16" ht="15" thickBot="1" x14ac:dyDescent="0.35">
      <c r="B24" s="209" t="s">
        <v>246</v>
      </c>
      <c r="C24" s="210"/>
      <c r="D24" s="210"/>
      <c r="E24" s="210"/>
      <c r="F24" s="210"/>
      <c r="G24" s="210"/>
      <c r="H24" s="45" t="s">
        <v>118</v>
      </c>
      <c r="J24" s="216" t="s">
        <v>328</v>
      </c>
      <c r="K24" s="214"/>
      <c r="L24" s="214"/>
      <c r="M24" s="214"/>
      <c r="N24" s="214"/>
      <c r="O24" s="214"/>
      <c r="P24" s="47" t="b">
        <f>IF(OR(C6&lt;50,D6&lt;55),TRUE,FALSE)</f>
        <v>0</v>
      </c>
    </row>
    <row r="25" spans="2:16" ht="15" thickBot="1" x14ac:dyDescent="0.35">
      <c r="B25" s="211" t="s">
        <v>317</v>
      </c>
      <c r="C25" s="212"/>
      <c r="D25" s="212"/>
      <c r="E25" s="212"/>
      <c r="F25" s="212"/>
      <c r="G25" s="212"/>
      <c r="H25" s="40" t="b">
        <f>NOT(H3="B")</f>
        <v>1</v>
      </c>
    </row>
    <row r="26" spans="2:16" x14ac:dyDescent="0.3">
      <c r="B26" s="211" t="s">
        <v>318</v>
      </c>
      <c r="C26" s="212"/>
      <c r="D26" s="212"/>
      <c r="E26" s="212"/>
      <c r="F26" s="212"/>
      <c r="G26" s="212"/>
      <c r="H26" s="40" t="b">
        <f>NOT(G5&lt;90)</f>
        <v>1</v>
      </c>
      <c r="J26" s="202" t="s">
        <v>347</v>
      </c>
      <c r="K26" s="207"/>
      <c r="L26" s="207"/>
      <c r="M26" s="207"/>
      <c r="N26" s="207"/>
      <c r="O26" s="207"/>
      <c r="P26" s="208"/>
    </row>
    <row r="27" spans="2:16" x14ac:dyDescent="0.3">
      <c r="B27" s="211" t="s">
        <v>319</v>
      </c>
      <c r="C27" s="212"/>
      <c r="D27" s="212"/>
      <c r="E27" s="212"/>
      <c r="F27" s="212"/>
      <c r="G27" s="212"/>
      <c r="H27" s="40" t="b">
        <f>NOT(E4&gt;65)</f>
        <v>1</v>
      </c>
      <c r="J27" s="209" t="s">
        <v>246</v>
      </c>
      <c r="K27" s="210"/>
      <c r="L27" s="210"/>
      <c r="M27" s="210"/>
      <c r="N27" s="210"/>
      <c r="O27" s="210"/>
      <c r="P27" s="45" t="s">
        <v>118</v>
      </c>
    </row>
    <row r="28" spans="2:16" ht="15" thickBot="1" x14ac:dyDescent="0.35">
      <c r="B28" s="213" t="s">
        <v>320</v>
      </c>
      <c r="C28" s="214"/>
      <c r="D28" s="214"/>
      <c r="E28" s="214"/>
      <c r="F28" s="214"/>
      <c r="G28" s="214"/>
      <c r="H28" s="43" t="b">
        <f>NOT(F6&gt;180)</f>
        <v>1</v>
      </c>
      <c r="J28" s="215" t="s">
        <v>329</v>
      </c>
      <c r="K28" s="212"/>
      <c r="L28" s="212"/>
      <c r="M28" s="212"/>
      <c r="N28" s="212"/>
      <c r="O28" s="212"/>
      <c r="P28" s="40" t="b">
        <f>IF(NOT(H5&lt;&gt;"B"),TRUE,FALSE)</f>
        <v>0</v>
      </c>
    </row>
    <row r="29" spans="2:16" ht="15" thickBot="1" x14ac:dyDescent="0.35">
      <c r="J29" s="216" t="s">
        <v>330</v>
      </c>
      <c r="K29" s="214"/>
      <c r="L29" s="214"/>
      <c r="M29" s="214"/>
      <c r="N29" s="214"/>
      <c r="O29" s="214"/>
      <c r="P29" s="43" t="b">
        <f>IF(NOT(C3&lt;=60),TRUE,FALSE)</f>
        <v>1</v>
      </c>
    </row>
  </sheetData>
  <mergeCells count="43">
    <mergeCell ref="J10:O10"/>
    <mergeCell ref="J11:O11"/>
    <mergeCell ref="J12:O12"/>
    <mergeCell ref="J9:P9"/>
    <mergeCell ref="N2:O2"/>
    <mergeCell ref="N3:O3"/>
    <mergeCell ref="N4:O4"/>
    <mergeCell ref="N5:O5"/>
    <mergeCell ref="N6:O6"/>
    <mergeCell ref="N7:O7"/>
    <mergeCell ref="N8:O8"/>
    <mergeCell ref="J13:O13"/>
    <mergeCell ref="J14:O14"/>
    <mergeCell ref="J27:O27"/>
    <mergeCell ref="J28:O28"/>
    <mergeCell ref="J29:O29"/>
    <mergeCell ref="J22:O22"/>
    <mergeCell ref="J23:O23"/>
    <mergeCell ref="J24:O24"/>
    <mergeCell ref="J26:P26"/>
    <mergeCell ref="J21:P21"/>
    <mergeCell ref="J16:P16"/>
    <mergeCell ref="J17:O17"/>
    <mergeCell ref="J18:O18"/>
    <mergeCell ref="J19:O19"/>
    <mergeCell ref="B26:G26"/>
    <mergeCell ref="B28:G28"/>
    <mergeCell ref="B17:G17"/>
    <mergeCell ref="B18:G18"/>
    <mergeCell ref="B19:G19"/>
    <mergeCell ref="B20:G20"/>
    <mergeCell ref="B21:G21"/>
    <mergeCell ref="B27:G27"/>
    <mergeCell ref="B14:G14"/>
    <mergeCell ref="B16:H16"/>
    <mergeCell ref="B23:H23"/>
    <mergeCell ref="B24:G24"/>
    <mergeCell ref="B25:G25"/>
    <mergeCell ref="B9:H9"/>
    <mergeCell ref="B10:G10"/>
    <mergeCell ref="B11:G11"/>
    <mergeCell ref="B12:G12"/>
    <mergeCell ref="B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64E4-B0B4-48C5-A0CC-DA2B0A8397E4}">
  <dimension ref="B1:L10"/>
  <sheetViews>
    <sheetView workbookViewId="0">
      <selection activeCell="G2" sqref="G2:L2"/>
    </sheetView>
  </sheetViews>
  <sheetFormatPr defaultRowHeight="14.4" x14ac:dyDescent="0.3"/>
  <cols>
    <col min="7" max="7" width="11.88671875" bestFit="1" customWidth="1"/>
    <col min="8" max="8" width="17.6640625" bestFit="1" customWidth="1"/>
    <col min="9" max="9" width="18.6640625" bestFit="1" customWidth="1"/>
    <col min="10" max="11" width="10.109375" bestFit="1" customWidth="1"/>
    <col min="12" max="12" width="8.6640625" bestFit="1" customWidth="1"/>
  </cols>
  <sheetData>
    <row r="1" spans="2:12" ht="15" thickBot="1" x14ac:dyDescent="0.35"/>
    <row r="2" spans="2:12" x14ac:dyDescent="0.3">
      <c r="B2" s="36" t="s">
        <v>375</v>
      </c>
      <c r="C2" s="219" t="s">
        <v>378</v>
      </c>
      <c r="D2" s="219"/>
      <c r="E2" s="220"/>
      <c r="G2" s="36" t="s">
        <v>381</v>
      </c>
      <c r="H2" s="37" t="s">
        <v>382</v>
      </c>
      <c r="I2" s="37" t="s">
        <v>383</v>
      </c>
      <c r="J2" s="37" t="s">
        <v>375</v>
      </c>
      <c r="K2" s="37" t="s">
        <v>376</v>
      </c>
      <c r="L2" s="38" t="s">
        <v>377</v>
      </c>
    </row>
    <row r="3" spans="2:12" x14ac:dyDescent="0.3">
      <c r="B3" s="44" t="s">
        <v>376</v>
      </c>
      <c r="C3" s="212" t="s">
        <v>379</v>
      </c>
      <c r="D3" s="212"/>
      <c r="E3" s="221"/>
      <c r="G3" s="52">
        <v>100000</v>
      </c>
      <c r="H3" s="55">
        <v>0.05</v>
      </c>
      <c r="I3" s="11">
        <v>15</v>
      </c>
      <c r="J3" s="54">
        <f>PMT(H3/12,I3*15,G3)</f>
        <v>-685.72330879290666</v>
      </c>
      <c r="K3" s="54">
        <f>IPMT(H3/12,1,I3*12,G3)</f>
        <v>-416.66666666666669</v>
      </c>
      <c r="L3" s="57">
        <f>PPMT(H3/12,1,I3*12,G3)</f>
        <v>-374.12696007487796</v>
      </c>
    </row>
    <row r="4" spans="2:12" ht="15" thickBot="1" x14ac:dyDescent="0.35">
      <c r="B4" s="76" t="s">
        <v>377</v>
      </c>
      <c r="C4" s="214" t="s">
        <v>380</v>
      </c>
      <c r="D4" s="214"/>
      <c r="E4" s="222"/>
      <c r="G4" s="52">
        <v>150000</v>
      </c>
      <c r="H4" s="55">
        <v>4.4999999999999998E-2</v>
      </c>
      <c r="I4" s="11">
        <v>20</v>
      </c>
      <c r="J4" s="54">
        <f t="shared" ref="J4:J10" si="0">PMT(H4/12,I4*15,G4)</f>
        <v>-833.74871694298349</v>
      </c>
      <c r="K4" s="54">
        <f t="shared" ref="K4:K10" si="1">IPMT(H4/12,1,I4*12,G4)</f>
        <v>-562.5</v>
      </c>
      <c r="L4" s="57">
        <f t="shared" ref="L4:L10" si="2">PPMT(H4/12,1,I4*12,G4)</f>
        <v>-386.4740643299437</v>
      </c>
    </row>
    <row r="5" spans="2:12" x14ac:dyDescent="0.3">
      <c r="G5" s="52">
        <v>200000</v>
      </c>
      <c r="H5" s="55">
        <v>0.06</v>
      </c>
      <c r="I5" s="11">
        <v>30</v>
      </c>
      <c r="J5" s="54">
        <f t="shared" si="0"/>
        <v>-1118.5579552390261</v>
      </c>
      <c r="K5" s="54">
        <f t="shared" si="1"/>
        <v>-1000</v>
      </c>
      <c r="L5" s="57">
        <f t="shared" si="2"/>
        <v>-199.10105030550469</v>
      </c>
    </row>
    <row r="6" spans="2:12" x14ac:dyDescent="0.3">
      <c r="G6" s="52">
        <v>120000</v>
      </c>
      <c r="H6" s="55">
        <v>3.7499999999999999E-2</v>
      </c>
      <c r="I6" s="11">
        <v>10</v>
      </c>
      <c r="J6" s="54">
        <f t="shared" si="0"/>
        <v>-1003.3218301717345</v>
      </c>
      <c r="K6" s="54">
        <f t="shared" si="1"/>
        <v>-374.99999999999994</v>
      </c>
      <c r="L6" s="57">
        <f t="shared" si="2"/>
        <v>-825.7349183638521</v>
      </c>
    </row>
    <row r="7" spans="2:12" x14ac:dyDescent="0.3">
      <c r="G7" s="52">
        <v>180000</v>
      </c>
      <c r="H7" s="55">
        <v>5.2499999999999998E-2</v>
      </c>
      <c r="I7" s="11">
        <v>25</v>
      </c>
      <c r="J7" s="54">
        <f t="shared" si="0"/>
        <v>-977.71892952859014</v>
      </c>
      <c r="K7" s="54">
        <f t="shared" si="1"/>
        <v>-787.49999999999989</v>
      </c>
      <c r="L7" s="57">
        <f t="shared" si="2"/>
        <v>-291.14588730829655</v>
      </c>
    </row>
    <row r="8" spans="2:12" x14ac:dyDescent="0.3">
      <c r="G8" s="52">
        <v>250000</v>
      </c>
      <c r="H8" s="55">
        <v>0.04</v>
      </c>
      <c r="I8" s="11">
        <v>30</v>
      </c>
      <c r="J8" s="54">
        <f t="shared" si="0"/>
        <v>-1073.4507984920542</v>
      </c>
      <c r="K8" s="54">
        <f t="shared" si="1"/>
        <v>-833.33333333333348</v>
      </c>
      <c r="L8" s="57">
        <f t="shared" si="2"/>
        <v>-360.2049053303154</v>
      </c>
    </row>
    <row r="9" spans="2:12" x14ac:dyDescent="0.3">
      <c r="G9" s="52">
        <v>90000</v>
      </c>
      <c r="H9" s="55">
        <v>6.5000000000000002E-2</v>
      </c>
      <c r="I9" s="11">
        <v>15</v>
      </c>
      <c r="J9" s="54">
        <f t="shared" si="0"/>
        <v>-693.03589913324959</v>
      </c>
      <c r="K9" s="54">
        <f t="shared" si="1"/>
        <v>-487.5</v>
      </c>
      <c r="L9" s="57">
        <f t="shared" si="2"/>
        <v>-296.4966287676254</v>
      </c>
    </row>
    <row r="10" spans="2:12" ht="15" thickBot="1" x14ac:dyDescent="0.35">
      <c r="G10" s="53">
        <v>300000</v>
      </c>
      <c r="H10" s="56">
        <v>4.8000000000000001E-2</v>
      </c>
      <c r="I10" s="42">
        <v>20</v>
      </c>
      <c r="J10" s="58">
        <f t="shared" si="0"/>
        <v>-1718.9908862005691</v>
      </c>
      <c r="K10" s="58">
        <f t="shared" si="1"/>
        <v>-1200</v>
      </c>
      <c r="L10" s="59">
        <f t="shared" si="2"/>
        <v>-746.87240953643163</v>
      </c>
    </row>
  </sheetData>
  <mergeCells count="3">
    <mergeCell ref="C2:E2"/>
    <mergeCell ref="C3:E3"/>
    <mergeCell ref="C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686B-AC8F-4556-9169-E8DFC83C1C48}">
  <dimension ref="B1:K23"/>
  <sheetViews>
    <sheetView workbookViewId="0">
      <selection activeCell="H9" sqref="H9"/>
    </sheetView>
  </sheetViews>
  <sheetFormatPr defaultRowHeight="14.4" x14ac:dyDescent="0.3"/>
  <cols>
    <col min="2" max="2" width="10.33203125" bestFit="1" customWidth="1"/>
    <col min="3" max="3" width="17.33203125" bestFit="1" customWidth="1"/>
    <col min="4" max="4" width="15.44140625" bestFit="1" customWidth="1"/>
    <col min="5" max="5" width="14.5546875" bestFit="1" customWidth="1"/>
    <col min="8" max="8" width="20.6640625" bestFit="1" customWidth="1"/>
    <col min="9" max="9" width="44.33203125" bestFit="1" customWidth="1"/>
    <col min="10" max="10" width="11.33203125" bestFit="1" customWidth="1"/>
  </cols>
  <sheetData>
    <row r="1" spans="2:11" ht="15" thickBot="1" x14ac:dyDescent="0.35"/>
    <row r="2" spans="2:11" x14ac:dyDescent="0.3">
      <c r="B2" s="202" t="s">
        <v>440</v>
      </c>
      <c r="C2" s="207"/>
      <c r="D2" s="208"/>
      <c r="E2" s="60"/>
      <c r="H2" s="202" t="s">
        <v>443</v>
      </c>
      <c r="I2" s="207"/>
      <c r="J2" s="207"/>
      <c r="K2" s="208"/>
    </row>
    <row r="3" spans="2:11" x14ac:dyDescent="0.3">
      <c r="B3" s="44" t="s">
        <v>441</v>
      </c>
      <c r="C3" s="35" t="s">
        <v>54</v>
      </c>
      <c r="D3" s="45" t="s">
        <v>416</v>
      </c>
      <c r="H3" s="44" t="s">
        <v>423</v>
      </c>
      <c r="I3" s="35" t="s">
        <v>54</v>
      </c>
      <c r="J3" s="229" t="s">
        <v>416</v>
      </c>
      <c r="K3" s="230"/>
    </row>
    <row r="4" spans="2:11" x14ac:dyDescent="0.3">
      <c r="B4" s="39" t="s">
        <v>404</v>
      </c>
      <c r="C4" s="11" t="s">
        <v>405</v>
      </c>
      <c r="D4" s="69">
        <f ca="1">TODAY()</f>
        <v>45930</v>
      </c>
      <c r="E4" s="67"/>
      <c r="H4" s="39" t="s">
        <v>424</v>
      </c>
      <c r="I4" s="11" t="s">
        <v>425</v>
      </c>
      <c r="J4" s="231" t="str">
        <f ca="1">TEXT(D4,"ddd")</f>
        <v>Tue</v>
      </c>
      <c r="K4" s="232"/>
    </row>
    <row r="5" spans="2:11" x14ac:dyDescent="0.3">
      <c r="B5" s="39" t="s">
        <v>406</v>
      </c>
      <c r="C5" s="11" t="s">
        <v>407</v>
      </c>
      <c r="D5" s="70">
        <f ca="1">NOW()</f>
        <v>45930.567702083332</v>
      </c>
      <c r="H5" s="39" t="s">
        <v>426</v>
      </c>
      <c r="I5" s="11" t="s">
        <v>427</v>
      </c>
      <c r="J5" s="231" t="str">
        <f ca="1">TEXT(D4,"mmmm")</f>
        <v>September</v>
      </c>
      <c r="K5" s="232"/>
    </row>
    <row r="6" spans="2:11" x14ac:dyDescent="0.3">
      <c r="B6" s="39" t="s">
        <v>408</v>
      </c>
      <c r="C6" s="11" t="s">
        <v>409</v>
      </c>
      <c r="D6" s="40">
        <f ca="1">DAY(D4)</f>
        <v>30</v>
      </c>
      <c r="H6" s="39" t="s">
        <v>428</v>
      </c>
      <c r="I6" s="11" t="s">
        <v>429</v>
      </c>
      <c r="J6" s="231" t="str">
        <f ca="1">TEXT(D4,"yyyy")</f>
        <v>2025</v>
      </c>
      <c r="K6" s="232"/>
    </row>
    <row r="7" spans="2:11" x14ac:dyDescent="0.3">
      <c r="B7" s="39" t="s">
        <v>410</v>
      </c>
      <c r="C7" s="11" t="s">
        <v>411</v>
      </c>
      <c r="D7" s="40">
        <f ca="1">MONTH(D4)</f>
        <v>9</v>
      </c>
      <c r="H7" s="39" t="s">
        <v>430</v>
      </c>
      <c r="I7" s="11" t="s">
        <v>431</v>
      </c>
      <c r="J7" s="231" t="str">
        <f ca="1">TEXT(D4,"d mmmm yyyy")</f>
        <v>30 September 2025</v>
      </c>
      <c r="K7" s="232"/>
    </row>
    <row r="8" spans="2:11" ht="15" thickBot="1" x14ac:dyDescent="0.35">
      <c r="B8" s="41" t="s">
        <v>412</v>
      </c>
      <c r="C8" s="42" t="s">
        <v>413</v>
      </c>
      <c r="D8" s="43">
        <f ca="1">YEAR(D4)</f>
        <v>2025</v>
      </c>
      <c r="H8" s="39" t="s">
        <v>432</v>
      </c>
      <c r="I8" s="11" t="s">
        <v>433</v>
      </c>
      <c r="J8" s="223">
        <f ca="1">EOMONTH(D4,0)</f>
        <v>45930</v>
      </c>
      <c r="K8" s="224"/>
    </row>
    <row r="9" spans="2:11" ht="15" thickBot="1" x14ac:dyDescent="0.35">
      <c r="H9" s="39" t="s">
        <v>434</v>
      </c>
      <c r="I9" s="11" t="s">
        <v>435</v>
      </c>
      <c r="J9" s="225">
        <f ca="1">EOMONTH(D4,3)</f>
        <v>46022</v>
      </c>
      <c r="K9" s="226"/>
    </row>
    <row r="10" spans="2:11" ht="15" thickBot="1" x14ac:dyDescent="0.35">
      <c r="B10" s="202" t="s">
        <v>439</v>
      </c>
      <c r="C10" s="207"/>
      <c r="D10" s="208"/>
      <c r="H10" s="41" t="s">
        <v>436</v>
      </c>
      <c r="I10" s="42" t="s">
        <v>437</v>
      </c>
      <c r="J10" s="227">
        <f ca="1">EOMONTH(D4,-3)</f>
        <v>45838</v>
      </c>
      <c r="K10" s="228"/>
    </row>
    <row r="11" spans="2:11" x14ac:dyDescent="0.3">
      <c r="B11" s="44" t="s">
        <v>414</v>
      </c>
      <c r="C11" s="35" t="s">
        <v>415</v>
      </c>
      <c r="D11" s="45" t="s">
        <v>416</v>
      </c>
      <c r="E11" s="66"/>
    </row>
    <row r="12" spans="2:11" x14ac:dyDescent="0.3">
      <c r="B12" s="71">
        <v>42565</v>
      </c>
      <c r="C12" s="11" t="s">
        <v>417</v>
      </c>
      <c r="D12" s="69">
        <f>B12+5</f>
        <v>42570</v>
      </c>
      <c r="E12" s="66"/>
      <c r="I12" t="e" cm="1">
        <f t="array" ref="I12">dat</f>
        <v>#NAME?</v>
      </c>
    </row>
    <row r="13" spans="2:11" ht="15" thickBot="1" x14ac:dyDescent="0.35">
      <c r="B13" s="72">
        <v>42565</v>
      </c>
      <c r="C13" s="42" t="s">
        <v>418</v>
      </c>
      <c r="D13" s="73">
        <f>B13-5</f>
        <v>42560</v>
      </c>
    </row>
    <row r="14" spans="2:11" ht="15" thickBot="1" x14ac:dyDescent="0.35">
      <c r="E14" s="10"/>
    </row>
    <row r="15" spans="2:11" x14ac:dyDescent="0.3">
      <c r="B15" s="202" t="s">
        <v>438</v>
      </c>
      <c r="C15" s="207"/>
      <c r="D15" s="208"/>
    </row>
    <row r="16" spans="2:11" x14ac:dyDescent="0.3">
      <c r="B16" s="44" t="s">
        <v>414</v>
      </c>
      <c r="C16" s="35" t="s">
        <v>415</v>
      </c>
      <c r="D16" s="45" t="s">
        <v>416</v>
      </c>
      <c r="E16" s="66"/>
    </row>
    <row r="17" spans="2:5" x14ac:dyDescent="0.3">
      <c r="B17" s="71">
        <v>42565</v>
      </c>
      <c r="C17" s="11" t="s">
        <v>419</v>
      </c>
      <c r="D17" s="74">
        <f>EDATE(B17,3)</f>
        <v>42657</v>
      </c>
      <c r="E17" s="66"/>
    </row>
    <row r="18" spans="2:5" ht="15" thickBot="1" x14ac:dyDescent="0.35">
      <c r="B18" s="72">
        <v>42565</v>
      </c>
      <c r="C18" s="42" t="s">
        <v>420</v>
      </c>
      <c r="D18" s="75">
        <f>EDATE(B18,-3)</f>
        <v>42474</v>
      </c>
    </row>
    <row r="19" spans="2:5" ht="15" thickBot="1" x14ac:dyDescent="0.35"/>
    <row r="20" spans="2:5" x14ac:dyDescent="0.3">
      <c r="B20" s="202" t="s">
        <v>442</v>
      </c>
      <c r="C20" s="207"/>
      <c r="D20" s="208"/>
    </row>
    <row r="21" spans="2:5" x14ac:dyDescent="0.3">
      <c r="B21" s="44" t="s">
        <v>414</v>
      </c>
      <c r="C21" s="35" t="s">
        <v>415</v>
      </c>
      <c r="D21" s="45" t="s">
        <v>416</v>
      </c>
      <c r="E21" s="66"/>
    </row>
    <row r="22" spans="2:5" x14ac:dyDescent="0.3">
      <c r="B22" s="71">
        <v>42565</v>
      </c>
      <c r="C22" s="11" t="s">
        <v>421</v>
      </c>
      <c r="D22" s="69">
        <f>EDATE(B22,3*12)</f>
        <v>43660</v>
      </c>
      <c r="E22" s="66"/>
    </row>
    <row r="23" spans="2:5" ht="15" thickBot="1" x14ac:dyDescent="0.35">
      <c r="B23" s="72">
        <v>42565</v>
      </c>
      <c r="C23" s="42" t="s">
        <v>422</v>
      </c>
      <c r="D23" s="73">
        <f>EDATE(B23,-3*12)</f>
        <v>41469</v>
      </c>
    </row>
  </sheetData>
  <mergeCells count="13">
    <mergeCell ref="B15:D15"/>
    <mergeCell ref="B20:D20"/>
    <mergeCell ref="B2:D2"/>
    <mergeCell ref="B10:D10"/>
    <mergeCell ref="J8:K8"/>
    <mergeCell ref="J9:K9"/>
    <mergeCell ref="J10:K10"/>
    <mergeCell ref="H2:K2"/>
    <mergeCell ref="J3:K3"/>
    <mergeCell ref="J4:K4"/>
    <mergeCell ref="J5:K5"/>
    <mergeCell ref="J6:K6"/>
    <mergeCell ref="J7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0EC9-F833-49FD-A377-71E33D8C3501}">
  <dimension ref="B1:W29"/>
  <sheetViews>
    <sheetView zoomScale="89" workbookViewId="0">
      <selection activeCell="K19" sqref="K19"/>
    </sheetView>
  </sheetViews>
  <sheetFormatPr defaultRowHeight="14.4" x14ac:dyDescent="0.3"/>
  <cols>
    <col min="2" max="2" width="12.6640625" bestFit="1" customWidth="1"/>
    <col min="3" max="3" width="8" bestFit="1" customWidth="1"/>
    <col min="4" max="4" width="12.6640625" bestFit="1" customWidth="1"/>
    <col min="10" max="10" width="10.88671875" customWidth="1"/>
  </cols>
  <sheetData>
    <row r="1" spans="2:20" ht="15" thickBot="1" x14ac:dyDescent="0.35"/>
    <row r="2" spans="2:20" ht="15" thickBot="1" x14ac:dyDescent="0.35">
      <c r="B2" s="202" t="s">
        <v>471</v>
      </c>
      <c r="C2" s="207"/>
      <c r="D2" s="208"/>
      <c r="L2" s="85"/>
      <c r="N2" s="202" t="s">
        <v>471</v>
      </c>
      <c r="O2" s="207"/>
      <c r="P2" s="208"/>
      <c r="R2" s="202" t="s">
        <v>581</v>
      </c>
      <c r="S2" s="207"/>
      <c r="T2" s="208"/>
    </row>
    <row r="3" spans="2:20" x14ac:dyDescent="0.3">
      <c r="B3" s="44" t="s">
        <v>462</v>
      </c>
      <c r="C3" s="35" t="s">
        <v>463</v>
      </c>
      <c r="D3" s="45" t="s">
        <v>464</v>
      </c>
      <c r="H3" s="233" t="s">
        <v>246</v>
      </c>
      <c r="I3" s="234"/>
      <c r="J3" s="235"/>
      <c r="K3" s="38" t="s">
        <v>55</v>
      </c>
      <c r="L3" s="85"/>
      <c r="N3" s="44" t="s">
        <v>472</v>
      </c>
      <c r="O3" s="35" t="s">
        <v>571</v>
      </c>
      <c r="P3" s="45" t="s">
        <v>572</v>
      </c>
      <c r="R3" s="44" t="s">
        <v>472</v>
      </c>
      <c r="S3" s="35" t="s">
        <v>571</v>
      </c>
      <c r="T3" s="45" t="s">
        <v>572</v>
      </c>
    </row>
    <row r="4" spans="2:20" x14ac:dyDescent="0.3">
      <c r="B4" s="39">
        <v>101</v>
      </c>
      <c r="C4" s="11" t="s">
        <v>465</v>
      </c>
      <c r="D4" s="40">
        <v>56</v>
      </c>
      <c r="H4" s="236" t="s">
        <v>466</v>
      </c>
      <c r="I4" s="237"/>
      <c r="J4" s="238"/>
      <c r="K4" s="40">
        <f>VLOOKUP(B6,B3:D7,3,0)</f>
        <v>58</v>
      </c>
      <c r="L4" s="85"/>
      <c r="N4" s="39">
        <v>101</v>
      </c>
      <c r="O4" s="11" t="s">
        <v>573</v>
      </c>
      <c r="P4" s="40" t="s">
        <v>574</v>
      </c>
      <c r="R4" s="39">
        <v>101</v>
      </c>
      <c r="S4" s="11" t="str">
        <f>VLOOKUP(R4, $N$3:$P$7, 2, 0)</f>
        <v>Dell</v>
      </c>
      <c r="T4" s="40" t="str">
        <f>VLOOKUP(R4, $N$3:$P$7, 3, 0)</f>
        <v>Computer</v>
      </c>
    </row>
    <row r="5" spans="2:20" x14ac:dyDescent="0.3">
      <c r="B5" s="39">
        <v>102</v>
      </c>
      <c r="C5" s="11" t="s">
        <v>26</v>
      </c>
      <c r="D5" s="40">
        <v>78</v>
      </c>
      <c r="H5" s="236" t="s">
        <v>467</v>
      </c>
      <c r="I5" s="237"/>
      <c r="J5" s="238"/>
      <c r="K5" s="40" t="str">
        <f>VLOOKUP(B6,B3:D7,2,0)</f>
        <v>Arthur</v>
      </c>
      <c r="L5" s="85"/>
      <c r="N5" s="39">
        <v>102</v>
      </c>
      <c r="O5" s="11" t="s">
        <v>575</v>
      </c>
      <c r="P5" s="40" t="s">
        <v>576</v>
      </c>
      <c r="R5" s="39">
        <v>103</v>
      </c>
      <c r="S5" s="11" t="str">
        <f t="shared" ref="S5:S12" si="0">VLOOKUP(R5, $N$3:$P$7, 2, 0)</f>
        <v>Logitech</v>
      </c>
      <c r="T5" s="40" t="str">
        <f t="shared" ref="T5:T12" si="1">VLOOKUP(R5, $N$3:$P$7, 3, 0)</f>
        <v>Mouse</v>
      </c>
    </row>
    <row r="6" spans="2:20" ht="15" thickBot="1" x14ac:dyDescent="0.35">
      <c r="B6" s="39">
        <v>103</v>
      </c>
      <c r="C6" s="11" t="s">
        <v>468</v>
      </c>
      <c r="D6" s="40">
        <v>58</v>
      </c>
      <c r="H6" s="239" t="s">
        <v>469</v>
      </c>
      <c r="I6" s="240"/>
      <c r="J6" s="241"/>
      <c r="K6" s="43">
        <f>VLOOKUP(C7,C3:D7,2,0)</f>
        <v>73</v>
      </c>
      <c r="L6" s="85"/>
      <c r="N6" s="39">
        <v>103</v>
      </c>
      <c r="O6" s="11" t="s">
        <v>575</v>
      </c>
      <c r="P6" s="40" t="s">
        <v>577</v>
      </c>
      <c r="R6" s="39">
        <v>101</v>
      </c>
      <c r="S6" s="11" t="str">
        <f t="shared" si="0"/>
        <v>Dell</v>
      </c>
      <c r="T6" s="40" t="str">
        <f t="shared" si="1"/>
        <v>Computer</v>
      </c>
    </row>
    <row r="7" spans="2:20" ht="15" thickBot="1" x14ac:dyDescent="0.35">
      <c r="B7" s="41">
        <v>104</v>
      </c>
      <c r="C7" s="42" t="s">
        <v>470</v>
      </c>
      <c r="D7" s="43">
        <v>73</v>
      </c>
      <c r="L7" s="85"/>
      <c r="N7" s="41">
        <v>104</v>
      </c>
      <c r="O7" s="42" t="s">
        <v>578</v>
      </c>
      <c r="P7" s="43" t="s">
        <v>579</v>
      </c>
      <c r="R7" s="39">
        <v>102</v>
      </c>
      <c r="S7" s="11" t="str">
        <f t="shared" si="0"/>
        <v>Logitech</v>
      </c>
      <c r="T7" s="40" t="str">
        <f t="shared" si="1"/>
        <v>Keyboard</v>
      </c>
    </row>
    <row r="8" spans="2:20" ht="15" thickBot="1" x14ac:dyDescent="0.35">
      <c r="L8" s="85"/>
      <c r="R8" s="39">
        <v>103</v>
      </c>
      <c r="S8" s="11" t="str">
        <f t="shared" si="0"/>
        <v>Logitech</v>
      </c>
      <c r="T8" s="40" t="str">
        <f t="shared" si="1"/>
        <v>Mouse</v>
      </c>
    </row>
    <row r="9" spans="2:20" x14ac:dyDescent="0.3">
      <c r="B9" s="202" t="s">
        <v>373</v>
      </c>
      <c r="C9" s="207"/>
      <c r="D9" s="207"/>
      <c r="E9" s="207"/>
      <c r="F9" s="208"/>
      <c r="H9" s="217" t="s">
        <v>246</v>
      </c>
      <c r="I9" s="218"/>
      <c r="J9" s="218"/>
      <c r="K9" s="38" t="s">
        <v>55</v>
      </c>
      <c r="L9" s="85"/>
      <c r="R9" s="39">
        <v>101</v>
      </c>
      <c r="S9" s="11" t="str">
        <f t="shared" si="0"/>
        <v>Dell</v>
      </c>
      <c r="T9" s="40" t="str">
        <f t="shared" si="1"/>
        <v>Computer</v>
      </c>
    </row>
    <row r="10" spans="2:20" x14ac:dyDescent="0.3">
      <c r="B10" s="44" t="s">
        <v>472</v>
      </c>
      <c r="C10" s="11">
        <v>101</v>
      </c>
      <c r="D10" s="11">
        <v>102</v>
      </c>
      <c r="E10" s="11">
        <v>103</v>
      </c>
      <c r="F10" s="40">
        <v>104</v>
      </c>
      <c r="H10" s="215" t="s">
        <v>466</v>
      </c>
      <c r="I10" s="212"/>
      <c r="J10" s="212"/>
      <c r="K10" s="40">
        <f>HLOOKUP(E10,B10:F12,3,0)</f>
        <v>84</v>
      </c>
      <c r="L10" s="85"/>
      <c r="R10" s="39">
        <v>104</v>
      </c>
      <c r="S10" s="11" t="str">
        <f t="shared" si="0"/>
        <v>HP</v>
      </c>
      <c r="T10" s="40" t="str">
        <f t="shared" si="1"/>
        <v>Printer</v>
      </c>
    </row>
    <row r="11" spans="2:20" x14ac:dyDescent="0.3">
      <c r="B11" s="44" t="s">
        <v>463</v>
      </c>
      <c r="C11" s="11" t="s">
        <v>465</v>
      </c>
      <c r="D11" s="11" t="s">
        <v>26</v>
      </c>
      <c r="E11" s="11" t="s">
        <v>468</v>
      </c>
      <c r="F11" s="40" t="s">
        <v>470</v>
      </c>
      <c r="H11" s="215" t="s">
        <v>467</v>
      </c>
      <c r="I11" s="212"/>
      <c r="J11" s="212"/>
      <c r="K11" s="40" t="str">
        <f>HLOOKUP(E10,B10:F12,2,0)</f>
        <v>Arthur</v>
      </c>
      <c r="L11" s="85"/>
      <c r="R11" s="39">
        <v>101</v>
      </c>
      <c r="S11" s="11" t="str">
        <f t="shared" si="0"/>
        <v>Dell</v>
      </c>
      <c r="T11" s="40" t="str">
        <f t="shared" si="1"/>
        <v>Computer</v>
      </c>
    </row>
    <row r="12" spans="2:20" ht="15" thickBot="1" x14ac:dyDescent="0.35">
      <c r="B12" s="76" t="s">
        <v>464</v>
      </c>
      <c r="C12" s="42">
        <v>56</v>
      </c>
      <c r="D12" s="42">
        <v>53</v>
      </c>
      <c r="E12" s="42">
        <v>84</v>
      </c>
      <c r="F12" s="43">
        <v>75</v>
      </c>
      <c r="H12" s="216" t="s">
        <v>469</v>
      </c>
      <c r="I12" s="214"/>
      <c r="J12" s="214"/>
      <c r="K12" s="43">
        <f>HLOOKUP(F11,B11:F12,2,0)</f>
        <v>75</v>
      </c>
      <c r="L12" s="85"/>
      <c r="R12" s="41">
        <v>102</v>
      </c>
      <c r="S12" s="42" t="str">
        <f t="shared" si="0"/>
        <v>Logitech</v>
      </c>
      <c r="T12" s="43" t="str">
        <f t="shared" si="1"/>
        <v>Keyboard</v>
      </c>
    </row>
    <row r="13" spans="2:20" ht="15" thickBot="1" x14ac:dyDescent="0.35">
      <c r="L13" s="85"/>
    </row>
    <row r="14" spans="2:20" ht="15" thickBot="1" x14ac:dyDescent="0.35">
      <c r="B14" s="202" t="s">
        <v>482</v>
      </c>
      <c r="C14" s="207"/>
      <c r="D14" s="208"/>
      <c r="L14" s="85"/>
      <c r="N14" s="202" t="s">
        <v>373</v>
      </c>
      <c r="O14" s="207"/>
      <c r="P14" s="207"/>
      <c r="Q14" s="207"/>
      <c r="R14" s="208"/>
    </row>
    <row r="15" spans="2:20" x14ac:dyDescent="0.3">
      <c r="B15" s="44" t="s">
        <v>473</v>
      </c>
      <c r="C15" s="35" t="s">
        <v>474</v>
      </c>
      <c r="D15" s="45" t="s">
        <v>132</v>
      </c>
      <c r="H15" s="217" t="s">
        <v>246</v>
      </c>
      <c r="I15" s="218"/>
      <c r="J15" s="218"/>
      <c r="K15" s="38" t="s">
        <v>55</v>
      </c>
      <c r="L15" s="85"/>
      <c r="N15" s="44"/>
      <c r="O15" s="35" t="s">
        <v>126</v>
      </c>
      <c r="P15" s="35" t="s">
        <v>129</v>
      </c>
      <c r="Q15" s="35" t="s">
        <v>127</v>
      </c>
      <c r="R15" s="45" t="s">
        <v>128</v>
      </c>
    </row>
    <row r="16" spans="2:20" x14ac:dyDescent="0.3">
      <c r="B16" s="39" t="s">
        <v>476</v>
      </c>
      <c r="C16" s="11">
        <v>20</v>
      </c>
      <c r="D16" s="40">
        <v>20000</v>
      </c>
      <c r="H16" s="215" t="s">
        <v>475</v>
      </c>
      <c r="I16" s="212"/>
      <c r="J16" s="212"/>
      <c r="K16" s="40">
        <f>VLOOKUP(B20,B15:D21,3,0)</f>
        <v>36000</v>
      </c>
      <c r="L16" s="85"/>
      <c r="N16" s="39" t="s">
        <v>580</v>
      </c>
      <c r="O16" s="11">
        <v>101</v>
      </c>
      <c r="P16" s="11">
        <v>102</v>
      </c>
      <c r="Q16" s="11">
        <v>103</v>
      </c>
      <c r="R16" s="40">
        <v>104</v>
      </c>
    </row>
    <row r="17" spans="2:23" ht="15" thickBot="1" x14ac:dyDescent="0.35">
      <c r="B17" s="39" t="s">
        <v>196</v>
      </c>
      <c r="C17" s="11">
        <v>55</v>
      </c>
      <c r="D17" s="40">
        <v>50000</v>
      </c>
      <c r="H17" s="216" t="s">
        <v>477</v>
      </c>
      <c r="I17" s="214"/>
      <c r="J17" s="214"/>
      <c r="K17" s="43">
        <f>VLOOKUP(B18,B15:D21,2,0)</f>
        <v>106</v>
      </c>
      <c r="L17" s="85"/>
      <c r="N17" s="39" t="s">
        <v>571</v>
      </c>
      <c r="O17" s="11" t="s">
        <v>573</v>
      </c>
      <c r="P17" s="11" t="s">
        <v>575</v>
      </c>
      <c r="Q17" s="11" t="s">
        <v>575</v>
      </c>
      <c r="R17" s="40" t="s">
        <v>578</v>
      </c>
    </row>
    <row r="18" spans="2:23" ht="15" thickBot="1" x14ac:dyDescent="0.35">
      <c r="B18" s="39" t="s">
        <v>479</v>
      </c>
      <c r="C18" s="11">
        <v>106</v>
      </c>
      <c r="D18" s="40">
        <v>65000</v>
      </c>
      <c r="L18" s="85"/>
      <c r="N18" s="41" t="s">
        <v>572</v>
      </c>
      <c r="O18" s="42" t="s">
        <v>574</v>
      </c>
      <c r="P18" s="42" t="s">
        <v>576</v>
      </c>
      <c r="Q18" s="42" t="s">
        <v>577</v>
      </c>
      <c r="R18" s="43" t="s">
        <v>579</v>
      </c>
    </row>
    <row r="19" spans="2:23" ht="15" thickBot="1" x14ac:dyDescent="0.35">
      <c r="B19" s="39" t="s">
        <v>195</v>
      </c>
      <c r="C19" s="11">
        <v>6</v>
      </c>
      <c r="D19" s="40">
        <v>5000</v>
      </c>
      <c r="H19" s="242" t="s">
        <v>478</v>
      </c>
      <c r="I19" s="219"/>
      <c r="J19" s="219"/>
      <c r="K19" s="51" t="str">
        <f>VLOOKUP(C24,C23:D29,2,0)</f>
        <v>PC</v>
      </c>
      <c r="L19" s="85"/>
    </row>
    <row r="20" spans="2:23" ht="15" thickBot="1" x14ac:dyDescent="0.35">
      <c r="B20" s="39" t="s">
        <v>199</v>
      </c>
      <c r="C20" s="11">
        <v>8</v>
      </c>
      <c r="D20" s="40">
        <v>36000</v>
      </c>
      <c r="H20" s="216" t="s">
        <v>480</v>
      </c>
      <c r="I20" s="214"/>
      <c r="J20" s="214"/>
      <c r="K20" s="43" t="str">
        <f>VLOOKUP(B29,B23:D29,3,0)</f>
        <v>FAN</v>
      </c>
      <c r="L20" s="85"/>
      <c r="N20" s="202" t="s">
        <v>581</v>
      </c>
      <c r="O20" s="207"/>
      <c r="P20" s="207"/>
      <c r="Q20" s="207"/>
      <c r="R20" s="207"/>
      <c r="S20" s="207"/>
      <c r="T20" s="207"/>
      <c r="U20" s="207"/>
      <c r="V20" s="207"/>
      <c r="W20" s="208"/>
    </row>
    <row r="21" spans="2:23" ht="15" thickBot="1" x14ac:dyDescent="0.35">
      <c r="B21" s="41" t="s">
        <v>481</v>
      </c>
      <c r="C21" s="42">
        <v>2</v>
      </c>
      <c r="D21" s="43">
        <v>1000</v>
      </c>
      <c r="L21" s="85"/>
      <c r="N21" s="44" t="s">
        <v>580</v>
      </c>
      <c r="O21" s="87">
        <v>103</v>
      </c>
      <c r="P21" s="87">
        <v>104</v>
      </c>
      <c r="Q21" s="87">
        <v>101</v>
      </c>
      <c r="R21" s="87">
        <v>102</v>
      </c>
      <c r="S21" s="87">
        <v>103</v>
      </c>
      <c r="T21" s="87">
        <v>101</v>
      </c>
      <c r="U21" s="87">
        <v>104</v>
      </c>
      <c r="V21" s="87">
        <v>101</v>
      </c>
      <c r="W21" s="88">
        <v>102</v>
      </c>
    </row>
    <row r="22" spans="2:23" ht="15" thickBot="1" x14ac:dyDescent="0.35">
      <c r="L22" s="85"/>
      <c r="N22" s="44" t="s">
        <v>571</v>
      </c>
      <c r="O22" s="11" t="str">
        <f>HLOOKUP(O21, $N$16:$R$18, 2, 0)</f>
        <v>Logitech</v>
      </c>
      <c r="P22" s="11" t="str">
        <f t="shared" ref="P22:W22" si="2">HLOOKUP(P21, $N$16:$R$18, 2, 0)</f>
        <v>HP</v>
      </c>
      <c r="Q22" s="11" t="str">
        <f t="shared" si="2"/>
        <v>Dell</v>
      </c>
      <c r="R22" s="11" t="str">
        <f t="shared" si="2"/>
        <v>Logitech</v>
      </c>
      <c r="S22" s="11" t="str">
        <f t="shared" si="2"/>
        <v>Logitech</v>
      </c>
      <c r="T22" s="11" t="str">
        <f t="shared" si="2"/>
        <v>Dell</v>
      </c>
      <c r="U22" s="11" t="str">
        <f t="shared" si="2"/>
        <v>HP</v>
      </c>
      <c r="V22" s="11" t="str">
        <f t="shared" si="2"/>
        <v>Dell</v>
      </c>
      <c r="W22" s="40" t="str">
        <f t="shared" si="2"/>
        <v>Logitech</v>
      </c>
    </row>
    <row r="23" spans="2:23" ht="15" thickBot="1" x14ac:dyDescent="0.35">
      <c r="B23" s="36" t="s">
        <v>132</v>
      </c>
      <c r="C23" s="37" t="s">
        <v>474</v>
      </c>
      <c r="D23" s="38" t="s">
        <v>473</v>
      </c>
      <c r="L23" s="85"/>
      <c r="N23" s="76" t="s">
        <v>572</v>
      </c>
      <c r="O23" s="42" t="str">
        <f>HLOOKUP(O21, $N$16:$R$18, 3, 0)</f>
        <v>Mouse</v>
      </c>
      <c r="P23" s="42" t="str">
        <f t="shared" ref="P23:W23" si="3">HLOOKUP(P21, $N$16:$R$18, 3, 0)</f>
        <v>Printer</v>
      </c>
      <c r="Q23" s="42" t="str">
        <f t="shared" si="3"/>
        <v>Computer</v>
      </c>
      <c r="R23" s="42" t="str">
        <f t="shared" si="3"/>
        <v>Keyboard</v>
      </c>
      <c r="S23" s="42" t="str">
        <f t="shared" si="3"/>
        <v>Mouse</v>
      </c>
      <c r="T23" s="42" t="str">
        <f t="shared" si="3"/>
        <v>Computer</v>
      </c>
      <c r="U23" s="42" t="str">
        <f t="shared" si="3"/>
        <v>Printer</v>
      </c>
      <c r="V23" s="42" t="str">
        <f t="shared" si="3"/>
        <v>Computer</v>
      </c>
      <c r="W23" s="43" t="str">
        <f t="shared" si="3"/>
        <v>Keyboard</v>
      </c>
    </row>
    <row r="24" spans="2:23" x14ac:dyDescent="0.3">
      <c r="B24" s="39">
        <v>20000</v>
      </c>
      <c r="C24" s="11">
        <v>20</v>
      </c>
      <c r="D24" s="40" t="s">
        <v>476</v>
      </c>
      <c r="L24" s="85"/>
    </row>
    <row r="25" spans="2:23" x14ac:dyDescent="0.3">
      <c r="B25" s="39">
        <v>50000</v>
      </c>
      <c r="C25" s="11">
        <v>55</v>
      </c>
      <c r="D25" s="40" t="s">
        <v>196</v>
      </c>
      <c r="L25" s="85"/>
    </row>
    <row r="26" spans="2:23" x14ac:dyDescent="0.3">
      <c r="B26" s="39">
        <v>65000</v>
      </c>
      <c r="C26" s="11">
        <v>106</v>
      </c>
      <c r="D26" s="40" t="s">
        <v>479</v>
      </c>
      <c r="L26" s="85"/>
    </row>
    <row r="27" spans="2:23" x14ac:dyDescent="0.3">
      <c r="B27" s="39">
        <v>5000</v>
      </c>
      <c r="C27" s="11">
        <v>6</v>
      </c>
      <c r="D27" s="40" t="s">
        <v>195</v>
      </c>
      <c r="L27" s="85"/>
    </row>
    <row r="28" spans="2:23" x14ac:dyDescent="0.3">
      <c r="B28" s="39">
        <v>36000</v>
      </c>
      <c r="C28" s="11">
        <v>8</v>
      </c>
      <c r="D28" s="40" t="s">
        <v>199</v>
      </c>
      <c r="L28" s="85"/>
    </row>
    <row r="29" spans="2:23" ht="15" thickBot="1" x14ac:dyDescent="0.35">
      <c r="B29" s="41">
        <v>1000</v>
      </c>
      <c r="C29" s="42">
        <v>2</v>
      </c>
      <c r="D29" s="43" t="s">
        <v>481</v>
      </c>
      <c r="L29" s="85"/>
    </row>
  </sheetData>
  <mergeCells count="20">
    <mergeCell ref="B14:D14"/>
    <mergeCell ref="H16:J16"/>
    <mergeCell ref="B2:D2"/>
    <mergeCell ref="H9:J9"/>
    <mergeCell ref="H10:J10"/>
    <mergeCell ref="H11:J11"/>
    <mergeCell ref="H12:J12"/>
    <mergeCell ref="B9:F9"/>
    <mergeCell ref="N2:P2"/>
    <mergeCell ref="N14:R14"/>
    <mergeCell ref="N20:W20"/>
    <mergeCell ref="R2:T2"/>
    <mergeCell ref="H3:J3"/>
    <mergeCell ref="H4:J4"/>
    <mergeCell ref="H5:J5"/>
    <mergeCell ref="H6:J6"/>
    <mergeCell ref="H17:J17"/>
    <mergeCell ref="H19:J19"/>
    <mergeCell ref="H20:J20"/>
    <mergeCell ref="H15:J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DE86-5C4E-4F3E-9873-F4A2E2BA3DA8}">
  <dimension ref="B2:N9"/>
  <sheetViews>
    <sheetView zoomScale="121" workbookViewId="0">
      <selection activeCell="K1" sqref="K1"/>
    </sheetView>
  </sheetViews>
  <sheetFormatPr defaultRowHeight="14.4" x14ac:dyDescent="0.3"/>
  <sheetData>
    <row r="2" spans="2:14" ht="15" thickBot="1" x14ac:dyDescent="0.35"/>
    <row r="3" spans="2:14" x14ac:dyDescent="0.3">
      <c r="B3" s="36" t="s">
        <v>216</v>
      </c>
      <c r="C3" s="37">
        <v>2019</v>
      </c>
      <c r="D3" s="37">
        <v>2020</v>
      </c>
      <c r="E3" s="38">
        <v>2021</v>
      </c>
      <c r="G3" s="36" t="s">
        <v>565</v>
      </c>
      <c r="H3" s="218" t="s">
        <v>246</v>
      </c>
      <c r="I3" s="218"/>
      <c r="J3" s="218"/>
      <c r="K3" s="218"/>
      <c r="L3" s="218"/>
      <c r="M3" s="218"/>
      <c r="N3" s="38" t="s">
        <v>55</v>
      </c>
    </row>
    <row r="4" spans="2:14" x14ac:dyDescent="0.3">
      <c r="B4" s="39" t="s">
        <v>559</v>
      </c>
      <c r="C4" s="11">
        <v>50000</v>
      </c>
      <c r="D4" s="11">
        <v>784512</v>
      </c>
      <c r="E4" s="40">
        <v>78523</v>
      </c>
      <c r="G4" s="39">
        <v>1</v>
      </c>
      <c r="H4" s="212" t="s">
        <v>566</v>
      </c>
      <c r="I4" s="212"/>
      <c r="J4" s="212"/>
      <c r="K4" s="212"/>
      <c r="L4" s="212"/>
      <c r="M4" s="212"/>
      <c r="N4" s="40">
        <f>INDEX(B4:E9, MATCH("Niya", B4:B9, 0), MATCH(2021, B3:E3, 0))</f>
        <v>35741</v>
      </c>
    </row>
    <row r="5" spans="2:14" x14ac:dyDescent="0.3">
      <c r="B5" s="39" t="s">
        <v>560</v>
      </c>
      <c r="C5" s="11">
        <v>25000</v>
      </c>
      <c r="D5" s="11">
        <v>25946</v>
      </c>
      <c r="E5" s="40">
        <v>98521</v>
      </c>
      <c r="G5" s="39">
        <v>2</v>
      </c>
      <c r="H5" s="212" t="s">
        <v>567</v>
      </c>
      <c r="I5" s="212"/>
      <c r="J5" s="212"/>
      <c r="K5" s="212"/>
      <c r="L5" s="212"/>
      <c r="M5" s="212"/>
      <c r="N5" s="40">
        <f>INDEX(C3:C9,MATCH("Siya",B3:B9,0))</f>
        <v>14252</v>
      </c>
    </row>
    <row r="6" spans="2:14" x14ac:dyDescent="0.3">
      <c r="B6" s="39" t="s">
        <v>561</v>
      </c>
      <c r="C6" s="11">
        <v>35000</v>
      </c>
      <c r="D6" s="11">
        <v>45829</v>
      </c>
      <c r="E6" s="40">
        <v>15963</v>
      </c>
      <c r="G6" s="39">
        <v>3</v>
      </c>
      <c r="H6" s="212" t="s">
        <v>568</v>
      </c>
      <c r="I6" s="212"/>
      <c r="J6" s="212"/>
      <c r="K6" s="212"/>
      <c r="L6" s="212"/>
      <c r="M6" s="212"/>
      <c r="N6" s="40" t="str">
        <f>INDEX(B4:E9,MATCH(MAX(E4:E9),E4:E9,0),MATCH("Name",B3:E3,0))</f>
        <v>Maya</v>
      </c>
    </row>
    <row r="7" spans="2:14" x14ac:dyDescent="0.3">
      <c r="B7" s="39" t="s">
        <v>562</v>
      </c>
      <c r="C7" s="11">
        <v>89000</v>
      </c>
      <c r="D7" s="11">
        <v>458962</v>
      </c>
      <c r="E7" s="40">
        <v>35741</v>
      </c>
      <c r="G7" s="39">
        <v>4</v>
      </c>
      <c r="H7" s="212" t="s">
        <v>569</v>
      </c>
      <c r="I7" s="212"/>
      <c r="J7" s="212"/>
      <c r="K7" s="212"/>
      <c r="L7" s="212"/>
      <c r="M7" s="212"/>
      <c r="N7" s="40">
        <f>SUM(INDEX(B4:E9,MATCH("Chhaya", B4:B9, 0), 0))</f>
        <v>96792</v>
      </c>
    </row>
    <row r="8" spans="2:14" x14ac:dyDescent="0.3">
      <c r="B8" s="39" t="s">
        <v>563</v>
      </c>
      <c r="C8" s="11">
        <v>56489</v>
      </c>
      <c r="D8" s="11">
        <v>1526</v>
      </c>
      <c r="E8" s="40">
        <v>74159</v>
      </c>
      <c r="G8" s="39">
        <v>5</v>
      </c>
      <c r="H8" s="212" t="s">
        <v>570</v>
      </c>
      <c r="I8" s="212"/>
      <c r="J8" s="212"/>
      <c r="K8" s="212"/>
      <c r="L8" s="212"/>
      <c r="M8" s="212"/>
      <c r="N8" s="40" t="str">
        <f>INDEX(B4:E9,MATCH(MIN(E4:E9),E4:E9,0),MATCH("Name",B3:E3,0))</f>
        <v>Chhaya</v>
      </c>
    </row>
    <row r="9" spans="2:14" ht="15" thickBot="1" x14ac:dyDescent="0.35">
      <c r="B9" s="41" t="s">
        <v>564</v>
      </c>
      <c r="C9" s="42">
        <v>14252</v>
      </c>
      <c r="D9" s="42">
        <v>24586</v>
      </c>
      <c r="E9" s="43">
        <v>96357</v>
      </c>
      <c r="G9" s="41">
        <v>6</v>
      </c>
      <c r="H9" s="214" t="s">
        <v>623</v>
      </c>
      <c r="I9" s="214"/>
      <c r="J9" s="214"/>
      <c r="K9" s="214"/>
      <c r="L9" s="214"/>
      <c r="M9" s="214"/>
      <c r="N9" s="43" t="str">
        <f>INDEX(B4:E9,MATCH(MAX(D4:D9),D4:D9,0),MATCH("Name",B3:E3,0))</f>
        <v>Riya</v>
      </c>
    </row>
  </sheetData>
  <mergeCells count="7">
    <mergeCell ref="H9:M9"/>
    <mergeCell ref="H3:M3"/>
    <mergeCell ref="H4:M4"/>
    <mergeCell ref="H5:M5"/>
    <mergeCell ref="H6:M6"/>
    <mergeCell ref="H7:M7"/>
    <mergeCell ref="H8:M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679D-DD0A-41D8-8DE5-9FC70C77336E}">
  <dimension ref="A1:O673"/>
  <sheetViews>
    <sheetView workbookViewId="0">
      <selection activeCell="A23" sqref="A23"/>
    </sheetView>
  </sheetViews>
  <sheetFormatPr defaultRowHeight="14.4" x14ac:dyDescent="0.3"/>
  <cols>
    <col min="1" max="1" width="80.88671875" bestFit="1" customWidth="1"/>
    <col min="2" max="2" width="37.33203125" bestFit="1" customWidth="1"/>
    <col min="3" max="3" width="44" bestFit="1" customWidth="1"/>
    <col min="4" max="4" width="32.88671875" bestFit="1" customWidth="1"/>
    <col min="5" max="6" width="23.77734375" bestFit="1" customWidth="1"/>
    <col min="7" max="7" width="22.21875" bestFit="1" customWidth="1"/>
    <col min="8" max="8" width="26.5546875" bestFit="1" customWidth="1"/>
    <col min="9" max="9" width="35.6640625" bestFit="1" customWidth="1"/>
    <col min="10" max="10" width="35" bestFit="1" customWidth="1"/>
    <col min="11" max="11" width="26.33203125" bestFit="1" customWidth="1"/>
    <col min="12" max="12" width="80" bestFit="1" customWidth="1"/>
    <col min="13" max="13" width="80.88671875" bestFit="1" customWidth="1"/>
    <col min="14" max="14" width="12.44140625" bestFit="1" customWidth="1"/>
    <col min="15" max="15" width="11.77734375" bestFit="1" customWidth="1"/>
  </cols>
  <sheetData>
    <row r="1" spans="1:15" x14ac:dyDescent="0.3">
      <c r="A1" t="s">
        <v>636</v>
      </c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650</v>
      </c>
    </row>
    <row r="2" spans="1:15" x14ac:dyDescent="0.3">
      <c r="A2" t="s">
        <v>651</v>
      </c>
      <c r="B2" t="s">
        <v>652</v>
      </c>
      <c r="C2" t="s">
        <v>653</v>
      </c>
      <c r="D2" t="s">
        <v>654</v>
      </c>
      <c r="E2" t="s">
        <v>654</v>
      </c>
      <c r="F2" t="s">
        <v>655</v>
      </c>
      <c r="G2" t="s">
        <v>656</v>
      </c>
      <c r="H2" t="s">
        <v>657</v>
      </c>
      <c r="I2" t="s">
        <v>658</v>
      </c>
      <c r="J2" t="s">
        <v>659</v>
      </c>
      <c r="K2" t="s">
        <v>660</v>
      </c>
      <c r="L2" t="s">
        <v>661</v>
      </c>
      <c r="M2" t="s">
        <v>662</v>
      </c>
      <c r="N2">
        <v>171000</v>
      </c>
    </row>
    <row r="3" spans="1:15" x14ac:dyDescent="0.3">
      <c r="A3" t="s">
        <v>663</v>
      </c>
      <c r="B3" t="s">
        <v>664</v>
      </c>
      <c r="C3" t="s">
        <v>665</v>
      </c>
      <c r="D3" t="s">
        <v>666</v>
      </c>
      <c r="E3" t="s">
        <v>667</v>
      </c>
      <c r="F3" t="s">
        <v>668</v>
      </c>
      <c r="G3" t="s">
        <v>669</v>
      </c>
      <c r="H3" t="s">
        <v>670</v>
      </c>
      <c r="I3" t="s">
        <v>671</v>
      </c>
      <c r="J3" t="s">
        <v>672</v>
      </c>
      <c r="K3" t="s">
        <v>673</v>
      </c>
      <c r="L3" t="s">
        <v>660</v>
      </c>
      <c r="M3" t="s">
        <v>662</v>
      </c>
      <c r="N3">
        <v>171000</v>
      </c>
    </row>
    <row r="4" spans="1:15" x14ac:dyDescent="0.3">
      <c r="A4" t="s">
        <v>663</v>
      </c>
      <c r="B4" t="s">
        <v>674</v>
      </c>
      <c r="C4" t="s">
        <v>675</v>
      </c>
      <c r="D4" t="s">
        <v>676</v>
      </c>
      <c r="E4" t="s">
        <v>676</v>
      </c>
      <c r="F4" t="s">
        <v>655</v>
      </c>
      <c r="G4" t="s">
        <v>677</v>
      </c>
      <c r="H4" t="s">
        <v>678</v>
      </c>
      <c r="I4" t="s">
        <v>679</v>
      </c>
      <c r="J4" t="s">
        <v>672</v>
      </c>
      <c r="K4" t="s">
        <v>680</v>
      </c>
      <c r="L4" t="s">
        <v>660</v>
      </c>
      <c r="M4" t="s">
        <v>662</v>
      </c>
      <c r="N4">
        <v>171000</v>
      </c>
    </row>
    <row r="5" spans="1:15" x14ac:dyDescent="0.3">
      <c r="A5" t="s">
        <v>663</v>
      </c>
      <c r="B5" t="s">
        <v>681</v>
      </c>
      <c r="C5" t="s">
        <v>682</v>
      </c>
      <c r="D5" t="s">
        <v>683</v>
      </c>
      <c r="E5" t="s">
        <v>684</v>
      </c>
      <c r="F5" t="s">
        <v>685</v>
      </c>
      <c r="G5" t="s">
        <v>686</v>
      </c>
      <c r="H5" t="s">
        <v>670</v>
      </c>
      <c r="I5" t="s">
        <v>687</v>
      </c>
      <c r="J5" t="s">
        <v>688</v>
      </c>
      <c r="K5" t="s">
        <v>680</v>
      </c>
      <c r="L5" t="s">
        <v>689</v>
      </c>
      <c r="M5" t="s">
        <v>662</v>
      </c>
      <c r="N5">
        <v>171000</v>
      </c>
    </row>
    <row r="6" spans="1:15" x14ac:dyDescent="0.3">
      <c r="A6" t="s">
        <v>663</v>
      </c>
      <c r="B6" t="s">
        <v>690</v>
      </c>
      <c r="C6" t="s">
        <v>691</v>
      </c>
      <c r="D6" t="s">
        <v>654</v>
      </c>
      <c r="E6" t="s">
        <v>654</v>
      </c>
      <c r="F6" t="s">
        <v>692</v>
      </c>
      <c r="G6" t="s">
        <v>693</v>
      </c>
      <c r="H6" t="s">
        <v>694</v>
      </c>
      <c r="I6" t="s">
        <v>695</v>
      </c>
      <c r="J6" t="s">
        <v>672</v>
      </c>
      <c r="K6" t="s">
        <v>660</v>
      </c>
      <c r="L6" t="s">
        <v>696</v>
      </c>
      <c r="M6" t="s">
        <v>662</v>
      </c>
      <c r="N6">
        <v>171000</v>
      </c>
    </row>
    <row r="7" spans="1:15" x14ac:dyDescent="0.3">
      <c r="A7" t="s">
        <v>663</v>
      </c>
      <c r="B7" t="s">
        <v>664</v>
      </c>
      <c r="C7" t="s">
        <v>697</v>
      </c>
      <c r="D7" t="s">
        <v>698</v>
      </c>
      <c r="E7" t="s">
        <v>698</v>
      </c>
      <c r="F7" t="s">
        <v>692</v>
      </c>
      <c r="G7" t="s">
        <v>699</v>
      </c>
      <c r="H7" t="s">
        <v>694</v>
      </c>
      <c r="I7" t="s">
        <v>700</v>
      </c>
      <c r="J7" t="s">
        <v>701</v>
      </c>
      <c r="K7" t="s">
        <v>660</v>
      </c>
      <c r="L7" t="s">
        <v>660</v>
      </c>
      <c r="M7" t="s">
        <v>662</v>
      </c>
      <c r="N7">
        <v>171000</v>
      </c>
    </row>
    <row r="8" spans="1:15" x14ac:dyDescent="0.3">
      <c r="A8" t="s">
        <v>702</v>
      </c>
      <c r="B8" t="s">
        <v>703</v>
      </c>
      <c r="C8" t="s">
        <v>704</v>
      </c>
      <c r="D8" t="s">
        <v>705</v>
      </c>
      <c r="E8" t="s">
        <v>706</v>
      </c>
      <c r="F8" t="s">
        <v>707</v>
      </c>
      <c r="G8" t="s">
        <v>708</v>
      </c>
      <c r="H8" t="s">
        <v>670</v>
      </c>
      <c r="I8" t="s">
        <v>709</v>
      </c>
      <c r="J8" t="s">
        <v>709</v>
      </c>
      <c r="K8" t="s">
        <v>710</v>
      </c>
      <c r="L8" t="s">
        <v>660</v>
      </c>
      <c r="M8" t="s">
        <v>662</v>
      </c>
      <c r="N8">
        <v>171000</v>
      </c>
    </row>
    <row r="9" spans="1:15" x14ac:dyDescent="0.3">
      <c r="A9" t="s">
        <v>663</v>
      </c>
      <c r="B9" t="s">
        <v>681</v>
      </c>
      <c r="C9" t="s">
        <v>711</v>
      </c>
      <c r="D9" t="s">
        <v>712</v>
      </c>
      <c r="E9" t="s">
        <v>712</v>
      </c>
      <c r="F9" t="s">
        <v>655</v>
      </c>
      <c r="G9" t="s">
        <v>713</v>
      </c>
      <c r="H9" t="s">
        <v>670</v>
      </c>
      <c r="I9" t="s">
        <v>714</v>
      </c>
      <c r="J9" t="s">
        <v>715</v>
      </c>
      <c r="K9" t="s">
        <v>673</v>
      </c>
      <c r="L9" t="s">
        <v>660</v>
      </c>
      <c r="M9" t="s">
        <v>662</v>
      </c>
      <c r="N9">
        <v>171000</v>
      </c>
    </row>
    <row r="10" spans="1:15" x14ac:dyDescent="0.3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 t="s">
        <v>668</v>
      </c>
      <c r="G10" t="s">
        <v>721</v>
      </c>
      <c r="H10" t="s">
        <v>670</v>
      </c>
      <c r="I10" t="s">
        <v>700</v>
      </c>
      <c r="J10" t="s">
        <v>701</v>
      </c>
      <c r="K10" t="s">
        <v>722</v>
      </c>
      <c r="L10" t="s">
        <v>723</v>
      </c>
      <c r="M10" t="s">
        <v>662</v>
      </c>
      <c r="N10">
        <v>171000</v>
      </c>
    </row>
    <row r="11" spans="1:15" x14ac:dyDescent="0.3">
      <c r="A11" t="s">
        <v>663</v>
      </c>
      <c r="B11" t="s">
        <v>724</v>
      </c>
      <c r="C11" t="s">
        <v>725</v>
      </c>
      <c r="D11" t="s">
        <v>726</v>
      </c>
      <c r="E11" t="s">
        <v>726</v>
      </c>
      <c r="F11" t="s">
        <v>692</v>
      </c>
      <c r="G11" t="s">
        <v>727</v>
      </c>
      <c r="H11" t="s">
        <v>694</v>
      </c>
      <c r="I11" t="s">
        <v>728</v>
      </c>
      <c r="J11" t="s">
        <v>701</v>
      </c>
      <c r="K11" t="s">
        <v>660</v>
      </c>
      <c r="L11" t="s">
        <v>660</v>
      </c>
      <c r="M11" t="s">
        <v>662</v>
      </c>
      <c r="N11">
        <v>171000</v>
      </c>
    </row>
    <row r="12" spans="1:15" x14ac:dyDescent="0.3">
      <c r="A12" t="s">
        <v>663</v>
      </c>
      <c r="B12" t="s">
        <v>729</v>
      </c>
      <c r="C12" t="s">
        <v>730</v>
      </c>
      <c r="D12" t="s">
        <v>667</v>
      </c>
      <c r="E12" t="s">
        <v>731</v>
      </c>
      <c r="F12" t="s">
        <v>685</v>
      </c>
      <c r="G12" t="s">
        <v>732</v>
      </c>
      <c r="H12" t="s">
        <v>694</v>
      </c>
      <c r="I12" t="s">
        <v>728</v>
      </c>
      <c r="J12" t="s">
        <v>701</v>
      </c>
      <c r="K12" t="s">
        <v>680</v>
      </c>
      <c r="L12" t="s">
        <v>733</v>
      </c>
      <c r="M12" t="s">
        <v>662</v>
      </c>
      <c r="N12">
        <v>171000</v>
      </c>
    </row>
    <row r="13" spans="1:15" x14ac:dyDescent="0.3">
      <c r="A13" t="s">
        <v>663</v>
      </c>
      <c r="B13" t="s">
        <v>734</v>
      </c>
      <c r="C13" t="s">
        <v>735</v>
      </c>
      <c r="D13" t="s">
        <v>736</v>
      </c>
      <c r="E13" t="s">
        <v>736</v>
      </c>
      <c r="F13" t="s">
        <v>692</v>
      </c>
      <c r="G13" t="s">
        <v>737</v>
      </c>
      <c r="H13" t="s">
        <v>694</v>
      </c>
      <c r="I13" t="s">
        <v>738</v>
      </c>
      <c r="J13" t="s">
        <v>701</v>
      </c>
      <c r="K13" t="s">
        <v>660</v>
      </c>
      <c r="L13" t="s">
        <v>739</v>
      </c>
      <c r="M13" t="s">
        <v>662</v>
      </c>
      <c r="N13">
        <v>171000</v>
      </c>
    </row>
    <row r="14" spans="1:15" x14ac:dyDescent="0.3">
      <c r="A14" t="s">
        <v>740</v>
      </c>
      <c r="B14" t="s">
        <v>741</v>
      </c>
      <c r="C14" t="s">
        <v>742</v>
      </c>
      <c r="D14" t="s">
        <v>743</v>
      </c>
      <c r="E14" t="s">
        <v>744</v>
      </c>
      <c r="F14" t="s">
        <v>744</v>
      </c>
      <c r="G14" t="s">
        <v>655</v>
      </c>
      <c r="H14" t="s">
        <v>745</v>
      </c>
      <c r="I14" t="s">
        <v>746</v>
      </c>
      <c r="J14" t="s">
        <v>747</v>
      </c>
      <c r="K14" t="s">
        <v>748</v>
      </c>
      <c r="L14" t="s">
        <v>749</v>
      </c>
      <c r="M14" t="s">
        <v>750</v>
      </c>
      <c r="N14">
        <v>137000</v>
      </c>
      <c r="O14">
        <v>171000</v>
      </c>
    </row>
    <row r="15" spans="1:15" x14ac:dyDescent="0.3">
      <c r="A15" t="s">
        <v>751</v>
      </c>
      <c r="B15" t="s">
        <v>652</v>
      </c>
      <c r="C15" t="s">
        <v>752</v>
      </c>
      <c r="D15" t="s">
        <v>753</v>
      </c>
      <c r="E15" t="s">
        <v>753</v>
      </c>
      <c r="F15" t="s">
        <v>754</v>
      </c>
      <c r="G15" t="s">
        <v>755</v>
      </c>
      <c r="H15" t="s">
        <v>694</v>
      </c>
      <c r="I15" t="s">
        <v>756</v>
      </c>
      <c r="J15" t="s">
        <v>688</v>
      </c>
      <c r="K15" t="s">
        <v>673</v>
      </c>
      <c r="L15" t="s">
        <v>660</v>
      </c>
      <c r="M15" t="s">
        <v>662</v>
      </c>
      <c r="N15">
        <v>171000</v>
      </c>
    </row>
    <row r="16" spans="1:15" x14ac:dyDescent="0.3">
      <c r="A16" t="s">
        <v>663</v>
      </c>
      <c r="B16" t="s">
        <v>757</v>
      </c>
      <c r="C16" t="s">
        <v>758</v>
      </c>
      <c r="D16" t="s">
        <v>759</v>
      </c>
      <c r="E16" t="s">
        <v>760</v>
      </c>
      <c r="F16" t="s">
        <v>655</v>
      </c>
      <c r="G16" t="s">
        <v>761</v>
      </c>
      <c r="H16" t="s">
        <v>694</v>
      </c>
      <c r="I16" t="s">
        <v>679</v>
      </c>
      <c r="J16" t="s">
        <v>672</v>
      </c>
      <c r="K16" t="s">
        <v>680</v>
      </c>
      <c r="L16" t="s">
        <v>660</v>
      </c>
      <c r="M16" t="s">
        <v>662</v>
      </c>
      <c r="N16">
        <v>171000</v>
      </c>
    </row>
    <row r="17" spans="1:14" x14ac:dyDescent="0.3">
      <c r="A17" t="s">
        <v>762</v>
      </c>
      <c r="B17" t="s">
        <v>717</v>
      </c>
      <c r="C17" t="s">
        <v>763</v>
      </c>
      <c r="D17" t="s">
        <v>759</v>
      </c>
      <c r="E17" t="s">
        <v>764</v>
      </c>
      <c r="F17" t="s">
        <v>765</v>
      </c>
      <c r="G17" t="s">
        <v>766</v>
      </c>
      <c r="H17" t="s">
        <v>694</v>
      </c>
      <c r="I17" t="s">
        <v>767</v>
      </c>
      <c r="J17" t="s">
        <v>746</v>
      </c>
      <c r="K17" t="s">
        <v>660</v>
      </c>
      <c r="L17" t="s">
        <v>660</v>
      </c>
      <c r="M17" t="s">
        <v>662</v>
      </c>
      <c r="N17">
        <v>171000</v>
      </c>
    </row>
    <row r="18" spans="1:14" x14ac:dyDescent="0.3">
      <c r="A18" t="s">
        <v>768</v>
      </c>
      <c r="B18" t="s">
        <v>769</v>
      </c>
      <c r="C18" t="s">
        <v>770</v>
      </c>
      <c r="D18" t="s">
        <v>771</v>
      </c>
      <c r="E18" t="s">
        <v>759</v>
      </c>
      <c r="F18" t="s">
        <v>692</v>
      </c>
      <c r="G18" t="s">
        <v>772</v>
      </c>
      <c r="H18" t="s">
        <v>694</v>
      </c>
      <c r="I18" t="s">
        <v>773</v>
      </c>
      <c r="J18" t="s">
        <v>701</v>
      </c>
      <c r="K18" t="s">
        <v>660</v>
      </c>
      <c r="L18" t="s">
        <v>660</v>
      </c>
      <c r="M18" t="s">
        <v>662</v>
      </c>
      <c r="N18">
        <v>171000</v>
      </c>
    </row>
    <row r="19" spans="1:14" x14ac:dyDescent="0.3">
      <c r="A19" t="s">
        <v>663</v>
      </c>
      <c r="B19" t="s">
        <v>681</v>
      </c>
      <c r="C19" t="s">
        <v>774</v>
      </c>
      <c r="D19" t="s">
        <v>775</v>
      </c>
      <c r="E19" t="s">
        <v>775</v>
      </c>
      <c r="F19" t="s">
        <v>655</v>
      </c>
      <c r="G19" t="s">
        <v>776</v>
      </c>
      <c r="H19" t="s">
        <v>694</v>
      </c>
      <c r="I19" t="s">
        <v>756</v>
      </c>
      <c r="J19" t="s">
        <v>688</v>
      </c>
      <c r="K19" t="s">
        <v>749</v>
      </c>
      <c r="L19" t="s">
        <v>660</v>
      </c>
      <c r="M19" t="s">
        <v>662</v>
      </c>
      <c r="N19">
        <v>171000</v>
      </c>
    </row>
    <row r="20" spans="1:14" x14ac:dyDescent="0.3">
      <c r="A20" t="s">
        <v>777</v>
      </c>
      <c r="B20" t="s">
        <v>664</v>
      </c>
      <c r="C20" t="s">
        <v>778</v>
      </c>
      <c r="D20" t="s">
        <v>779</v>
      </c>
      <c r="E20" t="s">
        <v>780</v>
      </c>
      <c r="F20" t="s">
        <v>668</v>
      </c>
      <c r="G20" t="s">
        <v>781</v>
      </c>
      <c r="H20" t="s">
        <v>670</v>
      </c>
      <c r="I20" t="s">
        <v>728</v>
      </c>
      <c r="J20" t="s">
        <v>701</v>
      </c>
      <c r="K20" t="s">
        <v>782</v>
      </c>
      <c r="L20" t="s">
        <v>783</v>
      </c>
      <c r="M20" t="s">
        <v>662</v>
      </c>
      <c r="N20">
        <v>171000</v>
      </c>
    </row>
    <row r="21" spans="1:14" x14ac:dyDescent="0.3">
      <c r="A21" t="s">
        <v>784</v>
      </c>
      <c r="B21" t="s">
        <v>681</v>
      </c>
      <c r="C21" t="s">
        <v>785</v>
      </c>
      <c r="D21" t="s">
        <v>786</v>
      </c>
      <c r="E21" t="s">
        <v>787</v>
      </c>
      <c r="F21" t="s">
        <v>668</v>
      </c>
      <c r="G21" t="s">
        <v>788</v>
      </c>
      <c r="H21" t="s">
        <v>657</v>
      </c>
      <c r="I21" t="s">
        <v>789</v>
      </c>
      <c r="J21" t="s">
        <v>790</v>
      </c>
      <c r="K21" t="s">
        <v>660</v>
      </c>
      <c r="L21" t="s">
        <v>660</v>
      </c>
      <c r="M21" t="s">
        <v>662</v>
      </c>
      <c r="N21">
        <v>171000</v>
      </c>
    </row>
    <row r="22" spans="1:14" x14ac:dyDescent="0.3">
      <c r="A22" t="s">
        <v>663</v>
      </c>
      <c r="B22" t="s">
        <v>791</v>
      </c>
      <c r="C22" t="s">
        <v>792</v>
      </c>
      <c r="D22" t="s">
        <v>654</v>
      </c>
      <c r="E22" t="s">
        <v>793</v>
      </c>
      <c r="F22" t="s">
        <v>692</v>
      </c>
      <c r="G22" t="s">
        <v>772</v>
      </c>
      <c r="H22" t="s">
        <v>694</v>
      </c>
      <c r="I22" t="s">
        <v>700</v>
      </c>
      <c r="J22" t="s">
        <v>701</v>
      </c>
      <c r="K22" t="s">
        <v>660</v>
      </c>
      <c r="L22" t="s">
        <v>660</v>
      </c>
      <c r="M22" t="s">
        <v>662</v>
      </c>
      <c r="N22">
        <v>171000</v>
      </c>
    </row>
    <row r="23" spans="1:14" x14ac:dyDescent="0.3">
      <c r="A23" t="s">
        <v>794</v>
      </c>
      <c r="B23" t="s">
        <v>795</v>
      </c>
      <c r="C23" t="s">
        <v>796</v>
      </c>
      <c r="D23" t="s">
        <v>654</v>
      </c>
      <c r="E23" t="s">
        <v>654</v>
      </c>
      <c r="F23" t="s">
        <v>692</v>
      </c>
      <c r="G23" t="s">
        <v>797</v>
      </c>
      <c r="H23" t="s">
        <v>694</v>
      </c>
      <c r="I23" t="s">
        <v>773</v>
      </c>
      <c r="J23" t="s">
        <v>701</v>
      </c>
      <c r="K23" t="s">
        <v>680</v>
      </c>
      <c r="L23" t="s">
        <v>798</v>
      </c>
      <c r="M23" t="s">
        <v>662</v>
      </c>
      <c r="N23">
        <v>171000</v>
      </c>
    </row>
    <row r="24" spans="1:14" x14ac:dyDescent="0.3">
      <c r="A24" t="s">
        <v>799</v>
      </c>
      <c r="B24" t="s">
        <v>681</v>
      </c>
      <c r="C24" t="s">
        <v>800</v>
      </c>
      <c r="D24" t="s">
        <v>801</v>
      </c>
      <c r="E24" t="s">
        <v>802</v>
      </c>
      <c r="F24" t="s">
        <v>655</v>
      </c>
      <c r="G24" t="s">
        <v>803</v>
      </c>
      <c r="H24" t="s">
        <v>670</v>
      </c>
      <c r="I24" t="s">
        <v>679</v>
      </c>
      <c r="J24" t="s">
        <v>672</v>
      </c>
      <c r="K24" t="s">
        <v>680</v>
      </c>
      <c r="L24" t="s">
        <v>660</v>
      </c>
      <c r="M24" t="s">
        <v>662</v>
      </c>
      <c r="N24">
        <v>171000</v>
      </c>
    </row>
    <row r="25" spans="1:14" x14ac:dyDescent="0.3">
      <c r="A25" t="s">
        <v>804</v>
      </c>
      <c r="B25" t="s">
        <v>681</v>
      </c>
      <c r="C25" t="s">
        <v>805</v>
      </c>
      <c r="D25" t="s">
        <v>806</v>
      </c>
      <c r="E25" t="s">
        <v>654</v>
      </c>
      <c r="F25" t="s">
        <v>668</v>
      </c>
      <c r="G25" t="s">
        <v>807</v>
      </c>
      <c r="H25" t="s">
        <v>694</v>
      </c>
      <c r="I25" t="s">
        <v>658</v>
      </c>
      <c r="J25" t="s">
        <v>659</v>
      </c>
      <c r="K25" t="s">
        <v>782</v>
      </c>
      <c r="L25" t="s">
        <v>808</v>
      </c>
      <c r="M25" t="s">
        <v>662</v>
      </c>
      <c r="N25">
        <v>171000</v>
      </c>
    </row>
    <row r="26" spans="1:14" x14ac:dyDescent="0.3">
      <c r="A26" t="s">
        <v>663</v>
      </c>
      <c r="B26" t="s">
        <v>757</v>
      </c>
      <c r="C26" t="s">
        <v>809</v>
      </c>
      <c r="D26" t="s">
        <v>726</v>
      </c>
      <c r="E26" t="s">
        <v>726</v>
      </c>
      <c r="F26" t="s">
        <v>692</v>
      </c>
      <c r="G26" t="s">
        <v>810</v>
      </c>
      <c r="H26" t="s">
        <v>694</v>
      </c>
      <c r="I26" t="s">
        <v>695</v>
      </c>
      <c r="J26" t="s">
        <v>672</v>
      </c>
      <c r="K26" t="s">
        <v>811</v>
      </c>
      <c r="L26" t="s">
        <v>660</v>
      </c>
      <c r="M26" t="s">
        <v>662</v>
      </c>
      <c r="N26">
        <v>171000</v>
      </c>
    </row>
    <row r="27" spans="1:14" x14ac:dyDescent="0.3">
      <c r="A27" t="s">
        <v>663</v>
      </c>
      <c r="B27" t="s">
        <v>734</v>
      </c>
      <c r="C27" t="s">
        <v>812</v>
      </c>
      <c r="D27" t="s">
        <v>813</v>
      </c>
      <c r="E27" t="s">
        <v>813</v>
      </c>
      <c r="F27" t="s">
        <v>692</v>
      </c>
      <c r="G27" t="s">
        <v>814</v>
      </c>
      <c r="H27" t="s">
        <v>694</v>
      </c>
      <c r="I27" t="s">
        <v>700</v>
      </c>
      <c r="J27" t="s">
        <v>701</v>
      </c>
      <c r="K27" t="s">
        <v>815</v>
      </c>
      <c r="L27" t="s">
        <v>660</v>
      </c>
      <c r="M27" t="s">
        <v>662</v>
      </c>
      <c r="N27">
        <v>171000</v>
      </c>
    </row>
    <row r="28" spans="1:14" x14ac:dyDescent="0.3">
      <c r="A28" t="s">
        <v>816</v>
      </c>
      <c r="B28" t="s">
        <v>664</v>
      </c>
      <c r="C28" t="s">
        <v>817</v>
      </c>
      <c r="D28" t="s">
        <v>818</v>
      </c>
      <c r="E28" t="s">
        <v>818</v>
      </c>
      <c r="F28" t="s">
        <v>692</v>
      </c>
      <c r="G28" t="s">
        <v>708</v>
      </c>
      <c r="H28" t="s">
        <v>694</v>
      </c>
      <c r="I28" t="s">
        <v>819</v>
      </c>
      <c r="J28" t="s">
        <v>37</v>
      </c>
      <c r="K28" t="s">
        <v>680</v>
      </c>
      <c r="L28" t="s">
        <v>660</v>
      </c>
      <c r="M28" t="s">
        <v>662</v>
      </c>
      <c r="N28">
        <v>171000</v>
      </c>
    </row>
    <row r="29" spans="1:14" x14ac:dyDescent="0.3">
      <c r="A29" t="s">
        <v>820</v>
      </c>
      <c r="B29" t="s">
        <v>674</v>
      </c>
      <c r="C29" t="s">
        <v>821</v>
      </c>
      <c r="D29" t="s">
        <v>822</v>
      </c>
      <c r="E29" t="s">
        <v>822</v>
      </c>
      <c r="F29" t="s">
        <v>655</v>
      </c>
      <c r="G29" t="s">
        <v>823</v>
      </c>
      <c r="H29" t="s">
        <v>657</v>
      </c>
      <c r="I29" t="s">
        <v>824</v>
      </c>
      <c r="J29" t="s">
        <v>824</v>
      </c>
      <c r="K29" t="s">
        <v>660</v>
      </c>
      <c r="L29" t="s">
        <v>660</v>
      </c>
      <c r="M29" t="s">
        <v>662</v>
      </c>
      <c r="N29">
        <v>171000</v>
      </c>
    </row>
    <row r="30" spans="1:14" x14ac:dyDescent="0.3">
      <c r="A30" t="s">
        <v>663</v>
      </c>
      <c r="B30" t="s">
        <v>729</v>
      </c>
      <c r="C30" t="s">
        <v>825</v>
      </c>
      <c r="D30" t="s">
        <v>826</v>
      </c>
      <c r="E30" t="s">
        <v>827</v>
      </c>
      <c r="F30" t="s">
        <v>692</v>
      </c>
      <c r="G30" t="s">
        <v>828</v>
      </c>
      <c r="H30" t="s">
        <v>694</v>
      </c>
      <c r="I30" t="s">
        <v>767</v>
      </c>
      <c r="J30" t="s">
        <v>746</v>
      </c>
      <c r="K30" t="s">
        <v>815</v>
      </c>
      <c r="L30" t="s">
        <v>660</v>
      </c>
      <c r="M30" t="s">
        <v>662</v>
      </c>
      <c r="N30">
        <v>171000</v>
      </c>
    </row>
    <row r="31" spans="1:14" x14ac:dyDescent="0.3">
      <c r="A31" t="s">
        <v>663</v>
      </c>
      <c r="B31" t="s">
        <v>829</v>
      </c>
      <c r="C31" t="s">
        <v>830</v>
      </c>
      <c r="D31" t="s">
        <v>793</v>
      </c>
      <c r="E31" t="s">
        <v>793</v>
      </c>
      <c r="F31" t="s">
        <v>692</v>
      </c>
      <c r="G31" t="s">
        <v>772</v>
      </c>
      <c r="H31" t="s">
        <v>694</v>
      </c>
      <c r="I31" t="s">
        <v>728</v>
      </c>
      <c r="J31" t="s">
        <v>701</v>
      </c>
      <c r="K31" t="s">
        <v>660</v>
      </c>
      <c r="L31" t="s">
        <v>660</v>
      </c>
      <c r="M31" t="s">
        <v>662</v>
      </c>
      <c r="N31">
        <v>171000</v>
      </c>
    </row>
    <row r="32" spans="1:14" x14ac:dyDescent="0.3">
      <c r="A32" t="s">
        <v>663</v>
      </c>
      <c r="B32" t="s">
        <v>674</v>
      </c>
      <c r="C32" t="s">
        <v>675</v>
      </c>
      <c r="D32" t="s">
        <v>676</v>
      </c>
      <c r="E32" t="s">
        <v>676</v>
      </c>
      <c r="F32" t="s">
        <v>655</v>
      </c>
      <c r="G32" t="s">
        <v>677</v>
      </c>
      <c r="H32" t="s">
        <v>678</v>
      </c>
      <c r="I32" t="s">
        <v>679</v>
      </c>
      <c r="J32" t="s">
        <v>672</v>
      </c>
      <c r="K32" t="s">
        <v>680</v>
      </c>
      <c r="L32" t="s">
        <v>660</v>
      </c>
      <c r="M32" t="s">
        <v>831</v>
      </c>
      <c r="N32">
        <v>131000</v>
      </c>
    </row>
    <row r="33" spans="1:15" x14ac:dyDescent="0.3">
      <c r="A33" t="s">
        <v>702</v>
      </c>
      <c r="B33" t="s">
        <v>703</v>
      </c>
      <c r="C33" t="s">
        <v>704</v>
      </c>
      <c r="D33" t="s">
        <v>705</v>
      </c>
      <c r="E33" t="s">
        <v>706</v>
      </c>
      <c r="F33" t="s">
        <v>707</v>
      </c>
      <c r="G33" t="s">
        <v>708</v>
      </c>
      <c r="H33" t="s">
        <v>670</v>
      </c>
      <c r="I33" t="s">
        <v>709</v>
      </c>
      <c r="J33" t="s">
        <v>709</v>
      </c>
      <c r="K33" t="s">
        <v>710</v>
      </c>
      <c r="L33" t="s">
        <v>660</v>
      </c>
      <c r="M33" t="s">
        <v>831</v>
      </c>
      <c r="N33">
        <v>131000</v>
      </c>
    </row>
    <row r="34" spans="1:15" x14ac:dyDescent="0.3">
      <c r="A34" t="s">
        <v>663</v>
      </c>
      <c r="B34" t="s">
        <v>832</v>
      </c>
      <c r="C34" t="s">
        <v>833</v>
      </c>
      <c r="D34" t="s">
        <v>676</v>
      </c>
      <c r="E34" t="s">
        <v>676</v>
      </c>
      <c r="F34" t="s">
        <v>765</v>
      </c>
      <c r="G34" t="s">
        <v>834</v>
      </c>
      <c r="H34" t="s">
        <v>694</v>
      </c>
      <c r="I34" t="s">
        <v>738</v>
      </c>
      <c r="J34" t="s">
        <v>701</v>
      </c>
      <c r="K34" t="s">
        <v>660</v>
      </c>
      <c r="L34" t="s">
        <v>660</v>
      </c>
      <c r="M34" t="s">
        <v>831</v>
      </c>
      <c r="N34">
        <v>131000</v>
      </c>
    </row>
    <row r="35" spans="1:15" x14ac:dyDescent="0.3">
      <c r="A35" t="s">
        <v>835</v>
      </c>
      <c r="B35" t="s">
        <v>836</v>
      </c>
      <c r="C35" t="s">
        <v>837</v>
      </c>
      <c r="D35" t="s">
        <v>838</v>
      </c>
      <c r="E35" t="s">
        <v>838</v>
      </c>
      <c r="F35" t="s">
        <v>655</v>
      </c>
      <c r="G35" t="s">
        <v>839</v>
      </c>
      <c r="H35" t="s">
        <v>694</v>
      </c>
      <c r="I35" t="s">
        <v>658</v>
      </c>
      <c r="J35" t="s">
        <v>659</v>
      </c>
      <c r="K35" t="s">
        <v>673</v>
      </c>
      <c r="L35" t="s">
        <v>660</v>
      </c>
      <c r="M35" t="s">
        <v>831</v>
      </c>
      <c r="N35">
        <v>131000</v>
      </c>
    </row>
    <row r="36" spans="1:15" x14ac:dyDescent="0.3">
      <c r="A36" t="s">
        <v>840</v>
      </c>
      <c r="B36" t="s">
        <v>724</v>
      </c>
      <c r="C36" t="s">
        <v>841</v>
      </c>
      <c r="D36" t="s">
        <v>842</v>
      </c>
      <c r="E36" t="s">
        <v>843</v>
      </c>
      <c r="F36" t="s">
        <v>754</v>
      </c>
      <c r="G36" t="s">
        <v>844</v>
      </c>
      <c r="H36" t="s">
        <v>694</v>
      </c>
      <c r="I36" t="s">
        <v>728</v>
      </c>
      <c r="J36" t="s">
        <v>701</v>
      </c>
      <c r="K36" t="s">
        <v>845</v>
      </c>
      <c r="L36" t="s">
        <v>846</v>
      </c>
      <c r="M36" t="s">
        <v>831</v>
      </c>
      <c r="N36">
        <v>131000</v>
      </c>
    </row>
    <row r="37" spans="1:15" x14ac:dyDescent="0.3">
      <c r="A37" t="s">
        <v>847</v>
      </c>
      <c r="B37" t="s">
        <v>848</v>
      </c>
      <c r="C37" t="s">
        <v>849</v>
      </c>
      <c r="D37" t="s">
        <v>850</v>
      </c>
      <c r="E37" t="s">
        <v>851</v>
      </c>
      <c r="F37" t="s">
        <v>655</v>
      </c>
      <c r="G37" t="s">
        <v>852</v>
      </c>
      <c r="H37" t="s">
        <v>694</v>
      </c>
      <c r="I37" t="s">
        <v>853</v>
      </c>
      <c r="J37" t="s">
        <v>748</v>
      </c>
      <c r="K37" t="s">
        <v>722</v>
      </c>
      <c r="L37" t="s">
        <v>660</v>
      </c>
      <c r="M37" t="s">
        <v>831</v>
      </c>
      <c r="N37">
        <v>131000</v>
      </c>
    </row>
    <row r="38" spans="1:15" x14ac:dyDescent="0.3">
      <c r="A38" t="s">
        <v>854</v>
      </c>
      <c r="B38" t="s">
        <v>855</v>
      </c>
      <c r="C38" t="s">
        <v>856</v>
      </c>
      <c r="D38" t="s">
        <v>857</v>
      </c>
      <c r="E38" t="s">
        <v>857</v>
      </c>
      <c r="F38" t="s">
        <v>655</v>
      </c>
      <c r="G38" t="s">
        <v>858</v>
      </c>
      <c r="H38" t="s">
        <v>694</v>
      </c>
      <c r="I38" t="s">
        <v>728</v>
      </c>
      <c r="J38" t="s">
        <v>701</v>
      </c>
      <c r="K38" t="s">
        <v>845</v>
      </c>
      <c r="L38" t="s">
        <v>660</v>
      </c>
      <c r="M38" t="s">
        <v>831</v>
      </c>
      <c r="N38">
        <v>131000</v>
      </c>
    </row>
    <row r="39" spans="1:15" x14ac:dyDescent="0.3">
      <c r="A39" t="s">
        <v>663</v>
      </c>
      <c r="B39" t="s">
        <v>855</v>
      </c>
      <c r="C39" t="s">
        <v>859</v>
      </c>
      <c r="D39" t="s">
        <v>860</v>
      </c>
      <c r="E39" t="s">
        <v>654</v>
      </c>
      <c r="F39" t="s">
        <v>685</v>
      </c>
      <c r="G39" t="s">
        <v>686</v>
      </c>
      <c r="H39" t="s">
        <v>694</v>
      </c>
      <c r="I39" t="s">
        <v>789</v>
      </c>
      <c r="J39" t="s">
        <v>790</v>
      </c>
      <c r="K39" t="s">
        <v>660</v>
      </c>
      <c r="L39" t="s">
        <v>861</v>
      </c>
      <c r="M39" t="s">
        <v>831</v>
      </c>
      <c r="N39">
        <v>131000</v>
      </c>
    </row>
    <row r="40" spans="1:15" x14ac:dyDescent="0.3">
      <c r="A40" t="s">
        <v>663</v>
      </c>
      <c r="B40" t="s">
        <v>862</v>
      </c>
      <c r="C40" t="s">
        <v>863</v>
      </c>
      <c r="D40" t="s">
        <v>666</v>
      </c>
      <c r="E40" t="s">
        <v>666</v>
      </c>
      <c r="F40" t="s">
        <v>765</v>
      </c>
      <c r="G40" t="s">
        <v>686</v>
      </c>
      <c r="H40" t="s">
        <v>694</v>
      </c>
      <c r="I40" t="s">
        <v>728</v>
      </c>
      <c r="J40" t="s">
        <v>701</v>
      </c>
      <c r="K40" t="s">
        <v>864</v>
      </c>
      <c r="L40" t="s">
        <v>660</v>
      </c>
      <c r="M40" t="s">
        <v>831</v>
      </c>
      <c r="N40">
        <v>131000</v>
      </c>
    </row>
    <row r="41" spans="1:15" x14ac:dyDescent="0.3">
      <c r="A41" t="s">
        <v>865</v>
      </c>
      <c r="B41" t="s">
        <v>757</v>
      </c>
      <c r="C41" t="s">
        <v>866</v>
      </c>
      <c r="D41" t="s">
        <v>867</v>
      </c>
      <c r="E41" t="s">
        <v>867</v>
      </c>
      <c r="F41" t="s">
        <v>685</v>
      </c>
      <c r="G41" t="s">
        <v>868</v>
      </c>
      <c r="H41" t="s">
        <v>694</v>
      </c>
      <c r="I41" t="s">
        <v>773</v>
      </c>
      <c r="J41" t="s">
        <v>701</v>
      </c>
      <c r="K41" t="s">
        <v>680</v>
      </c>
      <c r="L41" t="s">
        <v>869</v>
      </c>
      <c r="M41" t="s">
        <v>831</v>
      </c>
      <c r="N41">
        <v>131000</v>
      </c>
    </row>
    <row r="42" spans="1:15" x14ac:dyDescent="0.3">
      <c r="A42" t="s">
        <v>870</v>
      </c>
      <c r="B42" t="s">
        <v>652</v>
      </c>
      <c r="C42" t="s">
        <v>871</v>
      </c>
      <c r="D42" t="s">
        <v>676</v>
      </c>
      <c r="E42" t="s">
        <v>676</v>
      </c>
      <c r="F42" t="s">
        <v>685</v>
      </c>
      <c r="G42" t="s">
        <v>755</v>
      </c>
      <c r="H42" t="s">
        <v>694</v>
      </c>
      <c r="I42" t="s">
        <v>819</v>
      </c>
      <c r="J42" t="s">
        <v>37</v>
      </c>
      <c r="K42" t="s">
        <v>680</v>
      </c>
      <c r="L42" t="s">
        <v>660</v>
      </c>
      <c r="M42" t="s">
        <v>831</v>
      </c>
      <c r="N42">
        <v>131000</v>
      </c>
    </row>
    <row r="43" spans="1:15" x14ac:dyDescent="0.3">
      <c r="A43" t="s">
        <v>872</v>
      </c>
      <c r="B43" t="s">
        <v>757</v>
      </c>
      <c r="C43" t="s">
        <v>873</v>
      </c>
      <c r="D43" t="s">
        <v>874</v>
      </c>
      <c r="E43" t="s">
        <v>676</v>
      </c>
      <c r="F43" t="s">
        <v>707</v>
      </c>
      <c r="G43" t="s">
        <v>875</v>
      </c>
      <c r="H43" t="s">
        <v>694</v>
      </c>
      <c r="I43" t="s">
        <v>658</v>
      </c>
      <c r="J43" t="s">
        <v>659</v>
      </c>
      <c r="K43" t="s">
        <v>710</v>
      </c>
      <c r="L43" t="s">
        <v>876</v>
      </c>
      <c r="M43" t="s">
        <v>831</v>
      </c>
      <c r="N43">
        <v>131000</v>
      </c>
    </row>
    <row r="44" spans="1:15" x14ac:dyDescent="0.3">
      <c r="A44" t="s">
        <v>877</v>
      </c>
      <c r="B44" t="s">
        <v>878</v>
      </c>
      <c r="C44" t="s">
        <v>879</v>
      </c>
      <c r="D44" t="s">
        <v>880</v>
      </c>
      <c r="E44" t="s">
        <v>880</v>
      </c>
      <c r="F44" t="s">
        <v>655</v>
      </c>
      <c r="G44" t="s">
        <v>881</v>
      </c>
      <c r="H44" t="s">
        <v>694</v>
      </c>
      <c r="I44" t="s">
        <v>882</v>
      </c>
      <c r="J44" t="s">
        <v>882</v>
      </c>
      <c r="K44" t="s">
        <v>680</v>
      </c>
      <c r="L44" t="s">
        <v>660</v>
      </c>
      <c r="M44" t="s">
        <v>831</v>
      </c>
      <c r="N44">
        <v>131000</v>
      </c>
    </row>
    <row r="45" spans="1:15" x14ac:dyDescent="0.3">
      <c r="A45" t="s">
        <v>883</v>
      </c>
      <c r="B45" t="s">
        <v>832</v>
      </c>
      <c r="C45" t="s">
        <v>884</v>
      </c>
      <c r="D45" t="s">
        <v>885</v>
      </c>
      <c r="E45" t="s">
        <v>885</v>
      </c>
      <c r="F45" t="s">
        <v>692</v>
      </c>
      <c r="G45" t="s">
        <v>834</v>
      </c>
      <c r="H45" t="s">
        <v>694</v>
      </c>
      <c r="I45" t="s">
        <v>709</v>
      </c>
      <c r="J45" t="s">
        <v>709</v>
      </c>
      <c r="K45" t="s">
        <v>660</v>
      </c>
      <c r="L45" t="s">
        <v>660</v>
      </c>
      <c r="M45" t="s">
        <v>831</v>
      </c>
      <c r="N45">
        <v>131000</v>
      </c>
    </row>
    <row r="46" spans="1:15" x14ac:dyDescent="0.3">
      <c r="A46" t="s">
        <v>663</v>
      </c>
      <c r="B46" t="s">
        <v>664</v>
      </c>
      <c r="C46" t="s">
        <v>886</v>
      </c>
      <c r="D46" t="s">
        <v>887</v>
      </c>
      <c r="E46" t="s">
        <v>887</v>
      </c>
      <c r="F46" t="s">
        <v>692</v>
      </c>
      <c r="G46" t="s">
        <v>888</v>
      </c>
      <c r="H46" t="s">
        <v>694</v>
      </c>
      <c r="I46" t="s">
        <v>728</v>
      </c>
      <c r="J46" t="s">
        <v>701</v>
      </c>
      <c r="K46" t="s">
        <v>811</v>
      </c>
      <c r="L46" t="s">
        <v>660</v>
      </c>
      <c r="M46" t="s">
        <v>831</v>
      </c>
      <c r="N46">
        <v>131000</v>
      </c>
    </row>
    <row r="47" spans="1:15" x14ac:dyDescent="0.3">
      <c r="A47" t="s">
        <v>889</v>
      </c>
      <c r="B47" t="s">
        <v>890</v>
      </c>
      <c r="C47" t="s">
        <v>769</v>
      </c>
      <c r="D47" t="s">
        <v>891</v>
      </c>
      <c r="E47" t="s">
        <v>705</v>
      </c>
      <c r="F47" t="s">
        <v>654</v>
      </c>
      <c r="G47" t="s">
        <v>707</v>
      </c>
      <c r="H47" t="s">
        <v>892</v>
      </c>
      <c r="I47" t="s">
        <v>670</v>
      </c>
      <c r="J47" t="s">
        <v>709</v>
      </c>
      <c r="K47" t="s">
        <v>709</v>
      </c>
      <c r="L47" t="s">
        <v>710</v>
      </c>
      <c r="M47" t="s">
        <v>660</v>
      </c>
      <c r="N47">
        <v>75000</v>
      </c>
      <c r="O47">
        <v>131000</v>
      </c>
    </row>
    <row r="48" spans="1:15" x14ac:dyDescent="0.3">
      <c r="A48" t="s">
        <v>893</v>
      </c>
      <c r="B48" t="s">
        <v>836</v>
      </c>
      <c r="C48" t="s">
        <v>894</v>
      </c>
      <c r="D48" t="s">
        <v>676</v>
      </c>
      <c r="E48" t="s">
        <v>676</v>
      </c>
      <c r="F48" t="s">
        <v>754</v>
      </c>
      <c r="G48" t="s">
        <v>732</v>
      </c>
      <c r="H48" t="s">
        <v>694</v>
      </c>
      <c r="I48" t="s">
        <v>700</v>
      </c>
      <c r="J48" t="s">
        <v>701</v>
      </c>
      <c r="K48" t="s">
        <v>660</v>
      </c>
      <c r="L48" t="s">
        <v>660</v>
      </c>
      <c r="M48" t="s">
        <v>831</v>
      </c>
      <c r="N48">
        <v>131000</v>
      </c>
    </row>
    <row r="49" spans="1:14" x14ac:dyDescent="0.3">
      <c r="A49" t="s">
        <v>663</v>
      </c>
      <c r="B49" t="s">
        <v>848</v>
      </c>
      <c r="C49" t="s">
        <v>895</v>
      </c>
      <c r="D49" t="s">
        <v>851</v>
      </c>
      <c r="E49" t="s">
        <v>851</v>
      </c>
      <c r="F49" t="s">
        <v>685</v>
      </c>
      <c r="G49" t="s">
        <v>686</v>
      </c>
      <c r="H49" t="s">
        <v>694</v>
      </c>
      <c r="I49" t="s">
        <v>819</v>
      </c>
      <c r="J49" t="s">
        <v>37</v>
      </c>
      <c r="K49" t="s">
        <v>660</v>
      </c>
      <c r="L49" t="s">
        <v>660</v>
      </c>
      <c r="M49" t="s">
        <v>831</v>
      </c>
      <c r="N49">
        <v>131000</v>
      </c>
    </row>
    <row r="50" spans="1:14" x14ac:dyDescent="0.3">
      <c r="A50" t="s">
        <v>663</v>
      </c>
      <c r="B50" t="s">
        <v>742</v>
      </c>
      <c r="C50" t="s">
        <v>896</v>
      </c>
      <c r="D50" t="s">
        <v>793</v>
      </c>
      <c r="E50" t="s">
        <v>897</v>
      </c>
      <c r="F50" t="s">
        <v>655</v>
      </c>
      <c r="G50" t="s">
        <v>737</v>
      </c>
      <c r="H50" t="s">
        <v>746</v>
      </c>
      <c r="I50" t="s">
        <v>767</v>
      </c>
      <c r="J50" t="s">
        <v>746</v>
      </c>
      <c r="K50" t="s">
        <v>660</v>
      </c>
      <c r="L50" t="s">
        <v>660</v>
      </c>
      <c r="M50" t="s">
        <v>831</v>
      </c>
      <c r="N50">
        <v>131000</v>
      </c>
    </row>
    <row r="51" spans="1:14" x14ac:dyDescent="0.3">
      <c r="A51" t="s">
        <v>663</v>
      </c>
      <c r="B51" t="s">
        <v>795</v>
      </c>
      <c r="C51" t="s">
        <v>898</v>
      </c>
      <c r="D51" t="s">
        <v>705</v>
      </c>
      <c r="E51" t="s">
        <v>705</v>
      </c>
      <c r="F51" t="s">
        <v>754</v>
      </c>
      <c r="G51" t="s">
        <v>852</v>
      </c>
      <c r="H51" t="s">
        <v>694</v>
      </c>
      <c r="I51" t="s">
        <v>728</v>
      </c>
      <c r="J51" t="s">
        <v>701</v>
      </c>
      <c r="K51" t="s">
        <v>660</v>
      </c>
      <c r="L51" t="s">
        <v>660</v>
      </c>
      <c r="M51" t="s">
        <v>831</v>
      </c>
      <c r="N51">
        <v>131000</v>
      </c>
    </row>
    <row r="52" spans="1:14" x14ac:dyDescent="0.3">
      <c r="A52" t="s">
        <v>870</v>
      </c>
      <c r="B52" t="s">
        <v>836</v>
      </c>
      <c r="C52" t="s">
        <v>899</v>
      </c>
      <c r="D52" t="s">
        <v>793</v>
      </c>
      <c r="E52" t="s">
        <v>793</v>
      </c>
      <c r="F52" t="s">
        <v>765</v>
      </c>
      <c r="G52" t="s">
        <v>727</v>
      </c>
      <c r="H52" t="s">
        <v>694</v>
      </c>
      <c r="I52" t="s">
        <v>695</v>
      </c>
      <c r="J52" t="s">
        <v>672</v>
      </c>
      <c r="K52" t="s">
        <v>811</v>
      </c>
      <c r="L52" t="s">
        <v>660</v>
      </c>
      <c r="M52" t="s">
        <v>831</v>
      </c>
      <c r="N52">
        <v>131000</v>
      </c>
    </row>
    <row r="53" spans="1:14" x14ac:dyDescent="0.3">
      <c r="A53" t="s">
        <v>663</v>
      </c>
      <c r="B53" t="s">
        <v>742</v>
      </c>
      <c r="C53" t="s">
        <v>900</v>
      </c>
      <c r="D53" t="s">
        <v>705</v>
      </c>
      <c r="E53" t="s">
        <v>901</v>
      </c>
      <c r="F53" t="s">
        <v>707</v>
      </c>
      <c r="G53" t="s">
        <v>902</v>
      </c>
      <c r="H53" t="s">
        <v>670</v>
      </c>
      <c r="I53" t="s">
        <v>709</v>
      </c>
      <c r="J53" t="s">
        <v>709</v>
      </c>
      <c r="K53" t="s">
        <v>710</v>
      </c>
      <c r="L53" t="s">
        <v>903</v>
      </c>
      <c r="M53" t="s">
        <v>831</v>
      </c>
      <c r="N53">
        <v>131000</v>
      </c>
    </row>
    <row r="54" spans="1:14" x14ac:dyDescent="0.3">
      <c r="A54" t="s">
        <v>663</v>
      </c>
      <c r="B54" t="s">
        <v>904</v>
      </c>
      <c r="C54" t="s">
        <v>905</v>
      </c>
      <c r="D54" t="s">
        <v>793</v>
      </c>
      <c r="E54" t="s">
        <v>906</v>
      </c>
      <c r="F54" t="s">
        <v>685</v>
      </c>
      <c r="G54" t="s">
        <v>732</v>
      </c>
      <c r="H54" t="s">
        <v>694</v>
      </c>
      <c r="I54" t="s">
        <v>728</v>
      </c>
      <c r="J54" t="s">
        <v>701</v>
      </c>
      <c r="K54" t="s">
        <v>660</v>
      </c>
      <c r="L54" t="s">
        <v>907</v>
      </c>
      <c r="M54" t="s">
        <v>831</v>
      </c>
      <c r="N54">
        <v>131000</v>
      </c>
    </row>
    <row r="55" spans="1:14" x14ac:dyDescent="0.3">
      <c r="A55" t="s">
        <v>908</v>
      </c>
      <c r="B55" t="s">
        <v>836</v>
      </c>
      <c r="C55" t="s">
        <v>909</v>
      </c>
      <c r="D55" t="s">
        <v>771</v>
      </c>
      <c r="E55" t="s">
        <v>910</v>
      </c>
      <c r="F55" t="s">
        <v>692</v>
      </c>
      <c r="G55" t="s">
        <v>814</v>
      </c>
      <c r="H55" t="s">
        <v>694</v>
      </c>
      <c r="I55" t="s">
        <v>738</v>
      </c>
      <c r="J55" t="s">
        <v>701</v>
      </c>
      <c r="K55" t="s">
        <v>811</v>
      </c>
      <c r="L55" t="s">
        <v>660</v>
      </c>
      <c r="M55" t="s">
        <v>831</v>
      </c>
      <c r="N55">
        <v>131000</v>
      </c>
    </row>
    <row r="56" spans="1:14" x14ac:dyDescent="0.3">
      <c r="A56" t="s">
        <v>911</v>
      </c>
      <c r="B56" t="s">
        <v>681</v>
      </c>
      <c r="C56" t="s">
        <v>912</v>
      </c>
      <c r="D56" t="s">
        <v>913</v>
      </c>
      <c r="E56" t="s">
        <v>913</v>
      </c>
      <c r="F56" t="s">
        <v>692</v>
      </c>
      <c r="G56" t="s">
        <v>852</v>
      </c>
      <c r="H56" t="s">
        <v>694</v>
      </c>
      <c r="I56" t="s">
        <v>728</v>
      </c>
      <c r="J56" t="s">
        <v>701</v>
      </c>
      <c r="K56" t="s">
        <v>660</v>
      </c>
      <c r="L56" t="s">
        <v>660</v>
      </c>
      <c r="M56" t="s">
        <v>831</v>
      </c>
      <c r="N56">
        <v>131000</v>
      </c>
    </row>
    <row r="57" spans="1:14" x14ac:dyDescent="0.3">
      <c r="A57" t="s">
        <v>914</v>
      </c>
      <c r="B57" t="s">
        <v>742</v>
      </c>
      <c r="C57" t="s">
        <v>915</v>
      </c>
      <c r="D57" t="s">
        <v>916</v>
      </c>
      <c r="E57" t="s">
        <v>916</v>
      </c>
      <c r="F57" t="s">
        <v>668</v>
      </c>
      <c r="G57" t="s">
        <v>917</v>
      </c>
      <c r="H57" t="s">
        <v>657</v>
      </c>
      <c r="I57" t="s">
        <v>789</v>
      </c>
      <c r="J57" t="s">
        <v>790</v>
      </c>
      <c r="K57" t="s">
        <v>680</v>
      </c>
      <c r="L57" t="s">
        <v>660</v>
      </c>
      <c r="M57" t="s">
        <v>831</v>
      </c>
      <c r="N57">
        <v>131000</v>
      </c>
    </row>
    <row r="58" spans="1:14" x14ac:dyDescent="0.3">
      <c r="A58" t="s">
        <v>893</v>
      </c>
      <c r="B58" t="s">
        <v>681</v>
      </c>
      <c r="C58" t="s">
        <v>918</v>
      </c>
      <c r="D58" t="s">
        <v>736</v>
      </c>
      <c r="E58" t="s">
        <v>736</v>
      </c>
      <c r="F58" t="s">
        <v>754</v>
      </c>
      <c r="G58" t="s">
        <v>732</v>
      </c>
      <c r="H58" t="s">
        <v>694</v>
      </c>
      <c r="I58" t="s">
        <v>709</v>
      </c>
      <c r="J58" t="s">
        <v>709</v>
      </c>
      <c r="K58" t="s">
        <v>864</v>
      </c>
      <c r="L58" t="s">
        <v>660</v>
      </c>
      <c r="M58" t="s">
        <v>831</v>
      </c>
      <c r="N58">
        <v>131000</v>
      </c>
    </row>
    <row r="59" spans="1:14" x14ac:dyDescent="0.3">
      <c r="A59" t="s">
        <v>919</v>
      </c>
      <c r="B59" t="s">
        <v>769</v>
      </c>
      <c r="C59" t="s">
        <v>920</v>
      </c>
      <c r="D59" t="s">
        <v>793</v>
      </c>
      <c r="E59" t="s">
        <v>793</v>
      </c>
      <c r="F59" t="s">
        <v>655</v>
      </c>
      <c r="G59" t="s">
        <v>921</v>
      </c>
      <c r="H59" t="s">
        <v>670</v>
      </c>
      <c r="I59" t="s">
        <v>773</v>
      </c>
      <c r="J59" t="s">
        <v>701</v>
      </c>
      <c r="K59" t="s">
        <v>722</v>
      </c>
      <c r="L59" t="s">
        <v>922</v>
      </c>
      <c r="M59" t="s">
        <v>831</v>
      </c>
      <c r="N59">
        <v>131000</v>
      </c>
    </row>
    <row r="60" spans="1:14" x14ac:dyDescent="0.3">
      <c r="A60" t="s">
        <v>663</v>
      </c>
      <c r="B60" t="s">
        <v>791</v>
      </c>
      <c r="C60" t="s">
        <v>923</v>
      </c>
      <c r="D60" t="s">
        <v>793</v>
      </c>
      <c r="E60" t="s">
        <v>793</v>
      </c>
      <c r="F60" t="s">
        <v>655</v>
      </c>
      <c r="G60" t="s">
        <v>797</v>
      </c>
      <c r="H60" t="s">
        <v>694</v>
      </c>
      <c r="I60" t="s">
        <v>924</v>
      </c>
      <c r="J60" t="s">
        <v>925</v>
      </c>
      <c r="K60" t="s">
        <v>660</v>
      </c>
      <c r="L60" t="s">
        <v>926</v>
      </c>
      <c r="M60" t="s">
        <v>831</v>
      </c>
      <c r="N60">
        <v>131000</v>
      </c>
    </row>
    <row r="61" spans="1:14" x14ac:dyDescent="0.3">
      <c r="A61" t="s">
        <v>927</v>
      </c>
      <c r="B61" t="s">
        <v>729</v>
      </c>
      <c r="C61" t="s">
        <v>928</v>
      </c>
      <c r="D61" t="s">
        <v>736</v>
      </c>
      <c r="E61" t="s">
        <v>736</v>
      </c>
      <c r="F61" t="s">
        <v>754</v>
      </c>
      <c r="G61" t="s">
        <v>929</v>
      </c>
      <c r="H61" t="s">
        <v>694</v>
      </c>
      <c r="I61" t="s">
        <v>930</v>
      </c>
      <c r="J61" t="s">
        <v>672</v>
      </c>
      <c r="K61" t="s">
        <v>815</v>
      </c>
      <c r="L61" t="s">
        <v>660</v>
      </c>
      <c r="M61" t="s">
        <v>831</v>
      </c>
      <c r="N61">
        <v>131000</v>
      </c>
    </row>
    <row r="62" spans="1:14" x14ac:dyDescent="0.3">
      <c r="A62" t="s">
        <v>870</v>
      </c>
      <c r="B62" t="s">
        <v>674</v>
      </c>
      <c r="C62" t="s">
        <v>931</v>
      </c>
      <c r="D62" t="s">
        <v>932</v>
      </c>
      <c r="E62" t="s">
        <v>933</v>
      </c>
      <c r="F62" t="s">
        <v>707</v>
      </c>
      <c r="G62" t="s">
        <v>934</v>
      </c>
      <c r="H62" t="s">
        <v>670</v>
      </c>
      <c r="I62" t="s">
        <v>935</v>
      </c>
      <c r="J62" t="s">
        <v>659</v>
      </c>
      <c r="K62" t="s">
        <v>710</v>
      </c>
      <c r="L62" t="s">
        <v>936</v>
      </c>
      <c r="M62" t="s">
        <v>831</v>
      </c>
      <c r="N62">
        <v>131000</v>
      </c>
    </row>
    <row r="63" spans="1:14" x14ac:dyDescent="0.3">
      <c r="A63" t="s">
        <v>872</v>
      </c>
      <c r="B63" t="s">
        <v>729</v>
      </c>
      <c r="C63" t="s">
        <v>937</v>
      </c>
      <c r="D63" t="s">
        <v>938</v>
      </c>
      <c r="E63" t="s">
        <v>938</v>
      </c>
      <c r="F63" t="s">
        <v>754</v>
      </c>
      <c r="G63" t="s">
        <v>699</v>
      </c>
      <c r="H63" t="s">
        <v>694</v>
      </c>
      <c r="I63" t="s">
        <v>824</v>
      </c>
      <c r="J63" t="s">
        <v>824</v>
      </c>
      <c r="K63" t="s">
        <v>680</v>
      </c>
      <c r="L63" t="s">
        <v>660</v>
      </c>
      <c r="M63" t="s">
        <v>831</v>
      </c>
      <c r="N63">
        <v>131000</v>
      </c>
    </row>
    <row r="64" spans="1:14" x14ac:dyDescent="0.3">
      <c r="A64" t="s">
        <v>663</v>
      </c>
      <c r="B64" t="s">
        <v>681</v>
      </c>
      <c r="C64" t="s">
        <v>711</v>
      </c>
      <c r="D64" t="s">
        <v>712</v>
      </c>
      <c r="E64" t="s">
        <v>712</v>
      </c>
      <c r="F64" t="s">
        <v>655</v>
      </c>
      <c r="G64" t="s">
        <v>713</v>
      </c>
      <c r="H64" t="s">
        <v>670</v>
      </c>
      <c r="I64" t="s">
        <v>714</v>
      </c>
      <c r="J64" t="s">
        <v>715</v>
      </c>
      <c r="K64" t="s">
        <v>673</v>
      </c>
      <c r="L64" t="s">
        <v>660</v>
      </c>
      <c r="M64" t="s">
        <v>939</v>
      </c>
      <c r="N64">
        <v>131000</v>
      </c>
    </row>
    <row r="65" spans="1:15" x14ac:dyDescent="0.3">
      <c r="A65" t="s">
        <v>663</v>
      </c>
      <c r="B65" t="s">
        <v>664</v>
      </c>
      <c r="C65" t="s">
        <v>697</v>
      </c>
      <c r="D65" t="s">
        <v>698</v>
      </c>
      <c r="E65" t="s">
        <v>698</v>
      </c>
      <c r="F65" t="s">
        <v>692</v>
      </c>
      <c r="G65" t="s">
        <v>699</v>
      </c>
      <c r="H65" t="s">
        <v>694</v>
      </c>
      <c r="I65" t="s">
        <v>700</v>
      </c>
      <c r="J65" t="s">
        <v>701</v>
      </c>
      <c r="K65" t="s">
        <v>660</v>
      </c>
      <c r="L65" t="s">
        <v>660</v>
      </c>
      <c r="M65" t="s">
        <v>939</v>
      </c>
      <c r="N65">
        <v>131000</v>
      </c>
    </row>
    <row r="66" spans="1:15" x14ac:dyDescent="0.3">
      <c r="A66" t="s">
        <v>940</v>
      </c>
      <c r="B66" t="s">
        <v>674</v>
      </c>
      <c r="C66" t="s">
        <v>941</v>
      </c>
      <c r="D66" t="s">
        <v>942</v>
      </c>
      <c r="E66" t="s">
        <v>942</v>
      </c>
      <c r="F66" t="s">
        <v>754</v>
      </c>
      <c r="G66" t="s">
        <v>761</v>
      </c>
      <c r="H66" t="s">
        <v>943</v>
      </c>
      <c r="I66" t="s">
        <v>944</v>
      </c>
      <c r="J66" t="s">
        <v>688</v>
      </c>
      <c r="K66" t="s">
        <v>680</v>
      </c>
      <c r="L66" t="s">
        <v>945</v>
      </c>
      <c r="M66" t="s">
        <v>939</v>
      </c>
      <c r="N66">
        <v>131000</v>
      </c>
    </row>
    <row r="67" spans="1:15" x14ac:dyDescent="0.3">
      <c r="A67" t="s">
        <v>840</v>
      </c>
      <c r="B67" t="s">
        <v>742</v>
      </c>
      <c r="C67" t="s">
        <v>946</v>
      </c>
      <c r="D67" t="s">
        <v>947</v>
      </c>
      <c r="E67" t="s">
        <v>947</v>
      </c>
      <c r="F67" t="s">
        <v>655</v>
      </c>
      <c r="G67" t="s">
        <v>948</v>
      </c>
      <c r="H67" t="s">
        <v>694</v>
      </c>
      <c r="I67" t="s">
        <v>819</v>
      </c>
      <c r="J67" t="s">
        <v>37</v>
      </c>
      <c r="K67" t="s">
        <v>680</v>
      </c>
      <c r="L67" t="s">
        <v>660</v>
      </c>
      <c r="M67" t="s">
        <v>939</v>
      </c>
      <c r="N67">
        <v>131000</v>
      </c>
    </row>
    <row r="68" spans="1:15" x14ac:dyDescent="0.3">
      <c r="A68" t="s">
        <v>663</v>
      </c>
      <c r="B68" t="s">
        <v>742</v>
      </c>
      <c r="C68" t="s">
        <v>949</v>
      </c>
      <c r="D68" t="s">
        <v>654</v>
      </c>
      <c r="E68" t="s">
        <v>654</v>
      </c>
      <c r="F68" t="s">
        <v>685</v>
      </c>
      <c r="G68" t="s">
        <v>732</v>
      </c>
      <c r="H68" t="s">
        <v>694</v>
      </c>
      <c r="I68" t="s">
        <v>773</v>
      </c>
      <c r="J68" t="s">
        <v>701</v>
      </c>
      <c r="K68" t="s">
        <v>660</v>
      </c>
      <c r="L68" t="s">
        <v>660</v>
      </c>
      <c r="M68" t="s">
        <v>939</v>
      </c>
      <c r="N68">
        <v>131000</v>
      </c>
    </row>
    <row r="69" spans="1:15" x14ac:dyDescent="0.3">
      <c r="A69" t="s">
        <v>663</v>
      </c>
      <c r="B69" t="s">
        <v>904</v>
      </c>
      <c r="C69" t="s">
        <v>950</v>
      </c>
      <c r="D69" t="s">
        <v>906</v>
      </c>
      <c r="E69" t="s">
        <v>951</v>
      </c>
      <c r="F69" t="s">
        <v>655</v>
      </c>
      <c r="G69" t="s">
        <v>921</v>
      </c>
      <c r="H69" t="s">
        <v>694</v>
      </c>
      <c r="I69" t="s">
        <v>728</v>
      </c>
      <c r="J69" t="s">
        <v>701</v>
      </c>
      <c r="K69" t="s">
        <v>845</v>
      </c>
      <c r="L69" t="s">
        <v>952</v>
      </c>
      <c r="M69" t="s">
        <v>939</v>
      </c>
      <c r="N69">
        <v>131000</v>
      </c>
    </row>
    <row r="70" spans="1:15" x14ac:dyDescent="0.3">
      <c r="A70" t="s">
        <v>953</v>
      </c>
      <c r="B70" t="s">
        <v>848</v>
      </c>
      <c r="C70" t="s">
        <v>954</v>
      </c>
      <c r="D70" t="s">
        <v>726</v>
      </c>
      <c r="E70" t="s">
        <v>726</v>
      </c>
      <c r="F70" t="s">
        <v>685</v>
      </c>
      <c r="G70" t="s">
        <v>772</v>
      </c>
      <c r="H70" t="s">
        <v>694</v>
      </c>
      <c r="I70" t="s">
        <v>709</v>
      </c>
      <c r="J70" t="s">
        <v>709</v>
      </c>
      <c r="K70" t="s">
        <v>660</v>
      </c>
      <c r="L70" t="s">
        <v>660</v>
      </c>
      <c r="M70" t="s">
        <v>939</v>
      </c>
      <c r="N70">
        <v>131000</v>
      </c>
    </row>
    <row r="71" spans="1:15" x14ac:dyDescent="0.3">
      <c r="A71" t="s">
        <v>955</v>
      </c>
      <c r="B71" t="s">
        <v>956</v>
      </c>
      <c r="C71" t="s">
        <v>957</v>
      </c>
      <c r="D71" t="s">
        <v>958</v>
      </c>
      <c r="E71" t="s">
        <v>958</v>
      </c>
      <c r="F71" t="s">
        <v>765</v>
      </c>
      <c r="G71" t="s">
        <v>660</v>
      </c>
      <c r="H71" t="s">
        <v>694</v>
      </c>
      <c r="I71" t="s">
        <v>709</v>
      </c>
      <c r="J71" t="s">
        <v>709</v>
      </c>
      <c r="K71" t="s">
        <v>660</v>
      </c>
      <c r="L71" t="s">
        <v>959</v>
      </c>
      <c r="M71" t="s">
        <v>939</v>
      </c>
      <c r="N71">
        <v>131000</v>
      </c>
    </row>
    <row r="72" spans="1:15" x14ac:dyDescent="0.3">
      <c r="A72" t="s">
        <v>960</v>
      </c>
      <c r="B72" t="s">
        <v>664</v>
      </c>
      <c r="C72" t="s">
        <v>961</v>
      </c>
      <c r="D72" t="s">
        <v>962</v>
      </c>
      <c r="E72" t="s">
        <v>962</v>
      </c>
      <c r="F72" t="s">
        <v>692</v>
      </c>
      <c r="G72" t="s">
        <v>921</v>
      </c>
      <c r="H72" t="s">
        <v>670</v>
      </c>
      <c r="I72" t="s">
        <v>695</v>
      </c>
      <c r="J72" t="s">
        <v>672</v>
      </c>
      <c r="K72" t="s">
        <v>815</v>
      </c>
      <c r="L72" t="s">
        <v>963</v>
      </c>
      <c r="M72" t="s">
        <v>939</v>
      </c>
      <c r="N72">
        <v>131000</v>
      </c>
    </row>
    <row r="73" spans="1:15" x14ac:dyDescent="0.3">
      <c r="A73" t="s">
        <v>663</v>
      </c>
      <c r="B73" t="s">
        <v>964</v>
      </c>
      <c r="C73" t="s">
        <v>848</v>
      </c>
      <c r="D73" t="s">
        <v>954</v>
      </c>
      <c r="E73" t="s">
        <v>965</v>
      </c>
      <c r="F73" t="s">
        <v>726</v>
      </c>
      <c r="G73" t="s">
        <v>685</v>
      </c>
      <c r="H73" t="s">
        <v>772</v>
      </c>
      <c r="I73" t="s">
        <v>694</v>
      </c>
      <c r="J73" t="s">
        <v>709</v>
      </c>
      <c r="K73" t="s">
        <v>709</v>
      </c>
      <c r="L73" t="s">
        <v>660</v>
      </c>
      <c r="M73" t="s">
        <v>660</v>
      </c>
      <c r="N73">
        <v>79000</v>
      </c>
      <c r="O73">
        <v>131000</v>
      </c>
    </row>
    <row r="74" spans="1:15" x14ac:dyDescent="0.3">
      <c r="A74" t="s">
        <v>966</v>
      </c>
      <c r="B74" t="s">
        <v>904</v>
      </c>
      <c r="C74" t="s">
        <v>967</v>
      </c>
      <c r="D74" t="s">
        <v>793</v>
      </c>
      <c r="E74" t="s">
        <v>968</v>
      </c>
      <c r="F74" t="s">
        <v>668</v>
      </c>
      <c r="G74" t="s">
        <v>969</v>
      </c>
      <c r="H74" t="s">
        <v>670</v>
      </c>
      <c r="I74" t="s">
        <v>700</v>
      </c>
      <c r="J74" t="s">
        <v>701</v>
      </c>
      <c r="K74" t="s">
        <v>722</v>
      </c>
      <c r="L74" t="s">
        <v>660</v>
      </c>
      <c r="M74" t="s">
        <v>939</v>
      </c>
      <c r="N74">
        <v>131000</v>
      </c>
    </row>
    <row r="75" spans="1:15" x14ac:dyDescent="0.3">
      <c r="A75" t="s">
        <v>970</v>
      </c>
      <c r="B75" t="s">
        <v>742</v>
      </c>
      <c r="C75" t="s">
        <v>971</v>
      </c>
      <c r="D75" t="s">
        <v>972</v>
      </c>
      <c r="E75" t="s">
        <v>973</v>
      </c>
      <c r="F75" t="s">
        <v>707</v>
      </c>
      <c r="G75" t="s">
        <v>839</v>
      </c>
      <c r="H75" t="s">
        <v>670</v>
      </c>
      <c r="I75" t="s">
        <v>974</v>
      </c>
      <c r="J75" t="s">
        <v>688</v>
      </c>
      <c r="K75" t="s">
        <v>710</v>
      </c>
      <c r="L75" t="s">
        <v>975</v>
      </c>
      <c r="M75" t="s">
        <v>939</v>
      </c>
      <c r="N75">
        <v>131000</v>
      </c>
    </row>
    <row r="76" spans="1:15" x14ac:dyDescent="0.3">
      <c r="A76" t="s">
        <v>976</v>
      </c>
      <c r="B76" t="s">
        <v>977</v>
      </c>
      <c r="C76" t="s">
        <v>978</v>
      </c>
      <c r="D76" t="s">
        <v>979</v>
      </c>
      <c r="E76" t="s">
        <v>979</v>
      </c>
      <c r="F76" t="s">
        <v>754</v>
      </c>
      <c r="G76" t="s">
        <v>980</v>
      </c>
      <c r="H76" t="s">
        <v>694</v>
      </c>
      <c r="I76" t="s">
        <v>709</v>
      </c>
      <c r="J76" t="s">
        <v>709</v>
      </c>
      <c r="K76" t="s">
        <v>660</v>
      </c>
      <c r="L76" t="s">
        <v>981</v>
      </c>
      <c r="M76" t="s">
        <v>939</v>
      </c>
      <c r="N76">
        <v>131000</v>
      </c>
    </row>
    <row r="77" spans="1:15" x14ac:dyDescent="0.3">
      <c r="A77" t="s">
        <v>870</v>
      </c>
      <c r="B77" t="s">
        <v>757</v>
      </c>
      <c r="C77" t="s">
        <v>982</v>
      </c>
      <c r="D77" t="s">
        <v>983</v>
      </c>
      <c r="E77" t="s">
        <v>983</v>
      </c>
      <c r="F77" t="s">
        <v>655</v>
      </c>
      <c r="G77" t="s">
        <v>984</v>
      </c>
      <c r="H77" t="s">
        <v>943</v>
      </c>
      <c r="I77" t="s">
        <v>935</v>
      </c>
      <c r="J77" t="s">
        <v>659</v>
      </c>
      <c r="K77" t="s">
        <v>680</v>
      </c>
      <c r="L77" t="s">
        <v>985</v>
      </c>
      <c r="M77" t="s">
        <v>939</v>
      </c>
      <c r="N77">
        <v>131000</v>
      </c>
    </row>
    <row r="78" spans="1:15" x14ac:dyDescent="0.3">
      <c r="A78" t="s">
        <v>840</v>
      </c>
      <c r="B78" t="s">
        <v>986</v>
      </c>
      <c r="C78" t="s">
        <v>652</v>
      </c>
      <c r="D78" t="s">
        <v>653</v>
      </c>
      <c r="E78" t="s">
        <v>654</v>
      </c>
      <c r="F78" t="s">
        <v>654</v>
      </c>
      <c r="G78" t="s">
        <v>655</v>
      </c>
      <c r="H78" t="s">
        <v>656</v>
      </c>
      <c r="I78" t="s">
        <v>657</v>
      </c>
      <c r="J78" t="s">
        <v>658</v>
      </c>
      <c r="K78" t="s">
        <v>659</v>
      </c>
      <c r="L78" t="s">
        <v>660</v>
      </c>
      <c r="M78" t="s">
        <v>661</v>
      </c>
      <c r="N78">
        <v>79000</v>
      </c>
      <c r="O78">
        <v>131000</v>
      </c>
    </row>
    <row r="79" spans="1:15" x14ac:dyDescent="0.3">
      <c r="A79" t="s">
        <v>663</v>
      </c>
      <c r="B79" t="s">
        <v>681</v>
      </c>
      <c r="C79" t="s">
        <v>987</v>
      </c>
      <c r="D79" t="s">
        <v>759</v>
      </c>
      <c r="E79" t="s">
        <v>988</v>
      </c>
      <c r="F79" t="s">
        <v>655</v>
      </c>
      <c r="G79" t="s">
        <v>834</v>
      </c>
      <c r="H79" t="s">
        <v>694</v>
      </c>
      <c r="I79" t="s">
        <v>773</v>
      </c>
      <c r="J79" t="s">
        <v>701</v>
      </c>
      <c r="K79" t="s">
        <v>660</v>
      </c>
      <c r="L79" t="s">
        <v>989</v>
      </c>
      <c r="M79" t="s">
        <v>939</v>
      </c>
      <c r="N79">
        <v>131000</v>
      </c>
    </row>
    <row r="80" spans="1:15" x14ac:dyDescent="0.3">
      <c r="A80" t="s">
        <v>663</v>
      </c>
      <c r="B80" t="s">
        <v>690</v>
      </c>
      <c r="C80" t="s">
        <v>990</v>
      </c>
      <c r="D80" t="s">
        <v>654</v>
      </c>
      <c r="E80" t="s">
        <v>991</v>
      </c>
      <c r="F80" t="s">
        <v>754</v>
      </c>
      <c r="G80" t="s">
        <v>992</v>
      </c>
      <c r="H80" t="s">
        <v>694</v>
      </c>
      <c r="I80" t="s">
        <v>658</v>
      </c>
      <c r="J80" t="s">
        <v>659</v>
      </c>
      <c r="K80" t="s">
        <v>660</v>
      </c>
      <c r="L80" t="s">
        <v>993</v>
      </c>
      <c r="M80" t="s">
        <v>939</v>
      </c>
      <c r="N80">
        <v>131000</v>
      </c>
    </row>
    <row r="81" spans="1:15" x14ac:dyDescent="0.3">
      <c r="A81" t="s">
        <v>994</v>
      </c>
      <c r="B81" t="s">
        <v>848</v>
      </c>
      <c r="C81" t="s">
        <v>995</v>
      </c>
      <c r="D81" t="s">
        <v>996</v>
      </c>
      <c r="E81" t="s">
        <v>996</v>
      </c>
      <c r="F81" t="s">
        <v>754</v>
      </c>
      <c r="G81" t="s">
        <v>814</v>
      </c>
      <c r="H81" t="s">
        <v>670</v>
      </c>
      <c r="I81" t="s">
        <v>709</v>
      </c>
      <c r="J81" t="s">
        <v>709</v>
      </c>
      <c r="K81" t="s">
        <v>680</v>
      </c>
      <c r="L81" t="s">
        <v>660</v>
      </c>
      <c r="M81" t="s">
        <v>939</v>
      </c>
      <c r="N81">
        <v>131000</v>
      </c>
    </row>
    <row r="82" spans="1:15" x14ac:dyDescent="0.3">
      <c r="A82" t="s">
        <v>997</v>
      </c>
      <c r="B82" t="s">
        <v>998</v>
      </c>
      <c r="C82" t="s">
        <v>904</v>
      </c>
      <c r="D82" t="s">
        <v>999</v>
      </c>
      <c r="E82" t="s">
        <v>1000</v>
      </c>
      <c r="F82" t="s">
        <v>1001</v>
      </c>
      <c r="G82" t="s">
        <v>707</v>
      </c>
      <c r="H82" t="s">
        <v>1002</v>
      </c>
      <c r="I82" t="s">
        <v>670</v>
      </c>
      <c r="J82" t="s">
        <v>709</v>
      </c>
      <c r="K82" t="s">
        <v>709</v>
      </c>
      <c r="L82" t="s">
        <v>710</v>
      </c>
      <c r="M82" t="s">
        <v>1003</v>
      </c>
      <c r="N82">
        <v>79000</v>
      </c>
      <c r="O82">
        <v>131000</v>
      </c>
    </row>
    <row r="83" spans="1:15" x14ac:dyDescent="0.3">
      <c r="A83" t="s">
        <v>663</v>
      </c>
      <c r="B83" t="s">
        <v>724</v>
      </c>
      <c r="C83" t="s">
        <v>1004</v>
      </c>
      <c r="D83" t="s">
        <v>759</v>
      </c>
      <c r="E83" t="s">
        <v>1005</v>
      </c>
      <c r="F83" t="s">
        <v>692</v>
      </c>
      <c r="G83" t="s">
        <v>984</v>
      </c>
      <c r="H83" t="s">
        <v>694</v>
      </c>
      <c r="I83" t="s">
        <v>738</v>
      </c>
      <c r="J83" t="s">
        <v>701</v>
      </c>
      <c r="K83" t="s">
        <v>815</v>
      </c>
      <c r="L83" t="s">
        <v>660</v>
      </c>
      <c r="M83" t="s">
        <v>939</v>
      </c>
      <c r="N83">
        <v>131000</v>
      </c>
    </row>
    <row r="84" spans="1:15" x14ac:dyDescent="0.3">
      <c r="A84" t="s">
        <v>840</v>
      </c>
      <c r="B84" t="s">
        <v>734</v>
      </c>
      <c r="C84" t="s">
        <v>1006</v>
      </c>
      <c r="D84" t="s">
        <v>736</v>
      </c>
      <c r="E84" t="s">
        <v>1007</v>
      </c>
      <c r="F84" t="s">
        <v>692</v>
      </c>
      <c r="G84" t="s">
        <v>708</v>
      </c>
      <c r="H84" t="s">
        <v>694</v>
      </c>
      <c r="I84" t="s">
        <v>679</v>
      </c>
      <c r="J84" t="s">
        <v>672</v>
      </c>
      <c r="K84" t="s">
        <v>815</v>
      </c>
      <c r="L84" t="s">
        <v>1008</v>
      </c>
      <c r="M84" t="s">
        <v>939</v>
      </c>
      <c r="N84">
        <v>131000</v>
      </c>
    </row>
    <row r="85" spans="1:15" x14ac:dyDescent="0.3">
      <c r="A85" t="s">
        <v>1009</v>
      </c>
      <c r="B85" t="s">
        <v>977</v>
      </c>
      <c r="C85" t="s">
        <v>1010</v>
      </c>
      <c r="D85" t="s">
        <v>1011</v>
      </c>
      <c r="E85" t="s">
        <v>726</v>
      </c>
      <c r="F85" t="s">
        <v>765</v>
      </c>
      <c r="G85" t="s">
        <v>737</v>
      </c>
      <c r="H85" t="s">
        <v>694</v>
      </c>
      <c r="I85" t="s">
        <v>930</v>
      </c>
      <c r="J85" t="s">
        <v>672</v>
      </c>
      <c r="K85" t="s">
        <v>660</v>
      </c>
      <c r="L85" t="s">
        <v>660</v>
      </c>
      <c r="M85" t="s">
        <v>939</v>
      </c>
      <c r="N85">
        <v>131000</v>
      </c>
    </row>
    <row r="86" spans="1:15" x14ac:dyDescent="0.3">
      <c r="A86" t="s">
        <v>663</v>
      </c>
      <c r="B86" t="s">
        <v>795</v>
      </c>
      <c r="C86" t="s">
        <v>1012</v>
      </c>
      <c r="D86" t="s">
        <v>1013</v>
      </c>
      <c r="E86" t="s">
        <v>1013</v>
      </c>
      <c r="F86" t="s">
        <v>692</v>
      </c>
      <c r="G86" t="s">
        <v>852</v>
      </c>
      <c r="H86" t="s">
        <v>694</v>
      </c>
      <c r="I86" t="s">
        <v>700</v>
      </c>
      <c r="J86" t="s">
        <v>701</v>
      </c>
      <c r="K86" t="s">
        <v>815</v>
      </c>
      <c r="L86" t="s">
        <v>660</v>
      </c>
      <c r="M86" t="s">
        <v>939</v>
      </c>
      <c r="N86">
        <v>131000</v>
      </c>
    </row>
    <row r="87" spans="1:15" x14ac:dyDescent="0.3">
      <c r="A87" t="s">
        <v>1014</v>
      </c>
      <c r="B87" t="s">
        <v>1015</v>
      </c>
      <c r="C87" t="s">
        <v>904</v>
      </c>
      <c r="D87" t="s">
        <v>1016</v>
      </c>
      <c r="E87" t="s">
        <v>793</v>
      </c>
      <c r="F87" t="s">
        <v>793</v>
      </c>
      <c r="G87" t="s">
        <v>655</v>
      </c>
      <c r="H87" t="s">
        <v>699</v>
      </c>
      <c r="I87" t="s">
        <v>694</v>
      </c>
      <c r="J87" t="s">
        <v>773</v>
      </c>
      <c r="K87" t="s">
        <v>701</v>
      </c>
      <c r="L87" t="s">
        <v>660</v>
      </c>
      <c r="M87" t="s">
        <v>1017</v>
      </c>
      <c r="N87">
        <v>79000</v>
      </c>
      <c r="O87">
        <v>131000</v>
      </c>
    </row>
    <row r="88" spans="1:15" x14ac:dyDescent="0.3">
      <c r="A88" t="s">
        <v>870</v>
      </c>
      <c r="B88" t="s">
        <v>878</v>
      </c>
      <c r="C88" t="s">
        <v>1018</v>
      </c>
      <c r="D88" t="s">
        <v>1019</v>
      </c>
      <c r="E88" t="s">
        <v>1019</v>
      </c>
      <c r="F88" t="s">
        <v>685</v>
      </c>
      <c r="G88" t="s">
        <v>1020</v>
      </c>
      <c r="H88" t="s">
        <v>657</v>
      </c>
      <c r="I88" t="s">
        <v>789</v>
      </c>
      <c r="J88" t="s">
        <v>790</v>
      </c>
      <c r="K88" t="s">
        <v>660</v>
      </c>
      <c r="L88" t="s">
        <v>660</v>
      </c>
      <c r="M88" t="s">
        <v>939</v>
      </c>
      <c r="N88">
        <v>131000</v>
      </c>
    </row>
    <row r="89" spans="1:15" x14ac:dyDescent="0.3">
      <c r="A89" t="s">
        <v>1021</v>
      </c>
      <c r="B89" t="s">
        <v>729</v>
      </c>
      <c r="C89" t="s">
        <v>1022</v>
      </c>
      <c r="D89" t="s">
        <v>1023</v>
      </c>
      <c r="E89" t="s">
        <v>1023</v>
      </c>
      <c r="F89" t="s">
        <v>692</v>
      </c>
      <c r="G89" t="s">
        <v>814</v>
      </c>
      <c r="H89" t="s">
        <v>694</v>
      </c>
      <c r="I89" t="s">
        <v>700</v>
      </c>
      <c r="J89" t="s">
        <v>701</v>
      </c>
      <c r="K89" t="s">
        <v>811</v>
      </c>
      <c r="L89" t="s">
        <v>660</v>
      </c>
      <c r="M89" t="s">
        <v>939</v>
      </c>
      <c r="N89">
        <v>131000</v>
      </c>
    </row>
    <row r="90" spans="1:15" x14ac:dyDescent="0.3">
      <c r="A90" t="s">
        <v>872</v>
      </c>
      <c r="B90" t="s">
        <v>836</v>
      </c>
      <c r="C90" t="s">
        <v>894</v>
      </c>
      <c r="D90" t="s">
        <v>676</v>
      </c>
      <c r="E90" t="s">
        <v>676</v>
      </c>
      <c r="F90" t="s">
        <v>754</v>
      </c>
      <c r="G90" t="s">
        <v>732</v>
      </c>
      <c r="H90" t="s">
        <v>694</v>
      </c>
      <c r="I90" t="s">
        <v>700</v>
      </c>
      <c r="J90" t="s">
        <v>701</v>
      </c>
      <c r="K90" t="s">
        <v>660</v>
      </c>
      <c r="L90" t="s">
        <v>660</v>
      </c>
      <c r="M90" t="s">
        <v>939</v>
      </c>
      <c r="N90">
        <v>131000</v>
      </c>
    </row>
    <row r="91" spans="1:15" x14ac:dyDescent="0.3">
      <c r="A91" t="s">
        <v>663</v>
      </c>
      <c r="B91" t="s">
        <v>703</v>
      </c>
      <c r="C91" t="s">
        <v>1024</v>
      </c>
      <c r="D91" t="s">
        <v>842</v>
      </c>
      <c r="E91" t="s">
        <v>731</v>
      </c>
      <c r="F91" t="s">
        <v>707</v>
      </c>
      <c r="G91" t="s">
        <v>1025</v>
      </c>
      <c r="H91" t="s">
        <v>694</v>
      </c>
      <c r="I91" t="s">
        <v>1026</v>
      </c>
      <c r="J91" t="s">
        <v>688</v>
      </c>
      <c r="K91" t="s">
        <v>710</v>
      </c>
      <c r="L91" t="s">
        <v>660</v>
      </c>
      <c r="M91" t="s">
        <v>939</v>
      </c>
      <c r="N91">
        <v>131000</v>
      </c>
    </row>
    <row r="92" spans="1:15" x14ac:dyDescent="0.3">
      <c r="A92" t="s">
        <v>1027</v>
      </c>
      <c r="B92" t="s">
        <v>904</v>
      </c>
      <c r="C92" t="s">
        <v>999</v>
      </c>
      <c r="D92" t="s">
        <v>1000</v>
      </c>
      <c r="E92" t="s">
        <v>1001</v>
      </c>
      <c r="F92" t="s">
        <v>707</v>
      </c>
      <c r="G92" t="s">
        <v>1002</v>
      </c>
      <c r="H92" t="s">
        <v>670</v>
      </c>
      <c r="I92" t="s">
        <v>709</v>
      </c>
      <c r="J92" t="s">
        <v>709</v>
      </c>
      <c r="K92" t="s">
        <v>710</v>
      </c>
      <c r="L92" t="s">
        <v>1003</v>
      </c>
      <c r="M92" t="s">
        <v>939</v>
      </c>
      <c r="N92">
        <v>131000</v>
      </c>
    </row>
    <row r="93" spans="1:15" x14ac:dyDescent="0.3">
      <c r="A93" t="s">
        <v>872</v>
      </c>
      <c r="B93" t="s">
        <v>717</v>
      </c>
      <c r="C93" t="s">
        <v>1028</v>
      </c>
      <c r="D93" t="s">
        <v>1029</v>
      </c>
      <c r="E93" t="s">
        <v>731</v>
      </c>
      <c r="F93" t="s">
        <v>692</v>
      </c>
      <c r="G93" t="s">
        <v>852</v>
      </c>
      <c r="H93" t="s">
        <v>694</v>
      </c>
      <c r="I93" t="s">
        <v>738</v>
      </c>
      <c r="J93" t="s">
        <v>701</v>
      </c>
      <c r="K93" t="s">
        <v>1030</v>
      </c>
      <c r="L93" t="s">
        <v>660</v>
      </c>
      <c r="M93" t="s">
        <v>939</v>
      </c>
      <c r="N93">
        <v>131000</v>
      </c>
    </row>
    <row r="94" spans="1:15" x14ac:dyDescent="0.3">
      <c r="A94" t="s">
        <v>893</v>
      </c>
      <c r="B94" t="s">
        <v>664</v>
      </c>
      <c r="C94" t="s">
        <v>665</v>
      </c>
      <c r="D94" t="s">
        <v>1031</v>
      </c>
      <c r="E94" t="s">
        <v>667</v>
      </c>
      <c r="F94" t="s">
        <v>668</v>
      </c>
      <c r="G94" t="s">
        <v>669</v>
      </c>
      <c r="H94" t="s">
        <v>670</v>
      </c>
      <c r="I94" t="s">
        <v>671</v>
      </c>
      <c r="J94" t="s">
        <v>672</v>
      </c>
      <c r="K94" t="s">
        <v>673</v>
      </c>
      <c r="L94" t="s">
        <v>660</v>
      </c>
      <c r="M94" t="s">
        <v>939</v>
      </c>
      <c r="N94">
        <v>131000</v>
      </c>
    </row>
    <row r="95" spans="1:15" x14ac:dyDescent="0.3">
      <c r="A95" t="s">
        <v>1032</v>
      </c>
      <c r="B95" t="s">
        <v>724</v>
      </c>
      <c r="C95" t="s">
        <v>1033</v>
      </c>
      <c r="D95" t="s">
        <v>1034</v>
      </c>
      <c r="E95" t="s">
        <v>1035</v>
      </c>
      <c r="F95" t="s">
        <v>754</v>
      </c>
      <c r="G95" t="s">
        <v>766</v>
      </c>
      <c r="H95" t="s">
        <v>694</v>
      </c>
      <c r="I95" t="s">
        <v>1036</v>
      </c>
      <c r="J95" t="s">
        <v>37</v>
      </c>
      <c r="K95" t="s">
        <v>660</v>
      </c>
      <c r="L95" t="s">
        <v>660</v>
      </c>
      <c r="M95" t="s">
        <v>939</v>
      </c>
      <c r="N95">
        <v>131000</v>
      </c>
    </row>
    <row r="96" spans="1:15" x14ac:dyDescent="0.3">
      <c r="A96" t="s">
        <v>663</v>
      </c>
      <c r="B96" t="s">
        <v>757</v>
      </c>
      <c r="C96" t="s">
        <v>758</v>
      </c>
      <c r="D96" t="s">
        <v>759</v>
      </c>
      <c r="E96" t="s">
        <v>760</v>
      </c>
      <c r="F96" t="s">
        <v>655</v>
      </c>
      <c r="G96" t="s">
        <v>761</v>
      </c>
      <c r="H96" t="s">
        <v>694</v>
      </c>
      <c r="I96" t="s">
        <v>679</v>
      </c>
      <c r="J96" t="s">
        <v>672</v>
      </c>
      <c r="K96" t="s">
        <v>680</v>
      </c>
      <c r="L96" t="s">
        <v>660</v>
      </c>
      <c r="M96" t="s">
        <v>1037</v>
      </c>
      <c r="N96">
        <v>132000</v>
      </c>
    </row>
    <row r="97" spans="1:15" x14ac:dyDescent="0.3">
      <c r="A97" t="s">
        <v>716</v>
      </c>
      <c r="B97" t="s">
        <v>717</v>
      </c>
      <c r="C97" t="s">
        <v>718</v>
      </c>
      <c r="D97" t="s">
        <v>719</v>
      </c>
      <c r="E97" t="s">
        <v>720</v>
      </c>
      <c r="F97" t="s">
        <v>668</v>
      </c>
      <c r="G97" t="s">
        <v>721</v>
      </c>
      <c r="H97" t="s">
        <v>670</v>
      </c>
      <c r="I97" t="s">
        <v>700</v>
      </c>
      <c r="J97" t="s">
        <v>701</v>
      </c>
      <c r="K97" t="s">
        <v>722</v>
      </c>
      <c r="L97" t="s">
        <v>723</v>
      </c>
      <c r="M97" t="s">
        <v>1037</v>
      </c>
      <c r="N97">
        <v>132000</v>
      </c>
    </row>
    <row r="98" spans="1:15" x14ac:dyDescent="0.3">
      <c r="A98" t="s">
        <v>914</v>
      </c>
      <c r="B98" t="s">
        <v>681</v>
      </c>
      <c r="C98" t="s">
        <v>1038</v>
      </c>
      <c r="D98" t="s">
        <v>1039</v>
      </c>
      <c r="E98" t="s">
        <v>1039</v>
      </c>
      <c r="F98" t="s">
        <v>692</v>
      </c>
      <c r="G98" t="s">
        <v>772</v>
      </c>
      <c r="H98" t="s">
        <v>694</v>
      </c>
      <c r="I98" t="s">
        <v>728</v>
      </c>
      <c r="J98" t="s">
        <v>701</v>
      </c>
      <c r="K98" t="s">
        <v>811</v>
      </c>
      <c r="L98" t="s">
        <v>660</v>
      </c>
      <c r="M98" t="s">
        <v>1037</v>
      </c>
      <c r="N98">
        <v>132000</v>
      </c>
    </row>
    <row r="99" spans="1:15" x14ac:dyDescent="0.3">
      <c r="A99" t="s">
        <v>663</v>
      </c>
      <c r="B99" t="s">
        <v>1040</v>
      </c>
      <c r="C99" t="s">
        <v>703</v>
      </c>
      <c r="D99" t="s">
        <v>1024</v>
      </c>
      <c r="E99" t="s">
        <v>654</v>
      </c>
      <c r="F99" t="s">
        <v>731</v>
      </c>
      <c r="G99" t="s">
        <v>707</v>
      </c>
      <c r="H99" t="s">
        <v>1025</v>
      </c>
      <c r="I99" t="s">
        <v>694</v>
      </c>
      <c r="J99" t="s">
        <v>1026</v>
      </c>
      <c r="K99" t="s">
        <v>688</v>
      </c>
      <c r="L99" t="s">
        <v>710</v>
      </c>
      <c r="M99" t="s">
        <v>660</v>
      </c>
      <c r="N99">
        <v>99000</v>
      </c>
      <c r="O99">
        <v>132000</v>
      </c>
    </row>
    <row r="100" spans="1:15" x14ac:dyDescent="0.3">
      <c r="A100" t="s">
        <v>893</v>
      </c>
      <c r="B100" t="s">
        <v>674</v>
      </c>
      <c r="C100" t="s">
        <v>1041</v>
      </c>
      <c r="D100" t="s">
        <v>1042</v>
      </c>
      <c r="E100" t="s">
        <v>1042</v>
      </c>
      <c r="F100" t="s">
        <v>692</v>
      </c>
      <c r="G100" t="s">
        <v>1043</v>
      </c>
      <c r="H100" t="s">
        <v>694</v>
      </c>
      <c r="I100" t="s">
        <v>695</v>
      </c>
      <c r="J100" t="s">
        <v>672</v>
      </c>
      <c r="K100" t="s">
        <v>811</v>
      </c>
      <c r="L100" t="s">
        <v>1044</v>
      </c>
      <c r="M100" t="s">
        <v>1037</v>
      </c>
      <c r="N100">
        <v>132000</v>
      </c>
    </row>
    <row r="101" spans="1:15" x14ac:dyDescent="0.3">
      <c r="A101" t="s">
        <v>1045</v>
      </c>
      <c r="B101" t="s">
        <v>681</v>
      </c>
      <c r="C101" t="s">
        <v>1046</v>
      </c>
      <c r="D101" t="s">
        <v>759</v>
      </c>
      <c r="E101" t="s">
        <v>759</v>
      </c>
      <c r="F101" t="s">
        <v>655</v>
      </c>
      <c r="G101" t="s">
        <v>1047</v>
      </c>
      <c r="H101" t="s">
        <v>1048</v>
      </c>
      <c r="I101" t="s">
        <v>1036</v>
      </c>
      <c r="J101" t="s">
        <v>37</v>
      </c>
      <c r="K101" t="s">
        <v>710</v>
      </c>
      <c r="L101" t="s">
        <v>1049</v>
      </c>
      <c r="M101" t="s">
        <v>1037</v>
      </c>
      <c r="N101">
        <v>132000</v>
      </c>
    </row>
    <row r="102" spans="1:15" x14ac:dyDescent="0.3">
      <c r="A102" t="s">
        <v>663</v>
      </c>
      <c r="B102" t="s">
        <v>977</v>
      </c>
      <c r="C102" t="s">
        <v>1050</v>
      </c>
      <c r="D102" t="s">
        <v>1051</v>
      </c>
      <c r="E102" t="s">
        <v>1052</v>
      </c>
      <c r="F102" t="s">
        <v>765</v>
      </c>
      <c r="G102" t="s">
        <v>888</v>
      </c>
      <c r="H102" t="s">
        <v>694</v>
      </c>
      <c r="I102" t="s">
        <v>728</v>
      </c>
      <c r="J102" t="s">
        <v>701</v>
      </c>
      <c r="K102" t="s">
        <v>1053</v>
      </c>
      <c r="L102" t="s">
        <v>660</v>
      </c>
      <c r="M102" t="s">
        <v>1037</v>
      </c>
      <c r="N102">
        <v>132000</v>
      </c>
    </row>
    <row r="103" spans="1:15" x14ac:dyDescent="0.3">
      <c r="A103" t="s">
        <v>872</v>
      </c>
      <c r="B103" t="s">
        <v>717</v>
      </c>
      <c r="C103" t="s">
        <v>1054</v>
      </c>
      <c r="D103" t="s">
        <v>1055</v>
      </c>
      <c r="E103" t="s">
        <v>1055</v>
      </c>
      <c r="F103" t="s">
        <v>765</v>
      </c>
      <c r="G103" t="s">
        <v>1056</v>
      </c>
      <c r="H103" t="s">
        <v>694</v>
      </c>
      <c r="I103" t="s">
        <v>824</v>
      </c>
      <c r="J103" t="s">
        <v>824</v>
      </c>
      <c r="K103" t="s">
        <v>660</v>
      </c>
      <c r="L103" t="s">
        <v>660</v>
      </c>
      <c r="M103" t="s">
        <v>1037</v>
      </c>
      <c r="N103">
        <v>132000</v>
      </c>
    </row>
    <row r="104" spans="1:15" x14ac:dyDescent="0.3">
      <c r="A104" t="s">
        <v>1057</v>
      </c>
      <c r="B104" t="s">
        <v>769</v>
      </c>
      <c r="C104" t="s">
        <v>1058</v>
      </c>
      <c r="D104" t="s">
        <v>698</v>
      </c>
      <c r="E104" t="s">
        <v>1059</v>
      </c>
      <c r="F104" t="s">
        <v>692</v>
      </c>
      <c r="G104" t="s">
        <v>732</v>
      </c>
      <c r="H104" t="s">
        <v>694</v>
      </c>
      <c r="I104" t="s">
        <v>773</v>
      </c>
      <c r="J104" t="s">
        <v>701</v>
      </c>
      <c r="K104" t="s">
        <v>660</v>
      </c>
      <c r="L104" t="s">
        <v>660</v>
      </c>
      <c r="M104" t="s">
        <v>1037</v>
      </c>
      <c r="N104">
        <v>132000</v>
      </c>
    </row>
    <row r="105" spans="1:15" x14ac:dyDescent="0.3">
      <c r="A105" t="s">
        <v>893</v>
      </c>
      <c r="B105" t="s">
        <v>904</v>
      </c>
      <c r="C105" t="s">
        <v>967</v>
      </c>
      <c r="D105" t="s">
        <v>793</v>
      </c>
      <c r="E105" t="s">
        <v>968</v>
      </c>
      <c r="F105" t="s">
        <v>668</v>
      </c>
      <c r="G105" t="s">
        <v>969</v>
      </c>
      <c r="H105" t="s">
        <v>670</v>
      </c>
      <c r="I105" t="s">
        <v>700</v>
      </c>
      <c r="J105" t="s">
        <v>701</v>
      </c>
      <c r="K105" t="s">
        <v>722</v>
      </c>
      <c r="L105" t="s">
        <v>660</v>
      </c>
      <c r="M105" t="s">
        <v>1037</v>
      </c>
      <c r="N105">
        <v>132000</v>
      </c>
    </row>
    <row r="106" spans="1:15" x14ac:dyDescent="0.3">
      <c r="A106" t="s">
        <v>1060</v>
      </c>
      <c r="B106" t="s">
        <v>717</v>
      </c>
      <c r="C106" t="s">
        <v>718</v>
      </c>
      <c r="D106" t="s">
        <v>719</v>
      </c>
      <c r="E106" t="s">
        <v>720</v>
      </c>
      <c r="F106" t="s">
        <v>668</v>
      </c>
      <c r="G106" t="s">
        <v>721</v>
      </c>
      <c r="H106" t="s">
        <v>670</v>
      </c>
      <c r="I106" t="s">
        <v>700</v>
      </c>
      <c r="J106" t="s">
        <v>701</v>
      </c>
      <c r="K106" t="s">
        <v>722</v>
      </c>
      <c r="L106" t="s">
        <v>723</v>
      </c>
      <c r="M106" t="s">
        <v>1037</v>
      </c>
      <c r="N106">
        <v>132000</v>
      </c>
    </row>
    <row r="107" spans="1:15" x14ac:dyDescent="0.3">
      <c r="A107" t="s">
        <v>663</v>
      </c>
      <c r="B107" t="s">
        <v>674</v>
      </c>
      <c r="C107" t="s">
        <v>1061</v>
      </c>
      <c r="D107" t="s">
        <v>1062</v>
      </c>
      <c r="E107" t="s">
        <v>1063</v>
      </c>
      <c r="F107" t="s">
        <v>685</v>
      </c>
      <c r="G107" t="s">
        <v>755</v>
      </c>
      <c r="H107" t="s">
        <v>694</v>
      </c>
      <c r="I107" t="s">
        <v>824</v>
      </c>
      <c r="J107" t="s">
        <v>824</v>
      </c>
      <c r="K107" t="s">
        <v>845</v>
      </c>
      <c r="L107" t="s">
        <v>660</v>
      </c>
      <c r="M107" t="s">
        <v>1037</v>
      </c>
      <c r="N107">
        <v>132000</v>
      </c>
    </row>
    <row r="108" spans="1:15" x14ac:dyDescent="0.3">
      <c r="A108" t="s">
        <v>1064</v>
      </c>
      <c r="B108" t="s">
        <v>791</v>
      </c>
      <c r="C108" t="s">
        <v>1065</v>
      </c>
      <c r="D108" t="s">
        <v>1066</v>
      </c>
      <c r="E108" t="s">
        <v>1067</v>
      </c>
      <c r="F108" t="s">
        <v>685</v>
      </c>
      <c r="G108" t="s">
        <v>677</v>
      </c>
      <c r="H108" t="s">
        <v>670</v>
      </c>
      <c r="I108" t="s">
        <v>789</v>
      </c>
      <c r="J108" t="s">
        <v>790</v>
      </c>
      <c r="K108" t="s">
        <v>660</v>
      </c>
      <c r="L108" t="s">
        <v>660</v>
      </c>
      <c r="M108" t="s">
        <v>1037</v>
      </c>
      <c r="N108">
        <v>132000</v>
      </c>
    </row>
    <row r="109" spans="1:15" x14ac:dyDescent="0.3">
      <c r="A109" t="s">
        <v>840</v>
      </c>
      <c r="B109" t="s">
        <v>690</v>
      </c>
      <c r="C109" t="s">
        <v>1068</v>
      </c>
      <c r="D109" t="s">
        <v>1069</v>
      </c>
      <c r="E109" t="s">
        <v>1069</v>
      </c>
      <c r="F109" t="s">
        <v>692</v>
      </c>
      <c r="G109" t="s">
        <v>797</v>
      </c>
      <c r="H109" t="s">
        <v>694</v>
      </c>
      <c r="I109" t="s">
        <v>709</v>
      </c>
      <c r="J109" t="s">
        <v>709</v>
      </c>
      <c r="K109" t="s">
        <v>811</v>
      </c>
      <c r="L109" t="s">
        <v>660</v>
      </c>
      <c r="M109" t="s">
        <v>1037</v>
      </c>
      <c r="N109">
        <v>132000</v>
      </c>
    </row>
    <row r="110" spans="1:15" x14ac:dyDescent="0.3">
      <c r="A110" t="s">
        <v>1070</v>
      </c>
      <c r="B110" t="s">
        <v>769</v>
      </c>
      <c r="C110" t="s">
        <v>1071</v>
      </c>
      <c r="D110" t="s">
        <v>719</v>
      </c>
      <c r="E110" t="s">
        <v>887</v>
      </c>
      <c r="F110" t="s">
        <v>707</v>
      </c>
      <c r="G110" t="s">
        <v>1072</v>
      </c>
      <c r="H110" t="s">
        <v>670</v>
      </c>
      <c r="I110" t="s">
        <v>700</v>
      </c>
      <c r="J110" t="s">
        <v>701</v>
      </c>
      <c r="K110" t="s">
        <v>660</v>
      </c>
      <c r="L110" t="s">
        <v>660</v>
      </c>
      <c r="M110" t="s">
        <v>1037</v>
      </c>
      <c r="N110">
        <v>132000</v>
      </c>
    </row>
    <row r="111" spans="1:15" x14ac:dyDescent="0.3">
      <c r="A111" t="s">
        <v>663</v>
      </c>
      <c r="B111" t="s">
        <v>742</v>
      </c>
      <c r="C111" t="s">
        <v>1073</v>
      </c>
      <c r="D111" t="s">
        <v>666</v>
      </c>
      <c r="E111" t="s">
        <v>1039</v>
      </c>
      <c r="F111" t="s">
        <v>707</v>
      </c>
      <c r="G111" t="s">
        <v>888</v>
      </c>
      <c r="H111" t="s">
        <v>670</v>
      </c>
      <c r="I111" t="s">
        <v>728</v>
      </c>
      <c r="J111" t="s">
        <v>701</v>
      </c>
      <c r="K111" t="s">
        <v>1030</v>
      </c>
      <c r="L111" t="s">
        <v>1074</v>
      </c>
      <c r="M111" t="s">
        <v>1037</v>
      </c>
      <c r="N111">
        <v>132000</v>
      </c>
    </row>
    <row r="112" spans="1:15" x14ac:dyDescent="0.3">
      <c r="A112" t="s">
        <v>1075</v>
      </c>
      <c r="B112" t="s">
        <v>791</v>
      </c>
      <c r="C112" t="s">
        <v>1076</v>
      </c>
      <c r="D112" t="s">
        <v>1077</v>
      </c>
      <c r="E112" t="s">
        <v>654</v>
      </c>
      <c r="F112" t="s">
        <v>655</v>
      </c>
      <c r="G112" t="s">
        <v>803</v>
      </c>
      <c r="H112" t="s">
        <v>670</v>
      </c>
      <c r="I112" t="s">
        <v>819</v>
      </c>
      <c r="J112" t="s">
        <v>37</v>
      </c>
      <c r="K112" t="s">
        <v>722</v>
      </c>
      <c r="L112" t="s">
        <v>660</v>
      </c>
      <c r="M112" t="s">
        <v>1037</v>
      </c>
      <c r="N112">
        <v>132000</v>
      </c>
    </row>
    <row r="113" spans="1:14" x14ac:dyDescent="0.3">
      <c r="A113" t="s">
        <v>870</v>
      </c>
      <c r="B113" t="s">
        <v>977</v>
      </c>
      <c r="C113" t="s">
        <v>1078</v>
      </c>
      <c r="D113" t="s">
        <v>1079</v>
      </c>
      <c r="E113" t="s">
        <v>1080</v>
      </c>
      <c r="F113" t="s">
        <v>692</v>
      </c>
      <c r="G113" t="s">
        <v>888</v>
      </c>
      <c r="H113" t="s">
        <v>943</v>
      </c>
      <c r="I113" t="s">
        <v>1081</v>
      </c>
      <c r="J113" t="s">
        <v>1082</v>
      </c>
      <c r="K113" t="s">
        <v>660</v>
      </c>
      <c r="L113" t="s">
        <v>660</v>
      </c>
      <c r="M113" t="s">
        <v>1037</v>
      </c>
      <c r="N113">
        <v>132000</v>
      </c>
    </row>
    <row r="114" spans="1:14" x14ac:dyDescent="0.3">
      <c r="A114" t="s">
        <v>1083</v>
      </c>
      <c r="B114" t="s">
        <v>681</v>
      </c>
      <c r="C114" t="s">
        <v>1084</v>
      </c>
      <c r="D114" t="s">
        <v>667</v>
      </c>
      <c r="E114" t="s">
        <v>1085</v>
      </c>
      <c r="F114" t="s">
        <v>668</v>
      </c>
      <c r="G114" t="s">
        <v>660</v>
      </c>
      <c r="H114" t="s">
        <v>670</v>
      </c>
      <c r="I114" t="s">
        <v>824</v>
      </c>
      <c r="J114" t="s">
        <v>824</v>
      </c>
      <c r="K114" t="s">
        <v>722</v>
      </c>
      <c r="L114" t="s">
        <v>660</v>
      </c>
      <c r="M114" t="s">
        <v>1037</v>
      </c>
      <c r="N114">
        <v>132000</v>
      </c>
    </row>
    <row r="115" spans="1:14" x14ac:dyDescent="0.3">
      <c r="A115" t="s">
        <v>840</v>
      </c>
      <c r="B115" t="s">
        <v>832</v>
      </c>
      <c r="C115" t="s">
        <v>1086</v>
      </c>
      <c r="D115" t="s">
        <v>1087</v>
      </c>
      <c r="E115" t="s">
        <v>1087</v>
      </c>
      <c r="F115" t="s">
        <v>765</v>
      </c>
      <c r="G115" t="s">
        <v>737</v>
      </c>
      <c r="H115" t="s">
        <v>694</v>
      </c>
      <c r="I115" t="s">
        <v>700</v>
      </c>
      <c r="J115" t="s">
        <v>701</v>
      </c>
      <c r="K115" t="s">
        <v>660</v>
      </c>
      <c r="L115" t="s">
        <v>660</v>
      </c>
      <c r="M115" t="s">
        <v>1037</v>
      </c>
      <c r="N115">
        <v>132000</v>
      </c>
    </row>
    <row r="116" spans="1:14" x14ac:dyDescent="0.3">
      <c r="A116" t="s">
        <v>663</v>
      </c>
      <c r="B116" t="s">
        <v>904</v>
      </c>
      <c r="C116" t="s">
        <v>1088</v>
      </c>
      <c r="D116" t="s">
        <v>1039</v>
      </c>
      <c r="E116" t="s">
        <v>1039</v>
      </c>
      <c r="F116" t="s">
        <v>655</v>
      </c>
      <c r="G116" t="s">
        <v>708</v>
      </c>
      <c r="H116" t="s">
        <v>657</v>
      </c>
      <c r="I116" t="s">
        <v>679</v>
      </c>
      <c r="J116" t="s">
        <v>672</v>
      </c>
      <c r="K116" t="s">
        <v>680</v>
      </c>
      <c r="L116" t="s">
        <v>1089</v>
      </c>
      <c r="M116" t="s">
        <v>1037</v>
      </c>
      <c r="N116">
        <v>132000</v>
      </c>
    </row>
    <row r="117" spans="1:14" x14ac:dyDescent="0.3">
      <c r="A117" t="s">
        <v>663</v>
      </c>
      <c r="B117" t="s">
        <v>724</v>
      </c>
      <c r="C117" t="s">
        <v>1090</v>
      </c>
      <c r="D117" t="s">
        <v>654</v>
      </c>
      <c r="E117" t="s">
        <v>654</v>
      </c>
      <c r="F117" t="s">
        <v>765</v>
      </c>
      <c r="G117" t="s">
        <v>737</v>
      </c>
      <c r="H117" t="s">
        <v>694</v>
      </c>
      <c r="I117" t="s">
        <v>789</v>
      </c>
      <c r="J117" t="s">
        <v>790</v>
      </c>
      <c r="K117" t="s">
        <v>660</v>
      </c>
      <c r="L117" t="s">
        <v>660</v>
      </c>
      <c r="M117" t="s">
        <v>1037</v>
      </c>
      <c r="N117">
        <v>132000</v>
      </c>
    </row>
    <row r="118" spans="1:14" x14ac:dyDescent="0.3">
      <c r="A118" t="s">
        <v>1091</v>
      </c>
      <c r="B118" t="s">
        <v>904</v>
      </c>
      <c r="C118" t="s">
        <v>1092</v>
      </c>
      <c r="D118" t="s">
        <v>1093</v>
      </c>
      <c r="E118" t="s">
        <v>1093</v>
      </c>
      <c r="F118" t="s">
        <v>692</v>
      </c>
      <c r="G118" t="s">
        <v>1094</v>
      </c>
      <c r="H118" t="s">
        <v>694</v>
      </c>
      <c r="I118" t="s">
        <v>700</v>
      </c>
      <c r="J118" t="s">
        <v>701</v>
      </c>
      <c r="K118" t="s">
        <v>1030</v>
      </c>
      <c r="L118" t="s">
        <v>660</v>
      </c>
      <c r="M118" t="s">
        <v>1037</v>
      </c>
      <c r="N118">
        <v>132000</v>
      </c>
    </row>
    <row r="119" spans="1:14" x14ac:dyDescent="0.3">
      <c r="A119" t="s">
        <v>1095</v>
      </c>
      <c r="B119" t="s">
        <v>791</v>
      </c>
      <c r="C119" t="s">
        <v>1076</v>
      </c>
      <c r="D119" t="s">
        <v>1077</v>
      </c>
      <c r="E119" t="s">
        <v>654</v>
      </c>
      <c r="F119" t="s">
        <v>655</v>
      </c>
      <c r="G119" t="s">
        <v>803</v>
      </c>
      <c r="H119" t="s">
        <v>670</v>
      </c>
      <c r="I119" t="s">
        <v>819</v>
      </c>
      <c r="J119" t="s">
        <v>37</v>
      </c>
      <c r="K119" t="s">
        <v>722</v>
      </c>
      <c r="L119" t="s">
        <v>660</v>
      </c>
      <c r="M119" t="s">
        <v>1037</v>
      </c>
      <c r="N119">
        <v>132000</v>
      </c>
    </row>
    <row r="120" spans="1:14" x14ac:dyDescent="0.3">
      <c r="A120" t="s">
        <v>1096</v>
      </c>
      <c r="B120" t="s">
        <v>832</v>
      </c>
      <c r="C120" t="s">
        <v>884</v>
      </c>
      <c r="D120" t="s">
        <v>885</v>
      </c>
      <c r="E120" t="s">
        <v>885</v>
      </c>
      <c r="F120" t="s">
        <v>692</v>
      </c>
      <c r="G120" t="s">
        <v>834</v>
      </c>
      <c r="H120" t="s">
        <v>694</v>
      </c>
      <c r="I120" t="s">
        <v>709</v>
      </c>
      <c r="J120" t="s">
        <v>709</v>
      </c>
      <c r="K120" t="s">
        <v>660</v>
      </c>
      <c r="L120" t="s">
        <v>660</v>
      </c>
      <c r="M120" t="s">
        <v>1037</v>
      </c>
      <c r="N120">
        <v>132000</v>
      </c>
    </row>
    <row r="121" spans="1:14" x14ac:dyDescent="0.3">
      <c r="A121" t="s">
        <v>840</v>
      </c>
      <c r="B121" t="s">
        <v>836</v>
      </c>
      <c r="C121" t="s">
        <v>1097</v>
      </c>
      <c r="D121" t="s">
        <v>1098</v>
      </c>
      <c r="E121" t="s">
        <v>1098</v>
      </c>
      <c r="F121" t="s">
        <v>754</v>
      </c>
      <c r="G121" t="s">
        <v>686</v>
      </c>
      <c r="H121" t="s">
        <v>694</v>
      </c>
      <c r="I121" t="s">
        <v>789</v>
      </c>
      <c r="J121" t="s">
        <v>790</v>
      </c>
      <c r="K121" t="s">
        <v>845</v>
      </c>
      <c r="L121" t="s">
        <v>1099</v>
      </c>
      <c r="M121" t="s">
        <v>1037</v>
      </c>
      <c r="N121">
        <v>132000</v>
      </c>
    </row>
    <row r="122" spans="1:14" x14ac:dyDescent="0.3">
      <c r="A122" t="s">
        <v>663</v>
      </c>
      <c r="B122" t="s">
        <v>729</v>
      </c>
      <c r="C122" t="s">
        <v>1100</v>
      </c>
      <c r="D122" t="s">
        <v>1101</v>
      </c>
      <c r="E122" t="s">
        <v>1102</v>
      </c>
      <c r="F122" t="s">
        <v>692</v>
      </c>
      <c r="G122" t="s">
        <v>921</v>
      </c>
      <c r="H122" t="s">
        <v>694</v>
      </c>
      <c r="I122" t="s">
        <v>679</v>
      </c>
      <c r="J122" t="s">
        <v>672</v>
      </c>
      <c r="K122" t="s">
        <v>660</v>
      </c>
      <c r="L122" t="s">
        <v>1103</v>
      </c>
      <c r="M122" t="s">
        <v>1037</v>
      </c>
      <c r="N122">
        <v>132000</v>
      </c>
    </row>
    <row r="123" spans="1:14" x14ac:dyDescent="0.3">
      <c r="A123" t="s">
        <v>1104</v>
      </c>
      <c r="B123" t="s">
        <v>734</v>
      </c>
      <c r="C123" t="s">
        <v>1105</v>
      </c>
      <c r="D123" t="s">
        <v>793</v>
      </c>
      <c r="E123" t="s">
        <v>793</v>
      </c>
      <c r="F123" t="s">
        <v>692</v>
      </c>
      <c r="G123" t="s">
        <v>772</v>
      </c>
      <c r="H123" t="s">
        <v>694</v>
      </c>
      <c r="I123" t="s">
        <v>773</v>
      </c>
      <c r="J123" t="s">
        <v>701</v>
      </c>
      <c r="K123" t="s">
        <v>660</v>
      </c>
      <c r="L123" t="s">
        <v>660</v>
      </c>
      <c r="M123" t="s">
        <v>1037</v>
      </c>
      <c r="N123">
        <v>132000</v>
      </c>
    </row>
    <row r="124" spans="1:14" x14ac:dyDescent="0.3">
      <c r="A124" t="s">
        <v>893</v>
      </c>
      <c r="B124" t="s">
        <v>729</v>
      </c>
      <c r="C124" t="s">
        <v>730</v>
      </c>
      <c r="D124" t="s">
        <v>667</v>
      </c>
      <c r="E124" t="s">
        <v>731</v>
      </c>
      <c r="F124" t="s">
        <v>685</v>
      </c>
      <c r="G124" t="s">
        <v>732</v>
      </c>
      <c r="H124" t="s">
        <v>694</v>
      </c>
      <c r="I124" t="s">
        <v>728</v>
      </c>
      <c r="J124" t="s">
        <v>701</v>
      </c>
      <c r="K124" t="s">
        <v>680</v>
      </c>
      <c r="L124" t="s">
        <v>733</v>
      </c>
      <c r="M124" t="s">
        <v>1037</v>
      </c>
      <c r="N124">
        <v>132000</v>
      </c>
    </row>
    <row r="125" spans="1:14" x14ac:dyDescent="0.3">
      <c r="A125" t="s">
        <v>840</v>
      </c>
      <c r="B125" t="s">
        <v>664</v>
      </c>
      <c r="C125" t="s">
        <v>961</v>
      </c>
      <c r="D125" t="s">
        <v>962</v>
      </c>
      <c r="E125" t="s">
        <v>962</v>
      </c>
      <c r="F125" t="s">
        <v>692</v>
      </c>
      <c r="G125" t="s">
        <v>921</v>
      </c>
      <c r="H125" t="s">
        <v>670</v>
      </c>
      <c r="I125" t="s">
        <v>695</v>
      </c>
      <c r="J125" t="s">
        <v>672</v>
      </c>
      <c r="K125" t="s">
        <v>815</v>
      </c>
      <c r="L125" t="s">
        <v>963</v>
      </c>
      <c r="M125" t="s">
        <v>1037</v>
      </c>
      <c r="N125">
        <v>132000</v>
      </c>
    </row>
    <row r="126" spans="1:14" x14ac:dyDescent="0.3">
      <c r="A126" t="s">
        <v>854</v>
      </c>
      <c r="B126" t="s">
        <v>757</v>
      </c>
      <c r="C126" t="s">
        <v>1106</v>
      </c>
      <c r="D126" t="s">
        <v>1107</v>
      </c>
      <c r="E126" t="s">
        <v>1107</v>
      </c>
      <c r="F126" t="s">
        <v>692</v>
      </c>
      <c r="G126" t="s">
        <v>921</v>
      </c>
      <c r="H126" t="s">
        <v>694</v>
      </c>
      <c r="I126" t="s">
        <v>1108</v>
      </c>
      <c r="J126" t="s">
        <v>925</v>
      </c>
      <c r="K126" t="s">
        <v>660</v>
      </c>
      <c r="L126" t="s">
        <v>660</v>
      </c>
      <c r="M126" t="s">
        <v>1037</v>
      </c>
      <c r="N126">
        <v>132000</v>
      </c>
    </row>
    <row r="127" spans="1:14" x14ac:dyDescent="0.3">
      <c r="A127" t="s">
        <v>1109</v>
      </c>
      <c r="B127" t="s">
        <v>674</v>
      </c>
      <c r="C127" t="s">
        <v>1110</v>
      </c>
      <c r="D127" t="s">
        <v>1111</v>
      </c>
      <c r="E127" t="s">
        <v>1112</v>
      </c>
      <c r="F127" t="s">
        <v>668</v>
      </c>
      <c r="G127" t="s">
        <v>708</v>
      </c>
      <c r="H127" t="s">
        <v>670</v>
      </c>
      <c r="I127" t="s">
        <v>1113</v>
      </c>
      <c r="J127" t="s">
        <v>1114</v>
      </c>
      <c r="K127" t="s">
        <v>722</v>
      </c>
      <c r="L127" t="s">
        <v>660</v>
      </c>
      <c r="M127" t="s">
        <v>1037</v>
      </c>
      <c r="N127">
        <v>132000</v>
      </c>
    </row>
    <row r="128" spans="1:14" x14ac:dyDescent="0.3">
      <c r="A128" t="s">
        <v>663</v>
      </c>
      <c r="B128" t="s">
        <v>734</v>
      </c>
      <c r="C128" t="s">
        <v>735</v>
      </c>
      <c r="D128" t="s">
        <v>736</v>
      </c>
      <c r="E128" t="s">
        <v>736</v>
      </c>
      <c r="F128" t="s">
        <v>692</v>
      </c>
      <c r="G128" t="s">
        <v>737</v>
      </c>
      <c r="H128" t="s">
        <v>694</v>
      </c>
      <c r="I128" t="s">
        <v>738</v>
      </c>
      <c r="J128" t="s">
        <v>701</v>
      </c>
      <c r="K128" t="s">
        <v>660</v>
      </c>
      <c r="L128" t="s">
        <v>739</v>
      </c>
      <c r="M128" t="s">
        <v>1115</v>
      </c>
      <c r="N128">
        <v>109000</v>
      </c>
    </row>
    <row r="129" spans="1:14" x14ac:dyDescent="0.3">
      <c r="A129" t="s">
        <v>663</v>
      </c>
      <c r="B129" t="s">
        <v>724</v>
      </c>
      <c r="C129" t="s">
        <v>725</v>
      </c>
      <c r="D129" t="s">
        <v>726</v>
      </c>
      <c r="E129" t="s">
        <v>726</v>
      </c>
      <c r="F129" t="s">
        <v>692</v>
      </c>
      <c r="G129" t="s">
        <v>727</v>
      </c>
      <c r="H129" t="s">
        <v>694</v>
      </c>
      <c r="I129" t="s">
        <v>728</v>
      </c>
      <c r="J129" t="s">
        <v>701</v>
      </c>
      <c r="K129" t="s">
        <v>660</v>
      </c>
      <c r="L129" t="s">
        <v>660</v>
      </c>
      <c r="M129" t="s">
        <v>1115</v>
      </c>
      <c r="N129">
        <v>109000</v>
      </c>
    </row>
    <row r="130" spans="1:14" x14ac:dyDescent="0.3">
      <c r="A130" t="s">
        <v>840</v>
      </c>
      <c r="B130" t="s">
        <v>664</v>
      </c>
      <c r="C130" t="s">
        <v>961</v>
      </c>
      <c r="D130" t="s">
        <v>962</v>
      </c>
      <c r="E130" t="s">
        <v>962</v>
      </c>
      <c r="F130" t="s">
        <v>692</v>
      </c>
      <c r="G130" t="s">
        <v>921</v>
      </c>
      <c r="H130" t="s">
        <v>670</v>
      </c>
      <c r="I130" t="s">
        <v>695</v>
      </c>
      <c r="J130" t="s">
        <v>672</v>
      </c>
      <c r="K130" t="s">
        <v>815</v>
      </c>
      <c r="L130" t="s">
        <v>963</v>
      </c>
      <c r="M130" t="s">
        <v>1115</v>
      </c>
      <c r="N130">
        <v>109000</v>
      </c>
    </row>
    <row r="131" spans="1:14" x14ac:dyDescent="0.3">
      <c r="A131" t="s">
        <v>1109</v>
      </c>
      <c r="B131" t="s">
        <v>674</v>
      </c>
      <c r="C131" t="s">
        <v>1110</v>
      </c>
      <c r="D131" t="s">
        <v>1111</v>
      </c>
      <c r="E131" t="s">
        <v>1112</v>
      </c>
      <c r="F131" t="s">
        <v>668</v>
      </c>
      <c r="G131" t="s">
        <v>708</v>
      </c>
      <c r="H131" t="s">
        <v>670</v>
      </c>
      <c r="I131" t="s">
        <v>1113</v>
      </c>
      <c r="J131" t="s">
        <v>1114</v>
      </c>
      <c r="K131" t="s">
        <v>722</v>
      </c>
      <c r="L131" t="s">
        <v>660</v>
      </c>
      <c r="M131" t="s">
        <v>1115</v>
      </c>
      <c r="N131">
        <v>109000</v>
      </c>
    </row>
    <row r="132" spans="1:14" x14ac:dyDescent="0.3">
      <c r="A132" t="s">
        <v>663</v>
      </c>
      <c r="B132" t="s">
        <v>832</v>
      </c>
      <c r="C132" t="s">
        <v>1116</v>
      </c>
      <c r="D132" t="s">
        <v>793</v>
      </c>
      <c r="E132" t="s">
        <v>793</v>
      </c>
      <c r="F132" t="s">
        <v>765</v>
      </c>
      <c r="G132" t="s">
        <v>737</v>
      </c>
      <c r="H132" t="s">
        <v>694</v>
      </c>
      <c r="I132" t="s">
        <v>728</v>
      </c>
      <c r="J132" t="s">
        <v>701</v>
      </c>
      <c r="K132" t="s">
        <v>660</v>
      </c>
      <c r="L132" t="s">
        <v>660</v>
      </c>
      <c r="M132" t="s">
        <v>1115</v>
      </c>
      <c r="N132">
        <v>109000</v>
      </c>
    </row>
    <row r="133" spans="1:14" x14ac:dyDescent="0.3">
      <c r="A133" t="s">
        <v>1104</v>
      </c>
      <c r="B133" t="s">
        <v>977</v>
      </c>
      <c r="C133" t="s">
        <v>1117</v>
      </c>
      <c r="D133" t="s">
        <v>1118</v>
      </c>
      <c r="E133" t="s">
        <v>1118</v>
      </c>
      <c r="F133" t="s">
        <v>754</v>
      </c>
      <c r="G133" t="s">
        <v>797</v>
      </c>
      <c r="H133" t="s">
        <v>694</v>
      </c>
      <c r="I133" t="s">
        <v>1119</v>
      </c>
      <c r="J133" t="s">
        <v>37</v>
      </c>
      <c r="K133" t="s">
        <v>845</v>
      </c>
      <c r="L133" t="s">
        <v>660</v>
      </c>
      <c r="M133" t="s">
        <v>1115</v>
      </c>
      <c r="N133">
        <v>109000</v>
      </c>
    </row>
    <row r="134" spans="1:14" x14ac:dyDescent="0.3">
      <c r="A134" t="s">
        <v>840</v>
      </c>
      <c r="B134" t="s">
        <v>717</v>
      </c>
      <c r="C134" t="s">
        <v>1120</v>
      </c>
      <c r="D134" t="s">
        <v>1121</v>
      </c>
      <c r="E134" t="s">
        <v>654</v>
      </c>
      <c r="F134" t="s">
        <v>692</v>
      </c>
      <c r="G134" t="s">
        <v>814</v>
      </c>
      <c r="H134" t="s">
        <v>694</v>
      </c>
      <c r="I134" t="s">
        <v>695</v>
      </c>
      <c r="J134" t="s">
        <v>672</v>
      </c>
      <c r="K134" t="s">
        <v>815</v>
      </c>
      <c r="L134" t="s">
        <v>660</v>
      </c>
      <c r="M134" t="s">
        <v>1115</v>
      </c>
      <c r="N134">
        <v>109000</v>
      </c>
    </row>
    <row r="135" spans="1:14" x14ac:dyDescent="0.3">
      <c r="A135" t="s">
        <v>663</v>
      </c>
      <c r="B135" t="s">
        <v>848</v>
      </c>
      <c r="C135" t="s">
        <v>1122</v>
      </c>
      <c r="D135" t="s">
        <v>1123</v>
      </c>
      <c r="E135" t="s">
        <v>1123</v>
      </c>
      <c r="F135" t="s">
        <v>655</v>
      </c>
      <c r="G135" t="s">
        <v>732</v>
      </c>
      <c r="H135" t="s">
        <v>694</v>
      </c>
      <c r="I135" t="s">
        <v>700</v>
      </c>
      <c r="J135" t="s">
        <v>701</v>
      </c>
      <c r="K135" t="s">
        <v>680</v>
      </c>
      <c r="L135" t="s">
        <v>660</v>
      </c>
      <c r="M135" t="s">
        <v>1115</v>
      </c>
      <c r="N135">
        <v>109000</v>
      </c>
    </row>
    <row r="136" spans="1:14" x14ac:dyDescent="0.3">
      <c r="A136" t="s">
        <v>872</v>
      </c>
      <c r="B136" t="s">
        <v>791</v>
      </c>
      <c r="C136" t="s">
        <v>792</v>
      </c>
      <c r="D136" t="s">
        <v>771</v>
      </c>
      <c r="E136" t="s">
        <v>793</v>
      </c>
      <c r="F136" t="s">
        <v>692</v>
      </c>
      <c r="G136" t="s">
        <v>772</v>
      </c>
      <c r="H136" t="s">
        <v>694</v>
      </c>
      <c r="I136" t="s">
        <v>700</v>
      </c>
      <c r="J136" t="s">
        <v>701</v>
      </c>
      <c r="K136" t="s">
        <v>660</v>
      </c>
      <c r="L136" t="s">
        <v>660</v>
      </c>
      <c r="M136" t="s">
        <v>1115</v>
      </c>
      <c r="N136">
        <v>109000</v>
      </c>
    </row>
    <row r="137" spans="1:14" x14ac:dyDescent="0.3">
      <c r="A137" t="s">
        <v>872</v>
      </c>
      <c r="B137" t="s">
        <v>791</v>
      </c>
      <c r="C137" t="s">
        <v>792</v>
      </c>
      <c r="D137" t="s">
        <v>771</v>
      </c>
      <c r="E137" t="s">
        <v>793</v>
      </c>
      <c r="F137" t="s">
        <v>692</v>
      </c>
      <c r="G137" t="s">
        <v>772</v>
      </c>
      <c r="H137" t="s">
        <v>694</v>
      </c>
      <c r="I137" t="s">
        <v>700</v>
      </c>
      <c r="J137" t="s">
        <v>701</v>
      </c>
      <c r="K137" t="s">
        <v>660</v>
      </c>
      <c r="L137" t="s">
        <v>660</v>
      </c>
      <c r="M137" t="s">
        <v>1115</v>
      </c>
      <c r="N137">
        <v>109000</v>
      </c>
    </row>
    <row r="138" spans="1:14" x14ac:dyDescent="0.3">
      <c r="A138" t="s">
        <v>1104</v>
      </c>
      <c r="B138" t="s">
        <v>977</v>
      </c>
      <c r="C138" t="s">
        <v>1117</v>
      </c>
      <c r="D138" t="s">
        <v>1118</v>
      </c>
      <c r="E138" t="s">
        <v>1118</v>
      </c>
      <c r="F138" t="s">
        <v>754</v>
      </c>
      <c r="G138" t="s">
        <v>797</v>
      </c>
      <c r="H138" t="s">
        <v>694</v>
      </c>
      <c r="I138" t="s">
        <v>1119</v>
      </c>
      <c r="J138" t="s">
        <v>37</v>
      </c>
      <c r="K138" t="s">
        <v>845</v>
      </c>
      <c r="L138" t="s">
        <v>660</v>
      </c>
      <c r="M138" t="s">
        <v>1115</v>
      </c>
      <c r="N138">
        <v>109000</v>
      </c>
    </row>
    <row r="139" spans="1:14" x14ac:dyDescent="0.3">
      <c r="A139" t="s">
        <v>663</v>
      </c>
      <c r="B139" t="s">
        <v>664</v>
      </c>
      <c r="C139" t="s">
        <v>1124</v>
      </c>
      <c r="D139" t="s">
        <v>1059</v>
      </c>
      <c r="E139" t="s">
        <v>1059</v>
      </c>
      <c r="F139" t="s">
        <v>754</v>
      </c>
      <c r="G139" t="s">
        <v>732</v>
      </c>
      <c r="H139" t="s">
        <v>694</v>
      </c>
      <c r="I139" t="s">
        <v>1119</v>
      </c>
      <c r="J139" t="s">
        <v>37</v>
      </c>
      <c r="K139" t="s">
        <v>660</v>
      </c>
      <c r="L139" t="s">
        <v>660</v>
      </c>
      <c r="M139" t="s">
        <v>1115</v>
      </c>
      <c r="N139">
        <v>109000</v>
      </c>
    </row>
    <row r="140" spans="1:14" x14ac:dyDescent="0.3">
      <c r="A140" t="s">
        <v>870</v>
      </c>
      <c r="B140" t="s">
        <v>729</v>
      </c>
      <c r="C140" t="s">
        <v>928</v>
      </c>
      <c r="D140" t="s">
        <v>793</v>
      </c>
      <c r="E140" t="s">
        <v>736</v>
      </c>
      <c r="F140" t="s">
        <v>754</v>
      </c>
      <c r="G140" t="s">
        <v>929</v>
      </c>
      <c r="H140" t="s">
        <v>694</v>
      </c>
      <c r="I140" t="s">
        <v>930</v>
      </c>
      <c r="J140" t="s">
        <v>672</v>
      </c>
      <c r="K140" t="s">
        <v>815</v>
      </c>
      <c r="L140" t="s">
        <v>660</v>
      </c>
      <c r="M140" t="s">
        <v>1115</v>
      </c>
      <c r="N140">
        <v>109000</v>
      </c>
    </row>
    <row r="141" spans="1:14" x14ac:dyDescent="0.3">
      <c r="A141" t="s">
        <v>840</v>
      </c>
      <c r="B141" t="s">
        <v>836</v>
      </c>
      <c r="C141" t="s">
        <v>1125</v>
      </c>
      <c r="D141" t="s">
        <v>887</v>
      </c>
      <c r="E141" t="s">
        <v>887</v>
      </c>
      <c r="F141" t="s">
        <v>754</v>
      </c>
      <c r="G141" t="s">
        <v>732</v>
      </c>
      <c r="H141" t="s">
        <v>694</v>
      </c>
      <c r="I141" t="s">
        <v>1081</v>
      </c>
      <c r="J141" t="s">
        <v>1082</v>
      </c>
      <c r="K141" t="s">
        <v>660</v>
      </c>
      <c r="L141" t="s">
        <v>660</v>
      </c>
      <c r="M141" t="s">
        <v>1115</v>
      </c>
      <c r="N141">
        <v>109000</v>
      </c>
    </row>
    <row r="142" spans="1:14" x14ac:dyDescent="0.3">
      <c r="A142" t="s">
        <v>1126</v>
      </c>
      <c r="B142" t="s">
        <v>674</v>
      </c>
      <c r="C142" t="s">
        <v>1127</v>
      </c>
      <c r="D142" t="s">
        <v>1128</v>
      </c>
      <c r="E142" t="s">
        <v>1128</v>
      </c>
      <c r="F142" t="s">
        <v>685</v>
      </c>
      <c r="G142" t="s">
        <v>766</v>
      </c>
      <c r="H142" t="s">
        <v>657</v>
      </c>
      <c r="I142" t="s">
        <v>853</v>
      </c>
      <c r="J142" t="s">
        <v>748</v>
      </c>
      <c r="K142" t="s">
        <v>660</v>
      </c>
      <c r="L142" t="s">
        <v>660</v>
      </c>
      <c r="M142" t="s">
        <v>1115</v>
      </c>
      <c r="N142">
        <v>109000</v>
      </c>
    </row>
    <row r="143" spans="1:14" x14ac:dyDescent="0.3">
      <c r="A143" t="s">
        <v>1129</v>
      </c>
      <c r="B143" t="s">
        <v>742</v>
      </c>
      <c r="C143" t="s">
        <v>1130</v>
      </c>
      <c r="D143" t="s">
        <v>726</v>
      </c>
      <c r="E143" t="s">
        <v>726</v>
      </c>
      <c r="F143" t="s">
        <v>655</v>
      </c>
      <c r="G143" t="s">
        <v>984</v>
      </c>
      <c r="H143" t="s">
        <v>694</v>
      </c>
      <c r="I143" t="s">
        <v>728</v>
      </c>
      <c r="J143" t="s">
        <v>701</v>
      </c>
      <c r="K143" t="s">
        <v>660</v>
      </c>
      <c r="L143" t="s">
        <v>660</v>
      </c>
      <c r="M143" t="s">
        <v>1115</v>
      </c>
      <c r="N143">
        <v>109000</v>
      </c>
    </row>
    <row r="144" spans="1:14" x14ac:dyDescent="0.3">
      <c r="A144" t="s">
        <v>893</v>
      </c>
      <c r="B144" t="s">
        <v>848</v>
      </c>
      <c r="C144" t="s">
        <v>1131</v>
      </c>
      <c r="D144" t="s">
        <v>793</v>
      </c>
      <c r="E144" t="s">
        <v>793</v>
      </c>
      <c r="F144" t="s">
        <v>692</v>
      </c>
      <c r="G144" t="s">
        <v>888</v>
      </c>
      <c r="H144" t="s">
        <v>694</v>
      </c>
      <c r="I144" t="s">
        <v>687</v>
      </c>
      <c r="J144" t="s">
        <v>688</v>
      </c>
      <c r="K144" t="s">
        <v>1030</v>
      </c>
      <c r="L144" t="s">
        <v>660</v>
      </c>
      <c r="M144" t="s">
        <v>1115</v>
      </c>
      <c r="N144">
        <v>109000</v>
      </c>
    </row>
    <row r="145" spans="1:14" x14ac:dyDescent="0.3">
      <c r="A145" t="s">
        <v>1132</v>
      </c>
      <c r="B145" t="s">
        <v>848</v>
      </c>
      <c r="C145" t="s">
        <v>1133</v>
      </c>
      <c r="D145" t="s">
        <v>826</v>
      </c>
      <c r="E145" t="s">
        <v>712</v>
      </c>
      <c r="F145" t="s">
        <v>668</v>
      </c>
      <c r="G145" t="s">
        <v>881</v>
      </c>
      <c r="H145" t="s">
        <v>657</v>
      </c>
      <c r="I145" t="s">
        <v>767</v>
      </c>
      <c r="J145" t="s">
        <v>746</v>
      </c>
      <c r="K145" t="s">
        <v>673</v>
      </c>
      <c r="L145" t="s">
        <v>1134</v>
      </c>
      <c r="M145" t="s">
        <v>1115</v>
      </c>
      <c r="N145">
        <v>109000</v>
      </c>
    </row>
    <row r="146" spans="1:14" x14ac:dyDescent="0.3">
      <c r="A146" t="s">
        <v>872</v>
      </c>
      <c r="B146" t="s">
        <v>832</v>
      </c>
      <c r="C146" t="s">
        <v>1135</v>
      </c>
      <c r="D146" t="s">
        <v>667</v>
      </c>
      <c r="E146" t="s">
        <v>1136</v>
      </c>
      <c r="F146" t="s">
        <v>765</v>
      </c>
      <c r="G146" t="s">
        <v>888</v>
      </c>
      <c r="H146" t="s">
        <v>694</v>
      </c>
      <c r="I146" t="s">
        <v>824</v>
      </c>
      <c r="J146" t="s">
        <v>824</v>
      </c>
      <c r="K146" t="s">
        <v>811</v>
      </c>
      <c r="L146" t="s">
        <v>660</v>
      </c>
      <c r="M146" t="s">
        <v>1115</v>
      </c>
      <c r="N146">
        <v>109000</v>
      </c>
    </row>
    <row r="147" spans="1:14" x14ac:dyDescent="0.3">
      <c r="A147" t="s">
        <v>1137</v>
      </c>
      <c r="B147" t="s">
        <v>674</v>
      </c>
      <c r="C147" t="s">
        <v>1138</v>
      </c>
      <c r="D147" t="s">
        <v>1098</v>
      </c>
      <c r="E147" t="s">
        <v>1098</v>
      </c>
      <c r="F147" t="s">
        <v>685</v>
      </c>
      <c r="G147" t="s">
        <v>888</v>
      </c>
      <c r="H147" t="s">
        <v>943</v>
      </c>
      <c r="I147" t="s">
        <v>709</v>
      </c>
      <c r="J147" t="s">
        <v>709</v>
      </c>
      <c r="K147" t="s">
        <v>680</v>
      </c>
      <c r="L147" t="s">
        <v>1139</v>
      </c>
      <c r="M147" t="s">
        <v>1115</v>
      </c>
      <c r="N147">
        <v>109000</v>
      </c>
    </row>
    <row r="148" spans="1:14" x14ac:dyDescent="0.3">
      <c r="A148" t="s">
        <v>663</v>
      </c>
      <c r="B148" t="s">
        <v>757</v>
      </c>
      <c r="C148" t="s">
        <v>1140</v>
      </c>
      <c r="D148" t="s">
        <v>1141</v>
      </c>
      <c r="E148" t="s">
        <v>676</v>
      </c>
      <c r="F148" t="s">
        <v>655</v>
      </c>
      <c r="G148" t="s">
        <v>969</v>
      </c>
      <c r="H148" t="s">
        <v>694</v>
      </c>
      <c r="I148" t="s">
        <v>658</v>
      </c>
      <c r="J148" t="s">
        <v>659</v>
      </c>
      <c r="K148" t="s">
        <v>811</v>
      </c>
      <c r="L148" t="s">
        <v>1142</v>
      </c>
      <c r="M148" t="s">
        <v>1115</v>
      </c>
      <c r="N148">
        <v>109000</v>
      </c>
    </row>
    <row r="149" spans="1:14" x14ac:dyDescent="0.3">
      <c r="A149" t="s">
        <v>1143</v>
      </c>
      <c r="B149" t="s">
        <v>1144</v>
      </c>
      <c r="C149" t="s">
        <v>1145</v>
      </c>
      <c r="D149" t="s">
        <v>719</v>
      </c>
      <c r="E149" t="s">
        <v>719</v>
      </c>
      <c r="F149" t="s">
        <v>685</v>
      </c>
      <c r="G149" t="s">
        <v>921</v>
      </c>
      <c r="H149" t="s">
        <v>694</v>
      </c>
      <c r="I149" t="s">
        <v>709</v>
      </c>
      <c r="J149" t="s">
        <v>709</v>
      </c>
      <c r="K149" t="s">
        <v>845</v>
      </c>
      <c r="L149" t="s">
        <v>660</v>
      </c>
      <c r="M149" t="s">
        <v>1115</v>
      </c>
      <c r="N149">
        <v>109000</v>
      </c>
    </row>
    <row r="150" spans="1:14" x14ac:dyDescent="0.3">
      <c r="A150" t="s">
        <v>663</v>
      </c>
      <c r="B150" t="s">
        <v>690</v>
      </c>
      <c r="C150" t="s">
        <v>1146</v>
      </c>
      <c r="D150" t="s">
        <v>705</v>
      </c>
      <c r="E150" t="s">
        <v>705</v>
      </c>
      <c r="F150" t="s">
        <v>692</v>
      </c>
      <c r="G150" t="s">
        <v>686</v>
      </c>
      <c r="H150" t="s">
        <v>694</v>
      </c>
      <c r="I150" t="s">
        <v>709</v>
      </c>
      <c r="J150" t="s">
        <v>709</v>
      </c>
      <c r="K150" t="s">
        <v>811</v>
      </c>
      <c r="L150" t="s">
        <v>660</v>
      </c>
      <c r="M150" t="s">
        <v>1115</v>
      </c>
      <c r="N150">
        <v>109000</v>
      </c>
    </row>
    <row r="151" spans="1:14" x14ac:dyDescent="0.3">
      <c r="A151" t="s">
        <v>1147</v>
      </c>
      <c r="B151" t="s">
        <v>717</v>
      </c>
      <c r="C151" t="s">
        <v>1148</v>
      </c>
      <c r="D151" t="s">
        <v>1149</v>
      </c>
      <c r="E151" t="s">
        <v>1150</v>
      </c>
      <c r="F151" t="s">
        <v>754</v>
      </c>
      <c r="G151" t="s">
        <v>803</v>
      </c>
      <c r="H151" t="s">
        <v>694</v>
      </c>
      <c r="I151" t="s">
        <v>695</v>
      </c>
      <c r="J151" t="s">
        <v>672</v>
      </c>
      <c r="K151" t="s">
        <v>660</v>
      </c>
      <c r="L151" t="s">
        <v>660</v>
      </c>
      <c r="M151" t="s">
        <v>1115</v>
      </c>
      <c r="N151">
        <v>109000</v>
      </c>
    </row>
    <row r="152" spans="1:14" x14ac:dyDescent="0.3">
      <c r="A152" t="s">
        <v>663</v>
      </c>
      <c r="B152" t="s">
        <v>690</v>
      </c>
      <c r="C152" t="s">
        <v>1151</v>
      </c>
      <c r="D152" t="s">
        <v>1152</v>
      </c>
      <c r="E152" t="s">
        <v>1153</v>
      </c>
      <c r="F152" t="s">
        <v>707</v>
      </c>
      <c r="G152" t="s">
        <v>737</v>
      </c>
      <c r="H152" t="s">
        <v>943</v>
      </c>
      <c r="I152" t="s">
        <v>1154</v>
      </c>
      <c r="J152" t="s">
        <v>1114</v>
      </c>
      <c r="K152" t="s">
        <v>710</v>
      </c>
      <c r="L152" t="s">
        <v>660</v>
      </c>
      <c r="M152" t="s">
        <v>1115</v>
      </c>
      <c r="N152">
        <v>109000</v>
      </c>
    </row>
    <row r="153" spans="1:14" x14ac:dyDescent="0.3">
      <c r="A153" t="s">
        <v>1155</v>
      </c>
      <c r="B153" t="s">
        <v>855</v>
      </c>
      <c r="C153" t="s">
        <v>1156</v>
      </c>
      <c r="D153" t="s">
        <v>1005</v>
      </c>
      <c r="E153" t="s">
        <v>1005</v>
      </c>
      <c r="F153" t="s">
        <v>754</v>
      </c>
      <c r="G153" t="s">
        <v>1157</v>
      </c>
      <c r="H153" t="s">
        <v>694</v>
      </c>
      <c r="I153" t="s">
        <v>709</v>
      </c>
      <c r="J153" t="s">
        <v>709</v>
      </c>
      <c r="K153" t="s">
        <v>845</v>
      </c>
      <c r="L153" t="s">
        <v>660</v>
      </c>
      <c r="M153" t="s">
        <v>1115</v>
      </c>
      <c r="N153">
        <v>109000</v>
      </c>
    </row>
    <row r="154" spans="1:14" x14ac:dyDescent="0.3">
      <c r="A154" t="s">
        <v>840</v>
      </c>
      <c r="B154" t="s">
        <v>664</v>
      </c>
      <c r="C154" t="s">
        <v>1158</v>
      </c>
      <c r="D154" t="s">
        <v>1159</v>
      </c>
      <c r="E154" t="s">
        <v>1159</v>
      </c>
      <c r="F154" t="s">
        <v>655</v>
      </c>
      <c r="G154" t="s">
        <v>1094</v>
      </c>
      <c r="H154" t="s">
        <v>694</v>
      </c>
      <c r="I154" t="s">
        <v>700</v>
      </c>
      <c r="J154" t="s">
        <v>701</v>
      </c>
      <c r="K154" t="s">
        <v>660</v>
      </c>
      <c r="L154" t="s">
        <v>660</v>
      </c>
      <c r="M154" t="s">
        <v>1115</v>
      </c>
      <c r="N154">
        <v>109000</v>
      </c>
    </row>
    <row r="155" spans="1:14" x14ac:dyDescent="0.3">
      <c r="A155" t="s">
        <v>1160</v>
      </c>
      <c r="B155" t="s">
        <v>681</v>
      </c>
      <c r="C155" t="s">
        <v>1161</v>
      </c>
      <c r="D155" t="s">
        <v>1162</v>
      </c>
      <c r="E155" t="s">
        <v>1162</v>
      </c>
      <c r="F155" t="s">
        <v>754</v>
      </c>
      <c r="G155" t="s">
        <v>948</v>
      </c>
      <c r="H155" t="s">
        <v>694</v>
      </c>
      <c r="I155" t="s">
        <v>709</v>
      </c>
      <c r="J155" t="s">
        <v>709</v>
      </c>
      <c r="K155" t="s">
        <v>680</v>
      </c>
      <c r="L155" t="s">
        <v>660</v>
      </c>
      <c r="M155" t="s">
        <v>1115</v>
      </c>
      <c r="N155">
        <v>109000</v>
      </c>
    </row>
    <row r="156" spans="1:14" x14ac:dyDescent="0.3">
      <c r="A156" t="s">
        <v>1163</v>
      </c>
      <c r="B156" t="s">
        <v>660</v>
      </c>
      <c r="C156" t="s">
        <v>1164</v>
      </c>
      <c r="D156" t="s">
        <v>1165</v>
      </c>
      <c r="E156" t="s">
        <v>882</v>
      </c>
      <c r="F156" t="s">
        <v>882</v>
      </c>
      <c r="G156" t="s">
        <v>660</v>
      </c>
      <c r="H156" t="s">
        <v>882</v>
      </c>
      <c r="I156" t="s">
        <v>882</v>
      </c>
      <c r="J156" t="s">
        <v>882</v>
      </c>
      <c r="K156" t="s">
        <v>882</v>
      </c>
      <c r="L156" t="s">
        <v>660</v>
      </c>
      <c r="M156" t="s">
        <v>1115</v>
      </c>
      <c r="N156">
        <v>109000</v>
      </c>
    </row>
    <row r="157" spans="1:14" x14ac:dyDescent="0.3">
      <c r="A157" t="s">
        <v>651</v>
      </c>
      <c r="B157" t="s">
        <v>664</v>
      </c>
      <c r="C157" t="s">
        <v>1166</v>
      </c>
      <c r="D157" t="s">
        <v>736</v>
      </c>
      <c r="E157" t="s">
        <v>1167</v>
      </c>
      <c r="F157" t="s">
        <v>707</v>
      </c>
      <c r="G157" t="s">
        <v>1168</v>
      </c>
      <c r="H157" t="s">
        <v>694</v>
      </c>
      <c r="I157" t="s">
        <v>709</v>
      </c>
      <c r="J157" t="s">
        <v>709</v>
      </c>
      <c r="K157" t="s">
        <v>722</v>
      </c>
      <c r="L157" t="s">
        <v>660</v>
      </c>
      <c r="M157" t="s">
        <v>1115</v>
      </c>
      <c r="N157">
        <v>109000</v>
      </c>
    </row>
    <row r="158" spans="1:14" x14ac:dyDescent="0.3">
      <c r="A158" t="s">
        <v>663</v>
      </c>
      <c r="B158" t="s">
        <v>729</v>
      </c>
      <c r="C158" t="s">
        <v>730</v>
      </c>
      <c r="D158" t="s">
        <v>667</v>
      </c>
      <c r="E158" t="s">
        <v>731</v>
      </c>
      <c r="F158" t="s">
        <v>685</v>
      </c>
      <c r="G158" t="s">
        <v>732</v>
      </c>
      <c r="H158" t="s">
        <v>694</v>
      </c>
      <c r="I158" t="s">
        <v>728</v>
      </c>
      <c r="J158" t="s">
        <v>701</v>
      </c>
      <c r="K158" t="s">
        <v>680</v>
      </c>
      <c r="L158" t="s">
        <v>733</v>
      </c>
      <c r="M158" t="s">
        <v>1169</v>
      </c>
      <c r="N158">
        <v>165000</v>
      </c>
    </row>
    <row r="159" spans="1:14" x14ac:dyDescent="0.3">
      <c r="A159" t="s">
        <v>762</v>
      </c>
      <c r="B159" t="s">
        <v>717</v>
      </c>
      <c r="C159" t="s">
        <v>763</v>
      </c>
      <c r="D159" t="s">
        <v>759</v>
      </c>
      <c r="E159" t="s">
        <v>764</v>
      </c>
      <c r="F159" t="s">
        <v>765</v>
      </c>
      <c r="G159" t="s">
        <v>766</v>
      </c>
      <c r="H159" t="s">
        <v>694</v>
      </c>
      <c r="I159" t="s">
        <v>767</v>
      </c>
      <c r="J159" t="s">
        <v>746</v>
      </c>
      <c r="K159" t="s">
        <v>660</v>
      </c>
      <c r="L159" t="s">
        <v>660</v>
      </c>
      <c r="M159" t="s">
        <v>1169</v>
      </c>
      <c r="N159">
        <v>165000</v>
      </c>
    </row>
    <row r="160" spans="1:14" x14ac:dyDescent="0.3">
      <c r="A160" t="s">
        <v>872</v>
      </c>
      <c r="B160" t="s">
        <v>660</v>
      </c>
      <c r="C160" t="s">
        <v>1170</v>
      </c>
      <c r="D160" t="s">
        <v>1039</v>
      </c>
      <c r="E160" t="s">
        <v>882</v>
      </c>
      <c r="F160" t="s">
        <v>882</v>
      </c>
      <c r="G160" t="s">
        <v>660</v>
      </c>
      <c r="H160" t="s">
        <v>882</v>
      </c>
      <c r="I160" t="s">
        <v>882</v>
      </c>
      <c r="J160" t="s">
        <v>882</v>
      </c>
      <c r="K160" t="s">
        <v>882</v>
      </c>
      <c r="L160" t="s">
        <v>660</v>
      </c>
      <c r="M160" t="s">
        <v>1169</v>
      </c>
      <c r="N160">
        <v>165000</v>
      </c>
    </row>
    <row r="161" spans="1:15" x14ac:dyDescent="0.3">
      <c r="A161" t="s">
        <v>663</v>
      </c>
      <c r="B161" t="s">
        <v>681</v>
      </c>
      <c r="C161" t="s">
        <v>1171</v>
      </c>
      <c r="D161" t="s">
        <v>1172</v>
      </c>
      <c r="E161" t="s">
        <v>1039</v>
      </c>
      <c r="F161" t="s">
        <v>707</v>
      </c>
      <c r="G161" t="s">
        <v>1173</v>
      </c>
      <c r="H161" t="s">
        <v>670</v>
      </c>
      <c r="I161" t="s">
        <v>824</v>
      </c>
      <c r="J161" t="s">
        <v>824</v>
      </c>
      <c r="K161" t="s">
        <v>710</v>
      </c>
      <c r="L161" t="s">
        <v>660</v>
      </c>
      <c r="M161" t="s">
        <v>1169</v>
      </c>
      <c r="N161">
        <v>165000</v>
      </c>
    </row>
    <row r="162" spans="1:15" x14ac:dyDescent="0.3">
      <c r="A162" t="s">
        <v>663</v>
      </c>
      <c r="B162" t="s">
        <v>729</v>
      </c>
      <c r="C162" t="s">
        <v>1174</v>
      </c>
      <c r="D162" t="s">
        <v>793</v>
      </c>
      <c r="E162" t="s">
        <v>793</v>
      </c>
      <c r="F162" t="s">
        <v>754</v>
      </c>
      <c r="G162" t="s">
        <v>921</v>
      </c>
      <c r="H162" t="s">
        <v>694</v>
      </c>
      <c r="I162" t="s">
        <v>700</v>
      </c>
      <c r="J162" t="s">
        <v>701</v>
      </c>
      <c r="K162" t="s">
        <v>680</v>
      </c>
      <c r="L162" t="s">
        <v>1175</v>
      </c>
      <c r="M162" t="s">
        <v>1169</v>
      </c>
      <c r="N162">
        <v>165000</v>
      </c>
    </row>
    <row r="163" spans="1:15" x14ac:dyDescent="0.3">
      <c r="A163" t="s">
        <v>1176</v>
      </c>
      <c r="B163" t="s">
        <v>769</v>
      </c>
      <c r="C163" t="s">
        <v>1177</v>
      </c>
      <c r="D163" t="s">
        <v>1178</v>
      </c>
      <c r="E163" t="s">
        <v>1178</v>
      </c>
      <c r="F163" t="s">
        <v>655</v>
      </c>
      <c r="G163" t="s">
        <v>1179</v>
      </c>
      <c r="H163" t="s">
        <v>694</v>
      </c>
      <c r="I163" t="s">
        <v>658</v>
      </c>
      <c r="J163" t="s">
        <v>659</v>
      </c>
      <c r="K163" t="s">
        <v>673</v>
      </c>
      <c r="L163" t="s">
        <v>660</v>
      </c>
      <c r="M163" t="s">
        <v>1169</v>
      </c>
      <c r="N163">
        <v>165000</v>
      </c>
    </row>
    <row r="164" spans="1:15" x14ac:dyDescent="0.3">
      <c r="A164" t="s">
        <v>1180</v>
      </c>
      <c r="B164" t="s">
        <v>681</v>
      </c>
      <c r="C164" t="s">
        <v>1084</v>
      </c>
      <c r="D164" t="s">
        <v>666</v>
      </c>
      <c r="E164" t="s">
        <v>1085</v>
      </c>
      <c r="F164" t="s">
        <v>668</v>
      </c>
      <c r="G164" t="s">
        <v>660</v>
      </c>
      <c r="H164" t="s">
        <v>670</v>
      </c>
      <c r="I164" t="s">
        <v>824</v>
      </c>
      <c r="J164" t="s">
        <v>824</v>
      </c>
      <c r="K164" t="s">
        <v>722</v>
      </c>
      <c r="L164" t="s">
        <v>660</v>
      </c>
      <c r="M164" t="s">
        <v>1169</v>
      </c>
      <c r="N164">
        <v>165000</v>
      </c>
    </row>
    <row r="165" spans="1:15" x14ac:dyDescent="0.3">
      <c r="A165" t="s">
        <v>870</v>
      </c>
      <c r="B165" t="s">
        <v>855</v>
      </c>
      <c r="C165" t="s">
        <v>1181</v>
      </c>
      <c r="D165" t="s">
        <v>759</v>
      </c>
      <c r="E165" t="s">
        <v>759</v>
      </c>
      <c r="F165" t="s">
        <v>685</v>
      </c>
      <c r="G165" t="s">
        <v>766</v>
      </c>
      <c r="H165" t="s">
        <v>657</v>
      </c>
      <c r="I165" t="s">
        <v>1113</v>
      </c>
      <c r="J165" t="s">
        <v>1114</v>
      </c>
      <c r="K165" t="s">
        <v>815</v>
      </c>
      <c r="L165" t="s">
        <v>660</v>
      </c>
      <c r="M165" t="s">
        <v>1169</v>
      </c>
      <c r="N165">
        <v>165000</v>
      </c>
    </row>
    <row r="166" spans="1:15" x14ac:dyDescent="0.3">
      <c r="A166" t="s">
        <v>889</v>
      </c>
      <c r="B166" t="s">
        <v>757</v>
      </c>
      <c r="C166" t="s">
        <v>1182</v>
      </c>
      <c r="D166" t="s">
        <v>1183</v>
      </c>
      <c r="E166" t="s">
        <v>1184</v>
      </c>
      <c r="F166" t="s">
        <v>707</v>
      </c>
      <c r="G166" t="s">
        <v>708</v>
      </c>
      <c r="H166" t="s">
        <v>943</v>
      </c>
      <c r="I166" t="s">
        <v>738</v>
      </c>
      <c r="J166" t="s">
        <v>701</v>
      </c>
      <c r="K166" t="s">
        <v>710</v>
      </c>
      <c r="L166" t="s">
        <v>1185</v>
      </c>
      <c r="M166" t="s">
        <v>1169</v>
      </c>
      <c r="N166">
        <v>165000</v>
      </c>
    </row>
    <row r="167" spans="1:15" x14ac:dyDescent="0.3">
      <c r="A167" t="s">
        <v>663</v>
      </c>
      <c r="B167" t="s">
        <v>717</v>
      </c>
      <c r="C167" t="s">
        <v>1186</v>
      </c>
      <c r="D167" t="s">
        <v>1066</v>
      </c>
      <c r="E167" t="s">
        <v>1066</v>
      </c>
      <c r="F167" t="s">
        <v>754</v>
      </c>
      <c r="G167" t="s">
        <v>772</v>
      </c>
      <c r="H167" t="s">
        <v>694</v>
      </c>
      <c r="I167" t="s">
        <v>1187</v>
      </c>
      <c r="J167" t="s">
        <v>1187</v>
      </c>
      <c r="K167" t="s">
        <v>660</v>
      </c>
      <c r="L167" t="s">
        <v>660</v>
      </c>
      <c r="M167" t="s">
        <v>1169</v>
      </c>
      <c r="N167">
        <v>165000</v>
      </c>
    </row>
    <row r="168" spans="1:15" x14ac:dyDescent="0.3">
      <c r="A168" t="s">
        <v>1188</v>
      </c>
      <c r="B168" t="s">
        <v>904</v>
      </c>
      <c r="C168" t="s">
        <v>967</v>
      </c>
      <c r="D168" t="s">
        <v>793</v>
      </c>
      <c r="E168" t="s">
        <v>968</v>
      </c>
      <c r="F168" t="s">
        <v>668</v>
      </c>
      <c r="G168" t="s">
        <v>969</v>
      </c>
      <c r="H168" t="s">
        <v>670</v>
      </c>
      <c r="I168" t="s">
        <v>700</v>
      </c>
      <c r="J168" t="s">
        <v>701</v>
      </c>
      <c r="K168" t="s">
        <v>722</v>
      </c>
      <c r="L168" t="s">
        <v>660</v>
      </c>
      <c r="M168" t="s">
        <v>1169</v>
      </c>
      <c r="N168">
        <v>165000</v>
      </c>
    </row>
    <row r="169" spans="1:15" x14ac:dyDescent="0.3">
      <c r="A169" t="s">
        <v>1188</v>
      </c>
      <c r="B169" t="s">
        <v>904</v>
      </c>
      <c r="C169" t="s">
        <v>967</v>
      </c>
      <c r="D169" t="s">
        <v>793</v>
      </c>
      <c r="E169" t="s">
        <v>667</v>
      </c>
      <c r="F169" t="s">
        <v>668</v>
      </c>
      <c r="G169" t="s">
        <v>669</v>
      </c>
      <c r="H169" t="s">
        <v>670</v>
      </c>
      <c r="I169" t="s">
        <v>671</v>
      </c>
      <c r="J169" t="s">
        <v>672</v>
      </c>
      <c r="K169" t="s">
        <v>673</v>
      </c>
      <c r="L169" t="s">
        <v>660</v>
      </c>
      <c r="M169" t="s">
        <v>1169</v>
      </c>
      <c r="N169">
        <v>165000</v>
      </c>
    </row>
    <row r="170" spans="1:15" x14ac:dyDescent="0.3">
      <c r="A170" t="s">
        <v>840</v>
      </c>
      <c r="B170" t="s">
        <v>681</v>
      </c>
      <c r="C170" t="s">
        <v>1189</v>
      </c>
      <c r="D170" t="s">
        <v>1190</v>
      </c>
      <c r="E170" t="s">
        <v>1191</v>
      </c>
      <c r="F170" t="s">
        <v>707</v>
      </c>
      <c r="G170" t="s">
        <v>1192</v>
      </c>
      <c r="H170" t="s">
        <v>670</v>
      </c>
      <c r="I170" t="s">
        <v>882</v>
      </c>
      <c r="J170" t="s">
        <v>882</v>
      </c>
      <c r="K170" t="s">
        <v>710</v>
      </c>
      <c r="L170" t="s">
        <v>1193</v>
      </c>
      <c r="M170" t="s">
        <v>1169</v>
      </c>
      <c r="N170">
        <v>165000</v>
      </c>
    </row>
    <row r="171" spans="1:15" x14ac:dyDescent="0.3">
      <c r="A171" t="s">
        <v>1194</v>
      </c>
      <c r="B171" t="s">
        <v>1195</v>
      </c>
      <c r="C171" t="s">
        <v>1196</v>
      </c>
      <c r="D171" t="s">
        <v>1197</v>
      </c>
      <c r="E171" t="s">
        <v>1197</v>
      </c>
      <c r="F171" t="s">
        <v>655</v>
      </c>
      <c r="G171" t="s">
        <v>814</v>
      </c>
      <c r="H171" t="s">
        <v>1048</v>
      </c>
      <c r="I171" t="s">
        <v>709</v>
      </c>
      <c r="J171" t="s">
        <v>709</v>
      </c>
      <c r="K171" t="s">
        <v>680</v>
      </c>
      <c r="L171" t="s">
        <v>1198</v>
      </c>
      <c r="M171" t="s">
        <v>1169</v>
      </c>
      <c r="N171">
        <v>165000</v>
      </c>
    </row>
    <row r="172" spans="1:15" x14ac:dyDescent="0.3">
      <c r="A172" t="s">
        <v>663</v>
      </c>
      <c r="B172" t="s">
        <v>757</v>
      </c>
      <c r="C172" t="s">
        <v>1199</v>
      </c>
      <c r="D172" t="s">
        <v>726</v>
      </c>
      <c r="E172" t="s">
        <v>1200</v>
      </c>
      <c r="F172" t="s">
        <v>668</v>
      </c>
      <c r="G172" t="s">
        <v>1179</v>
      </c>
      <c r="H172" t="s">
        <v>670</v>
      </c>
      <c r="I172" t="s">
        <v>930</v>
      </c>
      <c r="J172" t="s">
        <v>672</v>
      </c>
      <c r="K172" t="s">
        <v>782</v>
      </c>
      <c r="L172" t="s">
        <v>1201</v>
      </c>
      <c r="M172" t="s">
        <v>1169</v>
      </c>
      <c r="N172">
        <v>165000</v>
      </c>
    </row>
    <row r="173" spans="1:15" x14ac:dyDescent="0.3">
      <c r="A173" t="s">
        <v>1202</v>
      </c>
      <c r="B173" t="s">
        <v>1203</v>
      </c>
      <c r="C173" t="s">
        <v>848</v>
      </c>
      <c r="D173" t="s">
        <v>954</v>
      </c>
      <c r="E173" t="s">
        <v>965</v>
      </c>
      <c r="F173" t="s">
        <v>726</v>
      </c>
      <c r="G173" t="s">
        <v>685</v>
      </c>
      <c r="H173" t="s">
        <v>772</v>
      </c>
      <c r="I173" t="s">
        <v>694</v>
      </c>
      <c r="J173" t="s">
        <v>709</v>
      </c>
      <c r="K173" t="s">
        <v>709</v>
      </c>
      <c r="L173" t="s">
        <v>660</v>
      </c>
      <c r="M173" t="s">
        <v>660</v>
      </c>
      <c r="N173">
        <v>101000</v>
      </c>
      <c r="O173">
        <v>165000</v>
      </c>
    </row>
    <row r="174" spans="1:15" x14ac:dyDescent="0.3">
      <c r="A174" t="s">
        <v>663</v>
      </c>
      <c r="B174" t="s">
        <v>734</v>
      </c>
      <c r="C174" t="s">
        <v>1204</v>
      </c>
      <c r="D174" t="s">
        <v>965</v>
      </c>
      <c r="E174" t="s">
        <v>965</v>
      </c>
      <c r="F174" t="s">
        <v>754</v>
      </c>
      <c r="G174" t="s">
        <v>1043</v>
      </c>
      <c r="H174" t="s">
        <v>694</v>
      </c>
      <c r="I174" t="s">
        <v>728</v>
      </c>
      <c r="J174" t="s">
        <v>701</v>
      </c>
      <c r="K174" t="s">
        <v>680</v>
      </c>
      <c r="L174" t="s">
        <v>1205</v>
      </c>
      <c r="M174" t="s">
        <v>1169</v>
      </c>
      <c r="N174">
        <v>165000</v>
      </c>
    </row>
    <row r="175" spans="1:15" x14ac:dyDescent="0.3">
      <c r="A175" t="s">
        <v>1206</v>
      </c>
      <c r="B175" t="s">
        <v>703</v>
      </c>
      <c r="C175" t="s">
        <v>1207</v>
      </c>
      <c r="D175" t="s">
        <v>654</v>
      </c>
      <c r="E175" t="s">
        <v>654</v>
      </c>
      <c r="F175" t="s">
        <v>754</v>
      </c>
      <c r="G175" t="s">
        <v>727</v>
      </c>
      <c r="H175" t="s">
        <v>694</v>
      </c>
      <c r="I175" t="s">
        <v>728</v>
      </c>
      <c r="J175" t="s">
        <v>701</v>
      </c>
      <c r="K175" t="s">
        <v>660</v>
      </c>
      <c r="L175" t="s">
        <v>660</v>
      </c>
      <c r="M175" t="s">
        <v>1169</v>
      </c>
      <c r="N175">
        <v>165000</v>
      </c>
    </row>
    <row r="176" spans="1:15" x14ac:dyDescent="0.3">
      <c r="A176" t="s">
        <v>870</v>
      </c>
      <c r="B176" t="s">
        <v>848</v>
      </c>
      <c r="C176" t="s">
        <v>1208</v>
      </c>
      <c r="D176" t="s">
        <v>719</v>
      </c>
      <c r="E176" t="s">
        <v>719</v>
      </c>
      <c r="F176" t="s">
        <v>655</v>
      </c>
      <c r="G176" t="s">
        <v>1209</v>
      </c>
      <c r="H176" t="s">
        <v>943</v>
      </c>
      <c r="I176" t="s">
        <v>1036</v>
      </c>
      <c r="J176" t="s">
        <v>37</v>
      </c>
      <c r="K176" t="s">
        <v>673</v>
      </c>
      <c r="L176" t="s">
        <v>1210</v>
      </c>
      <c r="M176" t="s">
        <v>1169</v>
      </c>
      <c r="N176">
        <v>165000</v>
      </c>
    </row>
    <row r="177" spans="1:15" x14ac:dyDescent="0.3">
      <c r="A177" t="s">
        <v>1211</v>
      </c>
      <c r="B177" t="s">
        <v>848</v>
      </c>
      <c r="C177" t="s">
        <v>954</v>
      </c>
      <c r="D177" t="s">
        <v>726</v>
      </c>
      <c r="E177" t="s">
        <v>726</v>
      </c>
      <c r="F177" t="s">
        <v>685</v>
      </c>
      <c r="G177" t="s">
        <v>772</v>
      </c>
      <c r="H177" t="s">
        <v>694</v>
      </c>
      <c r="I177" t="s">
        <v>709</v>
      </c>
      <c r="J177" t="s">
        <v>709</v>
      </c>
      <c r="K177" t="s">
        <v>660</v>
      </c>
      <c r="L177" t="s">
        <v>660</v>
      </c>
      <c r="M177" t="s">
        <v>1169</v>
      </c>
      <c r="N177">
        <v>165000</v>
      </c>
    </row>
    <row r="178" spans="1:15" x14ac:dyDescent="0.3">
      <c r="A178" t="s">
        <v>840</v>
      </c>
      <c r="B178" t="s">
        <v>717</v>
      </c>
      <c r="C178" t="s">
        <v>1212</v>
      </c>
      <c r="D178" t="s">
        <v>1213</v>
      </c>
      <c r="E178" t="s">
        <v>1214</v>
      </c>
      <c r="F178" t="s">
        <v>754</v>
      </c>
      <c r="G178" t="s">
        <v>693</v>
      </c>
      <c r="H178" t="s">
        <v>694</v>
      </c>
      <c r="I178" t="s">
        <v>1215</v>
      </c>
      <c r="J178" t="s">
        <v>37</v>
      </c>
      <c r="K178" t="s">
        <v>845</v>
      </c>
      <c r="L178" t="s">
        <v>660</v>
      </c>
      <c r="M178" t="s">
        <v>1169</v>
      </c>
      <c r="N178">
        <v>165000</v>
      </c>
    </row>
    <row r="179" spans="1:15" x14ac:dyDescent="0.3">
      <c r="A179" t="s">
        <v>740</v>
      </c>
      <c r="B179" t="s">
        <v>741</v>
      </c>
      <c r="C179" t="s">
        <v>742</v>
      </c>
      <c r="D179" t="s">
        <v>743</v>
      </c>
      <c r="E179" t="s">
        <v>744</v>
      </c>
      <c r="F179" t="s">
        <v>744</v>
      </c>
      <c r="G179" t="s">
        <v>655</v>
      </c>
      <c r="H179" t="s">
        <v>745</v>
      </c>
      <c r="I179" t="s">
        <v>746</v>
      </c>
      <c r="J179" t="s">
        <v>747</v>
      </c>
      <c r="K179" t="s">
        <v>748</v>
      </c>
      <c r="L179" t="s">
        <v>749</v>
      </c>
      <c r="M179" t="s">
        <v>750</v>
      </c>
      <c r="N179">
        <v>56000</v>
      </c>
      <c r="O179">
        <v>97000</v>
      </c>
    </row>
    <row r="180" spans="1:15" x14ac:dyDescent="0.3">
      <c r="A180" t="s">
        <v>663</v>
      </c>
      <c r="B180" t="s">
        <v>681</v>
      </c>
      <c r="C180" t="s">
        <v>774</v>
      </c>
      <c r="D180" t="s">
        <v>775</v>
      </c>
      <c r="E180" t="s">
        <v>775</v>
      </c>
      <c r="F180" t="s">
        <v>655</v>
      </c>
      <c r="G180" t="s">
        <v>776</v>
      </c>
      <c r="H180" t="s">
        <v>694</v>
      </c>
      <c r="I180" t="s">
        <v>756</v>
      </c>
      <c r="J180" t="s">
        <v>688</v>
      </c>
      <c r="K180" t="s">
        <v>749</v>
      </c>
      <c r="L180" t="s">
        <v>660</v>
      </c>
      <c r="M180" t="s">
        <v>1216</v>
      </c>
      <c r="N180">
        <v>97000</v>
      </c>
    </row>
    <row r="181" spans="1:15" x14ac:dyDescent="0.3">
      <c r="A181" t="s">
        <v>872</v>
      </c>
      <c r="B181" t="s">
        <v>681</v>
      </c>
      <c r="C181" t="s">
        <v>774</v>
      </c>
      <c r="D181" t="s">
        <v>775</v>
      </c>
      <c r="E181" t="s">
        <v>1217</v>
      </c>
      <c r="F181" t="s">
        <v>685</v>
      </c>
      <c r="G181" t="s">
        <v>803</v>
      </c>
      <c r="H181" t="s">
        <v>657</v>
      </c>
      <c r="I181" t="s">
        <v>767</v>
      </c>
      <c r="J181" t="s">
        <v>746</v>
      </c>
      <c r="K181" t="s">
        <v>845</v>
      </c>
      <c r="L181" t="s">
        <v>660</v>
      </c>
      <c r="M181" t="s">
        <v>1216</v>
      </c>
      <c r="N181">
        <v>97000</v>
      </c>
    </row>
    <row r="182" spans="1:15" x14ac:dyDescent="0.3">
      <c r="A182" t="s">
        <v>1218</v>
      </c>
      <c r="B182" t="s">
        <v>674</v>
      </c>
      <c r="C182" t="s">
        <v>1138</v>
      </c>
      <c r="D182" t="s">
        <v>1098</v>
      </c>
      <c r="E182" t="s">
        <v>1098</v>
      </c>
      <c r="F182" t="s">
        <v>685</v>
      </c>
      <c r="G182" t="s">
        <v>888</v>
      </c>
      <c r="H182" t="s">
        <v>943</v>
      </c>
      <c r="I182" t="s">
        <v>709</v>
      </c>
      <c r="J182" t="s">
        <v>709</v>
      </c>
      <c r="K182" t="s">
        <v>680</v>
      </c>
      <c r="L182" t="s">
        <v>1139</v>
      </c>
      <c r="M182" t="s">
        <v>1216</v>
      </c>
      <c r="N182">
        <v>97000</v>
      </c>
    </row>
    <row r="183" spans="1:15" x14ac:dyDescent="0.3">
      <c r="A183" t="s">
        <v>1219</v>
      </c>
      <c r="B183" t="s">
        <v>734</v>
      </c>
      <c r="C183" t="s">
        <v>1220</v>
      </c>
      <c r="D183" t="s">
        <v>1221</v>
      </c>
      <c r="E183" t="s">
        <v>1221</v>
      </c>
      <c r="F183" t="s">
        <v>754</v>
      </c>
      <c r="G183" t="s">
        <v>766</v>
      </c>
      <c r="H183" t="s">
        <v>694</v>
      </c>
      <c r="I183" t="s">
        <v>695</v>
      </c>
      <c r="J183" t="s">
        <v>672</v>
      </c>
      <c r="K183" t="s">
        <v>815</v>
      </c>
      <c r="L183" t="s">
        <v>660</v>
      </c>
      <c r="M183" t="s">
        <v>1216</v>
      </c>
      <c r="N183">
        <v>97000</v>
      </c>
    </row>
    <row r="184" spans="1:15" x14ac:dyDescent="0.3">
      <c r="A184" t="s">
        <v>1222</v>
      </c>
      <c r="B184" t="s">
        <v>681</v>
      </c>
      <c r="C184" t="s">
        <v>1223</v>
      </c>
      <c r="D184" t="s">
        <v>654</v>
      </c>
      <c r="E184" t="s">
        <v>1224</v>
      </c>
      <c r="F184" t="s">
        <v>655</v>
      </c>
      <c r="G184" t="s">
        <v>1225</v>
      </c>
      <c r="H184" t="s">
        <v>670</v>
      </c>
      <c r="I184" t="s">
        <v>658</v>
      </c>
      <c r="J184" t="s">
        <v>659</v>
      </c>
      <c r="K184" t="s">
        <v>673</v>
      </c>
      <c r="L184" t="s">
        <v>660</v>
      </c>
      <c r="M184" t="s">
        <v>1216</v>
      </c>
      <c r="N184">
        <v>97000</v>
      </c>
    </row>
    <row r="185" spans="1:15" x14ac:dyDescent="0.3">
      <c r="A185" t="s">
        <v>663</v>
      </c>
      <c r="B185" t="s">
        <v>848</v>
      </c>
      <c r="C185" t="s">
        <v>1226</v>
      </c>
      <c r="D185" t="s">
        <v>1227</v>
      </c>
      <c r="E185" t="s">
        <v>1228</v>
      </c>
      <c r="F185" t="s">
        <v>668</v>
      </c>
      <c r="G185" t="s">
        <v>1229</v>
      </c>
      <c r="H185" t="s">
        <v>670</v>
      </c>
      <c r="I185" t="s">
        <v>824</v>
      </c>
      <c r="J185" t="s">
        <v>824</v>
      </c>
      <c r="K185" t="s">
        <v>749</v>
      </c>
      <c r="L185" t="s">
        <v>660</v>
      </c>
      <c r="M185" t="s">
        <v>1216</v>
      </c>
      <c r="N185">
        <v>97000</v>
      </c>
    </row>
    <row r="186" spans="1:15" x14ac:dyDescent="0.3">
      <c r="A186" t="s">
        <v>1188</v>
      </c>
      <c r="B186" t="s">
        <v>703</v>
      </c>
      <c r="C186" t="s">
        <v>1230</v>
      </c>
      <c r="D186" t="s">
        <v>793</v>
      </c>
      <c r="E186" t="s">
        <v>793</v>
      </c>
      <c r="F186" t="s">
        <v>692</v>
      </c>
      <c r="G186" t="s">
        <v>844</v>
      </c>
      <c r="H186" t="s">
        <v>670</v>
      </c>
      <c r="I186" t="s">
        <v>773</v>
      </c>
      <c r="J186" t="s">
        <v>701</v>
      </c>
      <c r="K186" t="s">
        <v>660</v>
      </c>
      <c r="L186" t="s">
        <v>660</v>
      </c>
      <c r="M186" t="s">
        <v>1216</v>
      </c>
      <c r="N186">
        <v>97000</v>
      </c>
    </row>
    <row r="187" spans="1:15" x14ac:dyDescent="0.3">
      <c r="A187" t="s">
        <v>1070</v>
      </c>
      <c r="B187" t="s">
        <v>742</v>
      </c>
      <c r="C187" t="s">
        <v>1231</v>
      </c>
      <c r="D187" t="s">
        <v>676</v>
      </c>
      <c r="E187" t="s">
        <v>1232</v>
      </c>
      <c r="F187" t="s">
        <v>668</v>
      </c>
      <c r="G187" t="s">
        <v>1233</v>
      </c>
      <c r="H187" t="s">
        <v>694</v>
      </c>
      <c r="I187" t="s">
        <v>658</v>
      </c>
      <c r="J187" t="s">
        <v>659</v>
      </c>
      <c r="K187" t="s">
        <v>710</v>
      </c>
      <c r="L187" t="s">
        <v>660</v>
      </c>
      <c r="M187" t="s">
        <v>1216</v>
      </c>
      <c r="N187">
        <v>97000</v>
      </c>
    </row>
    <row r="188" spans="1:15" x14ac:dyDescent="0.3">
      <c r="A188" t="s">
        <v>1234</v>
      </c>
      <c r="B188" t="s">
        <v>703</v>
      </c>
      <c r="C188" t="s">
        <v>1235</v>
      </c>
      <c r="D188" t="s">
        <v>1236</v>
      </c>
      <c r="E188" t="s">
        <v>1236</v>
      </c>
      <c r="F188" t="s">
        <v>685</v>
      </c>
      <c r="G188" t="s">
        <v>1237</v>
      </c>
      <c r="H188" t="s">
        <v>670</v>
      </c>
      <c r="I188" t="s">
        <v>709</v>
      </c>
      <c r="J188" t="s">
        <v>709</v>
      </c>
      <c r="K188" t="s">
        <v>680</v>
      </c>
      <c r="L188" t="s">
        <v>1238</v>
      </c>
      <c r="M188" t="s">
        <v>1216</v>
      </c>
      <c r="N188">
        <v>97000</v>
      </c>
    </row>
    <row r="189" spans="1:15" x14ac:dyDescent="0.3">
      <c r="A189" t="s">
        <v>1239</v>
      </c>
      <c r="B189" t="s">
        <v>904</v>
      </c>
      <c r="C189" t="s">
        <v>1240</v>
      </c>
      <c r="D189" t="s">
        <v>885</v>
      </c>
      <c r="E189" t="s">
        <v>885</v>
      </c>
      <c r="F189" t="s">
        <v>707</v>
      </c>
      <c r="G189" t="s">
        <v>1241</v>
      </c>
      <c r="H189" t="s">
        <v>943</v>
      </c>
      <c r="I189" t="s">
        <v>709</v>
      </c>
      <c r="J189" t="s">
        <v>709</v>
      </c>
      <c r="K189" t="s">
        <v>710</v>
      </c>
      <c r="L189" t="s">
        <v>660</v>
      </c>
      <c r="M189" t="s">
        <v>1216</v>
      </c>
      <c r="N189">
        <v>97000</v>
      </c>
    </row>
    <row r="190" spans="1:15" x14ac:dyDescent="0.3">
      <c r="A190" t="s">
        <v>1242</v>
      </c>
      <c r="B190" t="s">
        <v>664</v>
      </c>
      <c r="C190" t="s">
        <v>1243</v>
      </c>
      <c r="D190" t="s">
        <v>667</v>
      </c>
      <c r="E190" t="s">
        <v>667</v>
      </c>
      <c r="F190" t="s">
        <v>754</v>
      </c>
      <c r="G190" t="s">
        <v>699</v>
      </c>
      <c r="H190" t="s">
        <v>694</v>
      </c>
      <c r="I190" t="s">
        <v>738</v>
      </c>
      <c r="J190" t="s">
        <v>701</v>
      </c>
      <c r="K190" t="s">
        <v>845</v>
      </c>
      <c r="L190" t="s">
        <v>1244</v>
      </c>
      <c r="M190" t="s">
        <v>1216</v>
      </c>
      <c r="N190">
        <v>97000</v>
      </c>
    </row>
    <row r="191" spans="1:15" x14ac:dyDescent="0.3">
      <c r="A191" t="s">
        <v>1245</v>
      </c>
      <c r="B191" t="s">
        <v>724</v>
      </c>
      <c r="C191" t="s">
        <v>1246</v>
      </c>
      <c r="D191" t="s">
        <v>1247</v>
      </c>
      <c r="E191" t="s">
        <v>1247</v>
      </c>
      <c r="F191" t="s">
        <v>1248</v>
      </c>
      <c r="G191" t="s">
        <v>948</v>
      </c>
      <c r="H191" t="s">
        <v>943</v>
      </c>
      <c r="I191" t="s">
        <v>695</v>
      </c>
      <c r="J191" t="s">
        <v>672</v>
      </c>
      <c r="K191" t="s">
        <v>660</v>
      </c>
      <c r="L191" t="s">
        <v>1249</v>
      </c>
      <c r="M191" t="s">
        <v>1216</v>
      </c>
      <c r="N191">
        <v>97000</v>
      </c>
    </row>
    <row r="192" spans="1:15" x14ac:dyDescent="0.3">
      <c r="A192" t="s">
        <v>1250</v>
      </c>
      <c r="B192" t="s">
        <v>734</v>
      </c>
      <c r="C192" t="s">
        <v>1251</v>
      </c>
      <c r="D192" t="s">
        <v>793</v>
      </c>
      <c r="E192" t="s">
        <v>1252</v>
      </c>
      <c r="F192" t="s">
        <v>685</v>
      </c>
      <c r="G192" t="s">
        <v>852</v>
      </c>
      <c r="H192" t="s">
        <v>943</v>
      </c>
      <c r="I192" t="s">
        <v>700</v>
      </c>
      <c r="J192" t="s">
        <v>701</v>
      </c>
      <c r="K192" t="s">
        <v>660</v>
      </c>
      <c r="L192" t="s">
        <v>660</v>
      </c>
      <c r="M192" t="s">
        <v>1216</v>
      </c>
      <c r="N192">
        <v>97000</v>
      </c>
    </row>
    <row r="193" spans="1:15" x14ac:dyDescent="0.3">
      <c r="A193" t="s">
        <v>840</v>
      </c>
      <c r="B193" t="s">
        <v>769</v>
      </c>
      <c r="C193" t="s">
        <v>1253</v>
      </c>
      <c r="D193" t="s">
        <v>906</v>
      </c>
      <c r="E193" t="s">
        <v>720</v>
      </c>
      <c r="F193" t="s">
        <v>692</v>
      </c>
      <c r="G193" t="s">
        <v>797</v>
      </c>
      <c r="H193" t="s">
        <v>694</v>
      </c>
      <c r="I193" t="s">
        <v>738</v>
      </c>
      <c r="J193" t="s">
        <v>701</v>
      </c>
      <c r="K193" t="s">
        <v>660</v>
      </c>
      <c r="L193" t="s">
        <v>660</v>
      </c>
      <c r="M193" t="s">
        <v>1216</v>
      </c>
      <c r="N193">
        <v>97000</v>
      </c>
    </row>
    <row r="194" spans="1:15" x14ac:dyDescent="0.3">
      <c r="A194" t="s">
        <v>966</v>
      </c>
      <c r="B194" t="s">
        <v>904</v>
      </c>
      <c r="C194" t="s">
        <v>999</v>
      </c>
      <c r="D194" t="s">
        <v>1000</v>
      </c>
      <c r="E194" t="s">
        <v>1001</v>
      </c>
      <c r="F194" t="s">
        <v>707</v>
      </c>
      <c r="G194" t="s">
        <v>1002</v>
      </c>
      <c r="H194" t="s">
        <v>670</v>
      </c>
      <c r="I194" t="s">
        <v>709</v>
      </c>
      <c r="J194" t="s">
        <v>709</v>
      </c>
      <c r="K194" t="s">
        <v>710</v>
      </c>
      <c r="L194" t="s">
        <v>1003</v>
      </c>
      <c r="M194" t="s">
        <v>1216</v>
      </c>
      <c r="N194">
        <v>97000</v>
      </c>
    </row>
    <row r="195" spans="1:15" x14ac:dyDescent="0.3">
      <c r="A195" t="s">
        <v>663</v>
      </c>
      <c r="B195" t="s">
        <v>832</v>
      </c>
      <c r="C195" t="s">
        <v>1254</v>
      </c>
      <c r="D195" t="s">
        <v>793</v>
      </c>
      <c r="E195" t="s">
        <v>1255</v>
      </c>
      <c r="F195" t="s">
        <v>1248</v>
      </c>
      <c r="G195" t="s">
        <v>660</v>
      </c>
      <c r="H195" t="s">
        <v>670</v>
      </c>
      <c r="I195" t="s">
        <v>882</v>
      </c>
      <c r="J195" t="s">
        <v>882</v>
      </c>
      <c r="K195" t="s">
        <v>660</v>
      </c>
      <c r="L195" t="s">
        <v>660</v>
      </c>
      <c r="M195" t="s">
        <v>1216</v>
      </c>
      <c r="N195">
        <v>97000</v>
      </c>
    </row>
    <row r="196" spans="1:15" x14ac:dyDescent="0.3">
      <c r="A196" t="s">
        <v>1256</v>
      </c>
      <c r="B196" t="s">
        <v>904</v>
      </c>
      <c r="C196" t="s">
        <v>999</v>
      </c>
      <c r="D196" t="s">
        <v>654</v>
      </c>
      <c r="E196" t="s">
        <v>1001</v>
      </c>
      <c r="F196" t="s">
        <v>707</v>
      </c>
      <c r="G196" t="s">
        <v>1002</v>
      </c>
      <c r="H196" t="s">
        <v>670</v>
      </c>
      <c r="I196" t="s">
        <v>709</v>
      </c>
      <c r="J196" t="s">
        <v>709</v>
      </c>
      <c r="K196" t="s">
        <v>710</v>
      </c>
      <c r="L196" t="s">
        <v>1003</v>
      </c>
      <c r="M196" t="s">
        <v>1216</v>
      </c>
      <c r="N196">
        <v>97000</v>
      </c>
    </row>
    <row r="197" spans="1:15" x14ac:dyDescent="0.3">
      <c r="A197" t="s">
        <v>663</v>
      </c>
      <c r="B197" t="s">
        <v>795</v>
      </c>
      <c r="C197" t="s">
        <v>1257</v>
      </c>
      <c r="D197" t="s">
        <v>1236</v>
      </c>
      <c r="E197" t="s">
        <v>1023</v>
      </c>
      <c r="F197" t="s">
        <v>692</v>
      </c>
      <c r="G197" t="s">
        <v>660</v>
      </c>
      <c r="H197" t="s">
        <v>694</v>
      </c>
      <c r="I197" t="s">
        <v>882</v>
      </c>
      <c r="J197" t="s">
        <v>882</v>
      </c>
      <c r="K197" t="s">
        <v>660</v>
      </c>
      <c r="L197" t="s">
        <v>660</v>
      </c>
      <c r="M197" t="s">
        <v>1216</v>
      </c>
      <c r="N197">
        <v>97000</v>
      </c>
    </row>
    <row r="198" spans="1:15" x14ac:dyDescent="0.3">
      <c r="A198" t="s">
        <v>1258</v>
      </c>
      <c r="B198" t="s">
        <v>1259</v>
      </c>
      <c r="C198" t="s">
        <v>674</v>
      </c>
      <c r="D198" t="s">
        <v>1260</v>
      </c>
      <c r="E198" t="s">
        <v>1261</v>
      </c>
      <c r="F198" t="s">
        <v>1261</v>
      </c>
      <c r="G198" t="s">
        <v>668</v>
      </c>
      <c r="H198" t="s">
        <v>1262</v>
      </c>
      <c r="I198" t="s">
        <v>657</v>
      </c>
      <c r="J198" t="s">
        <v>789</v>
      </c>
      <c r="K198" t="s">
        <v>790</v>
      </c>
      <c r="L198" t="s">
        <v>680</v>
      </c>
      <c r="M198" t="s">
        <v>1263</v>
      </c>
      <c r="N198">
        <v>56000</v>
      </c>
      <c r="O198">
        <v>97000</v>
      </c>
    </row>
    <row r="199" spans="1:15" x14ac:dyDescent="0.3">
      <c r="A199" t="s">
        <v>1264</v>
      </c>
      <c r="B199" t="s">
        <v>1265</v>
      </c>
      <c r="C199" t="s">
        <v>674</v>
      </c>
      <c r="D199" t="s">
        <v>1266</v>
      </c>
      <c r="E199" t="s">
        <v>1267</v>
      </c>
      <c r="F199" t="s">
        <v>705</v>
      </c>
      <c r="G199" t="s">
        <v>754</v>
      </c>
      <c r="H199" t="s">
        <v>888</v>
      </c>
      <c r="I199" t="s">
        <v>670</v>
      </c>
      <c r="J199" t="s">
        <v>709</v>
      </c>
      <c r="K199" t="s">
        <v>709</v>
      </c>
      <c r="L199" t="s">
        <v>680</v>
      </c>
      <c r="M199" t="s">
        <v>660</v>
      </c>
      <c r="N199">
        <v>56000</v>
      </c>
      <c r="O199">
        <v>97000</v>
      </c>
    </row>
    <row r="200" spans="1:15" x14ac:dyDescent="0.3">
      <c r="A200" t="s">
        <v>1268</v>
      </c>
      <c r="B200" t="s">
        <v>1269</v>
      </c>
      <c r="C200" t="s">
        <v>1270</v>
      </c>
      <c r="D200" t="s">
        <v>1271</v>
      </c>
      <c r="E200" t="s">
        <v>1271</v>
      </c>
      <c r="F200" t="s">
        <v>685</v>
      </c>
      <c r="G200" t="s">
        <v>810</v>
      </c>
      <c r="H200" t="s">
        <v>694</v>
      </c>
      <c r="I200" t="s">
        <v>1119</v>
      </c>
      <c r="J200" t="s">
        <v>37</v>
      </c>
      <c r="K200" t="s">
        <v>680</v>
      </c>
      <c r="L200" t="s">
        <v>660</v>
      </c>
      <c r="M200" t="s">
        <v>1216</v>
      </c>
      <c r="N200">
        <v>97000</v>
      </c>
    </row>
    <row r="201" spans="1:15" x14ac:dyDescent="0.3">
      <c r="A201" t="s">
        <v>768</v>
      </c>
      <c r="B201" t="s">
        <v>769</v>
      </c>
      <c r="C201" t="s">
        <v>770</v>
      </c>
      <c r="D201" t="s">
        <v>771</v>
      </c>
      <c r="E201" t="s">
        <v>759</v>
      </c>
      <c r="F201" t="s">
        <v>692</v>
      </c>
      <c r="G201" t="s">
        <v>772</v>
      </c>
      <c r="H201" t="s">
        <v>694</v>
      </c>
      <c r="I201" t="s">
        <v>773</v>
      </c>
      <c r="J201" t="s">
        <v>701</v>
      </c>
      <c r="K201" t="s">
        <v>660</v>
      </c>
      <c r="L201" t="s">
        <v>660</v>
      </c>
      <c r="M201" t="s">
        <v>939</v>
      </c>
      <c r="N201">
        <v>106000</v>
      </c>
    </row>
    <row r="202" spans="1:15" x14ac:dyDescent="0.3">
      <c r="A202" t="s">
        <v>663</v>
      </c>
      <c r="B202" t="s">
        <v>757</v>
      </c>
      <c r="C202" t="s">
        <v>809</v>
      </c>
      <c r="D202" t="s">
        <v>726</v>
      </c>
      <c r="E202" t="s">
        <v>726</v>
      </c>
      <c r="F202" t="s">
        <v>692</v>
      </c>
      <c r="G202" t="s">
        <v>810</v>
      </c>
      <c r="H202" t="s">
        <v>694</v>
      </c>
      <c r="I202" t="s">
        <v>695</v>
      </c>
      <c r="J202" t="s">
        <v>672</v>
      </c>
      <c r="K202" t="s">
        <v>811</v>
      </c>
      <c r="L202" t="s">
        <v>660</v>
      </c>
      <c r="M202" t="s">
        <v>939</v>
      </c>
      <c r="N202">
        <v>106000</v>
      </c>
    </row>
    <row r="203" spans="1:15" x14ac:dyDescent="0.3">
      <c r="A203" t="s">
        <v>663</v>
      </c>
      <c r="B203" t="s">
        <v>769</v>
      </c>
      <c r="C203" t="s">
        <v>1272</v>
      </c>
      <c r="D203" t="s">
        <v>826</v>
      </c>
      <c r="E203" t="s">
        <v>826</v>
      </c>
      <c r="F203" t="s">
        <v>692</v>
      </c>
      <c r="G203" t="s">
        <v>844</v>
      </c>
      <c r="H203" t="s">
        <v>694</v>
      </c>
      <c r="I203" t="s">
        <v>679</v>
      </c>
      <c r="J203" t="s">
        <v>672</v>
      </c>
      <c r="K203" t="s">
        <v>811</v>
      </c>
      <c r="L203" t="s">
        <v>660</v>
      </c>
      <c r="M203" t="s">
        <v>939</v>
      </c>
      <c r="N203">
        <v>106000</v>
      </c>
    </row>
    <row r="204" spans="1:15" x14ac:dyDescent="0.3">
      <c r="A204" t="s">
        <v>872</v>
      </c>
      <c r="B204" t="s">
        <v>742</v>
      </c>
      <c r="C204" t="s">
        <v>1273</v>
      </c>
      <c r="D204" t="s">
        <v>1274</v>
      </c>
      <c r="E204" t="s">
        <v>1275</v>
      </c>
      <c r="F204" t="s">
        <v>685</v>
      </c>
      <c r="G204" t="s">
        <v>1276</v>
      </c>
      <c r="H204" t="s">
        <v>670</v>
      </c>
      <c r="I204" t="s">
        <v>824</v>
      </c>
      <c r="J204" t="s">
        <v>824</v>
      </c>
      <c r="K204" t="s">
        <v>680</v>
      </c>
      <c r="L204" t="s">
        <v>1277</v>
      </c>
      <c r="M204" t="s">
        <v>939</v>
      </c>
      <c r="N204">
        <v>106000</v>
      </c>
    </row>
    <row r="205" spans="1:15" x14ac:dyDescent="0.3">
      <c r="A205" t="s">
        <v>840</v>
      </c>
      <c r="B205" t="s">
        <v>717</v>
      </c>
      <c r="C205" t="s">
        <v>1278</v>
      </c>
      <c r="D205" t="s">
        <v>793</v>
      </c>
      <c r="E205" t="s">
        <v>793</v>
      </c>
      <c r="F205" t="s">
        <v>692</v>
      </c>
      <c r="G205" t="s">
        <v>844</v>
      </c>
      <c r="H205" t="s">
        <v>694</v>
      </c>
      <c r="I205" t="s">
        <v>700</v>
      </c>
      <c r="J205" t="s">
        <v>701</v>
      </c>
      <c r="K205" t="s">
        <v>845</v>
      </c>
      <c r="L205" t="s">
        <v>660</v>
      </c>
      <c r="M205" t="s">
        <v>939</v>
      </c>
      <c r="N205">
        <v>106000</v>
      </c>
    </row>
    <row r="206" spans="1:15" x14ac:dyDescent="0.3">
      <c r="A206" t="s">
        <v>1279</v>
      </c>
      <c r="B206" t="s">
        <v>1280</v>
      </c>
      <c r="C206" t="s">
        <v>703</v>
      </c>
      <c r="D206" t="s">
        <v>704</v>
      </c>
      <c r="E206" t="s">
        <v>705</v>
      </c>
      <c r="F206" t="s">
        <v>706</v>
      </c>
      <c r="G206" t="s">
        <v>707</v>
      </c>
      <c r="H206" t="s">
        <v>708</v>
      </c>
      <c r="I206" t="s">
        <v>670</v>
      </c>
      <c r="J206" t="s">
        <v>709</v>
      </c>
      <c r="K206" t="s">
        <v>709</v>
      </c>
      <c r="L206" t="s">
        <v>710</v>
      </c>
      <c r="M206" t="s">
        <v>660</v>
      </c>
      <c r="N206">
        <v>79000</v>
      </c>
      <c r="O206">
        <v>106000</v>
      </c>
    </row>
    <row r="207" spans="1:15" x14ac:dyDescent="0.3">
      <c r="A207" t="s">
        <v>840</v>
      </c>
      <c r="B207" t="s">
        <v>724</v>
      </c>
      <c r="C207" t="s">
        <v>1281</v>
      </c>
      <c r="D207" t="s">
        <v>1282</v>
      </c>
      <c r="E207" t="s">
        <v>731</v>
      </c>
      <c r="F207" t="s">
        <v>655</v>
      </c>
      <c r="G207" t="s">
        <v>984</v>
      </c>
      <c r="H207" t="s">
        <v>694</v>
      </c>
      <c r="I207" t="s">
        <v>671</v>
      </c>
      <c r="J207" t="s">
        <v>672</v>
      </c>
      <c r="K207" t="s">
        <v>673</v>
      </c>
      <c r="L207" t="s">
        <v>660</v>
      </c>
      <c r="M207" t="s">
        <v>939</v>
      </c>
      <c r="N207">
        <v>106000</v>
      </c>
    </row>
    <row r="208" spans="1:15" x14ac:dyDescent="0.3">
      <c r="A208" t="s">
        <v>1283</v>
      </c>
      <c r="B208" t="s">
        <v>729</v>
      </c>
      <c r="C208" t="s">
        <v>730</v>
      </c>
      <c r="D208" t="s">
        <v>667</v>
      </c>
      <c r="E208" t="s">
        <v>731</v>
      </c>
      <c r="F208" t="s">
        <v>685</v>
      </c>
      <c r="G208" t="s">
        <v>732</v>
      </c>
      <c r="H208" t="s">
        <v>694</v>
      </c>
      <c r="I208" t="s">
        <v>728</v>
      </c>
      <c r="J208" t="s">
        <v>701</v>
      </c>
      <c r="K208" t="s">
        <v>680</v>
      </c>
      <c r="L208" t="s">
        <v>733</v>
      </c>
      <c r="M208" t="s">
        <v>939</v>
      </c>
      <c r="N208">
        <v>106000</v>
      </c>
    </row>
    <row r="209" spans="1:15" x14ac:dyDescent="0.3">
      <c r="A209" t="s">
        <v>1284</v>
      </c>
      <c r="B209" t="s">
        <v>742</v>
      </c>
      <c r="C209" t="s">
        <v>1285</v>
      </c>
      <c r="D209" t="s">
        <v>1286</v>
      </c>
      <c r="E209" t="s">
        <v>1286</v>
      </c>
      <c r="F209" t="s">
        <v>655</v>
      </c>
      <c r="G209" t="s">
        <v>852</v>
      </c>
      <c r="H209" t="s">
        <v>670</v>
      </c>
      <c r="I209" t="s">
        <v>1287</v>
      </c>
      <c r="J209" t="s">
        <v>688</v>
      </c>
      <c r="K209" t="s">
        <v>680</v>
      </c>
      <c r="L209" t="s">
        <v>660</v>
      </c>
      <c r="M209" t="s">
        <v>939</v>
      </c>
      <c r="N209">
        <v>106000</v>
      </c>
    </row>
    <row r="210" spans="1:15" x14ac:dyDescent="0.3">
      <c r="A210" t="s">
        <v>1288</v>
      </c>
      <c r="B210" t="s">
        <v>690</v>
      </c>
      <c r="C210" t="s">
        <v>1289</v>
      </c>
      <c r="D210" t="s">
        <v>1290</v>
      </c>
      <c r="E210" t="s">
        <v>1291</v>
      </c>
      <c r="F210" t="s">
        <v>754</v>
      </c>
      <c r="G210" t="s">
        <v>708</v>
      </c>
      <c r="H210" t="s">
        <v>670</v>
      </c>
      <c r="I210" t="s">
        <v>1292</v>
      </c>
      <c r="J210" t="s">
        <v>748</v>
      </c>
      <c r="K210" t="s">
        <v>845</v>
      </c>
      <c r="L210" t="s">
        <v>660</v>
      </c>
      <c r="M210" t="s">
        <v>939</v>
      </c>
      <c r="N210">
        <v>106000</v>
      </c>
    </row>
    <row r="211" spans="1:15" x14ac:dyDescent="0.3">
      <c r="A211" t="s">
        <v>1293</v>
      </c>
      <c r="B211" t="s">
        <v>832</v>
      </c>
      <c r="C211" t="s">
        <v>1294</v>
      </c>
      <c r="D211" t="s">
        <v>1093</v>
      </c>
      <c r="E211" t="s">
        <v>1295</v>
      </c>
      <c r="F211" t="s">
        <v>765</v>
      </c>
      <c r="G211" t="s">
        <v>797</v>
      </c>
      <c r="H211" t="s">
        <v>694</v>
      </c>
      <c r="I211" t="s">
        <v>738</v>
      </c>
      <c r="J211" t="s">
        <v>701</v>
      </c>
      <c r="K211" t="s">
        <v>864</v>
      </c>
      <c r="L211" t="s">
        <v>660</v>
      </c>
      <c r="M211" t="s">
        <v>939</v>
      </c>
      <c r="N211">
        <v>106000</v>
      </c>
    </row>
    <row r="212" spans="1:15" x14ac:dyDescent="0.3">
      <c r="A212" t="s">
        <v>663</v>
      </c>
      <c r="B212" t="s">
        <v>757</v>
      </c>
      <c r="C212" t="s">
        <v>1296</v>
      </c>
      <c r="D212" t="s">
        <v>683</v>
      </c>
      <c r="E212" t="s">
        <v>1042</v>
      </c>
      <c r="F212" t="s">
        <v>754</v>
      </c>
      <c r="G212" t="s">
        <v>713</v>
      </c>
      <c r="H212" t="s">
        <v>943</v>
      </c>
      <c r="I212" t="s">
        <v>930</v>
      </c>
      <c r="J212" t="s">
        <v>672</v>
      </c>
      <c r="K212" t="s">
        <v>680</v>
      </c>
      <c r="L212" t="s">
        <v>1297</v>
      </c>
      <c r="M212" t="s">
        <v>939</v>
      </c>
      <c r="N212">
        <v>106000</v>
      </c>
    </row>
    <row r="213" spans="1:15" x14ac:dyDescent="0.3">
      <c r="A213" t="s">
        <v>893</v>
      </c>
      <c r="B213" t="s">
        <v>681</v>
      </c>
      <c r="C213" t="s">
        <v>1084</v>
      </c>
      <c r="D213" t="s">
        <v>667</v>
      </c>
      <c r="E213" t="s">
        <v>1085</v>
      </c>
      <c r="F213" t="s">
        <v>668</v>
      </c>
      <c r="G213" t="s">
        <v>660</v>
      </c>
      <c r="H213" t="s">
        <v>670</v>
      </c>
      <c r="I213" t="s">
        <v>824</v>
      </c>
      <c r="J213" t="s">
        <v>824</v>
      </c>
      <c r="K213" t="s">
        <v>722</v>
      </c>
      <c r="L213" t="s">
        <v>660</v>
      </c>
      <c r="M213" t="s">
        <v>939</v>
      </c>
      <c r="N213">
        <v>106000</v>
      </c>
    </row>
    <row r="214" spans="1:15" x14ac:dyDescent="0.3">
      <c r="A214" t="s">
        <v>1298</v>
      </c>
      <c r="B214" t="s">
        <v>832</v>
      </c>
      <c r="C214" t="s">
        <v>1294</v>
      </c>
      <c r="D214" t="s">
        <v>1299</v>
      </c>
      <c r="E214" t="s">
        <v>1295</v>
      </c>
      <c r="F214" t="s">
        <v>765</v>
      </c>
      <c r="G214" t="s">
        <v>797</v>
      </c>
      <c r="H214" t="s">
        <v>694</v>
      </c>
      <c r="I214" t="s">
        <v>738</v>
      </c>
      <c r="J214" t="s">
        <v>701</v>
      </c>
      <c r="K214" t="s">
        <v>864</v>
      </c>
      <c r="L214" t="s">
        <v>660</v>
      </c>
      <c r="M214" t="s">
        <v>939</v>
      </c>
      <c r="N214">
        <v>106000</v>
      </c>
    </row>
    <row r="215" spans="1:15" x14ac:dyDescent="0.3">
      <c r="A215" t="s">
        <v>1300</v>
      </c>
      <c r="B215" t="s">
        <v>836</v>
      </c>
      <c r="C215" t="s">
        <v>894</v>
      </c>
      <c r="D215" t="s">
        <v>676</v>
      </c>
      <c r="E215" t="s">
        <v>676</v>
      </c>
      <c r="F215" t="s">
        <v>754</v>
      </c>
      <c r="G215" t="s">
        <v>732</v>
      </c>
      <c r="H215" t="s">
        <v>694</v>
      </c>
      <c r="I215" t="s">
        <v>700</v>
      </c>
      <c r="J215" t="s">
        <v>701</v>
      </c>
      <c r="K215" t="s">
        <v>660</v>
      </c>
      <c r="L215" t="s">
        <v>660</v>
      </c>
      <c r="M215" t="s">
        <v>939</v>
      </c>
      <c r="N215">
        <v>106000</v>
      </c>
    </row>
    <row r="216" spans="1:15" x14ac:dyDescent="0.3">
      <c r="A216" t="s">
        <v>1301</v>
      </c>
      <c r="B216" t="s">
        <v>703</v>
      </c>
      <c r="C216" t="s">
        <v>1302</v>
      </c>
      <c r="D216" t="s">
        <v>1303</v>
      </c>
      <c r="E216" t="s">
        <v>1304</v>
      </c>
      <c r="F216" t="s">
        <v>655</v>
      </c>
      <c r="G216" t="s">
        <v>1305</v>
      </c>
      <c r="H216" t="s">
        <v>657</v>
      </c>
      <c r="I216" t="s">
        <v>671</v>
      </c>
      <c r="J216" t="s">
        <v>672</v>
      </c>
      <c r="K216" t="s">
        <v>749</v>
      </c>
      <c r="L216" t="s">
        <v>1306</v>
      </c>
      <c r="M216" t="s">
        <v>939</v>
      </c>
      <c r="N216">
        <v>106000</v>
      </c>
    </row>
    <row r="217" spans="1:15" x14ac:dyDescent="0.3">
      <c r="A217" t="s">
        <v>1307</v>
      </c>
      <c r="B217" t="s">
        <v>904</v>
      </c>
      <c r="C217" t="s">
        <v>999</v>
      </c>
      <c r="D217" t="s">
        <v>1000</v>
      </c>
      <c r="E217" t="s">
        <v>1001</v>
      </c>
      <c r="F217" t="s">
        <v>707</v>
      </c>
      <c r="G217" t="s">
        <v>1002</v>
      </c>
      <c r="H217" t="s">
        <v>670</v>
      </c>
      <c r="I217" t="s">
        <v>709</v>
      </c>
      <c r="J217" t="s">
        <v>709</v>
      </c>
      <c r="K217" t="s">
        <v>710</v>
      </c>
      <c r="L217" t="s">
        <v>1003</v>
      </c>
      <c r="M217" t="s">
        <v>939</v>
      </c>
      <c r="N217">
        <v>106000</v>
      </c>
    </row>
    <row r="218" spans="1:15" x14ac:dyDescent="0.3">
      <c r="A218" t="s">
        <v>1308</v>
      </c>
      <c r="B218" t="s">
        <v>1309</v>
      </c>
      <c r="C218" t="s">
        <v>795</v>
      </c>
      <c r="D218" t="s">
        <v>1310</v>
      </c>
      <c r="E218" t="s">
        <v>1274</v>
      </c>
      <c r="F218" t="s">
        <v>1039</v>
      </c>
      <c r="G218" t="s">
        <v>685</v>
      </c>
      <c r="H218" t="s">
        <v>699</v>
      </c>
      <c r="I218" t="s">
        <v>694</v>
      </c>
      <c r="J218" t="s">
        <v>738</v>
      </c>
      <c r="K218" t="s">
        <v>701</v>
      </c>
      <c r="L218" t="s">
        <v>680</v>
      </c>
      <c r="M218" t="s">
        <v>1311</v>
      </c>
      <c r="N218">
        <v>79000</v>
      </c>
      <c r="O218">
        <v>106000</v>
      </c>
    </row>
    <row r="219" spans="1:15" x14ac:dyDescent="0.3">
      <c r="A219" t="s">
        <v>1312</v>
      </c>
      <c r="B219" t="s">
        <v>681</v>
      </c>
      <c r="C219" t="s">
        <v>1313</v>
      </c>
      <c r="D219" t="s">
        <v>1314</v>
      </c>
      <c r="E219" t="s">
        <v>1314</v>
      </c>
      <c r="F219" t="s">
        <v>685</v>
      </c>
      <c r="G219" t="s">
        <v>708</v>
      </c>
      <c r="H219" t="s">
        <v>657</v>
      </c>
      <c r="I219" t="s">
        <v>789</v>
      </c>
      <c r="J219" t="s">
        <v>790</v>
      </c>
      <c r="K219" t="s">
        <v>749</v>
      </c>
      <c r="L219" t="s">
        <v>660</v>
      </c>
      <c r="M219" t="s">
        <v>939</v>
      </c>
      <c r="N219">
        <v>106000</v>
      </c>
    </row>
    <row r="220" spans="1:15" x14ac:dyDescent="0.3">
      <c r="A220" t="s">
        <v>1315</v>
      </c>
      <c r="B220" t="s">
        <v>742</v>
      </c>
      <c r="C220" t="s">
        <v>1231</v>
      </c>
      <c r="D220" t="s">
        <v>676</v>
      </c>
      <c r="E220" t="s">
        <v>1232</v>
      </c>
      <c r="F220" t="s">
        <v>668</v>
      </c>
      <c r="G220" t="s">
        <v>1233</v>
      </c>
      <c r="H220" t="s">
        <v>694</v>
      </c>
      <c r="I220" t="s">
        <v>658</v>
      </c>
      <c r="J220" t="s">
        <v>659</v>
      </c>
      <c r="K220" t="s">
        <v>710</v>
      </c>
      <c r="L220" t="s">
        <v>660</v>
      </c>
      <c r="M220" t="s">
        <v>939</v>
      </c>
      <c r="N220">
        <v>106000</v>
      </c>
    </row>
    <row r="221" spans="1:15" x14ac:dyDescent="0.3">
      <c r="A221" t="s">
        <v>1316</v>
      </c>
      <c r="B221" t="s">
        <v>1203</v>
      </c>
      <c r="C221" t="s">
        <v>848</v>
      </c>
      <c r="D221" t="s">
        <v>954</v>
      </c>
      <c r="E221" t="s">
        <v>965</v>
      </c>
      <c r="F221" t="s">
        <v>726</v>
      </c>
      <c r="G221" t="s">
        <v>685</v>
      </c>
      <c r="H221" t="s">
        <v>772</v>
      </c>
      <c r="I221" t="s">
        <v>694</v>
      </c>
      <c r="J221" t="s">
        <v>709</v>
      </c>
      <c r="K221" t="s">
        <v>709</v>
      </c>
      <c r="L221" t="s">
        <v>660</v>
      </c>
      <c r="M221" t="s">
        <v>660</v>
      </c>
      <c r="N221">
        <v>79000</v>
      </c>
      <c r="O221">
        <v>106000</v>
      </c>
    </row>
    <row r="222" spans="1:15" x14ac:dyDescent="0.3">
      <c r="A222" t="s">
        <v>1317</v>
      </c>
      <c r="B222" t="s">
        <v>652</v>
      </c>
      <c r="C222" t="s">
        <v>1318</v>
      </c>
      <c r="D222" t="s">
        <v>1319</v>
      </c>
      <c r="E222" t="s">
        <v>1319</v>
      </c>
      <c r="F222" t="s">
        <v>655</v>
      </c>
      <c r="G222" t="s">
        <v>1320</v>
      </c>
      <c r="H222" t="s">
        <v>694</v>
      </c>
      <c r="I222" t="s">
        <v>1119</v>
      </c>
      <c r="J222" t="s">
        <v>37</v>
      </c>
      <c r="K222" t="s">
        <v>660</v>
      </c>
      <c r="L222" t="s">
        <v>660</v>
      </c>
      <c r="M222" t="s">
        <v>939</v>
      </c>
      <c r="N222">
        <v>106000</v>
      </c>
    </row>
    <row r="223" spans="1:15" x14ac:dyDescent="0.3">
      <c r="A223" t="s">
        <v>794</v>
      </c>
      <c r="B223" t="s">
        <v>795</v>
      </c>
      <c r="C223" t="s">
        <v>796</v>
      </c>
      <c r="D223" t="s">
        <v>654</v>
      </c>
      <c r="E223" t="s">
        <v>654</v>
      </c>
      <c r="F223" t="s">
        <v>692</v>
      </c>
      <c r="G223" t="s">
        <v>797</v>
      </c>
      <c r="H223" t="s">
        <v>694</v>
      </c>
      <c r="I223" t="s">
        <v>773</v>
      </c>
      <c r="J223" t="s">
        <v>701</v>
      </c>
      <c r="K223" t="s">
        <v>680</v>
      </c>
      <c r="L223" t="s">
        <v>798</v>
      </c>
      <c r="M223" t="s">
        <v>1321</v>
      </c>
      <c r="N223">
        <v>123000</v>
      </c>
    </row>
    <row r="224" spans="1:15" x14ac:dyDescent="0.3">
      <c r="A224" t="s">
        <v>816</v>
      </c>
      <c r="B224" t="s">
        <v>664</v>
      </c>
      <c r="C224" t="s">
        <v>817</v>
      </c>
      <c r="D224" t="s">
        <v>818</v>
      </c>
      <c r="E224" t="s">
        <v>818</v>
      </c>
      <c r="F224" t="s">
        <v>692</v>
      </c>
      <c r="G224" t="s">
        <v>708</v>
      </c>
      <c r="H224" t="s">
        <v>694</v>
      </c>
      <c r="I224" t="s">
        <v>819</v>
      </c>
      <c r="J224" t="s">
        <v>37</v>
      </c>
      <c r="K224" t="s">
        <v>680</v>
      </c>
      <c r="L224" t="s">
        <v>660</v>
      </c>
      <c r="M224" t="s">
        <v>1321</v>
      </c>
      <c r="N224">
        <v>123000</v>
      </c>
    </row>
    <row r="225" spans="1:14" x14ac:dyDescent="0.3">
      <c r="A225" t="s">
        <v>840</v>
      </c>
      <c r="B225" t="s">
        <v>717</v>
      </c>
      <c r="C225" t="s">
        <v>1212</v>
      </c>
      <c r="D225" t="s">
        <v>1213</v>
      </c>
      <c r="E225" t="s">
        <v>1214</v>
      </c>
      <c r="F225" t="s">
        <v>754</v>
      </c>
      <c r="G225" t="s">
        <v>693</v>
      </c>
      <c r="H225" t="s">
        <v>694</v>
      </c>
      <c r="I225" t="s">
        <v>1215</v>
      </c>
      <c r="J225" t="s">
        <v>37</v>
      </c>
      <c r="K225" t="s">
        <v>845</v>
      </c>
      <c r="L225" t="s">
        <v>660</v>
      </c>
      <c r="M225" t="s">
        <v>1321</v>
      </c>
      <c r="N225">
        <v>123000</v>
      </c>
    </row>
    <row r="226" spans="1:14" x14ac:dyDescent="0.3">
      <c r="A226" t="s">
        <v>1322</v>
      </c>
      <c r="B226" t="s">
        <v>724</v>
      </c>
      <c r="C226" t="s">
        <v>1323</v>
      </c>
      <c r="D226" t="s">
        <v>793</v>
      </c>
      <c r="E226" t="s">
        <v>793</v>
      </c>
      <c r="F226" t="s">
        <v>685</v>
      </c>
      <c r="G226" t="s">
        <v>727</v>
      </c>
      <c r="H226" t="s">
        <v>694</v>
      </c>
      <c r="I226" t="s">
        <v>1187</v>
      </c>
      <c r="J226" t="s">
        <v>1187</v>
      </c>
      <c r="K226" t="s">
        <v>722</v>
      </c>
      <c r="L226" t="s">
        <v>660</v>
      </c>
      <c r="M226" t="s">
        <v>1321</v>
      </c>
      <c r="N226">
        <v>123000</v>
      </c>
    </row>
    <row r="227" spans="1:14" x14ac:dyDescent="0.3">
      <c r="A227" t="s">
        <v>663</v>
      </c>
      <c r="B227" t="s">
        <v>729</v>
      </c>
      <c r="C227" t="s">
        <v>1324</v>
      </c>
      <c r="D227" t="s">
        <v>991</v>
      </c>
      <c r="E227" t="s">
        <v>1141</v>
      </c>
      <c r="F227" t="s">
        <v>692</v>
      </c>
      <c r="G227" t="s">
        <v>844</v>
      </c>
      <c r="H227" t="s">
        <v>694</v>
      </c>
      <c r="I227" t="s">
        <v>738</v>
      </c>
      <c r="J227" t="s">
        <v>701</v>
      </c>
      <c r="K227" t="s">
        <v>1030</v>
      </c>
      <c r="L227" t="s">
        <v>660</v>
      </c>
      <c r="M227" t="s">
        <v>1321</v>
      </c>
      <c r="N227">
        <v>123000</v>
      </c>
    </row>
    <row r="228" spans="1:14" x14ac:dyDescent="0.3">
      <c r="A228" t="s">
        <v>663</v>
      </c>
      <c r="B228" t="s">
        <v>1325</v>
      </c>
      <c r="C228" t="s">
        <v>1326</v>
      </c>
      <c r="D228" t="s">
        <v>726</v>
      </c>
      <c r="E228" t="s">
        <v>1327</v>
      </c>
      <c r="F228" t="s">
        <v>655</v>
      </c>
      <c r="G228" t="s">
        <v>852</v>
      </c>
      <c r="H228" t="s">
        <v>694</v>
      </c>
      <c r="I228" t="s">
        <v>738</v>
      </c>
      <c r="J228" t="s">
        <v>701</v>
      </c>
      <c r="K228" t="s">
        <v>680</v>
      </c>
      <c r="L228" t="s">
        <v>660</v>
      </c>
      <c r="M228" t="s">
        <v>1321</v>
      </c>
      <c r="N228">
        <v>123000</v>
      </c>
    </row>
    <row r="229" spans="1:14" x14ac:dyDescent="0.3">
      <c r="A229" t="s">
        <v>663</v>
      </c>
      <c r="B229" t="s">
        <v>832</v>
      </c>
      <c r="C229" t="s">
        <v>1328</v>
      </c>
      <c r="D229" t="s">
        <v>842</v>
      </c>
      <c r="E229" t="s">
        <v>1329</v>
      </c>
      <c r="F229" t="s">
        <v>692</v>
      </c>
      <c r="G229" t="s">
        <v>1330</v>
      </c>
      <c r="H229" t="s">
        <v>694</v>
      </c>
      <c r="I229" t="s">
        <v>1331</v>
      </c>
      <c r="J229" t="s">
        <v>688</v>
      </c>
      <c r="K229" t="s">
        <v>660</v>
      </c>
      <c r="L229" t="s">
        <v>660</v>
      </c>
      <c r="M229" t="s">
        <v>1321</v>
      </c>
      <c r="N229">
        <v>123000</v>
      </c>
    </row>
    <row r="230" spans="1:14" x14ac:dyDescent="0.3">
      <c r="A230" t="s">
        <v>872</v>
      </c>
      <c r="B230" t="s">
        <v>724</v>
      </c>
      <c r="C230" t="s">
        <v>1332</v>
      </c>
      <c r="D230" t="s">
        <v>1102</v>
      </c>
      <c r="E230" t="s">
        <v>1217</v>
      </c>
      <c r="F230" t="s">
        <v>685</v>
      </c>
      <c r="G230" t="s">
        <v>803</v>
      </c>
      <c r="H230" t="s">
        <v>657</v>
      </c>
      <c r="I230" t="s">
        <v>767</v>
      </c>
      <c r="J230" t="s">
        <v>746</v>
      </c>
      <c r="K230" t="s">
        <v>845</v>
      </c>
      <c r="L230" t="s">
        <v>660</v>
      </c>
      <c r="M230" t="s">
        <v>1321</v>
      </c>
      <c r="N230">
        <v>123000</v>
      </c>
    </row>
    <row r="231" spans="1:14" x14ac:dyDescent="0.3">
      <c r="A231" t="s">
        <v>1333</v>
      </c>
      <c r="B231" t="s">
        <v>724</v>
      </c>
      <c r="C231" t="s">
        <v>1334</v>
      </c>
      <c r="D231" t="s">
        <v>1299</v>
      </c>
      <c r="E231" t="s">
        <v>1299</v>
      </c>
      <c r="F231" t="s">
        <v>668</v>
      </c>
      <c r="G231" t="s">
        <v>1335</v>
      </c>
      <c r="H231" t="s">
        <v>670</v>
      </c>
      <c r="I231" t="s">
        <v>819</v>
      </c>
      <c r="J231" t="s">
        <v>37</v>
      </c>
      <c r="K231" t="s">
        <v>722</v>
      </c>
      <c r="L231" t="s">
        <v>660</v>
      </c>
      <c r="M231" t="s">
        <v>1321</v>
      </c>
      <c r="N231">
        <v>123000</v>
      </c>
    </row>
    <row r="232" spans="1:14" x14ac:dyDescent="0.3">
      <c r="A232" t="s">
        <v>663</v>
      </c>
      <c r="B232" t="s">
        <v>660</v>
      </c>
      <c r="C232" t="s">
        <v>1336</v>
      </c>
      <c r="D232" t="s">
        <v>1337</v>
      </c>
      <c r="E232" t="s">
        <v>1338</v>
      </c>
      <c r="F232" t="s">
        <v>765</v>
      </c>
      <c r="G232" t="s">
        <v>660</v>
      </c>
      <c r="H232" t="s">
        <v>694</v>
      </c>
      <c r="I232" t="s">
        <v>738</v>
      </c>
      <c r="J232" t="s">
        <v>701</v>
      </c>
      <c r="K232" t="s">
        <v>1030</v>
      </c>
      <c r="L232" t="s">
        <v>660</v>
      </c>
      <c r="M232" t="s">
        <v>1321</v>
      </c>
      <c r="N232">
        <v>123000</v>
      </c>
    </row>
    <row r="233" spans="1:14" x14ac:dyDescent="0.3">
      <c r="A233" t="s">
        <v>1218</v>
      </c>
      <c r="B233" t="s">
        <v>674</v>
      </c>
      <c r="C233" t="s">
        <v>1138</v>
      </c>
      <c r="D233" t="s">
        <v>1098</v>
      </c>
      <c r="E233" t="s">
        <v>1098</v>
      </c>
      <c r="F233" t="s">
        <v>685</v>
      </c>
      <c r="G233" t="s">
        <v>888</v>
      </c>
      <c r="H233" t="s">
        <v>943</v>
      </c>
      <c r="I233" t="s">
        <v>709</v>
      </c>
      <c r="J233" t="s">
        <v>709</v>
      </c>
      <c r="K233" t="s">
        <v>680</v>
      </c>
      <c r="L233" t="s">
        <v>1139</v>
      </c>
      <c r="M233" t="s">
        <v>1321</v>
      </c>
      <c r="N233">
        <v>123000</v>
      </c>
    </row>
    <row r="234" spans="1:14" x14ac:dyDescent="0.3">
      <c r="A234" t="s">
        <v>663</v>
      </c>
      <c r="B234" t="s">
        <v>848</v>
      </c>
      <c r="C234" t="s">
        <v>1226</v>
      </c>
      <c r="D234" t="s">
        <v>1227</v>
      </c>
      <c r="E234" t="s">
        <v>1228</v>
      </c>
      <c r="F234" t="s">
        <v>668</v>
      </c>
      <c r="G234" t="s">
        <v>1229</v>
      </c>
      <c r="H234" t="s">
        <v>670</v>
      </c>
      <c r="I234" t="s">
        <v>824</v>
      </c>
      <c r="J234" t="s">
        <v>824</v>
      </c>
      <c r="K234" t="s">
        <v>749</v>
      </c>
      <c r="L234" t="s">
        <v>660</v>
      </c>
      <c r="M234" t="s">
        <v>1321</v>
      </c>
      <c r="N234">
        <v>123000</v>
      </c>
    </row>
    <row r="235" spans="1:14" x14ac:dyDescent="0.3">
      <c r="A235" t="s">
        <v>1339</v>
      </c>
      <c r="B235" t="s">
        <v>674</v>
      </c>
      <c r="C235" t="s">
        <v>1340</v>
      </c>
      <c r="D235" t="s">
        <v>1341</v>
      </c>
      <c r="E235" t="s">
        <v>1341</v>
      </c>
      <c r="F235" t="s">
        <v>655</v>
      </c>
      <c r="G235" t="s">
        <v>788</v>
      </c>
      <c r="H235" t="s">
        <v>670</v>
      </c>
      <c r="I235" t="s">
        <v>658</v>
      </c>
      <c r="J235" t="s">
        <v>659</v>
      </c>
      <c r="K235" t="s">
        <v>660</v>
      </c>
      <c r="L235" t="s">
        <v>660</v>
      </c>
      <c r="M235" t="s">
        <v>1321</v>
      </c>
      <c r="N235">
        <v>123000</v>
      </c>
    </row>
    <row r="236" spans="1:14" x14ac:dyDescent="0.3">
      <c r="A236" t="s">
        <v>1222</v>
      </c>
      <c r="B236" t="s">
        <v>681</v>
      </c>
      <c r="C236" t="s">
        <v>1223</v>
      </c>
      <c r="D236" t="s">
        <v>654</v>
      </c>
      <c r="E236" t="s">
        <v>1224</v>
      </c>
      <c r="F236" t="s">
        <v>655</v>
      </c>
      <c r="G236" t="s">
        <v>1225</v>
      </c>
      <c r="H236" t="s">
        <v>670</v>
      </c>
      <c r="I236" t="s">
        <v>658</v>
      </c>
      <c r="J236" t="s">
        <v>659</v>
      </c>
      <c r="K236" t="s">
        <v>673</v>
      </c>
      <c r="L236" t="s">
        <v>660</v>
      </c>
      <c r="M236" t="s">
        <v>1321</v>
      </c>
      <c r="N236">
        <v>123000</v>
      </c>
    </row>
    <row r="237" spans="1:14" x14ac:dyDescent="0.3">
      <c r="A237" t="s">
        <v>663</v>
      </c>
      <c r="B237" t="s">
        <v>848</v>
      </c>
      <c r="C237" t="s">
        <v>1342</v>
      </c>
      <c r="D237" t="s">
        <v>1343</v>
      </c>
      <c r="E237" t="s">
        <v>1344</v>
      </c>
      <c r="F237" t="s">
        <v>707</v>
      </c>
      <c r="G237" t="s">
        <v>1020</v>
      </c>
      <c r="H237" t="s">
        <v>670</v>
      </c>
      <c r="I237" t="s">
        <v>1345</v>
      </c>
      <c r="J237" t="s">
        <v>1114</v>
      </c>
      <c r="K237" t="s">
        <v>673</v>
      </c>
      <c r="L237" t="s">
        <v>1346</v>
      </c>
      <c r="M237" t="s">
        <v>1321</v>
      </c>
      <c r="N237">
        <v>123000</v>
      </c>
    </row>
    <row r="238" spans="1:14" x14ac:dyDescent="0.3">
      <c r="A238" t="s">
        <v>663</v>
      </c>
      <c r="B238" t="s">
        <v>1269</v>
      </c>
      <c r="C238" t="s">
        <v>1347</v>
      </c>
      <c r="D238" t="s">
        <v>793</v>
      </c>
      <c r="E238" t="s">
        <v>1348</v>
      </c>
      <c r="F238" t="s">
        <v>765</v>
      </c>
      <c r="G238" t="s">
        <v>660</v>
      </c>
      <c r="H238" t="s">
        <v>694</v>
      </c>
      <c r="I238" t="s">
        <v>700</v>
      </c>
      <c r="J238" t="s">
        <v>701</v>
      </c>
      <c r="K238" t="s">
        <v>1053</v>
      </c>
      <c r="L238" t="s">
        <v>660</v>
      </c>
      <c r="M238" t="s">
        <v>1321</v>
      </c>
      <c r="N238">
        <v>123000</v>
      </c>
    </row>
    <row r="239" spans="1:14" x14ac:dyDescent="0.3">
      <c r="A239" t="s">
        <v>663</v>
      </c>
      <c r="B239" t="s">
        <v>674</v>
      </c>
      <c r="C239" t="s">
        <v>1349</v>
      </c>
      <c r="D239" t="s">
        <v>1350</v>
      </c>
      <c r="E239" t="s">
        <v>1252</v>
      </c>
      <c r="F239" t="s">
        <v>707</v>
      </c>
      <c r="G239" t="s">
        <v>693</v>
      </c>
      <c r="H239" t="s">
        <v>670</v>
      </c>
      <c r="I239" t="s">
        <v>773</v>
      </c>
      <c r="J239" t="s">
        <v>701</v>
      </c>
      <c r="K239" t="s">
        <v>710</v>
      </c>
      <c r="L239" t="s">
        <v>1351</v>
      </c>
      <c r="M239" t="s">
        <v>1321</v>
      </c>
      <c r="N239">
        <v>123000</v>
      </c>
    </row>
    <row r="240" spans="1:14" x14ac:dyDescent="0.3">
      <c r="A240" t="s">
        <v>1188</v>
      </c>
      <c r="B240" t="s">
        <v>703</v>
      </c>
      <c r="C240" t="s">
        <v>1230</v>
      </c>
      <c r="D240" t="s">
        <v>793</v>
      </c>
      <c r="E240" t="s">
        <v>793</v>
      </c>
      <c r="F240" t="s">
        <v>692</v>
      </c>
      <c r="G240" t="s">
        <v>844</v>
      </c>
      <c r="H240" t="s">
        <v>670</v>
      </c>
      <c r="I240" t="s">
        <v>773</v>
      </c>
      <c r="J240" t="s">
        <v>701</v>
      </c>
      <c r="K240" t="s">
        <v>660</v>
      </c>
      <c r="L240" t="s">
        <v>660</v>
      </c>
      <c r="M240" t="s">
        <v>1321</v>
      </c>
      <c r="N240">
        <v>123000</v>
      </c>
    </row>
    <row r="241" spans="1:14" x14ac:dyDescent="0.3">
      <c r="A241" t="s">
        <v>663</v>
      </c>
      <c r="B241" t="s">
        <v>703</v>
      </c>
      <c r="C241" t="s">
        <v>1352</v>
      </c>
      <c r="D241" t="s">
        <v>779</v>
      </c>
      <c r="E241" t="s">
        <v>1353</v>
      </c>
      <c r="F241" t="s">
        <v>765</v>
      </c>
      <c r="G241" t="s">
        <v>660</v>
      </c>
      <c r="H241" t="s">
        <v>694</v>
      </c>
      <c r="I241" t="s">
        <v>679</v>
      </c>
      <c r="J241" t="s">
        <v>672</v>
      </c>
      <c r="K241" t="s">
        <v>660</v>
      </c>
      <c r="L241" t="s">
        <v>660</v>
      </c>
      <c r="M241" t="s">
        <v>1321</v>
      </c>
      <c r="N241">
        <v>123000</v>
      </c>
    </row>
    <row r="242" spans="1:14" x14ac:dyDescent="0.3">
      <c r="A242" t="s">
        <v>663</v>
      </c>
      <c r="B242" t="s">
        <v>734</v>
      </c>
      <c r="C242" t="s">
        <v>812</v>
      </c>
      <c r="D242" t="s">
        <v>813</v>
      </c>
      <c r="E242" t="s">
        <v>813</v>
      </c>
      <c r="F242" t="s">
        <v>692</v>
      </c>
      <c r="G242" t="s">
        <v>814</v>
      </c>
      <c r="H242" t="s">
        <v>694</v>
      </c>
      <c r="I242" t="s">
        <v>700</v>
      </c>
      <c r="J242" t="s">
        <v>701</v>
      </c>
      <c r="K242" t="s">
        <v>815</v>
      </c>
      <c r="L242" t="s">
        <v>660</v>
      </c>
      <c r="M242" t="s">
        <v>1115</v>
      </c>
      <c r="N242">
        <v>124000</v>
      </c>
    </row>
    <row r="243" spans="1:14" x14ac:dyDescent="0.3">
      <c r="A243" t="s">
        <v>835</v>
      </c>
      <c r="B243" t="s">
        <v>836</v>
      </c>
      <c r="C243" t="s">
        <v>837</v>
      </c>
      <c r="D243" t="s">
        <v>838</v>
      </c>
      <c r="E243" t="s">
        <v>838</v>
      </c>
      <c r="F243" t="s">
        <v>655</v>
      </c>
      <c r="G243" t="s">
        <v>839</v>
      </c>
      <c r="H243" t="s">
        <v>694</v>
      </c>
      <c r="I243" t="s">
        <v>658</v>
      </c>
      <c r="J243" t="s">
        <v>659</v>
      </c>
      <c r="K243" t="s">
        <v>673</v>
      </c>
      <c r="L243" t="s">
        <v>660</v>
      </c>
      <c r="M243" t="s">
        <v>1115</v>
      </c>
      <c r="N243">
        <v>124000</v>
      </c>
    </row>
    <row r="244" spans="1:14" x14ac:dyDescent="0.3">
      <c r="A244" t="s">
        <v>1354</v>
      </c>
      <c r="B244" t="s">
        <v>652</v>
      </c>
      <c r="C244" t="s">
        <v>1355</v>
      </c>
      <c r="D244" t="s">
        <v>654</v>
      </c>
      <c r="E244" t="s">
        <v>654</v>
      </c>
      <c r="F244" t="s">
        <v>754</v>
      </c>
      <c r="G244" t="s">
        <v>686</v>
      </c>
      <c r="H244" t="s">
        <v>694</v>
      </c>
      <c r="I244" t="s">
        <v>700</v>
      </c>
      <c r="J244" t="s">
        <v>701</v>
      </c>
      <c r="K244" t="s">
        <v>845</v>
      </c>
      <c r="L244" t="s">
        <v>660</v>
      </c>
      <c r="M244" t="s">
        <v>1115</v>
      </c>
      <c r="N244">
        <v>124000</v>
      </c>
    </row>
    <row r="245" spans="1:14" x14ac:dyDescent="0.3">
      <c r="A245" t="s">
        <v>663</v>
      </c>
      <c r="B245" t="s">
        <v>724</v>
      </c>
      <c r="C245" t="s">
        <v>1356</v>
      </c>
      <c r="D245" t="s">
        <v>887</v>
      </c>
      <c r="E245" t="s">
        <v>720</v>
      </c>
      <c r="F245" t="s">
        <v>754</v>
      </c>
      <c r="G245" t="s">
        <v>921</v>
      </c>
      <c r="H245" t="s">
        <v>694</v>
      </c>
      <c r="I245" t="s">
        <v>728</v>
      </c>
      <c r="J245" t="s">
        <v>701</v>
      </c>
      <c r="K245" t="s">
        <v>811</v>
      </c>
      <c r="L245" t="s">
        <v>660</v>
      </c>
      <c r="M245" t="s">
        <v>1115</v>
      </c>
      <c r="N245">
        <v>124000</v>
      </c>
    </row>
    <row r="246" spans="1:14" x14ac:dyDescent="0.3">
      <c r="A246" t="s">
        <v>1357</v>
      </c>
      <c r="B246" t="s">
        <v>832</v>
      </c>
      <c r="C246" t="s">
        <v>1358</v>
      </c>
      <c r="D246" t="s">
        <v>1359</v>
      </c>
      <c r="E246" t="s">
        <v>1359</v>
      </c>
      <c r="F246" t="s">
        <v>765</v>
      </c>
      <c r="G246" t="s">
        <v>1043</v>
      </c>
      <c r="H246" t="s">
        <v>694</v>
      </c>
      <c r="I246" t="s">
        <v>709</v>
      </c>
      <c r="J246" t="s">
        <v>709</v>
      </c>
      <c r="K246" t="s">
        <v>660</v>
      </c>
      <c r="L246" t="s">
        <v>660</v>
      </c>
      <c r="M246" t="s">
        <v>1115</v>
      </c>
      <c r="N246">
        <v>124000</v>
      </c>
    </row>
    <row r="247" spans="1:14" x14ac:dyDescent="0.3">
      <c r="A247" t="s">
        <v>663</v>
      </c>
      <c r="B247" t="s">
        <v>742</v>
      </c>
      <c r="C247" t="s">
        <v>1360</v>
      </c>
      <c r="D247" t="s">
        <v>705</v>
      </c>
      <c r="E247" t="s">
        <v>1361</v>
      </c>
      <c r="F247" t="s">
        <v>707</v>
      </c>
      <c r="G247" t="s">
        <v>755</v>
      </c>
      <c r="H247" t="s">
        <v>670</v>
      </c>
      <c r="I247" t="s">
        <v>709</v>
      </c>
      <c r="J247" t="s">
        <v>709</v>
      </c>
      <c r="K247" t="s">
        <v>710</v>
      </c>
      <c r="L247" t="s">
        <v>1362</v>
      </c>
      <c r="M247" t="s">
        <v>1115</v>
      </c>
      <c r="N247">
        <v>124000</v>
      </c>
    </row>
    <row r="248" spans="1:14" x14ac:dyDescent="0.3">
      <c r="A248" t="s">
        <v>663</v>
      </c>
      <c r="B248" t="s">
        <v>742</v>
      </c>
      <c r="C248" t="s">
        <v>1363</v>
      </c>
      <c r="D248" t="s">
        <v>1364</v>
      </c>
      <c r="E248" t="s">
        <v>1365</v>
      </c>
      <c r="F248" t="s">
        <v>707</v>
      </c>
      <c r="G248" t="s">
        <v>797</v>
      </c>
      <c r="H248" t="s">
        <v>670</v>
      </c>
      <c r="I248" t="s">
        <v>1366</v>
      </c>
      <c r="J248" t="s">
        <v>925</v>
      </c>
      <c r="K248" t="s">
        <v>710</v>
      </c>
      <c r="L248" t="s">
        <v>1367</v>
      </c>
      <c r="M248" t="s">
        <v>1115</v>
      </c>
      <c r="N248">
        <v>124000</v>
      </c>
    </row>
    <row r="249" spans="1:14" x14ac:dyDescent="0.3">
      <c r="A249" t="s">
        <v>663</v>
      </c>
      <c r="B249" t="s">
        <v>703</v>
      </c>
      <c r="C249" t="s">
        <v>1368</v>
      </c>
      <c r="D249" t="s">
        <v>1369</v>
      </c>
      <c r="E249" t="s">
        <v>1370</v>
      </c>
      <c r="F249" t="s">
        <v>692</v>
      </c>
      <c r="G249" t="s">
        <v>686</v>
      </c>
      <c r="H249" t="s">
        <v>694</v>
      </c>
      <c r="I249" t="s">
        <v>658</v>
      </c>
      <c r="J249" t="s">
        <v>659</v>
      </c>
      <c r="K249" t="s">
        <v>811</v>
      </c>
      <c r="L249" t="s">
        <v>660</v>
      </c>
      <c r="M249" t="s">
        <v>1115</v>
      </c>
      <c r="N249">
        <v>124000</v>
      </c>
    </row>
    <row r="250" spans="1:14" x14ac:dyDescent="0.3">
      <c r="A250" t="s">
        <v>663</v>
      </c>
      <c r="B250" t="s">
        <v>795</v>
      </c>
      <c r="C250" t="s">
        <v>1371</v>
      </c>
      <c r="D250" t="s">
        <v>793</v>
      </c>
      <c r="E250" t="s">
        <v>1372</v>
      </c>
      <c r="F250" t="s">
        <v>765</v>
      </c>
      <c r="G250" t="s">
        <v>660</v>
      </c>
      <c r="H250" t="s">
        <v>694</v>
      </c>
      <c r="I250" t="s">
        <v>882</v>
      </c>
      <c r="J250" t="s">
        <v>882</v>
      </c>
      <c r="K250" t="s">
        <v>1053</v>
      </c>
      <c r="L250" t="s">
        <v>660</v>
      </c>
      <c r="M250" t="s">
        <v>1115</v>
      </c>
      <c r="N250">
        <v>124000</v>
      </c>
    </row>
    <row r="251" spans="1:14" x14ac:dyDescent="0.3">
      <c r="A251" t="s">
        <v>1373</v>
      </c>
      <c r="B251" t="s">
        <v>664</v>
      </c>
      <c r="C251" t="s">
        <v>1374</v>
      </c>
      <c r="D251" t="s">
        <v>1375</v>
      </c>
      <c r="E251" t="s">
        <v>1376</v>
      </c>
      <c r="F251" t="s">
        <v>754</v>
      </c>
      <c r="G251" t="s">
        <v>721</v>
      </c>
      <c r="H251" t="s">
        <v>694</v>
      </c>
      <c r="I251" t="s">
        <v>824</v>
      </c>
      <c r="J251" t="s">
        <v>824</v>
      </c>
      <c r="K251" t="s">
        <v>845</v>
      </c>
      <c r="L251" t="s">
        <v>1377</v>
      </c>
      <c r="M251" t="s">
        <v>1115</v>
      </c>
      <c r="N251">
        <v>124000</v>
      </c>
    </row>
    <row r="252" spans="1:14" x14ac:dyDescent="0.3">
      <c r="A252" t="s">
        <v>1070</v>
      </c>
      <c r="B252" t="s">
        <v>742</v>
      </c>
      <c r="C252" t="s">
        <v>1231</v>
      </c>
      <c r="D252" t="s">
        <v>676</v>
      </c>
      <c r="E252" t="s">
        <v>1232</v>
      </c>
      <c r="F252" t="s">
        <v>668</v>
      </c>
      <c r="G252" t="s">
        <v>1233</v>
      </c>
      <c r="H252" t="s">
        <v>694</v>
      </c>
      <c r="I252" t="s">
        <v>658</v>
      </c>
      <c r="J252" t="s">
        <v>659</v>
      </c>
      <c r="K252" t="s">
        <v>710</v>
      </c>
      <c r="L252" t="s">
        <v>660</v>
      </c>
      <c r="M252" t="s">
        <v>1115</v>
      </c>
      <c r="N252">
        <v>124000</v>
      </c>
    </row>
    <row r="253" spans="1:14" x14ac:dyDescent="0.3">
      <c r="A253" t="s">
        <v>663</v>
      </c>
      <c r="B253" t="s">
        <v>904</v>
      </c>
      <c r="C253" t="s">
        <v>1378</v>
      </c>
      <c r="D253" t="s">
        <v>1190</v>
      </c>
      <c r="E253" t="s">
        <v>1190</v>
      </c>
      <c r="F253" t="s">
        <v>765</v>
      </c>
      <c r="G253" t="s">
        <v>660</v>
      </c>
      <c r="H253" t="s">
        <v>694</v>
      </c>
      <c r="I253" t="s">
        <v>882</v>
      </c>
      <c r="J253" t="s">
        <v>882</v>
      </c>
      <c r="K253" t="s">
        <v>660</v>
      </c>
      <c r="L253" t="s">
        <v>660</v>
      </c>
      <c r="M253" t="s">
        <v>1115</v>
      </c>
      <c r="N253">
        <v>124000</v>
      </c>
    </row>
    <row r="254" spans="1:14" x14ac:dyDescent="0.3">
      <c r="A254" t="s">
        <v>663</v>
      </c>
      <c r="B254" t="s">
        <v>848</v>
      </c>
      <c r="C254" t="s">
        <v>1379</v>
      </c>
      <c r="D254" t="s">
        <v>1380</v>
      </c>
      <c r="E254" t="s">
        <v>1380</v>
      </c>
      <c r="F254" t="s">
        <v>707</v>
      </c>
      <c r="G254" t="s">
        <v>1381</v>
      </c>
      <c r="H254" t="s">
        <v>670</v>
      </c>
      <c r="I254" t="s">
        <v>974</v>
      </c>
      <c r="J254" t="s">
        <v>688</v>
      </c>
      <c r="K254" t="s">
        <v>710</v>
      </c>
      <c r="L254" t="s">
        <v>1382</v>
      </c>
      <c r="M254" t="s">
        <v>1115</v>
      </c>
      <c r="N254">
        <v>124000</v>
      </c>
    </row>
    <row r="255" spans="1:14" x14ac:dyDescent="0.3">
      <c r="A255" t="s">
        <v>663</v>
      </c>
      <c r="B255" t="s">
        <v>769</v>
      </c>
      <c r="C255" t="s">
        <v>1383</v>
      </c>
      <c r="D255" t="s">
        <v>654</v>
      </c>
      <c r="E255" t="s">
        <v>759</v>
      </c>
      <c r="F255" t="s">
        <v>655</v>
      </c>
      <c r="G255" t="s">
        <v>1384</v>
      </c>
      <c r="H255" t="s">
        <v>694</v>
      </c>
      <c r="I255" t="s">
        <v>679</v>
      </c>
      <c r="J255" t="s">
        <v>672</v>
      </c>
      <c r="K255" t="s">
        <v>660</v>
      </c>
      <c r="L255" t="s">
        <v>1385</v>
      </c>
      <c r="M255" t="s">
        <v>1115</v>
      </c>
      <c r="N255">
        <v>124000</v>
      </c>
    </row>
    <row r="256" spans="1:14" x14ac:dyDescent="0.3">
      <c r="A256" t="s">
        <v>663</v>
      </c>
      <c r="B256" t="s">
        <v>848</v>
      </c>
      <c r="C256" t="s">
        <v>1386</v>
      </c>
      <c r="D256" t="s">
        <v>654</v>
      </c>
      <c r="E256" t="s">
        <v>654</v>
      </c>
      <c r="F256" t="s">
        <v>754</v>
      </c>
      <c r="G256" t="s">
        <v>1056</v>
      </c>
      <c r="H256" t="s">
        <v>694</v>
      </c>
      <c r="I256" t="s">
        <v>1387</v>
      </c>
      <c r="J256" t="s">
        <v>1082</v>
      </c>
      <c r="K256" t="s">
        <v>845</v>
      </c>
      <c r="L256" t="s">
        <v>660</v>
      </c>
      <c r="M256" t="s">
        <v>1115</v>
      </c>
      <c r="N256">
        <v>124000</v>
      </c>
    </row>
    <row r="257" spans="1:15" x14ac:dyDescent="0.3">
      <c r="A257" t="s">
        <v>663</v>
      </c>
      <c r="B257" t="s">
        <v>703</v>
      </c>
      <c r="C257" t="s">
        <v>1388</v>
      </c>
      <c r="D257" t="s">
        <v>793</v>
      </c>
      <c r="E257" t="s">
        <v>1389</v>
      </c>
      <c r="F257" t="s">
        <v>754</v>
      </c>
      <c r="G257" t="s">
        <v>1043</v>
      </c>
      <c r="H257" t="s">
        <v>694</v>
      </c>
      <c r="I257" t="s">
        <v>738</v>
      </c>
      <c r="J257" t="s">
        <v>701</v>
      </c>
      <c r="K257" t="s">
        <v>660</v>
      </c>
      <c r="L257" t="s">
        <v>660</v>
      </c>
      <c r="M257" t="s">
        <v>1115</v>
      </c>
      <c r="N257">
        <v>124000</v>
      </c>
    </row>
    <row r="258" spans="1:15" x14ac:dyDescent="0.3">
      <c r="A258" t="s">
        <v>1390</v>
      </c>
      <c r="B258" t="s">
        <v>652</v>
      </c>
      <c r="C258" t="s">
        <v>1391</v>
      </c>
      <c r="D258" t="s">
        <v>1392</v>
      </c>
      <c r="E258" t="s">
        <v>1393</v>
      </c>
      <c r="F258" t="s">
        <v>707</v>
      </c>
      <c r="G258" t="s">
        <v>1394</v>
      </c>
      <c r="H258" t="s">
        <v>657</v>
      </c>
      <c r="I258" t="s">
        <v>671</v>
      </c>
      <c r="J258" t="s">
        <v>672</v>
      </c>
      <c r="K258" t="s">
        <v>782</v>
      </c>
      <c r="L258" t="s">
        <v>660</v>
      </c>
      <c r="M258" t="s">
        <v>1115</v>
      </c>
      <c r="N258">
        <v>124000</v>
      </c>
    </row>
    <row r="259" spans="1:15" x14ac:dyDescent="0.3">
      <c r="A259" t="s">
        <v>1242</v>
      </c>
      <c r="B259" t="s">
        <v>664</v>
      </c>
      <c r="C259" t="s">
        <v>1243</v>
      </c>
      <c r="D259" t="s">
        <v>667</v>
      </c>
      <c r="E259" t="s">
        <v>667</v>
      </c>
      <c r="F259" t="s">
        <v>754</v>
      </c>
      <c r="G259" t="s">
        <v>699</v>
      </c>
      <c r="H259" t="s">
        <v>694</v>
      </c>
      <c r="I259" t="s">
        <v>738</v>
      </c>
      <c r="J259" t="s">
        <v>701</v>
      </c>
      <c r="K259" t="s">
        <v>845</v>
      </c>
      <c r="L259" t="s">
        <v>1244</v>
      </c>
      <c r="M259" t="s">
        <v>1115</v>
      </c>
      <c r="N259">
        <v>124000</v>
      </c>
    </row>
    <row r="260" spans="1:15" x14ac:dyDescent="0.3">
      <c r="A260" t="s">
        <v>663</v>
      </c>
      <c r="B260" t="s">
        <v>832</v>
      </c>
      <c r="C260" t="s">
        <v>1395</v>
      </c>
      <c r="D260" t="s">
        <v>654</v>
      </c>
      <c r="E260" t="s">
        <v>882</v>
      </c>
      <c r="F260" t="s">
        <v>1248</v>
      </c>
      <c r="G260" t="s">
        <v>660</v>
      </c>
      <c r="H260" t="s">
        <v>1248</v>
      </c>
      <c r="I260" t="s">
        <v>882</v>
      </c>
      <c r="J260" t="s">
        <v>882</v>
      </c>
      <c r="K260" t="s">
        <v>660</v>
      </c>
      <c r="L260" t="s">
        <v>660</v>
      </c>
      <c r="M260" t="s">
        <v>1115</v>
      </c>
      <c r="N260">
        <v>124000</v>
      </c>
    </row>
    <row r="261" spans="1:15" x14ac:dyDescent="0.3">
      <c r="A261" t="s">
        <v>1396</v>
      </c>
      <c r="B261" t="s">
        <v>690</v>
      </c>
      <c r="C261" t="s">
        <v>691</v>
      </c>
      <c r="D261" t="s">
        <v>1252</v>
      </c>
      <c r="E261" t="s">
        <v>654</v>
      </c>
      <c r="F261" t="s">
        <v>692</v>
      </c>
      <c r="G261" t="s">
        <v>693</v>
      </c>
      <c r="H261" t="s">
        <v>694</v>
      </c>
      <c r="I261" t="s">
        <v>695</v>
      </c>
      <c r="J261" t="s">
        <v>672</v>
      </c>
      <c r="K261" t="s">
        <v>660</v>
      </c>
      <c r="L261" t="s">
        <v>696</v>
      </c>
      <c r="M261" t="s">
        <v>1115</v>
      </c>
      <c r="N261">
        <v>124000</v>
      </c>
    </row>
    <row r="262" spans="1:15" x14ac:dyDescent="0.3">
      <c r="A262" t="s">
        <v>1250</v>
      </c>
      <c r="B262" t="s">
        <v>734</v>
      </c>
      <c r="C262" t="s">
        <v>1251</v>
      </c>
      <c r="D262" t="s">
        <v>793</v>
      </c>
      <c r="E262" t="s">
        <v>1252</v>
      </c>
      <c r="F262" t="s">
        <v>685</v>
      </c>
      <c r="G262" t="s">
        <v>852</v>
      </c>
      <c r="H262" t="s">
        <v>943</v>
      </c>
      <c r="I262" t="s">
        <v>700</v>
      </c>
      <c r="J262" t="s">
        <v>701</v>
      </c>
      <c r="K262" t="s">
        <v>660</v>
      </c>
      <c r="L262" t="s">
        <v>660</v>
      </c>
      <c r="M262" t="s">
        <v>1115</v>
      </c>
      <c r="N262">
        <v>124000</v>
      </c>
    </row>
    <row r="263" spans="1:15" x14ac:dyDescent="0.3">
      <c r="A263" t="s">
        <v>1245</v>
      </c>
      <c r="B263" t="s">
        <v>724</v>
      </c>
      <c r="C263" t="s">
        <v>1246</v>
      </c>
      <c r="D263" t="s">
        <v>1247</v>
      </c>
      <c r="E263" t="s">
        <v>1247</v>
      </c>
      <c r="F263" t="s">
        <v>1248</v>
      </c>
      <c r="G263" t="s">
        <v>948</v>
      </c>
      <c r="H263" t="s">
        <v>943</v>
      </c>
      <c r="I263" t="s">
        <v>695</v>
      </c>
      <c r="J263" t="s">
        <v>672</v>
      </c>
      <c r="K263" t="s">
        <v>660</v>
      </c>
      <c r="L263" t="s">
        <v>1249</v>
      </c>
      <c r="M263" t="s">
        <v>1115</v>
      </c>
      <c r="N263">
        <v>124000</v>
      </c>
    </row>
    <row r="264" spans="1:15" x14ac:dyDescent="0.3">
      <c r="A264" t="s">
        <v>820</v>
      </c>
      <c r="B264" t="s">
        <v>674</v>
      </c>
      <c r="C264" t="s">
        <v>821</v>
      </c>
      <c r="D264" t="s">
        <v>822</v>
      </c>
      <c r="E264" t="s">
        <v>822</v>
      </c>
      <c r="F264" t="s">
        <v>655</v>
      </c>
      <c r="G264" t="s">
        <v>823</v>
      </c>
      <c r="H264" t="s">
        <v>657</v>
      </c>
      <c r="I264" t="s">
        <v>824</v>
      </c>
      <c r="J264" t="s">
        <v>824</v>
      </c>
      <c r="K264" t="s">
        <v>660</v>
      </c>
      <c r="L264" t="s">
        <v>660</v>
      </c>
      <c r="M264" t="s">
        <v>1397</v>
      </c>
      <c r="N264">
        <v>150000</v>
      </c>
    </row>
    <row r="265" spans="1:15" x14ac:dyDescent="0.3">
      <c r="A265" t="s">
        <v>847</v>
      </c>
      <c r="B265" t="s">
        <v>848</v>
      </c>
      <c r="C265" t="s">
        <v>849</v>
      </c>
      <c r="D265" t="s">
        <v>850</v>
      </c>
      <c r="E265" t="s">
        <v>851</v>
      </c>
      <c r="F265" t="s">
        <v>655</v>
      </c>
      <c r="G265" t="s">
        <v>852</v>
      </c>
      <c r="H265" t="s">
        <v>694</v>
      </c>
      <c r="I265" t="s">
        <v>853</v>
      </c>
      <c r="J265" t="s">
        <v>748</v>
      </c>
      <c r="K265" t="s">
        <v>722</v>
      </c>
      <c r="L265" t="s">
        <v>660</v>
      </c>
      <c r="M265" t="s">
        <v>1397</v>
      </c>
      <c r="N265">
        <v>150000</v>
      </c>
    </row>
    <row r="266" spans="1:15" x14ac:dyDescent="0.3">
      <c r="A266" t="s">
        <v>740</v>
      </c>
      <c r="B266" t="s">
        <v>1398</v>
      </c>
      <c r="C266" t="s">
        <v>742</v>
      </c>
      <c r="D266" t="s">
        <v>1399</v>
      </c>
      <c r="E266" t="s">
        <v>744</v>
      </c>
      <c r="F266" t="s">
        <v>744</v>
      </c>
      <c r="G266" t="s">
        <v>655</v>
      </c>
      <c r="H266" t="s">
        <v>745</v>
      </c>
      <c r="I266" t="s">
        <v>746</v>
      </c>
      <c r="J266" t="s">
        <v>747</v>
      </c>
      <c r="K266" t="s">
        <v>748</v>
      </c>
      <c r="L266" t="s">
        <v>749</v>
      </c>
      <c r="M266" t="s">
        <v>750</v>
      </c>
      <c r="N266">
        <v>91000</v>
      </c>
      <c r="O266">
        <v>150000</v>
      </c>
    </row>
    <row r="267" spans="1:15" x14ac:dyDescent="0.3">
      <c r="A267" t="s">
        <v>1400</v>
      </c>
      <c r="B267" t="s">
        <v>674</v>
      </c>
      <c r="C267" t="s">
        <v>675</v>
      </c>
      <c r="D267" t="s">
        <v>676</v>
      </c>
      <c r="E267" t="s">
        <v>676</v>
      </c>
      <c r="F267" t="s">
        <v>655</v>
      </c>
      <c r="G267" t="s">
        <v>677</v>
      </c>
      <c r="H267" t="s">
        <v>678</v>
      </c>
      <c r="I267" t="s">
        <v>679</v>
      </c>
      <c r="J267" t="s">
        <v>672</v>
      </c>
      <c r="K267" t="s">
        <v>680</v>
      </c>
      <c r="L267" t="s">
        <v>660</v>
      </c>
      <c r="M267" t="s">
        <v>1397</v>
      </c>
      <c r="N267">
        <v>150000</v>
      </c>
    </row>
    <row r="268" spans="1:15" x14ac:dyDescent="0.3">
      <c r="A268" t="s">
        <v>663</v>
      </c>
      <c r="B268" t="s">
        <v>791</v>
      </c>
      <c r="C268" t="s">
        <v>1401</v>
      </c>
      <c r="D268" t="s">
        <v>1005</v>
      </c>
      <c r="E268" t="s">
        <v>1005</v>
      </c>
      <c r="F268" t="s">
        <v>655</v>
      </c>
      <c r="G268" t="s">
        <v>1402</v>
      </c>
      <c r="H268" t="s">
        <v>657</v>
      </c>
      <c r="I268" t="s">
        <v>709</v>
      </c>
      <c r="J268" t="s">
        <v>709</v>
      </c>
      <c r="K268" t="s">
        <v>680</v>
      </c>
      <c r="L268" t="s">
        <v>660</v>
      </c>
      <c r="M268" t="s">
        <v>1397</v>
      </c>
      <c r="N268">
        <v>150000</v>
      </c>
    </row>
    <row r="269" spans="1:15" x14ac:dyDescent="0.3">
      <c r="A269" t="s">
        <v>663</v>
      </c>
      <c r="B269" t="s">
        <v>1269</v>
      </c>
      <c r="C269" t="s">
        <v>1403</v>
      </c>
      <c r="D269" t="s">
        <v>1404</v>
      </c>
      <c r="E269" t="s">
        <v>1404</v>
      </c>
      <c r="F269" t="s">
        <v>754</v>
      </c>
      <c r="G269" t="s">
        <v>699</v>
      </c>
      <c r="H269" t="s">
        <v>694</v>
      </c>
      <c r="I269" t="s">
        <v>738</v>
      </c>
      <c r="J269" t="s">
        <v>701</v>
      </c>
      <c r="K269" t="s">
        <v>811</v>
      </c>
      <c r="L269" t="s">
        <v>660</v>
      </c>
      <c r="M269" t="s">
        <v>1397</v>
      </c>
      <c r="N269">
        <v>150000</v>
      </c>
    </row>
    <row r="270" spans="1:15" x14ac:dyDescent="0.3">
      <c r="A270" t="s">
        <v>663</v>
      </c>
      <c r="B270" t="s">
        <v>681</v>
      </c>
      <c r="C270" t="s">
        <v>1405</v>
      </c>
      <c r="D270" t="s">
        <v>1252</v>
      </c>
      <c r="E270" t="s">
        <v>1252</v>
      </c>
      <c r="F270" t="s">
        <v>707</v>
      </c>
      <c r="G270" t="s">
        <v>948</v>
      </c>
      <c r="H270" t="s">
        <v>670</v>
      </c>
      <c r="I270" t="s">
        <v>773</v>
      </c>
      <c r="J270" t="s">
        <v>701</v>
      </c>
      <c r="K270" t="s">
        <v>710</v>
      </c>
      <c r="L270" t="s">
        <v>1406</v>
      </c>
      <c r="M270" t="s">
        <v>1397</v>
      </c>
      <c r="N270">
        <v>150000</v>
      </c>
    </row>
    <row r="271" spans="1:15" x14ac:dyDescent="0.3">
      <c r="A271" t="s">
        <v>840</v>
      </c>
      <c r="B271" t="s">
        <v>1407</v>
      </c>
      <c r="C271" t="s">
        <v>832</v>
      </c>
      <c r="D271" t="s">
        <v>1408</v>
      </c>
      <c r="E271" t="s">
        <v>654</v>
      </c>
      <c r="F271" t="s">
        <v>654</v>
      </c>
      <c r="G271" t="s">
        <v>765</v>
      </c>
      <c r="H271" t="s">
        <v>1330</v>
      </c>
      <c r="I271" t="s">
        <v>694</v>
      </c>
      <c r="J271" t="s">
        <v>728</v>
      </c>
      <c r="K271" t="s">
        <v>701</v>
      </c>
      <c r="L271" t="s">
        <v>660</v>
      </c>
      <c r="M271" t="s">
        <v>660</v>
      </c>
      <c r="N271">
        <v>91000</v>
      </c>
      <c r="O271">
        <v>150000</v>
      </c>
    </row>
    <row r="272" spans="1:15" x14ac:dyDescent="0.3">
      <c r="A272" t="s">
        <v>840</v>
      </c>
      <c r="B272" t="s">
        <v>769</v>
      </c>
      <c r="C272" t="s">
        <v>1253</v>
      </c>
      <c r="D272" t="s">
        <v>906</v>
      </c>
      <c r="E272" t="s">
        <v>720</v>
      </c>
      <c r="F272" t="s">
        <v>692</v>
      </c>
      <c r="G272" t="s">
        <v>797</v>
      </c>
      <c r="H272" t="s">
        <v>694</v>
      </c>
      <c r="I272" t="s">
        <v>738</v>
      </c>
      <c r="J272" t="s">
        <v>701</v>
      </c>
      <c r="K272" t="s">
        <v>660</v>
      </c>
      <c r="L272" t="s">
        <v>660</v>
      </c>
      <c r="M272" t="s">
        <v>1397</v>
      </c>
      <c r="N272">
        <v>150000</v>
      </c>
    </row>
    <row r="273" spans="1:15" x14ac:dyDescent="0.3">
      <c r="A273" t="s">
        <v>1409</v>
      </c>
      <c r="B273" t="s">
        <v>1410</v>
      </c>
      <c r="C273" t="s">
        <v>769</v>
      </c>
      <c r="D273" t="s">
        <v>1411</v>
      </c>
      <c r="E273" t="s">
        <v>1412</v>
      </c>
      <c r="F273" t="s">
        <v>1412</v>
      </c>
      <c r="G273" t="s">
        <v>655</v>
      </c>
      <c r="H273" t="s">
        <v>677</v>
      </c>
      <c r="I273" t="s">
        <v>670</v>
      </c>
      <c r="J273" t="s">
        <v>709</v>
      </c>
      <c r="K273" t="s">
        <v>709</v>
      </c>
      <c r="L273" t="s">
        <v>680</v>
      </c>
      <c r="M273" t="s">
        <v>1413</v>
      </c>
      <c r="N273">
        <v>91000</v>
      </c>
      <c r="O273">
        <v>150000</v>
      </c>
    </row>
    <row r="274" spans="1:15" x14ac:dyDescent="0.3">
      <c r="A274" t="s">
        <v>663</v>
      </c>
      <c r="B274" t="s">
        <v>681</v>
      </c>
      <c r="C274" t="s">
        <v>1414</v>
      </c>
      <c r="D274" t="s">
        <v>654</v>
      </c>
      <c r="E274" t="s">
        <v>1415</v>
      </c>
      <c r="F274" t="s">
        <v>707</v>
      </c>
      <c r="G274" t="s">
        <v>1168</v>
      </c>
      <c r="H274" t="s">
        <v>670</v>
      </c>
      <c r="I274" t="s">
        <v>882</v>
      </c>
      <c r="J274" t="s">
        <v>882</v>
      </c>
      <c r="K274" t="s">
        <v>710</v>
      </c>
      <c r="L274" t="s">
        <v>1416</v>
      </c>
      <c r="M274" t="s">
        <v>1397</v>
      </c>
      <c r="N274">
        <v>150000</v>
      </c>
    </row>
    <row r="275" spans="1:15" x14ac:dyDescent="0.3">
      <c r="A275" t="s">
        <v>663</v>
      </c>
      <c r="B275" t="s">
        <v>791</v>
      </c>
      <c r="C275" t="s">
        <v>1417</v>
      </c>
      <c r="D275" t="s">
        <v>910</v>
      </c>
      <c r="E275" t="s">
        <v>1184</v>
      </c>
      <c r="F275" t="s">
        <v>692</v>
      </c>
      <c r="G275" t="s">
        <v>797</v>
      </c>
      <c r="H275" t="s">
        <v>694</v>
      </c>
      <c r="I275" t="s">
        <v>738</v>
      </c>
      <c r="J275" t="s">
        <v>701</v>
      </c>
      <c r="K275" t="s">
        <v>811</v>
      </c>
      <c r="L275" t="s">
        <v>660</v>
      </c>
      <c r="M275" t="s">
        <v>1397</v>
      </c>
      <c r="N275">
        <v>150000</v>
      </c>
    </row>
    <row r="276" spans="1:15" x14ac:dyDescent="0.3">
      <c r="A276" t="s">
        <v>663</v>
      </c>
      <c r="B276" t="s">
        <v>832</v>
      </c>
      <c r="C276" t="s">
        <v>1254</v>
      </c>
      <c r="D276" t="s">
        <v>793</v>
      </c>
      <c r="E276" t="s">
        <v>1255</v>
      </c>
      <c r="F276" t="s">
        <v>1248</v>
      </c>
      <c r="G276" t="s">
        <v>660</v>
      </c>
      <c r="H276" t="s">
        <v>670</v>
      </c>
      <c r="I276" t="s">
        <v>882</v>
      </c>
      <c r="J276" t="s">
        <v>882</v>
      </c>
      <c r="K276" t="s">
        <v>660</v>
      </c>
      <c r="L276" t="s">
        <v>660</v>
      </c>
      <c r="M276" t="s">
        <v>1397</v>
      </c>
      <c r="N276">
        <v>150000</v>
      </c>
    </row>
    <row r="277" spans="1:15" x14ac:dyDescent="0.3">
      <c r="A277" t="s">
        <v>663</v>
      </c>
      <c r="B277" t="s">
        <v>734</v>
      </c>
      <c r="C277" t="s">
        <v>1418</v>
      </c>
      <c r="D277" t="s">
        <v>1419</v>
      </c>
      <c r="E277" t="s">
        <v>1419</v>
      </c>
      <c r="F277" t="s">
        <v>655</v>
      </c>
      <c r="G277" t="s">
        <v>1420</v>
      </c>
      <c r="H277" t="s">
        <v>746</v>
      </c>
      <c r="I277" t="s">
        <v>767</v>
      </c>
      <c r="J277" t="s">
        <v>746</v>
      </c>
      <c r="K277" t="s">
        <v>673</v>
      </c>
      <c r="L277" t="s">
        <v>1421</v>
      </c>
      <c r="M277" t="s">
        <v>1397</v>
      </c>
      <c r="N277">
        <v>150000</v>
      </c>
    </row>
    <row r="278" spans="1:15" x14ac:dyDescent="0.3">
      <c r="A278" t="s">
        <v>1422</v>
      </c>
      <c r="B278" t="s">
        <v>674</v>
      </c>
      <c r="C278" t="s">
        <v>1423</v>
      </c>
      <c r="D278" t="s">
        <v>1424</v>
      </c>
      <c r="E278" t="s">
        <v>1424</v>
      </c>
      <c r="F278" t="s">
        <v>754</v>
      </c>
      <c r="G278" t="s">
        <v>1425</v>
      </c>
      <c r="H278" t="s">
        <v>694</v>
      </c>
      <c r="I278" t="s">
        <v>1036</v>
      </c>
      <c r="J278" t="s">
        <v>37</v>
      </c>
      <c r="K278" t="s">
        <v>673</v>
      </c>
      <c r="L278" t="s">
        <v>660</v>
      </c>
      <c r="M278" t="s">
        <v>1397</v>
      </c>
      <c r="N278">
        <v>150000</v>
      </c>
    </row>
    <row r="279" spans="1:15" x14ac:dyDescent="0.3">
      <c r="A279" t="s">
        <v>663</v>
      </c>
      <c r="B279" t="s">
        <v>724</v>
      </c>
      <c r="C279" t="s">
        <v>1426</v>
      </c>
      <c r="D279" t="s">
        <v>667</v>
      </c>
      <c r="E279" t="s">
        <v>1427</v>
      </c>
      <c r="F279" t="s">
        <v>707</v>
      </c>
      <c r="G279" t="s">
        <v>1305</v>
      </c>
      <c r="H279" t="s">
        <v>670</v>
      </c>
      <c r="I279" t="s">
        <v>1428</v>
      </c>
      <c r="J279" t="s">
        <v>672</v>
      </c>
      <c r="K279" t="s">
        <v>710</v>
      </c>
      <c r="L279" t="s">
        <v>1429</v>
      </c>
      <c r="M279" t="s">
        <v>1397</v>
      </c>
      <c r="N279">
        <v>150000</v>
      </c>
    </row>
    <row r="280" spans="1:15" x14ac:dyDescent="0.3">
      <c r="A280" t="s">
        <v>663</v>
      </c>
      <c r="B280" t="s">
        <v>836</v>
      </c>
      <c r="C280" t="s">
        <v>894</v>
      </c>
      <c r="D280" t="s">
        <v>676</v>
      </c>
      <c r="E280" t="s">
        <v>676</v>
      </c>
      <c r="F280" t="s">
        <v>754</v>
      </c>
      <c r="G280" t="s">
        <v>732</v>
      </c>
      <c r="H280" t="s">
        <v>694</v>
      </c>
      <c r="I280" t="s">
        <v>700</v>
      </c>
      <c r="J280" t="s">
        <v>701</v>
      </c>
      <c r="K280" t="s">
        <v>660</v>
      </c>
      <c r="L280" t="s">
        <v>660</v>
      </c>
      <c r="M280" t="s">
        <v>1397</v>
      </c>
      <c r="N280">
        <v>150000</v>
      </c>
    </row>
    <row r="281" spans="1:15" x14ac:dyDescent="0.3">
      <c r="A281" t="s">
        <v>663</v>
      </c>
      <c r="B281" t="s">
        <v>848</v>
      </c>
      <c r="C281" t="s">
        <v>1430</v>
      </c>
      <c r="D281" t="s">
        <v>753</v>
      </c>
      <c r="E281" t="s">
        <v>753</v>
      </c>
      <c r="F281" t="s">
        <v>707</v>
      </c>
      <c r="G281" t="s">
        <v>1431</v>
      </c>
      <c r="H281" t="s">
        <v>694</v>
      </c>
      <c r="I281" t="s">
        <v>679</v>
      </c>
      <c r="J281" t="s">
        <v>672</v>
      </c>
      <c r="K281" t="s">
        <v>722</v>
      </c>
      <c r="L281" t="s">
        <v>1432</v>
      </c>
      <c r="M281" t="s">
        <v>1397</v>
      </c>
      <c r="N281">
        <v>150000</v>
      </c>
    </row>
    <row r="282" spans="1:15" x14ac:dyDescent="0.3">
      <c r="A282" t="s">
        <v>663</v>
      </c>
      <c r="B282" t="s">
        <v>742</v>
      </c>
      <c r="C282" t="s">
        <v>1433</v>
      </c>
      <c r="D282" t="s">
        <v>1434</v>
      </c>
      <c r="E282" t="s">
        <v>1435</v>
      </c>
      <c r="F282" t="s">
        <v>655</v>
      </c>
      <c r="G282" t="s">
        <v>828</v>
      </c>
      <c r="H282" t="s">
        <v>670</v>
      </c>
      <c r="I282" t="s">
        <v>1187</v>
      </c>
      <c r="J282" t="s">
        <v>1187</v>
      </c>
      <c r="K282" t="s">
        <v>680</v>
      </c>
      <c r="L282" t="s">
        <v>660</v>
      </c>
      <c r="M282" t="s">
        <v>1397</v>
      </c>
      <c r="N282">
        <v>150000</v>
      </c>
    </row>
    <row r="283" spans="1:15" x14ac:dyDescent="0.3">
      <c r="A283" t="s">
        <v>663</v>
      </c>
      <c r="B283" t="s">
        <v>832</v>
      </c>
      <c r="C283" t="s">
        <v>1436</v>
      </c>
      <c r="D283" t="s">
        <v>1434</v>
      </c>
      <c r="E283" t="s">
        <v>1434</v>
      </c>
      <c r="F283" t="s">
        <v>692</v>
      </c>
      <c r="G283" t="s">
        <v>1330</v>
      </c>
      <c r="H283" t="s">
        <v>694</v>
      </c>
      <c r="I283" t="s">
        <v>930</v>
      </c>
      <c r="J283" t="s">
        <v>672</v>
      </c>
      <c r="K283" t="s">
        <v>815</v>
      </c>
      <c r="L283" t="s">
        <v>660</v>
      </c>
      <c r="M283" t="s">
        <v>1397</v>
      </c>
      <c r="N283">
        <v>150000</v>
      </c>
    </row>
    <row r="284" spans="1:15" x14ac:dyDescent="0.3">
      <c r="A284" t="s">
        <v>663</v>
      </c>
      <c r="B284" t="s">
        <v>660</v>
      </c>
      <c r="C284" t="s">
        <v>1437</v>
      </c>
      <c r="D284" t="s">
        <v>793</v>
      </c>
      <c r="E284" t="s">
        <v>1438</v>
      </c>
      <c r="F284" t="s">
        <v>1248</v>
      </c>
      <c r="G284" t="s">
        <v>660</v>
      </c>
      <c r="H284" t="s">
        <v>694</v>
      </c>
      <c r="I284" t="s">
        <v>882</v>
      </c>
      <c r="J284" t="s">
        <v>882</v>
      </c>
      <c r="K284" t="s">
        <v>660</v>
      </c>
      <c r="L284" t="s">
        <v>660</v>
      </c>
      <c r="M284" t="s">
        <v>1397</v>
      </c>
      <c r="N284">
        <v>150000</v>
      </c>
    </row>
    <row r="285" spans="1:15" x14ac:dyDescent="0.3">
      <c r="A285" t="s">
        <v>865</v>
      </c>
      <c r="B285" t="s">
        <v>757</v>
      </c>
      <c r="C285" t="s">
        <v>866</v>
      </c>
      <c r="D285" t="s">
        <v>867</v>
      </c>
      <c r="E285" t="s">
        <v>867</v>
      </c>
      <c r="F285" t="s">
        <v>685</v>
      </c>
      <c r="G285" t="s">
        <v>868</v>
      </c>
      <c r="H285" t="s">
        <v>694</v>
      </c>
      <c r="I285" t="s">
        <v>773</v>
      </c>
      <c r="J285" t="s">
        <v>701</v>
      </c>
      <c r="K285" t="s">
        <v>680</v>
      </c>
      <c r="L285" t="s">
        <v>869</v>
      </c>
      <c r="M285" t="s">
        <v>1439</v>
      </c>
      <c r="N285">
        <v>225000</v>
      </c>
    </row>
    <row r="286" spans="1:15" x14ac:dyDescent="0.3">
      <c r="A286" t="s">
        <v>663</v>
      </c>
      <c r="B286" t="s">
        <v>832</v>
      </c>
      <c r="C286" t="s">
        <v>833</v>
      </c>
      <c r="D286" t="s">
        <v>676</v>
      </c>
      <c r="E286" t="s">
        <v>676</v>
      </c>
      <c r="F286" t="s">
        <v>765</v>
      </c>
      <c r="G286" t="s">
        <v>834</v>
      </c>
      <c r="H286" t="s">
        <v>694</v>
      </c>
      <c r="I286" t="s">
        <v>738</v>
      </c>
      <c r="J286" t="s">
        <v>701</v>
      </c>
      <c r="K286" t="s">
        <v>660</v>
      </c>
      <c r="L286" t="s">
        <v>660</v>
      </c>
      <c r="M286" t="s">
        <v>1439</v>
      </c>
      <c r="N286">
        <v>225000</v>
      </c>
    </row>
    <row r="287" spans="1:15" x14ac:dyDescent="0.3">
      <c r="A287" t="s">
        <v>663</v>
      </c>
      <c r="B287" t="s">
        <v>660</v>
      </c>
      <c r="C287" t="s">
        <v>1437</v>
      </c>
      <c r="D287" t="s">
        <v>793</v>
      </c>
      <c r="E287" t="s">
        <v>1438</v>
      </c>
      <c r="F287" t="s">
        <v>1248</v>
      </c>
      <c r="G287" t="s">
        <v>660</v>
      </c>
      <c r="H287" t="s">
        <v>694</v>
      </c>
      <c r="I287" t="s">
        <v>882</v>
      </c>
      <c r="J287" t="s">
        <v>882</v>
      </c>
      <c r="K287" t="s">
        <v>660</v>
      </c>
      <c r="L287" t="s">
        <v>660</v>
      </c>
      <c r="M287" t="s">
        <v>1439</v>
      </c>
      <c r="N287">
        <v>225000</v>
      </c>
    </row>
    <row r="288" spans="1:15" x14ac:dyDescent="0.3">
      <c r="A288" t="s">
        <v>1256</v>
      </c>
      <c r="B288" t="s">
        <v>904</v>
      </c>
      <c r="C288" t="s">
        <v>999</v>
      </c>
      <c r="D288" t="s">
        <v>654</v>
      </c>
      <c r="E288" t="s">
        <v>1001</v>
      </c>
      <c r="F288" t="s">
        <v>707</v>
      </c>
      <c r="G288" t="s">
        <v>1002</v>
      </c>
      <c r="H288" t="s">
        <v>670</v>
      </c>
      <c r="I288" t="s">
        <v>709</v>
      </c>
      <c r="J288" t="s">
        <v>709</v>
      </c>
      <c r="K288" t="s">
        <v>710</v>
      </c>
      <c r="L288" t="s">
        <v>1003</v>
      </c>
      <c r="M288" t="s">
        <v>1439</v>
      </c>
      <c r="N288">
        <v>225000</v>
      </c>
    </row>
    <row r="289" spans="1:14" x14ac:dyDescent="0.3">
      <c r="A289" t="s">
        <v>663</v>
      </c>
      <c r="B289" t="s">
        <v>664</v>
      </c>
      <c r="C289" t="s">
        <v>1440</v>
      </c>
      <c r="D289" t="s">
        <v>1441</v>
      </c>
      <c r="E289" t="s">
        <v>1441</v>
      </c>
      <c r="F289" t="s">
        <v>707</v>
      </c>
      <c r="G289" t="s">
        <v>1381</v>
      </c>
      <c r="H289" t="s">
        <v>670</v>
      </c>
      <c r="I289" t="s">
        <v>1331</v>
      </c>
      <c r="J289" t="s">
        <v>688</v>
      </c>
      <c r="K289" t="s">
        <v>782</v>
      </c>
      <c r="L289" t="s">
        <v>1442</v>
      </c>
      <c r="M289" t="s">
        <v>1439</v>
      </c>
      <c r="N289">
        <v>225000</v>
      </c>
    </row>
    <row r="290" spans="1:14" x14ac:dyDescent="0.3">
      <c r="A290" t="s">
        <v>663</v>
      </c>
      <c r="B290" t="s">
        <v>795</v>
      </c>
      <c r="C290" t="s">
        <v>1257</v>
      </c>
      <c r="D290" t="s">
        <v>1236</v>
      </c>
      <c r="E290" t="s">
        <v>1023</v>
      </c>
      <c r="F290" t="s">
        <v>692</v>
      </c>
      <c r="G290" t="s">
        <v>660</v>
      </c>
      <c r="H290" t="s">
        <v>694</v>
      </c>
      <c r="I290" t="s">
        <v>882</v>
      </c>
      <c r="J290" t="s">
        <v>882</v>
      </c>
      <c r="K290" t="s">
        <v>660</v>
      </c>
      <c r="L290" t="s">
        <v>660</v>
      </c>
      <c r="M290" t="s">
        <v>1439</v>
      </c>
      <c r="N290">
        <v>225000</v>
      </c>
    </row>
    <row r="291" spans="1:14" x14ac:dyDescent="0.3">
      <c r="A291" t="s">
        <v>663</v>
      </c>
      <c r="B291" t="s">
        <v>757</v>
      </c>
      <c r="C291" t="s">
        <v>1443</v>
      </c>
      <c r="D291" t="s">
        <v>802</v>
      </c>
      <c r="E291" t="s">
        <v>1424</v>
      </c>
      <c r="F291" t="s">
        <v>692</v>
      </c>
      <c r="G291" t="s">
        <v>1444</v>
      </c>
      <c r="H291" t="s">
        <v>694</v>
      </c>
      <c r="I291" t="s">
        <v>1428</v>
      </c>
      <c r="J291" t="s">
        <v>672</v>
      </c>
      <c r="K291" t="s">
        <v>811</v>
      </c>
      <c r="L291" t="s">
        <v>660</v>
      </c>
      <c r="M291" t="s">
        <v>1439</v>
      </c>
      <c r="N291">
        <v>225000</v>
      </c>
    </row>
    <row r="292" spans="1:14" x14ac:dyDescent="0.3">
      <c r="A292" t="s">
        <v>663</v>
      </c>
      <c r="B292" t="s">
        <v>660</v>
      </c>
      <c r="C292" t="s">
        <v>1445</v>
      </c>
      <c r="D292" t="s">
        <v>793</v>
      </c>
      <c r="E292" t="s">
        <v>1446</v>
      </c>
      <c r="F292" t="s">
        <v>692</v>
      </c>
      <c r="G292" t="s">
        <v>660</v>
      </c>
      <c r="H292" t="s">
        <v>694</v>
      </c>
      <c r="I292" t="s">
        <v>882</v>
      </c>
      <c r="J292" t="s">
        <v>882</v>
      </c>
      <c r="K292" t="s">
        <v>660</v>
      </c>
      <c r="L292" t="s">
        <v>660</v>
      </c>
      <c r="M292" t="s">
        <v>1439</v>
      </c>
      <c r="N292">
        <v>225000</v>
      </c>
    </row>
    <row r="293" spans="1:14" x14ac:dyDescent="0.3">
      <c r="A293" t="s">
        <v>663</v>
      </c>
      <c r="B293" t="s">
        <v>717</v>
      </c>
      <c r="C293" t="s">
        <v>1447</v>
      </c>
      <c r="D293" t="s">
        <v>1427</v>
      </c>
      <c r="E293" t="s">
        <v>1438</v>
      </c>
      <c r="F293" t="s">
        <v>754</v>
      </c>
      <c r="G293" t="s">
        <v>921</v>
      </c>
      <c r="H293" t="s">
        <v>694</v>
      </c>
      <c r="I293" t="s">
        <v>930</v>
      </c>
      <c r="J293" t="s">
        <v>672</v>
      </c>
      <c r="K293" t="s">
        <v>1030</v>
      </c>
      <c r="L293" t="s">
        <v>660</v>
      </c>
      <c r="M293" t="s">
        <v>1439</v>
      </c>
      <c r="N293">
        <v>225000</v>
      </c>
    </row>
    <row r="294" spans="1:14" x14ac:dyDescent="0.3">
      <c r="A294" t="s">
        <v>1448</v>
      </c>
      <c r="B294" t="s">
        <v>681</v>
      </c>
      <c r="C294" t="s">
        <v>1171</v>
      </c>
      <c r="D294" t="s">
        <v>1217</v>
      </c>
      <c r="E294" t="s">
        <v>1039</v>
      </c>
      <c r="F294" t="s">
        <v>707</v>
      </c>
      <c r="G294" t="s">
        <v>1173</v>
      </c>
      <c r="H294" t="s">
        <v>670</v>
      </c>
      <c r="I294" t="s">
        <v>824</v>
      </c>
      <c r="J294" t="s">
        <v>824</v>
      </c>
      <c r="K294" t="s">
        <v>710</v>
      </c>
      <c r="L294" t="s">
        <v>660</v>
      </c>
      <c r="M294" t="s">
        <v>1439</v>
      </c>
      <c r="N294">
        <v>225000</v>
      </c>
    </row>
    <row r="295" spans="1:14" x14ac:dyDescent="0.3">
      <c r="A295" t="s">
        <v>663</v>
      </c>
      <c r="B295" t="s">
        <v>742</v>
      </c>
      <c r="C295" t="s">
        <v>1449</v>
      </c>
      <c r="D295" t="s">
        <v>793</v>
      </c>
      <c r="E295" t="s">
        <v>654</v>
      </c>
      <c r="F295" t="s">
        <v>655</v>
      </c>
      <c r="G295" t="s">
        <v>656</v>
      </c>
      <c r="H295" t="s">
        <v>670</v>
      </c>
      <c r="I295" t="s">
        <v>1081</v>
      </c>
      <c r="J295" t="s">
        <v>1082</v>
      </c>
      <c r="K295" t="s">
        <v>673</v>
      </c>
      <c r="L295" t="s">
        <v>1450</v>
      </c>
      <c r="M295" t="s">
        <v>1439</v>
      </c>
      <c r="N295">
        <v>225000</v>
      </c>
    </row>
    <row r="296" spans="1:14" x14ac:dyDescent="0.3">
      <c r="A296" t="s">
        <v>663</v>
      </c>
      <c r="B296" t="s">
        <v>742</v>
      </c>
      <c r="C296" t="s">
        <v>1451</v>
      </c>
      <c r="D296" t="s">
        <v>1452</v>
      </c>
      <c r="E296" t="s">
        <v>1452</v>
      </c>
      <c r="F296" t="s">
        <v>685</v>
      </c>
      <c r="G296" t="s">
        <v>660</v>
      </c>
      <c r="H296" t="s">
        <v>694</v>
      </c>
      <c r="I296" t="s">
        <v>1453</v>
      </c>
      <c r="J296" t="s">
        <v>715</v>
      </c>
      <c r="K296" t="s">
        <v>680</v>
      </c>
      <c r="L296" t="s">
        <v>660</v>
      </c>
      <c r="M296" t="s">
        <v>1439</v>
      </c>
      <c r="N296">
        <v>225000</v>
      </c>
    </row>
    <row r="297" spans="1:14" x14ac:dyDescent="0.3">
      <c r="A297" t="s">
        <v>663</v>
      </c>
      <c r="B297" t="s">
        <v>769</v>
      </c>
      <c r="C297" t="s">
        <v>1454</v>
      </c>
      <c r="D297" t="s">
        <v>1455</v>
      </c>
      <c r="E297" t="s">
        <v>1456</v>
      </c>
      <c r="F297" t="s">
        <v>707</v>
      </c>
      <c r="G297" t="s">
        <v>660</v>
      </c>
      <c r="H297" t="s">
        <v>1457</v>
      </c>
      <c r="I297" t="s">
        <v>789</v>
      </c>
      <c r="J297" t="s">
        <v>790</v>
      </c>
      <c r="K297" t="s">
        <v>660</v>
      </c>
      <c r="L297" t="s">
        <v>660</v>
      </c>
      <c r="M297" t="s">
        <v>1439</v>
      </c>
      <c r="N297">
        <v>225000</v>
      </c>
    </row>
    <row r="298" spans="1:14" x14ac:dyDescent="0.3">
      <c r="A298" t="s">
        <v>663</v>
      </c>
      <c r="B298" t="s">
        <v>757</v>
      </c>
      <c r="C298" t="s">
        <v>1458</v>
      </c>
      <c r="D298" t="s">
        <v>654</v>
      </c>
      <c r="E298" t="s">
        <v>654</v>
      </c>
      <c r="F298" t="s">
        <v>765</v>
      </c>
      <c r="G298" t="s">
        <v>788</v>
      </c>
      <c r="H298" t="s">
        <v>694</v>
      </c>
      <c r="I298" t="s">
        <v>1459</v>
      </c>
      <c r="J298" t="s">
        <v>715</v>
      </c>
      <c r="K298" t="s">
        <v>660</v>
      </c>
      <c r="L298" t="s">
        <v>660</v>
      </c>
      <c r="M298" t="s">
        <v>1439</v>
      </c>
      <c r="N298">
        <v>225000</v>
      </c>
    </row>
    <row r="299" spans="1:14" x14ac:dyDescent="0.3">
      <c r="A299" t="s">
        <v>870</v>
      </c>
      <c r="B299" t="s">
        <v>729</v>
      </c>
      <c r="C299" t="s">
        <v>1460</v>
      </c>
      <c r="D299" t="s">
        <v>1039</v>
      </c>
      <c r="E299" t="s">
        <v>759</v>
      </c>
      <c r="F299" t="s">
        <v>765</v>
      </c>
      <c r="G299" t="s">
        <v>788</v>
      </c>
      <c r="H299" t="s">
        <v>694</v>
      </c>
      <c r="I299" t="s">
        <v>738</v>
      </c>
      <c r="J299" t="s">
        <v>701</v>
      </c>
      <c r="K299" t="s">
        <v>660</v>
      </c>
      <c r="L299" t="s">
        <v>660</v>
      </c>
      <c r="M299" t="s">
        <v>1439</v>
      </c>
      <c r="N299">
        <v>225000</v>
      </c>
    </row>
    <row r="300" spans="1:14" x14ac:dyDescent="0.3">
      <c r="A300" t="s">
        <v>663</v>
      </c>
      <c r="B300" t="s">
        <v>681</v>
      </c>
      <c r="C300" t="s">
        <v>1461</v>
      </c>
      <c r="D300" t="s">
        <v>654</v>
      </c>
      <c r="E300" t="s">
        <v>1462</v>
      </c>
      <c r="F300" t="s">
        <v>655</v>
      </c>
      <c r="G300" t="s">
        <v>713</v>
      </c>
      <c r="H300" t="s">
        <v>694</v>
      </c>
      <c r="I300" t="s">
        <v>1463</v>
      </c>
      <c r="J300" t="s">
        <v>1464</v>
      </c>
      <c r="K300" t="s">
        <v>660</v>
      </c>
      <c r="L300" t="s">
        <v>660</v>
      </c>
      <c r="M300" t="s">
        <v>1439</v>
      </c>
      <c r="N300">
        <v>225000</v>
      </c>
    </row>
    <row r="301" spans="1:14" x14ac:dyDescent="0.3">
      <c r="A301" t="s">
        <v>663</v>
      </c>
      <c r="B301" t="s">
        <v>724</v>
      </c>
      <c r="C301" t="s">
        <v>1465</v>
      </c>
      <c r="D301" t="s">
        <v>1466</v>
      </c>
      <c r="E301" t="s">
        <v>1467</v>
      </c>
      <c r="F301" t="s">
        <v>707</v>
      </c>
      <c r="G301" t="s">
        <v>1056</v>
      </c>
      <c r="H301" t="s">
        <v>670</v>
      </c>
      <c r="I301" t="s">
        <v>687</v>
      </c>
      <c r="J301" t="s">
        <v>688</v>
      </c>
      <c r="K301" t="s">
        <v>710</v>
      </c>
      <c r="L301" t="s">
        <v>660</v>
      </c>
      <c r="M301" t="s">
        <v>1439</v>
      </c>
      <c r="N301">
        <v>225000</v>
      </c>
    </row>
    <row r="302" spans="1:14" x14ac:dyDescent="0.3">
      <c r="A302" t="s">
        <v>663</v>
      </c>
      <c r="B302" t="s">
        <v>791</v>
      </c>
      <c r="C302" t="s">
        <v>1468</v>
      </c>
      <c r="D302" t="s">
        <v>1469</v>
      </c>
      <c r="E302" t="s">
        <v>1469</v>
      </c>
      <c r="F302" t="s">
        <v>707</v>
      </c>
      <c r="G302" t="s">
        <v>1470</v>
      </c>
      <c r="H302" t="s">
        <v>746</v>
      </c>
      <c r="I302" t="s">
        <v>1471</v>
      </c>
      <c r="J302" t="s">
        <v>746</v>
      </c>
      <c r="K302" t="s">
        <v>710</v>
      </c>
      <c r="L302" t="s">
        <v>660</v>
      </c>
      <c r="M302" t="s">
        <v>1439</v>
      </c>
      <c r="N302">
        <v>225000</v>
      </c>
    </row>
    <row r="303" spans="1:14" x14ac:dyDescent="0.3">
      <c r="A303" t="s">
        <v>663</v>
      </c>
      <c r="B303" t="s">
        <v>742</v>
      </c>
      <c r="C303" t="s">
        <v>1472</v>
      </c>
      <c r="D303" t="s">
        <v>654</v>
      </c>
      <c r="E303" t="s">
        <v>1473</v>
      </c>
      <c r="F303" t="s">
        <v>685</v>
      </c>
      <c r="G303" t="s">
        <v>686</v>
      </c>
      <c r="H303" t="s">
        <v>694</v>
      </c>
      <c r="I303" t="s">
        <v>700</v>
      </c>
      <c r="J303" t="s">
        <v>701</v>
      </c>
      <c r="K303" t="s">
        <v>815</v>
      </c>
      <c r="L303" t="s">
        <v>660</v>
      </c>
      <c r="M303" t="s">
        <v>1439</v>
      </c>
      <c r="N303">
        <v>225000</v>
      </c>
    </row>
    <row r="304" spans="1:14" x14ac:dyDescent="0.3">
      <c r="A304" t="s">
        <v>663</v>
      </c>
      <c r="B304" t="s">
        <v>904</v>
      </c>
      <c r="C304" t="s">
        <v>1474</v>
      </c>
      <c r="D304" t="s">
        <v>1475</v>
      </c>
      <c r="E304" t="s">
        <v>1476</v>
      </c>
      <c r="F304" t="s">
        <v>685</v>
      </c>
      <c r="G304" t="s">
        <v>810</v>
      </c>
      <c r="H304" t="s">
        <v>694</v>
      </c>
      <c r="I304" t="s">
        <v>1459</v>
      </c>
      <c r="J304" t="s">
        <v>715</v>
      </c>
      <c r="K304" t="s">
        <v>680</v>
      </c>
      <c r="L304" t="s">
        <v>660</v>
      </c>
      <c r="M304" t="s">
        <v>1439</v>
      </c>
      <c r="N304">
        <v>225000</v>
      </c>
    </row>
    <row r="305" spans="1:15" x14ac:dyDescent="0.3">
      <c r="A305" t="s">
        <v>663</v>
      </c>
      <c r="B305" t="s">
        <v>791</v>
      </c>
      <c r="C305" t="s">
        <v>792</v>
      </c>
      <c r="D305" t="s">
        <v>726</v>
      </c>
      <c r="E305" t="s">
        <v>793</v>
      </c>
      <c r="F305" t="s">
        <v>692</v>
      </c>
      <c r="G305" t="s">
        <v>772</v>
      </c>
      <c r="H305" t="s">
        <v>694</v>
      </c>
      <c r="I305" t="s">
        <v>700</v>
      </c>
      <c r="J305" t="s">
        <v>701</v>
      </c>
      <c r="K305" t="s">
        <v>660</v>
      </c>
      <c r="L305" t="s">
        <v>660</v>
      </c>
      <c r="M305" t="s">
        <v>1477</v>
      </c>
      <c r="N305">
        <v>225000</v>
      </c>
    </row>
    <row r="306" spans="1:15" x14ac:dyDescent="0.3">
      <c r="A306" t="s">
        <v>663</v>
      </c>
      <c r="B306" t="s">
        <v>729</v>
      </c>
      <c r="C306" t="s">
        <v>825</v>
      </c>
      <c r="D306" t="s">
        <v>826</v>
      </c>
      <c r="E306" t="s">
        <v>827</v>
      </c>
      <c r="F306" t="s">
        <v>692</v>
      </c>
      <c r="G306" t="s">
        <v>828</v>
      </c>
      <c r="H306" t="s">
        <v>694</v>
      </c>
      <c r="I306" t="s">
        <v>767</v>
      </c>
      <c r="J306" t="s">
        <v>746</v>
      </c>
      <c r="K306" t="s">
        <v>815</v>
      </c>
      <c r="L306" t="s">
        <v>660</v>
      </c>
      <c r="M306" t="s">
        <v>1477</v>
      </c>
      <c r="N306">
        <v>225000</v>
      </c>
    </row>
    <row r="307" spans="1:15" x14ac:dyDescent="0.3">
      <c r="A307" t="s">
        <v>1478</v>
      </c>
      <c r="B307" t="s">
        <v>757</v>
      </c>
      <c r="C307" t="s">
        <v>1479</v>
      </c>
      <c r="D307" t="s">
        <v>771</v>
      </c>
      <c r="E307" t="s">
        <v>793</v>
      </c>
      <c r="F307" t="s">
        <v>692</v>
      </c>
      <c r="G307" t="s">
        <v>888</v>
      </c>
      <c r="H307" t="s">
        <v>694</v>
      </c>
      <c r="I307" t="s">
        <v>728</v>
      </c>
      <c r="J307" t="s">
        <v>701</v>
      </c>
      <c r="K307" t="s">
        <v>660</v>
      </c>
      <c r="L307" t="s">
        <v>660</v>
      </c>
      <c r="M307" t="s">
        <v>1477</v>
      </c>
      <c r="N307">
        <v>225000</v>
      </c>
    </row>
    <row r="308" spans="1:15" x14ac:dyDescent="0.3">
      <c r="A308" t="s">
        <v>663</v>
      </c>
      <c r="B308" t="s">
        <v>703</v>
      </c>
      <c r="C308" t="s">
        <v>1480</v>
      </c>
      <c r="D308" t="s">
        <v>1481</v>
      </c>
      <c r="E308" t="s">
        <v>1005</v>
      </c>
      <c r="F308" t="s">
        <v>754</v>
      </c>
      <c r="G308" t="s">
        <v>1237</v>
      </c>
      <c r="H308" t="s">
        <v>694</v>
      </c>
      <c r="I308" t="s">
        <v>738</v>
      </c>
      <c r="J308" t="s">
        <v>701</v>
      </c>
      <c r="K308" t="s">
        <v>811</v>
      </c>
      <c r="L308" t="s">
        <v>660</v>
      </c>
      <c r="M308" t="s">
        <v>1477</v>
      </c>
      <c r="N308">
        <v>225000</v>
      </c>
    </row>
    <row r="309" spans="1:15" x14ac:dyDescent="0.3">
      <c r="A309" t="s">
        <v>663</v>
      </c>
      <c r="B309" t="s">
        <v>791</v>
      </c>
      <c r="C309" t="s">
        <v>1482</v>
      </c>
      <c r="D309" t="s">
        <v>842</v>
      </c>
      <c r="E309" t="s">
        <v>1483</v>
      </c>
      <c r="F309" t="s">
        <v>765</v>
      </c>
      <c r="G309" t="s">
        <v>660</v>
      </c>
      <c r="H309" t="s">
        <v>694</v>
      </c>
      <c r="I309" t="s">
        <v>738</v>
      </c>
      <c r="J309" t="s">
        <v>701</v>
      </c>
      <c r="K309" t="s">
        <v>864</v>
      </c>
      <c r="L309" t="s">
        <v>660</v>
      </c>
      <c r="M309" t="s">
        <v>1477</v>
      </c>
      <c r="N309">
        <v>225000</v>
      </c>
    </row>
    <row r="310" spans="1:15" x14ac:dyDescent="0.3">
      <c r="A310" t="s">
        <v>663</v>
      </c>
      <c r="B310" t="s">
        <v>791</v>
      </c>
      <c r="C310" t="s">
        <v>1482</v>
      </c>
      <c r="D310" t="s">
        <v>654</v>
      </c>
      <c r="E310" t="s">
        <v>1484</v>
      </c>
      <c r="F310" t="s">
        <v>1248</v>
      </c>
      <c r="G310" t="s">
        <v>660</v>
      </c>
      <c r="H310" t="s">
        <v>670</v>
      </c>
      <c r="I310" t="s">
        <v>882</v>
      </c>
      <c r="J310" t="s">
        <v>882</v>
      </c>
      <c r="K310" t="s">
        <v>660</v>
      </c>
      <c r="L310" t="s">
        <v>660</v>
      </c>
      <c r="M310" t="s">
        <v>1477</v>
      </c>
      <c r="N310">
        <v>225000</v>
      </c>
    </row>
    <row r="311" spans="1:15" x14ac:dyDescent="0.3">
      <c r="A311" t="s">
        <v>663</v>
      </c>
      <c r="B311" t="s">
        <v>757</v>
      </c>
      <c r="C311" t="s">
        <v>1485</v>
      </c>
      <c r="D311" t="s">
        <v>1039</v>
      </c>
      <c r="E311" t="s">
        <v>1486</v>
      </c>
      <c r="F311" t="s">
        <v>668</v>
      </c>
      <c r="G311" t="s">
        <v>814</v>
      </c>
      <c r="H311" t="s">
        <v>694</v>
      </c>
      <c r="I311" t="s">
        <v>824</v>
      </c>
      <c r="J311" t="s">
        <v>824</v>
      </c>
      <c r="K311" t="s">
        <v>749</v>
      </c>
      <c r="L311" t="s">
        <v>660</v>
      </c>
      <c r="M311" t="s">
        <v>1477</v>
      </c>
      <c r="N311">
        <v>225000</v>
      </c>
    </row>
    <row r="312" spans="1:15" x14ac:dyDescent="0.3">
      <c r="A312" t="s">
        <v>663</v>
      </c>
      <c r="B312" t="s">
        <v>717</v>
      </c>
      <c r="C312" t="s">
        <v>1487</v>
      </c>
      <c r="D312" t="s">
        <v>654</v>
      </c>
      <c r="E312" t="s">
        <v>1372</v>
      </c>
      <c r="F312" t="s">
        <v>692</v>
      </c>
      <c r="G312" t="s">
        <v>772</v>
      </c>
      <c r="H312" t="s">
        <v>694</v>
      </c>
      <c r="I312" t="s">
        <v>738</v>
      </c>
      <c r="J312" t="s">
        <v>701</v>
      </c>
      <c r="K312" t="s">
        <v>660</v>
      </c>
      <c r="L312" t="s">
        <v>660</v>
      </c>
      <c r="M312" t="s">
        <v>1477</v>
      </c>
      <c r="N312">
        <v>225000</v>
      </c>
    </row>
    <row r="313" spans="1:15" x14ac:dyDescent="0.3">
      <c r="A313" t="s">
        <v>1258</v>
      </c>
      <c r="B313" t="s">
        <v>1259</v>
      </c>
      <c r="C313" t="s">
        <v>674</v>
      </c>
      <c r="D313" t="s">
        <v>1260</v>
      </c>
      <c r="E313" t="s">
        <v>1261</v>
      </c>
      <c r="F313" t="s">
        <v>1261</v>
      </c>
      <c r="G313" t="s">
        <v>668</v>
      </c>
      <c r="H313" t="s">
        <v>1262</v>
      </c>
      <c r="I313" t="s">
        <v>657</v>
      </c>
      <c r="J313" t="s">
        <v>789</v>
      </c>
      <c r="K313" t="s">
        <v>790</v>
      </c>
      <c r="L313" t="s">
        <v>680</v>
      </c>
      <c r="M313" t="s">
        <v>1263</v>
      </c>
      <c r="N313">
        <v>145000</v>
      </c>
      <c r="O313">
        <v>225000</v>
      </c>
    </row>
    <row r="314" spans="1:15" x14ac:dyDescent="0.3">
      <c r="A314" t="s">
        <v>1264</v>
      </c>
      <c r="B314" t="s">
        <v>1265</v>
      </c>
      <c r="C314" t="s">
        <v>674</v>
      </c>
      <c r="D314" t="s">
        <v>1266</v>
      </c>
      <c r="E314" t="s">
        <v>1267</v>
      </c>
      <c r="F314" t="s">
        <v>705</v>
      </c>
      <c r="G314" t="s">
        <v>754</v>
      </c>
      <c r="H314" t="s">
        <v>888</v>
      </c>
      <c r="I314" t="s">
        <v>670</v>
      </c>
      <c r="J314" t="s">
        <v>709</v>
      </c>
      <c r="K314" t="s">
        <v>709</v>
      </c>
      <c r="L314" t="s">
        <v>680</v>
      </c>
      <c r="M314" t="s">
        <v>660</v>
      </c>
      <c r="N314">
        <v>145000</v>
      </c>
      <c r="O314">
        <v>225000</v>
      </c>
    </row>
    <row r="315" spans="1:15" x14ac:dyDescent="0.3">
      <c r="A315" t="s">
        <v>663</v>
      </c>
      <c r="B315" t="s">
        <v>681</v>
      </c>
      <c r="C315" t="s">
        <v>1488</v>
      </c>
      <c r="D315" t="s">
        <v>813</v>
      </c>
      <c r="E315" t="s">
        <v>1435</v>
      </c>
      <c r="F315" t="s">
        <v>754</v>
      </c>
      <c r="G315" t="s">
        <v>810</v>
      </c>
      <c r="H315" t="s">
        <v>670</v>
      </c>
      <c r="I315" t="s">
        <v>1489</v>
      </c>
      <c r="J315" t="s">
        <v>37</v>
      </c>
      <c r="K315" t="s">
        <v>680</v>
      </c>
      <c r="L315" t="s">
        <v>660</v>
      </c>
      <c r="M315" t="s">
        <v>1477</v>
      </c>
      <c r="N315">
        <v>225000</v>
      </c>
    </row>
    <row r="316" spans="1:15" x14ac:dyDescent="0.3">
      <c r="A316" t="s">
        <v>893</v>
      </c>
      <c r="B316" t="s">
        <v>674</v>
      </c>
      <c r="C316" t="s">
        <v>1490</v>
      </c>
      <c r="D316" t="s">
        <v>793</v>
      </c>
      <c r="E316" t="s">
        <v>793</v>
      </c>
      <c r="F316" t="s">
        <v>754</v>
      </c>
      <c r="G316" t="s">
        <v>797</v>
      </c>
      <c r="H316" t="s">
        <v>694</v>
      </c>
      <c r="I316" t="s">
        <v>658</v>
      </c>
      <c r="J316" t="s">
        <v>659</v>
      </c>
      <c r="K316" t="s">
        <v>660</v>
      </c>
      <c r="L316" t="s">
        <v>660</v>
      </c>
      <c r="M316" t="s">
        <v>1477</v>
      </c>
      <c r="N316">
        <v>225000</v>
      </c>
    </row>
    <row r="317" spans="1:15" x14ac:dyDescent="0.3">
      <c r="A317" t="s">
        <v>663</v>
      </c>
      <c r="B317" t="s">
        <v>703</v>
      </c>
      <c r="C317" t="s">
        <v>1491</v>
      </c>
      <c r="D317" t="s">
        <v>1492</v>
      </c>
      <c r="E317" t="s">
        <v>1361</v>
      </c>
      <c r="F317" t="s">
        <v>655</v>
      </c>
      <c r="G317" t="s">
        <v>828</v>
      </c>
      <c r="H317" t="s">
        <v>670</v>
      </c>
      <c r="I317" t="s">
        <v>773</v>
      </c>
      <c r="J317" t="s">
        <v>701</v>
      </c>
      <c r="K317" t="s">
        <v>722</v>
      </c>
      <c r="L317" t="s">
        <v>1493</v>
      </c>
      <c r="M317" t="s">
        <v>1477</v>
      </c>
      <c r="N317">
        <v>225000</v>
      </c>
    </row>
    <row r="318" spans="1:15" x14ac:dyDescent="0.3">
      <c r="A318" t="s">
        <v>663</v>
      </c>
      <c r="B318" t="s">
        <v>757</v>
      </c>
      <c r="C318" t="s">
        <v>1494</v>
      </c>
      <c r="D318" t="s">
        <v>1424</v>
      </c>
      <c r="E318" t="s">
        <v>1424</v>
      </c>
      <c r="F318" t="s">
        <v>692</v>
      </c>
      <c r="G318" t="s">
        <v>660</v>
      </c>
      <c r="H318" t="s">
        <v>694</v>
      </c>
      <c r="I318" t="s">
        <v>882</v>
      </c>
      <c r="J318" t="s">
        <v>882</v>
      </c>
      <c r="K318" t="s">
        <v>864</v>
      </c>
      <c r="L318" t="s">
        <v>660</v>
      </c>
      <c r="M318" t="s">
        <v>1477</v>
      </c>
      <c r="N318">
        <v>225000</v>
      </c>
    </row>
    <row r="319" spans="1:15" x14ac:dyDescent="0.3">
      <c r="A319" t="s">
        <v>663</v>
      </c>
      <c r="B319" t="s">
        <v>674</v>
      </c>
      <c r="C319" t="s">
        <v>1495</v>
      </c>
      <c r="D319" t="s">
        <v>654</v>
      </c>
      <c r="E319" t="s">
        <v>1496</v>
      </c>
      <c r="F319" t="s">
        <v>692</v>
      </c>
      <c r="G319" t="s">
        <v>686</v>
      </c>
      <c r="H319" t="s">
        <v>694</v>
      </c>
      <c r="I319" t="s">
        <v>930</v>
      </c>
      <c r="J319" t="s">
        <v>672</v>
      </c>
      <c r="K319" t="s">
        <v>815</v>
      </c>
      <c r="L319" t="s">
        <v>660</v>
      </c>
      <c r="M319" t="s">
        <v>1477</v>
      </c>
      <c r="N319">
        <v>225000</v>
      </c>
    </row>
    <row r="320" spans="1:15" x14ac:dyDescent="0.3">
      <c r="A320" t="s">
        <v>1268</v>
      </c>
      <c r="B320" t="s">
        <v>1269</v>
      </c>
      <c r="C320" t="s">
        <v>1270</v>
      </c>
      <c r="D320" t="s">
        <v>1271</v>
      </c>
      <c r="E320" t="s">
        <v>1271</v>
      </c>
      <c r="F320" t="s">
        <v>685</v>
      </c>
      <c r="G320" t="s">
        <v>810</v>
      </c>
      <c r="H320" t="s">
        <v>694</v>
      </c>
      <c r="I320" t="s">
        <v>1119</v>
      </c>
      <c r="J320" t="s">
        <v>37</v>
      </c>
      <c r="K320" t="s">
        <v>680</v>
      </c>
      <c r="L320" t="s">
        <v>660</v>
      </c>
      <c r="M320" t="s">
        <v>1477</v>
      </c>
      <c r="N320">
        <v>225000</v>
      </c>
    </row>
    <row r="321" spans="1:15" x14ac:dyDescent="0.3">
      <c r="A321" t="s">
        <v>663</v>
      </c>
      <c r="B321" t="s">
        <v>660</v>
      </c>
      <c r="C321" t="s">
        <v>1497</v>
      </c>
      <c r="D321" t="s">
        <v>654</v>
      </c>
      <c r="E321" t="s">
        <v>760</v>
      </c>
      <c r="F321" t="s">
        <v>765</v>
      </c>
      <c r="G321" t="s">
        <v>660</v>
      </c>
      <c r="H321" t="s">
        <v>694</v>
      </c>
      <c r="I321" t="s">
        <v>679</v>
      </c>
      <c r="J321" t="s">
        <v>672</v>
      </c>
      <c r="K321" t="s">
        <v>864</v>
      </c>
      <c r="L321" t="s">
        <v>660</v>
      </c>
      <c r="M321" t="s">
        <v>1477</v>
      </c>
      <c r="N321">
        <v>225000</v>
      </c>
    </row>
    <row r="322" spans="1:15" x14ac:dyDescent="0.3">
      <c r="A322" t="s">
        <v>663</v>
      </c>
      <c r="B322" t="s">
        <v>1269</v>
      </c>
      <c r="C322" t="s">
        <v>1498</v>
      </c>
      <c r="D322" t="s">
        <v>1499</v>
      </c>
      <c r="E322" t="s">
        <v>775</v>
      </c>
      <c r="F322" t="s">
        <v>692</v>
      </c>
      <c r="G322" t="s">
        <v>660</v>
      </c>
      <c r="H322" t="s">
        <v>694</v>
      </c>
      <c r="I322" t="s">
        <v>679</v>
      </c>
      <c r="J322" t="s">
        <v>672</v>
      </c>
      <c r="K322" t="s">
        <v>1030</v>
      </c>
      <c r="L322" t="s">
        <v>660</v>
      </c>
      <c r="M322" t="s">
        <v>1477</v>
      </c>
      <c r="N322">
        <v>225000</v>
      </c>
    </row>
    <row r="323" spans="1:15" x14ac:dyDescent="0.3">
      <c r="A323" t="s">
        <v>1500</v>
      </c>
      <c r="B323" t="s">
        <v>1501</v>
      </c>
      <c r="C323" t="s">
        <v>703</v>
      </c>
      <c r="D323" t="s">
        <v>1502</v>
      </c>
      <c r="E323" t="s">
        <v>1469</v>
      </c>
      <c r="F323" t="s">
        <v>1503</v>
      </c>
      <c r="G323" t="s">
        <v>707</v>
      </c>
      <c r="H323" t="s">
        <v>1504</v>
      </c>
      <c r="I323" t="s">
        <v>670</v>
      </c>
      <c r="J323" t="s">
        <v>709</v>
      </c>
      <c r="K323" t="s">
        <v>709</v>
      </c>
      <c r="L323" t="s">
        <v>710</v>
      </c>
      <c r="M323" t="s">
        <v>1505</v>
      </c>
      <c r="N323">
        <v>145000</v>
      </c>
      <c r="O323">
        <v>225000</v>
      </c>
    </row>
    <row r="324" spans="1:15" x14ac:dyDescent="0.3">
      <c r="A324" t="s">
        <v>663</v>
      </c>
      <c r="B324" t="s">
        <v>660</v>
      </c>
      <c r="C324" t="s">
        <v>1506</v>
      </c>
      <c r="D324" t="s">
        <v>1213</v>
      </c>
      <c r="E324" t="s">
        <v>1213</v>
      </c>
      <c r="F324" t="s">
        <v>765</v>
      </c>
      <c r="G324" t="s">
        <v>660</v>
      </c>
      <c r="H324" t="s">
        <v>694</v>
      </c>
      <c r="I324" t="s">
        <v>882</v>
      </c>
      <c r="J324" t="s">
        <v>882</v>
      </c>
      <c r="K324" t="s">
        <v>660</v>
      </c>
      <c r="L324" t="s">
        <v>660</v>
      </c>
      <c r="M324" t="s">
        <v>1477</v>
      </c>
      <c r="N324">
        <v>225000</v>
      </c>
    </row>
    <row r="325" spans="1:15" x14ac:dyDescent="0.3">
      <c r="A325" t="s">
        <v>663</v>
      </c>
      <c r="B325" t="s">
        <v>742</v>
      </c>
      <c r="C325" t="s">
        <v>896</v>
      </c>
      <c r="D325" t="s">
        <v>793</v>
      </c>
      <c r="E325" t="s">
        <v>897</v>
      </c>
      <c r="F325" t="s">
        <v>655</v>
      </c>
      <c r="G325" t="s">
        <v>737</v>
      </c>
      <c r="H325" t="s">
        <v>746</v>
      </c>
      <c r="I325" t="s">
        <v>767</v>
      </c>
      <c r="J325" t="s">
        <v>746</v>
      </c>
      <c r="K325" t="s">
        <v>660</v>
      </c>
      <c r="L325" t="s">
        <v>660</v>
      </c>
      <c r="M325" t="s">
        <v>939</v>
      </c>
      <c r="N325">
        <v>147000</v>
      </c>
    </row>
    <row r="326" spans="1:15" x14ac:dyDescent="0.3">
      <c r="A326" t="s">
        <v>663</v>
      </c>
      <c r="B326" t="s">
        <v>848</v>
      </c>
      <c r="C326" t="s">
        <v>895</v>
      </c>
      <c r="D326" t="s">
        <v>851</v>
      </c>
      <c r="E326" t="s">
        <v>851</v>
      </c>
      <c r="F326" t="s">
        <v>685</v>
      </c>
      <c r="G326" t="s">
        <v>686</v>
      </c>
      <c r="H326" t="s">
        <v>694</v>
      </c>
      <c r="I326" t="s">
        <v>819</v>
      </c>
      <c r="J326" t="s">
        <v>37</v>
      </c>
      <c r="K326" t="s">
        <v>660</v>
      </c>
      <c r="L326" t="s">
        <v>660</v>
      </c>
      <c r="M326" t="s">
        <v>939</v>
      </c>
      <c r="N326">
        <v>147000</v>
      </c>
    </row>
    <row r="327" spans="1:15" x14ac:dyDescent="0.3">
      <c r="A327" t="s">
        <v>840</v>
      </c>
      <c r="B327" t="s">
        <v>717</v>
      </c>
      <c r="C327" t="s">
        <v>1278</v>
      </c>
      <c r="D327" t="s">
        <v>793</v>
      </c>
      <c r="E327" t="s">
        <v>793</v>
      </c>
      <c r="F327" t="s">
        <v>692</v>
      </c>
      <c r="G327" t="s">
        <v>844</v>
      </c>
      <c r="H327" t="s">
        <v>694</v>
      </c>
      <c r="I327" t="s">
        <v>700</v>
      </c>
      <c r="J327" t="s">
        <v>701</v>
      </c>
      <c r="K327" t="s">
        <v>845</v>
      </c>
      <c r="L327" t="s">
        <v>660</v>
      </c>
      <c r="M327" t="s">
        <v>939</v>
      </c>
      <c r="N327">
        <v>147000</v>
      </c>
    </row>
    <row r="328" spans="1:15" x14ac:dyDescent="0.3">
      <c r="A328" t="s">
        <v>663</v>
      </c>
      <c r="B328" t="s">
        <v>742</v>
      </c>
      <c r="C328" t="s">
        <v>1507</v>
      </c>
      <c r="D328" t="s">
        <v>1369</v>
      </c>
      <c r="E328" t="s">
        <v>1508</v>
      </c>
      <c r="F328" t="s">
        <v>655</v>
      </c>
      <c r="G328" t="s">
        <v>766</v>
      </c>
      <c r="H328" t="s">
        <v>694</v>
      </c>
      <c r="I328" t="s">
        <v>738</v>
      </c>
      <c r="J328" t="s">
        <v>701</v>
      </c>
      <c r="K328" t="s">
        <v>815</v>
      </c>
      <c r="L328" t="s">
        <v>660</v>
      </c>
      <c r="M328" t="s">
        <v>939</v>
      </c>
      <c r="N328">
        <v>147000</v>
      </c>
    </row>
    <row r="329" spans="1:15" x14ac:dyDescent="0.3">
      <c r="A329" t="s">
        <v>663</v>
      </c>
      <c r="B329" t="s">
        <v>848</v>
      </c>
      <c r="C329" t="s">
        <v>1509</v>
      </c>
      <c r="D329" t="s">
        <v>793</v>
      </c>
      <c r="E329" t="s">
        <v>1510</v>
      </c>
      <c r="F329" t="s">
        <v>754</v>
      </c>
      <c r="G329" t="s">
        <v>948</v>
      </c>
      <c r="H329" t="s">
        <v>694</v>
      </c>
      <c r="I329" t="s">
        <v>930</v>
      </c>
      <c r="J329" t="s">
        <v>672</v>
      </c>
      <c r="K329" t="s">
        <v>815</v>
      </c>
      <c r="L329" t="s">
        <v>660</v>
      </c>
      <c r="M329" t="s">
        <v>939</v>
      </c>
      <c r="N329">
        <v>147000</v>
      </c>
    </row>
    <row r="330" spans="1:15" x14ac:dyDescent="0.3">
      <c r="A330" t="s">
        <v>663</v>
      </c>
      <c r="B330" t="s">
        <v>757</v>
      </c>
      <c r="C330" t="s">
        <v>1511</v>
      </c>
      <c r="D330" t="s">
        <v>676</v>
      </c>
      <c r="E330" t="s">
        <v>1512</v>
      </c>
      <c r="F330" t="s">
        <v>692</v>
      </c>
      <c r="G330" t="s">
        <v>1513</v>
      </c>
      <c r="H330" t="s">
        <v>694</v>
      </c>
      <c r="I330" t="s">
        <v>700</v>
      </c>
      <c r="J330" t="s">
        <v>701</v>
      </c>
      <c r="K330" t="s">
        <v>1030</v>
      </c>
      <c r="L330" t="s">
        <v>1514</v>
      </c>
      <c r="M330" t="s">
        <v>939</v>
      </c>
      <c r="N330">
        <v>147000</v>
      </c>
    </row>
    <row r="331" spans="1:15" x14ac:dyDescent="0.3">
      <c r="A331" t="s">
        <v>663</v>
      </c>
      <c r="B331" t="s">
        <v>660</v>
      </c>
      <c r="C331" t="s">
        <v>1515</v>
      </c>
      <c r="D331" t="s">
        <v>1039</v>
      </c>
      <c r="E331" t="s">
        <v>1516</v>
      </c>
      <c r="F331" t="s">
        <v>692</v>
      </c>
      <c r="G331" t="s">
        <v>660</v>
      </c>
      <c r="H331" t="s">
        <v>694</v>
      </c>
      <c r="I331" t="s">
        <v>738</v>
      </c>
      <c r="J331" t="s">
        <v>701</v>
      </c>
      <c r="K331" t="s">
        <v>660</v>
      </c>
      <c r="L331" t="s">
        <v>660</v>
      </c>
      <c r="M331" t="s">
        <v>939</v>
      </c>
      <c r="N331">
        <v>147000</v>
      </c>
    </row>
    <row r="332" spans="1:15" x14ac:dyDescent="0.3">
      <c r="A332" t="s">
        <v>872</v>
      </c>
      <c r="B332" t="s">
        <v>742</v>
      </c>
      <c r="C332" t="s">
        <v>1273</v>
      </c>
      <c r="D332" t="s">
        <v>1274</v>
      </c>
      <c r="E332" t="s">
        <v>1275</v>
      </c>
      <c r="F332" t="s">
        <v>685</v>
      </c>
      <c r="G332" t="s">
        <v>1276</v>
      </c>
      <c r="H332" t="s">
        <v>670</v>
      </c>
      <c r="I332" t="s">
        <v>824</v>
      </c>
      <c r="J332" t="s">
        <v>824</v>
      </c>
      <c r="K332" t="s">
        <v>680</v>
      </c>
      <c r="L332" t="s">
        <v>1277</v>
      </c>
      <c r="M332" t="s">
        <v>939</v>
      </c>
      <c r="N332">
        <v>147000</v>
      </c>
    </row>
    <row r="333" spans="1:15" x14ac:dyDescent="0.3">
      <c r="A333" t="s">
        <v>1517</v>
      </c>
      <c r="B333" t="s">
        <v>742</v>
      </c>
      <c r="C333" t="s">
        <v>1518</v>
      </c>
      <c r="D333" t="s">
        <v>1519</v>
      </c>
      <c r="E333" t="s">
        <v>1519</v>
      </c>
      <c r="F333" t="s">
        <v>655</v>
      </c>
      <c r="G333" t="s">
        <v>1520</v>
      </c>
      <c r="H333" t="s">
        <v>694</v>
      </c>
      <c r="I333" t="s">
        <v>658</v>
      </c>
      <c r="J333" t="s">
        <v>659</v>
      </c>
      <c r="K333" t="s">
        <v>782</v>
      </c>
      <c r="L333" t="s">
        <v>660</v>
      </c>
      <c r="M333" t="s">
        <v>939</v>
      </c>
      <c r="N333">
        <v>147000</v>
      </c>
    </row>
    <row r="334" spans="1:15" x14ac:dyDescent="0.3">
      <c r="A334" t="s">
        <v>1521</v>
      </c>
      <c r="B334" t="s">
        <v>836</v>
      </c>
      <c r="C334" t="s">
        <v>1522</v>
      </c>
      <c r="D334" t="s">
        <v>654</v>
      </c>
      <c r="E334" t="s">
        <v>654</v>
      </c>
      <c r="F334" t="s">
        <v>685</v>
      </c>
      <c r="G334" t="s">
        <v>686</v>
      </c>
      <c r="H334" t="s">
        <v>694</v>
      </c>
      <c r="I334" t="s">
        <v>819</v>
      </c>
      <c r="J334" t="s">
        <v>37</v>
      </c>
      <c r="K334" t="s">
        <v>660</v>
      </c>
      <c r="L334" t="s">
        <v>660</v>
      </c>
      <c r="M334" t="s">
        <v>939</v>
      </c>
      <c r="N334">
        <v>147000</v>
      </c>
    </row>
    <row r="335" spans="1:15" x14ac:dyDescent="0.3">
      <c r="A335" t="s">
        <v>663</v>
      </c>
      <c r="B335" t="s">
        <v>832</v>
      </c>
      <c r="C335" t="s">
        <v>1523</v>
      </c>
      <c r="D335" t="s">
        <v>826</v>
      </c>
      <c r="E335" t="s">
        <v>1093</v>
      </c>
      <c r="F335" t="s">
        <v>765</v>
      </c>
      <c r="G335" t="s">
        <v>814</v>
      </c>
      <c r="H335" t="s">
        <v>694</v>
      </c>
      <c r="I335" t="s">
        <v>700</v>
      </c>
      <c r="J335" t="s">
        <v>701</v>
      </c>
      <c r="K335" t="s">
        <v>811</v>
      </c>
      <c r="L335" t="s">
        <v>660</v>
      </c>
      <c r="M335" t="s">
        <v>939</v>
      </c>
      <c r="N335">
        <v>147000</v>
      </c>
    </row>
    <row r="336" spans="1:15" x14ac:dyDescent="0.3">
      <c r="A336" t="s">
        <v>1279</v>
      </c>
      <c r="B336" t="s">
        <v>1280</v>
      </c>
      <c r="C336" t="s">
        <v>703</v>
      </c>
      <c r="D336" t="s">
        <v>704</v>
      </c>
      <c r="E336" t="s">
        <v>705</v>
      </c>
      <c r="F336" t="s">
        <v>706</v>
      </c>
      <c r="G336" t="s">
        <v>707</v>
      </c>
      <c r="H336" t="s">
        <v>708</v>
      </c>
      <c r="I336" t="s">
        <v>670</v>
      </c>
      <c r="J336" t="s">
        <v>709</v>
      </c>
      <c r="K336" t="s">
        <v>709</v>
      </c>
      <c r="L336" t="s">
        <v>710</v>
      </c>
      <c r="M336" t="s">
        <v>660</v>
      </c>
      <c r="N336">
        <v>79000</v>
      </c>
      <c r="O336">
        <v>147000</v>
      </c>
    </row>
    <row r="337" spans="1:15" x14ac:dyDescent="0.3">
      <c r="A337" t="s">
        <v>663</v>
      </c>
      <c r="B337" t="s">
        <v>757</v>
      </c>
      <c r="C337" t="s">
        <v>1524</v>
      </c>
      <c r="D337" t="s">
        <v>726</v>
      </c>
      <c r="E337" t="s">
        <v>726</v>
      </c>
      <c r="F337" t="s">
        <v>685</v>
      </c>
      <c r="G337" t="s">
        <v>660</v>
      </c>
      <c r="H337" t="s">
        <v>694</v>
      </c>
      <c r="I337" t="s">
        <v>882</v>
      </c>
      <c r="J337" t="s">
        <v>882</v>
      </c>
      <c r="K337" t="s">
        <v>660</v>
      </c>
      <c r="L337" t="s">
        <v>660</v>
      </c>
      <c r="M337" t="s">
        <v>939</v>
      </c>
      <c r="N337">
        <v>147000</v>
      </c>
    </row>
    <row r="338" spans="1:15" x14ac:dyDescent="0.3">
      <c r="A338" t="s">
        <v>663</v>
      </c>
      <c r="B338" t="s">
        <v>848</v>
      </c>
      <c r="C338" t="s">
        <v>1525</v>
      </c>
      <c r="D338" t="s">
        <v>1526</v>
      </c>
      <c r="E338" t="s">
        <v>1526</v>
      </c>
      <c r="F338" t="s">
        <v>707</v>
      </c>
      <c r="G338" t="s">
        <v>1527</v>
      </c>
      <c r="H338" t="s">
        <v>1528</v>
      </c>
      <c r="I338" t="s">
        <v>1529</v>
      </c>
      <c r="J338" t="s">
        <v>1530</v>
      </c>
      <c r="K338" t="s">
        <v>673</v>
      </c>
      <c r="L338" t="s">
        <v>1531</v>
      </c>
      <c r="M338" t="s">
        <v>939</v>
      </c>
      <c r="N338">
        <v>147000</v>
      </c>
    </row>
    <row r="339" spans="1:15" x14ac:dyDescent="0.3">
      <c r="A339" t="s">
        <v>663</v>
      </c>
      <c r="B339" t="s">
        <v>1269</v>
      </c>
      <c r="C339" t="s">
        <v>1532</v>
      </c>
      <c r="D339" t="s">
        <v>1039</v>
      </c>
      <c r="E339" t="s">
        <v>666</v>
      </c>
      <c r="F339" t="s">
        <v>685</v>
      </c>
      <c r="G339" t="s">
        <v>852</v>
      </c>
      <c r="H339" t="s">
        <v>694</v>
      </c>
      <c r="I339" t="s">
        <v>824</v>
      </c>
      <c r="J339" t="s">
        <v>824</v>
      </c>
      <c r="K339" t="s">
        <v>680</v>
      </c>
      <c r="L339" t="s">
        <v>1533</v>
      </c>
      <c r="M339" t="s">
        <v>939</v>
      </c>
      <c r="N339">
        <v>147000</v>
      </c>
    </row>
    <row r="340" spans="1:15" x14ac:dyDescent="0.3">
      <c r="A340" t="s">
        <v>663</v>
      </c>
      <c r="B340" t="s">
        <v>660</v>
      </c>
      <c r="C340" t="s">
        <v>1534</v>
      </c>
      <c r="D340" t="s">
        <v>793</v>
      </c>
      <c r="E340" t="s">
        <v>1535</v>
      </c>
      <c r="F340" t="s">
        <v>765</v>
      </c>
      <c r="G340" t="s">
        <v>660</v>
      </c>
      <c r="H340" t="s">
        <v>694</v>
      </c>
      <c r="I340" t="s">
        <v>882</v>
      </c>
      <c r="J340" t="s">
        <v>882</v>
      </c>
      <c r="K340" t="s">
        <v>1053</v>
      </c>
      <c r="L340" t="s">
        <v>660</v>
      </c>
      <c r="M340" t="s">
        <v>939</v>
      </c>
      <c r="N340">
        <v>147000</v>
      </c>
    </row>
    <row r="341" spans="1:15" x14ac:dyDescent="0.3">
      <c r="A341" t="s">
        <v>872</v>
      </c>
      <c r="B341" t="s">
        <v>878</v>
      </c>
      <c r="C341" t="s">
        <v>1536</v>
      </c>
      <c r="D341" t="s">
        <v>1424</v>
      </c>
      <c r="E341" t="s">
        <v>1424</v>
      </c>
      <c r="F341" t="s">
        <v>685</v>
      </c>
      <c r="G341" t="s">
        <v>1513</v>
      </c>
      <c r="H341" t="s">
        <v>1537</v>
      </c>
      <c r="I341" t="s">
        <v>1538</v>
      </c>
      <c r="J341" t="s">
        <v>1539</v>
      </c>
      <c r="K341" t="s">
        <v>660</v>
      </c>
      <c r="L341" t="s">
        <v>660</v>
      </c>
      <c r="M341" t="s">
        <v>939</v>
      </c>
      <c r="N341">
        <v>147000</v>
      </c>
    </row>
    <row r="342" spans="1:15" x14ac:dyDescent="0.3">
      <c r="A342" t="s">
        <v>1540</v>
      </c>
      <c r="B342" t="s">
        <v>674</v>
      </c>
      <c r="C342" t="s">
        <v>941</v>
      </c>
      <c r="D342" t="s">
        <v>942</v>
      </c>
      <c r="E342" t="s">
        <v>942</v>
      </c>
      <c r="F342" t="s">
        <v>754</v>
      </c>
      <c r="G342" t="s">
        <v>761</v>
      </c>
      <c r="H342" t="s">
        <v>943</v>
      </c>
      <c r="I342" t="s">
        <v>944</v>
      </c>
      <c r="J342" t="s">
        <v>688</v>
      </c>
      <c r="K342" t="s">
        <v>680</v>
      </c>
      <c r="L342" t="s">
        <v>945</v>
      </c>
      <c r="M342" t="s">
        <v>939</v>
      </c>
      <c r="N342">
        <v>147000</v>
      </c>
    </row>
    <row r="343" spans="1:15" x14ac:dyDescent="0.3">
      <c r="A343" t="s">
        <v>663</v>
      </c>
      <c r="B343" t="s">
        <v>836</v>
      </c>
      <c r="C343" t="s">
        <v>1541</v>
      </c>
      <c r="D343" t="s">
        <v>654</v>
      </c>
      <c r="E343" t="s">
        <v>1542</v>
      </c>
      <c r="F343" t="s">
        <v>765</v>
      </c>
      <c r="G343" t="s">
        <v>797</v>
      </c>
      <c r="H343" t="s">
        <v>694</v>
      </c>
      <c r="I343" t="s">
        <v>738</v>
      </c>
      <c r="J343" t="s">
        <v>701</v>
      </c>
      <c r="K343" t="s">
        <v>660</v>
      </c>
      <c r="L343" t="s">
        <v>660</v>
      </c>
      <c r="M343" t="s">
        <v>939</v>
      </c>
      <c r="N343">
        <v>147000</v>
      </c>
    </row>
    <row r="344" spans="1:15" x14ac:dyDescent="0.3">
      <c r="A344" t="s">
        <v>1543</v>
      </c>
      <c r="B344" t="s">
        <v>1544</v>
      </c>
      <c r="C344" t="s">
        <v>703</v>
      </c>
      <c r="D344" t="s">
        <v>1545</v>
      </c>
      <c r="E344" t="s">
        <v>654</v>
      </c>
      <c r="F344" t="s">
        <v>654</v>
      </c>
      <c r="G344" t="s">
        <v>692</v>
      </c>
      <c r="H344" t="s">
        <v>732</v>
      </c>
      <c r="I344" t="s">
        <v>694</v>
      </c>
      <c r="J344" t="s">
        <v>671</v>
      </c>
      <c r="K344" t="s">
        <v>672</v>
      </c>
      <c r="L344" t="s">
        <v>660</v>
      </c>
      <c r="M344" t="s">
        <v>660</v>
      </c>
      <c r="N344">
        <v>79000</v>
      </c>
      <c r="O344">
        <v>147000</v>
      </c>
    </row>
    <row r="345" spans="1:15" x14ac:dyDescent="0.3">
      <c r="A345" t="s">
        <v>663</v>
      </c>
      <c r="B345" t="s">
        <v>904</v>
      </c>
      <c r="C345" t="s">
        <v>905</v>
      </c>
      <c r="D345" t="s">
        <v>906</v>
      </c>
      <c r="E345" t="s">
        <v>906</v>
      </c>
      <c r="F345" t="s">
        <v>685</v>
      </c>
      <c r="G345" t="s">
        <v>732</v>
      </c>
      <c r="H345" t="s">
        <v>694</v>
      </c>
      <c r="I345" t="s">
        <v>728</v>
      </c>
      <c r="J345" t="s">
        <v>701</v>
      </c>
      <c r="K345" t="s">
        <v>660</v>
      </c>
      <c r="L345" t="s">
        <v>907</v>
      </c>
      <c r="M345" t="s">
        <v>1546</v>
      </c>
      <c r="N345">
        <v>146000</v>
      </c>
    </row>
    <row r="346" spans="1:15" x14ac:dyDescent="0.3">
      <c r="A346" t="s">
        <v>663</v>
      </c>
      <c r="B346" t="s">
        <v>664</v>
      </c>
      <c r="C346" t="s">
        <v>886</v>
      </c>
      <c r="D346" t="s">
        <v>887</v>
      </c>
      <c r="E346" t="s">
        <v>887</v>
      </c>
      <c r="F346" t="s">
        <v>692</v>
      </c>
      <c r="G346" t="s">
        <v>888</v>
      </c>
      <c r="H346" t="s">
        <v>694</v>
      </c>
      <c r="I346" t="s">
        <v>728</v>
      </c>
      <c r="J346" t="s">
        <v>701</v>
      </c>
      <c r="K346" t="s">
        <v>811</v>
      </c>
      <c r="L346" t="s">
        <v>660</v>
      </c>
      <c r="M346" t="s">
        <v>1546</v>
      </c>
      <c r="N346">
        <v>146000</v>
      </c>
    </row>
    <row r="347" spans="1:15" x14ac:dyDescent="0.3">
      <c r="A347" t="s">
        <v>1284</v>
      </c>
      <c r="B347" t="s">
        <v>742</v>
      </c>
      <c r="C347" t="s">
        <v>1285</v>
      </c>
      <c r="D347" t="s">
        <v>1286</v>
      </c>
      <c r="E347" t="s">
        <v>1286</v>
      </c>
      <c r="F347" t="s">
        <v>655</v>
      </c>
      <c r="G347" t="s">
        <v>852</v>
      </c>
      <c r="H347" t="s">
        <v>670</v>
      </c>
      <c r="I347" t="s">
        <v>1287</v>
      </c>
      <c r="J347" t="s">
        <v>688</v>
      </c>
      <c r="K347" t="s">
        <v>680</v>
      </c>
      <c r="L347" t="s">
        <v>660</v>
      </c>
      <c r="M347" t="s">
        <v>1546</v>
      </c>
      <c r="N347">
        <v>146000</v>
      </c>
    </row>
    <row r="348" spans="1:15" x14ac:dyDescent="0.3">
      <c r="A348" t="s">
        <v>663</v>
      </c>
      <c r="B348" t="s">
        <v>1325</v>
      </c>
      <c r="C348" t="s">
        <v>1547</v>
      </c>
      <c r="D348" t="s">
        <v>1213</v>
      </c>
      <c r="E348" t="s">
        <v>857</v>
      </c>
      <c r="F348" t="s">
        <v>655</v>
      </c>
      <c r="G348" t="s">
        <v>1548</v>
      </c>
      <c r="H348" t="s">
        <v>694</v>
      </c>
      <c r="I348" t="s">
        <v>935</v>
      </c>
      <c r="J348" t="s">
        <v>659</v>
      </c>
      <c r="K348" t="s">
        <v>722</v>
      </c>
      <c r="L348" t="s">
        <v>660</v>
      </c>
      <c r="M348" t="s">
        <v>1546</v>
      </c>
      <c r="N348">
        <v>146000</v>
      </c>
    </row>
    <row r="349" spans="1:15" x14ac:dyDescent="0.3">
      <c r="A349" t="s">
        <v>1549</v>
      </c>
      <c r="B349" t="s">
        <v>681</v>
      </c>
      <c r="C349" t="s">
        <v>1550</v>
      </c>
      <c r="D349" t="s">
        <v>1252</v>
      </c>
      <c r="E349" t="s">
        <v>1252</v>
      </c>
      <c r="F349" t="s">
        <v>707</v>
      </c>
      <c r="G349" t="s">
        <v>1551</v>
      </c>
      <c r="H349" t="s">
        <v>670</v>
      </c>
      <c r="I349" t="s">
        <v>700</v>
      </c>
      <c r="J349" t="s">
        <v>701</v>
      </c>
      <c r="K349" t="s">
        <v>710</v>
      </c>
      <c r="L349" t="s">
        <v>1552</v>
      </c>
      <c r="M349" t="s">
        <v>1546</v>
      </c>
      <c r="N349">
        <v>146000</v>
      </c>
    </row>
    <row r="350" spans="1:15" x14ac:dyDescent="0.3">
      <c r="A350" t="s">
        <v>663</v>
      </c>
      <c r="B350" t="s">
        <v>690</v>
      </c>
      <c r="C350" t="s">
        <v>1553</v>
      </c>
      <c r="D350" t="s">
        <v>906</v>
      </c>
      <c r="E350" t="s">
        <v>1554</v>
      </c>
      <c r="F350" t="s">
        <v>765</v>
      </c>
      <c r="G350" t="s">
        <v>660</v>
      </c>
      <c r="H350" t="s">
        <v>694</v>
      </c>
      <c r="I350" t="s">
        <v>882</v>
      </c>
      <c r="J350" t="s">
        <v>882</v>
      </c>
      <c r="K350" t="s">
        <v>864</v>
      </c>
      <c r="L350" t="s">
        <v>660</v>
      </c>
      <c r="M350" t="s">
        <v>1546</v>
      </c>
      <c r="N350">
        <v>146000</v>
      </c>
    </row>
    <row r="351" spans="1:15" x14ac:dyDescent="0.3">
      <c r="A351" t="s">
        <v>663</v>
      </c>
      <c r="B351" t="s">
        <v>832</v>
      </c>
      <c r="C351" t="s">
        <v>1555</v>
      </c>
      <c r="D351" t="s">
        <v>654</v>
      </c>
      <c r="E351" t="s">
        <v>654</v>
      </c>
      <c r="F351" t="s">
        <v>765</v>
      </c>
      <c r="G351" t="s">
        <v>727</v>
      </c>
      <c r="H351" t="s">
        <v>694</v>
      </c>
      <c r="I351" t="s">
        <v>930</v>
      </c>
      <c r="J351" t="s">
        <v>672</v>
      </c>
      <c r="K351" t="s">
        <v>660</v>
      </c>
      <c r="L351" t="s">
        <v>660</v>
      </c>
      <c r="M351" t="s">
        <v>1546</v>
      </c>
      <c r="N351">
        <v>146000</v>
      </c>
    </row>
    <row r="352" spans="1:15" x14ac:dyDescent="0.3">
      <c r="A352" t="s">
        <v>663</v>
      </c>
      <c r="B352" t="s">
        <v>734</v>
      </c>
      <c r="C352" t="s">
        <v>1556</v>
      </c>
      <c r="D352" t="s">
        <v>666</v>
      </c>
      <c r="E352" t="s">
        <v>1093</v>
      </c>
      <c r="F352" t="s">
        <v>754</v>
      </c>
      <c r="G352" t="s">
        <v>1094</v>
      </c>
      <c r="H352" t="s">
        <v>943</v>
      </c>
      <c r="I352" t="s">
        <v>700</v>
      </c>
      <c r="J352" t="s">
        <v>701</v>
      </c>
      <c r="K352" t="s">
        <v>680</v>
      </c>
      <c r="L352" t="s">
        <v>1557</v>
      </c>
      <c r="M352" t="s">
        <v>1546</v>
      </c>
      <c r="N352">
        <v>146000</v>
      </c>
    </row>
    <row r="353" spans="1:14" x14ac:dyDescent="0.3">
      <c r="A353" t="s">
        <v>663</v>
      </c>
      <c r="B353" t="s">
        <v>660</v>
      </c>
      <c r="C353" t="s">
        <v>1558</v>
      </c>
      <c r="D353" t="s">
        <v>887</v>
      </c>
      <c r="E353" t="s">
        <v>882</v>
      </c>
      <c r="F353" t="s">
        <v>882</v>
      </c>
      <c r="G353" t="s">
        <v>660</v>
      </c>
      <c r="H353" t="s">
        <v>882</v>
      </c>
      <c r="I353" t="s">
        <v>882</v>
      </c>
      <c r="J353" t="s">
        <v>882</v>
      </c>
      <c r="K353" t="s">
        <v>882</v>
      </c>
      <c r="L353" t="s">
        <v>660</v>
      </c>
      <c r="M353" t="s">
        <v>1546</v>
      </c>
      <c r="N353">
        <v>146000</v>
      </c>
    </row>
    <row r="354" spans="1:14" x14ac:dyDescent="0.3">
      <c r="A354" t="s">
        <v>1559</v>
      </c>
      <c r="B354" t="s">
        <v>729</v>
      </c>
      <c r="C354" t="s">
        <v>1560</v>
      </c>
      <c r="D354" t="s">
        <v>1561</v>
      </c>
      <c r="E354" t="s">
        <v>1561</v>
      </c>
      <c r="F354" t="s">
        <v>668</v>
      </c>
      <c r="G354" t="s">
        <v>1562</v>
      </c>
      <c r="H354" t="s">
        <v>657</v>
      </c>
      <c r="I354" t="s">
        <v>824</v>
      </c>
      <c r="J354" t="s">
        <v>824</v>
      </c>
      <c r="K354" t="s">
        <v>673</v>
      </c>
      <c r="L354" t="s">
        <v>1563</v>
      </c>
      <c r="M354" t="s">
        <v>1546</v>
      </c>
      <c r="N354">
        <v>146000</v>
      </c>
    </row>
    <row r="355" spans="1:14" x14ac:dyDescent="0.3">
      <c r="A355" t="s">
        <v>663</v>
      </c>
      <c r="B355" t="s">
        <v>977</v>
      </c>
      <c r="C355" t="s">
        <v>1564</v>
      </c>
      <c r="D355" t="s">
        <v>705</v>
      </c>
      <c r="E355" t="s">
        <v>705</v>
      </c>
      <c r="F355" t="s">
        <v>765</v>
      </c>
      <c r="G355" t="s">
        <v>699</v>
      </c>
      <c r="H355" t="s">
        <v>694</v>
      </c>
      <c r="I355" t="s">
        <v>728</v>
      </c>
      <c r="J355" t="s">
        <v>701</v>
      </c>
      <c r="K355" t="s">
        <v>660</v>
      </c>
      <c r="L355" t="s">
        <v>660</v>
      </c>
      <c r="M355" t="s">
        <v>1546</v>
      </c>
      <c r="N355">
        <v>146000</v>
      </c>
    </row>
    <row r="356" spans="1:14" x14ac:dyDescent="0.3">
      <c r="A356" t="s">
        <v>1565</v>
      </c>
      <c r="B356" t="s">
        <v>1269</v>
      </c>
      <c r="C356" t="s">
        <v>1566</v>
      </c>
      <c r="D356" t="s">
        <v>1567</v>
      </c>
      <c r="E356" t="s">
        <v>1567</v>
      </c>
      <c r="F356" t="s">
        <v>692</v>
      </c>
      <c r="G356" t="s">
        <v>1094</v>
      </c>
      <c r="H356" t="s">
        <v>694</v>
      </c>
      <c r="I356" t="s">
        <v>679</v>
      </c>
      <c r="J356" t="s">
        <v>672</v>
      </c>
      <c r="K356" t="s">
        <v>660</v>
      </c>
      <c r="L356" t="s">
        <v>660</v>
      </c>
      <c r="M356" t="s">
        <v>1546</v>
      </c>
      <c r="N356">
        <v>146000</v>
      </c>
    </row>
    <row r="357" spans="1:14" x14ac:dyDescent="0.3">
      <c r="A357" t="s">
        <v>1293</v>
      </c>
      <c r="B357" t="s">
        <v>832</v>
      </c>
      <c r="C357" t="s">
        <v>1294</v>
      </c>
      <c r="D357" t="s">
        <v>1093</v>
      </c>
      <c r="E357" t="s">
        <v>1295</v>
      </c>
      <c r="F357" t="s">
        <v>765</v>
      </c>
      <c r="G357" t="s">
        <v>797</v>
      </c>
      <c r="H357" t="s">
        <v>694</v>
      </c>
      <c r="I357" t="s">
        <v>738</v>
      </c>
      <c r="J357" t="s">
        <v>701</v>
      </c>
      <c r="K357" t="s">
        <v>864</v>
      </c>
      <c r="L357" t="s">
        <v>660</v>
      </c>
      <c r="M357" t="s">
        <v>1546</v>
      </c>
      <c r="N357">
        <v>146000</v>
      </c>
    </row>
    <row r="358" spans="1:14" x14ac:dyDescent="0.3">
      <c r="A358" t="s">
        <v>870</v>
      </c>
      <c r="B358" t="s">
        <v>703</v>
      </c>
      <c r="C358" t="s">
        <v>1568</v>
      </c>
      <c r="D358" t="s">
        <v>827</v>
      </c>
      <c r="E358" t="s">
        <v>910</v>
      </c>
      <c r="F358" t="s">
        <v>692</v>
      </c>
      <c r="G358" t="s">
        <v>732</v>
      </c>
      <c r="H358" t="s">
        <v>670</v>
      </c>
      <c r="I358" t="s">
        <v>679</v>
      </c>
      <c r="J358" t="s">
        <v>672</v>
      </c>
      <c r="K358" t="s">
        <v>864</v>
      </c>
      <c r="L358" t="s">
        <v>660</v>
      </c>
      <c r="M358" t="s">
        <v>1546</v>
      </c>
      <c r="N358">
        <v>146000</v>
      </c>
    </row>
    <row r="359" spans="1:14" x14ac:dyDescent="0.3">
      <c r="A359" t="s">
        <v>663</v>
      </c>
      <c r="B359" t="s">
        <v>660</v>
      </c>
      <c r="C359" t="s">
        <v>1569</v>
      </c>
      <c r="D359" t="s">
        <v>793</v>
      </c>
      <c r="E359" t="s">
        <v>882</v>
      </c>
      <c r="F359" t="s">
        <v>882</v>
      </c>
      <c r="G359" t="s">
        <v>660</v>
      </c>
      <c r="H359" t="s">
        <v>882</v>
      </c>
      <c r="I359" t="s">
        <v>882</v>
      </c>
      <c r="J359" t="s">
        <v>882</v>
      </c>
      <c r="K359" t="s">
        <v>882</v>
      </c>
      <c r="L359" t="s">
        <v>660</v>
      </c>
      <c r="M359" t="s">
        <v>1546</v>
      </c>
      <c r="N359">
        <v>146000</v>
      </c>
    </row>
    <row r="360" spans="1:14" x14ac:dyDescent="0.3">
      <c r="A360" t="s">
        <v>663</v>
      </c>
      <c r="B360" t="s">
        <v>660</v>
      </c>
      <c r="C360" t="s">
        <v>1569</v>
      </c>
      <c r="D360" t="s">
        <v>793</v>
      </c>
      <c r="E360" t="s">
        <v>882</v>
      </c>
      <c r="F360" t="s">
        <v>882</v>
      </c>
      <c r="G360" t="s">
        <v>660</v>
      </c>
      <c r="H360" t="s">
        <v>882</v>
      </c>
      <c r="I360" t="s">
        <v>882</v>
      </c>
      <c r="J360" t="s">
        <v>882</v>
      </c>
      <c r="K360" t="s">
        <v>882</v>
      </c>
      <c r="L360" t="s">
        <v>660</v>
      </c>
      <c r="M360" t="s">
        <v>1546</v>
      </c>
      <c r="N360">
        <v>146000</v>
      </c>
    </row>
    <row r="361" spans="1:14" x14ac:dyDescent="0.3">
      <c r="A361" t="s">
        <v>663</v>
      </c>
      <c r="B361" t="s">
        <v>660</v>
      </c>
      <c r="C361" t="s">
        <v>1569</v>
      </c>
      <c r="D361" t="s">
        <v>793</v>
      </c>
      <c r="E361" t="s">
        <v>882</v>
      </c>
      <c r="F361" t="s">
        <v>882</v>
      </c>
      <c r="G361" t="s">
        <v>660</v>
      </c>
      <c r="H361" t="s">
        <v>882</v>
      </c>
      <c r="I361" t="s">
        <v>882</v>
      </c>
      <c r="J361" t="s">
        <v>882</v>
      </c>
      <c r="K361" t="s">
        <v>882</v>
      </c>
      <c r="L361" t="s">
        <v>660</v>
      </c>
      <c r="M361" t="s">
        <v>1546</v>
      </c>
      <c r="N361">
        <v>146000</v>
      </c>
    </row>
    <row r="362" spans="1:14" x14ac:dyDescent="0.3">
      <c r="A362" t="s">
        <v>663</v>
      </c>
      <c r="B362" t="s">
        <v>660</v>
      </c>
      <c r="C362" t="s">
        <v>1569</v>
      </c>
      <c r="D362" t="s">
        <v>793</v>
      </c>
      <c r="E362" t="s">
        <v>882</v>
      </c>
      <c r="F362" t="s">
        <v>882</v>
      </c>
      <c r="G362" t="s">
        <v>660</v>
      </c>
      <c r="H362" t="s">
        <v>882</v>
      </c>
      <c r="I362" t="s">
        <v>882</v>
      </c>
      <c r="J362" t="s">
        <v>882</v>
      </c>
      <c r="K362" t="s">
        <v>882</v>
      </c>
      <c r="L362" t="s">
        <v>660</v>
      </c>
      <c r="M362" t="s">
        <v>1546</v>
      </c>
      <c r="N362">
        <v>146000</v>
      </c>
    </row>
    <row r="363" spans="1:14" x14ac:dyDescent="0.3">
      <c r="A363" t="s">
        <v>663</v>
      </c>
      <c r="B363" t="s">
        <v>660</v>
      </c>
      <c r="C363" t="s">
        <v>1569</v>
      </c>
      <c r="D363" t="s">
        <v>793</v>
      </c>
      <c r="E363" t="s">
        <v>882</v>
      </c>
      <c r="F363" t="s">
        <v>882</v>
      </c>
      <c r="G363" t="s">
        <v>660</v>
      </c>
      <c r="H363" t="s">
        <v>882</v>
      </c>
      <c r="I363" t="s">
        <v>882</v>
      </c>
      <c r="J363" t="s">
        <v>882</v>
      </c>
      <c r="K363" t="s">
        <v>882</v>
      </c>
      <c r="L363" t="s">
        <v>660</v>
      </c>
      <c r="M363" t="s">
        <v>1546</v>
      </c>
      <c r="N363">
        <v>146000</v>
      </c>
    </row>
    <row r="364" spans="1:14" x14ac:dyDescent="0.3">
      <c r="A364" t="s">
        <v>663</v>
      </c>
      <c r="B364" t="s">
        <v>660</v>
      </c>
      <c r="C364" t="s">
        <v>1569</v>
      </c>
      <c r="D364" t="s">
        <v>793</v>
      </c>
      <c r="E364" t="s">
        <v>882</v>
      </c>
      <c r="F364" t="s">
        <v>882</v>
      </c>
      <c r="G364" t="s">
        <v>660</v>
      </c>
      <c r="H364" t="s">
        <v>882</v>
      </c>
      <c r="I364" t="s">
        <v>882</v>
      </c>
      <c r="J364" t="s">
        <v>882</v>
      </c>
      <c r="K364" t="s">
        <v>882</v>
      </c>
      <c r="L364" t="s">
        <v>660</v>
      </c>
      <c r="M364" t="s">
        <v>1546</v>
      </c>
      <c r="N364">
        <v>146000</v>
      </c>
    </row>
    <row r="365" spans="1:14" x14ac:dyDescent="0.3">
      <c r="A365" t="s">
        <v>893</v>
      </c>
      <c r="B365" t="s">
        <v>681</v>
      </c>
      <c r="C365" t="s">
        <v>1084</v>
      </c>
      <c r="D365" t="s">
        <v>667</v>
      </c>
      <c r="E365" t="s">
        <v>1085</v>
      </c>
      <c r="F365" t="s">
        <v>668</v>
      </c>
      <c r="G365" t="s">
        <v>660</v>
      </c>
      <c r="H365" t="s">
        <v>670</v>
      </c>
      <c r="I365" t="s">
        <v>824</v>
      </c>
      <c r="J365" t="s">
        <v>824</v>
      </c>
      <c r="K365" t="s">
        <v>722</v>
      </c>
      <c r="L365" t="s">
        <v>660</v>
      </c>
      <c r="M365" t="s">
        <v>1546</v>
      </c>
      <c r="N365">
        <v>146000</v>
      </c>
    </row>
    <row r="366" spans="1:14" x14ac:dyDescent="0.3">
      <c r="A366" t="s">
        <v>663</v>
      </c>
      <c r="B366" t="s">
        <v>795</v>
      </c>
      <c r="C366" t="s">
        <v>898</v>
      </c>
      <c r="D366" t="s">
        <v>705</v>
      </c>
      <c r="E366" t="s">
        <v>705</v>
      </c>
      <c r="F366" t="s">
        <v>754</v>
      </c>
      <c r="G366" t="s">
        <v>852</v>
      </c>
      <c r="H366" t="s">
        <v>694</v>
      </c>
      <c r="I366" t="s">
        <v>728</v>
      </c>
      <c r="J366" t="s">
        <v>701</v>
      </c>
      <c r="K366" t="s">
        <v>660</v>
      </c>
      <c r="L366" t="s">
        <v>660</v>
      </c>
      <c r="M366" t="s">
        <v>1570</v>
      </c>
      <c r="N366">
        <v>116000</v>
      </c>
    </row>
    <row r="367" spans="1:14" x14ac:dyDescent="0.3">
      <c r="A367" t="s">
        <v>663</v>
      </c>
      <c r="B367" t="s">
        <v>742</v>
      </c>
      <c r="C367" t="s">
        <v>900</v>
      </c>
      <c r="D367" t="s">
        <v>705</v>
      </c>
      <c r="E367" t="s">
        <v>901</v>
      </c>
      <c r="F367" t="s">
        <v>707</v>
      </c>
      <c r="G367" t="s">
        <v>902</v>
      </c>
      <c r="H367" t="s">
        <v>670</v>
      </c>
      <c r="I367" t="s">
        <v>709</v>
      </c>
      <c r="J367" t="s">
        <v>709</v>
      </c>
      <c r="K367" t="s">
        <v>710</v>
      </c>
      <c r="L367" t="s">
        <v>903</v>
      </c>
      <c r="M367" t="s">
        <v>1570</v>
      </c>
      <c r="N367">
        <v>116000</v>
      </c>
    </row>
    <row r="368" spans="1:14" x14ac:dyDescent="0.3">
      <c r="A368" t="s">
        <v>663</v>
      </c>
      <c r="B368" t="s">
        <v>681</v>
      </c>
      <c r="C368" t="s">
        <v>1084</v>
      </c>
      <c r="D368" t="s">
        <v>667</v>
      </c>
      <c r="E368" t="s">
        <v>1085</v>
      </c>
      <c r="F368" t="s">
        <v>668</v>
      </c>
      <c r="G368" t="s">
        <v>660</v>
      </c>
      <c r="H368" t="s">
        <v>670</v>
      </c>
      <c r="I368" t="s">
        <v>824</v>
      </c>
      <c r="J368" t="s">
        <v>824</v>
      </c>
      <c r="K368" t="s">
        <v>722</v>
      </c>
      <c r="L368" t="s">
        <v>660</v>
      </c>
      <c r="M368" t="s">
        <v>1570</v>
      </c>
      <c r="N368">
        <v>116000</v>
      </c>
    </row>
    <row r="369" spans="1:14" x14ac:dyDescent="0.3">
      <c r="A369" t="s">
        <v>1301</v>
      </c>
      <c r="B369" t="s">
        <v>703</v>
      </c>
      <c r="C369" t="s">
        <v>1302</v>
      </c>
      <c r="D369" t="s">
        <v>1303</v>
      </c>
      <c r="E369" t="s">
        <v>1304</v>
      </c>
      <c r="F369" t="s">
        <v>655</v>
      </c>
      <c r="G369" t="s">
        <v>1305</v>
      </c>
      <c r="H369" t="s">
        <v>657</v>
      </c>
      <c r="I369" t="s">
        <v>671</v>
      </c>
      <c r="J369" t="s">
        <v>672</v>
      </c>
      <c r="K369" t="s">
        <v>749</v>
      </c>
      <c r="L369" t="s">
        <v>1306</v>
      </c>
      <c r="M369" t="s">
        <v>1570</v>
      </c>
      <c r="N369">
        <v>116000</v>
      </c>
    </row>
    <row r="370" spans="1:14" x14ac:dyDescent="0.3">
      <c r="A370" t="s">
        <v>663</v>
      </c>
      <c r="B370" t="s">
        <v>734</v>
      </c>
      <c r="C370" t="s">
        <v>1571</v>
      </c>
      <c r="D370" t="s">
        <v>1572</v>
      </c>
      <c r="E370" t="s">
        <v>1573</v>
      </c>
      <c r="F370" t="s">
        <v>692</v>
      </c>
      <c r="G370" t="s">
        <v>844</v>
      </c>
      <c r="H370" t="s">
        <v>694</v>
      </c>
      <c r="I370" t="s">
        <v>679</v>
      </c>
      <c r="J370" t="s">
        <v>672</v>
      </c>
      <c r="K370" t="s">
        <v>660</v>
      </c>
      <c r="L370" t="s">
        <v>660</v>
      </c>
      <c r="M370" t="s">
        <v>1570</v>
      </c>
      <c r="N370">
        <v>116000</v>
      </c>
    </row>
    <row r="371" spans="1:14" x14ac:dyDescent="0.3">
      <c r="A371" t="s">
        <v>1300</v>
      </c>
      <c r="B371" t="s">
        <v>836</v>
      </c>
      <c r="C371" t="s">
        <v>894</v>
      </c>
      <c r="D371" t="s">
        <v>676</v>
      </c>
      <c r="E371" t="s">
        <v>676</v>
      </c>
      <c r="F371" t="s">
        <v>754</v>
      </c>
      <c r="G371" t="s">
        <v>732</v>
      </c>
      <c r="H371" t="s">
        <v>694</v>
      </c>
      <c r="I371" t="s">
        <v>700</v>
      </c>
      <c r="J371" t="s">
        <v>701</v>
      </c>
      <c r="K371" t="s">
        <v>660</v>
      </c>
      <c r="L371" t="s">
        <v>660</v>
      </c>
      <c r="M371" t="s">
        <v>1570</v>
      </c>
      <c r="N371">
        <v>116000</v>
      </c>
    </row>
    <row r="372" spans="1:14" x14ac:dyDescent="0.3">
      <c r="A372" t="s">
        <v>1307</v>
      </c>
      <c r="B372" t="s">
        <v>904</v>
      </c>
      <c r="C372" t="s">
        <v>999</v>
      </c>
      <c r="D372" t="s">
        <v>1000</v>
      </c>
      <c r="E372" t="s">
        <v>1001</v>
      </c>
      <c r="F372" t="s">
        <v>707</v>
      </c>
      <c r="G372" t="s">
        <v>1002</v>
      </c>
      <c r="H372" t="s">
        <v>670</v>
      </c>
      <c r="I372" t="s">
        <v>709</v>
      </c>
      <c r="J372" t="s">
        <v>709</v>
      </c>
      <c r="K372" t="s">
        <v>710</v>
      </c>
      <c r="L372" t="s">
        <v>1003</v>
      </c>
      <c r="M372" t="s">
        <v>1570</v>
      </c>
      <c r="N372">
        <v>116000</v>
      </c>
    </row>
    <row r="373" spans="1:14" x14ac:dyDescent="0.3">
      <c r="A373" t="s">
        <v>663</v>
      </c>
      <c r="B373" t="s">
        <v>717</v>
      </c>
      <c r="C373" t="s">
        <v>1574</v>
      </c>
      <c r="D373" t="s">
        <v>1575</v>
      </c>
      <c r="E373" t="s">
        <v>1576</v>
      </c>
      <c r="F373" t="s">
        <v>692</v>
      </c>
      <c r="G373" t="s">
        <v>660</v>
      </c>
      <c r="H373" t="s">
        <v>694</v>
      </c>
      <c r="I373" t="s">
        <v>882</v>
      </c>
      <c r="J373" t="s">
        <v>882</v>
      </c>
      <c r="K373" t="s">
        <v>660</v>
      </c>
      <c r="L373" t="s">
        <v>660</v>
      </c>
      <c r="M373" t="s">
        <v>1570</v>
      </c>
      <c r="N373">
        <v>116000</v>
      </c>
    </row>
    <row r="374" spans="1:14" x14ac:dyDescent="0.3">
      <c r="A374" t="s">
        <v>663</v>
      </c>
      <c r="B374" t="s">
        <v>791</v>
      </c>
      <c r="C374" t="s">
        <v>1577</v>
      </c>
      <c r="D374" t="s">
        <v>1578</v>
      </c>
      <c r="E374" t="s">
        <v>666</v>
      </c>
      <c r="F374" t="s">
        <v>707</v>
      </c>
      <c r="G374" t="s">
        <v>1330</v>
      </c>
      <c r="H374" t="s">
        <v>670</v>
      </c>
      <c r="I374" t="s">
        <v>824</v>
      </c>
      <c r="J374" t="s">
        <v>824</v>
      </c>
      <c r="K374" t="s">
        <v>660</v>
      </c>
      <c r="L374" t="s">
        <v>660</v>
      </c>
      <c r="M374" t="s">
        <v>1570</v>
      </c>
      <c r="N374">
        <v>116000</v>
      </c>
    </row>
    <row r="375" spans="1:14" x14ac:dyDescent="0.3">
      <c r="A375" t="s">
        <v>663</v>
      </c>
      <c r="B375" t="s">
        <v>729</v>
      </c>
      <c r="C375" t="s">
        <v>1579</v>
      </c>
      <c r="D375" t="s">
        <v>759</v>
      </c>
      <c r="E375" t="s">
        <v>1580</v>
      </c>
      <c r="F375" t="s">
        <v>765</v>
      </c>
      <c r="G375" t="s">
        <v>1581</v>
      </c>
      <c r="H375" t="s">
        <v>694</v>
      </c>
      <c r="I375" t="s">
        <v>930</v>
      </c>
      <c r="J375" t="s">
        <v>672</v>
      </c>
      <c r="K375" t="s">
        <v>660</v>
      </c>
      <c r="L375" t="s">
        <v>1582</v>
      </c>
      <c r="M375" t="s">
        <v>1570</v>
      </c>
      <c r="N375">
        <v>116000</v>
      </c>
    </row>
    <row r="376" spans="1:14" x14ac:dyDescent="0.3">
      <c r="A376" t="s">
        <v>1583</v>
      </c>
      <c r="B376" t="s">
        <v>681</v>
      </c>
      <c r="C376" t="s">
        <v>1584</v>
      </c>
      <c r="D376" t="s">
        <v>843</v>
      </c>
      <c r="E376" t="s">
        <v>843</v>
      </c>
      <c r="F376" t="s">
        <v>754</v>
      </c>
      <c r="G376" t="s">
        <v>814</v>
      </c>
      <c r="H376" t="s">
        <v>657</v>
      </c>
      <c r="I376" t="s">
        <v>671</v>
      </c>
      <c r="J376" t="s">
        <v>672</v>
      </c>
      <c r="K376" t="s">
        <v>680</v>
      </c>
      <c r="L376" t="s">
        <v>660</v>
      </c>
      <c r="M376" t="s">
        <v>1570</v>
      </c>
      <c r="N376">
        <v>116000</v>
      </c>
    </row>
    <row r="377" spans="1:14" x14ac:dyDescent="0.3">
      <c r="A377" t="s">
        <v>663</v>
      </c>
      <c r="B377" t="s">
        <v>717</v>
      </c>
      <c r="C377" t="s">
        <v>1585</v>
      </c>
      <c r="D377" t="s">
        <v>779</v>
      </c>
      <c r="E377" t="s">
        <v>1586</v>
      </c>
      <c r="F377" t="s">
        <v>655</v>
      </c>
      <c r="G377" t="s">
        <v>1587</v>
      </c>
      <c r="H377" t="s">
        <v>694</v>
      </c>
      <c r="I377" t="s">
        <v>930</v>
      </c>
      <c r="J377" t="s">
        <v>672</v>
      </c>
      <c r="K377" t="s">
        <v>680</v>
      </c>
      <c r="L377" t="s">
        <v>1588</v>
      </c>
      <c r="M377" t="s">
        <v>1570</v>
      </c>
      <c r="N377">
        <v>116000</v>
      </c>
    </row>
    <row r="378" spans="1:14" x14ac:dyDescent="0.3">
      <c r="A378" t="s">
        <v>663</v>
      </c>
      <c r="B378" t="s">
        <v>652</v>
      </c>
      <c r="C378" t="s">
        <v>1589</v>
      </c>
      <c r="D378" t="s">
        <v>1112</v>
      </c>
      <c r="E378" t="s">
        <v>1389</v>
      </c>
      <c r="F378" t="s">
        <v>765</v>
      </c>
      <c r="G378" t="s">
        <v>984</v>
      </c>
      <c r="H378" t="s">
        <v>694</v>
      </c>
      <c r="I378" t="s">
        <v>930</v>
      </c>
      <c r="J378" t="s">
        <v>672</v>
      </c>
      <c r="K378" t="s">
        <v>864</v>
      </c>
      <c r="L378" t="s">
        <v>660</v>
      </c>
      <c r="M378" t="s">
        <v>1570</v>
      </c>
      <c r="N378">
        <v>116000</v>
      </c>
    </row>
    <row r="379" spans="1:14" x14ac:dyDescent="0.3">
      <c r="A379" t="s">
        <v>1590</v>
      </c>
      <c r="B379" t="s">
        <v>681</v>
      </c>
      <c r="C379" t="s">
        <v>1591</v>
      </c>
      <c r="D379" t="s">
        <v>1042</v>
      </c>
      <c r="E379" t="s">
        <v>1042</v>
      </c>
      <c r="F379" t="s">
        <v>754</v>
      </c>
      <c r="G379" t="s">
        <v>797</v>
      </c>
      <c r="H379" t="s">
        <v>694</v>
      </c>
      <c r="I379" t="s">
        <v>1592</v>
      </c>
      <c r="J379" t="s">
        <v>1464</v>
      </c>
      <c r="K379" t="s">
        <v>660</v>
      </c>
      <c r="L379" t="s">
        <v>660</v>
      </c>
      <c r="M379" t="s">
        <v>1570</v>
      </c>
      <c r="N379">
        <v>116000</v>
      </c>
    </row>
    <row r="380" spans="1:14" x14ac:dyDescent="0.3">
      <c r="A380" t="s">
        <v>663</v>
      </c>
      <c r="B380" t="s">
        <v>674</v>
      </c>
      <c r="C380" t="s">
        <v>1593</v>
      </c>
      <c r="D380" t="s">
        <v>1572</v>
      </c>
      <c r="E380" t="s">
        <v>1594</v>
      </c>
      <c r="F380" t="s">
        <v>655</v>
      </c>
      <c r="G380" t="s">
        <v>852</v>
      </c>
      <c r="H380" t="s">
        <v>694</v>
      </c>
      <c r="I380" t="s">
        <v>738</v>
      </c>
      <c r="J380" t="s">
        <v>701</v>
      </c>
      <c r="K380" t="s">
        <v>845</v>
      </c>
      <c r="L380" t="s">
        <v>660</v>
      </c>
      <c r="M380" t="s">
        <v>1570</v>
      </c>
      <c r="N380">
        <v>116000</v>
      </c>
    </row>
    <row r="381" spans="1:14" x14ac:dyDescent="0.3">
      <c r="A381" t="s">
        <v>663</v>
      </c>
      <c r="B381" t="s">
        <v>742</v>
      </c>
      <c r="C381" t="s">
        <v>1595</v>
      </c>
      <c r="D381" t="s">
        <v>826</v>
      </c>
      <c r="E381" t="s">
        <v>1512</v>
      </c>
      <c r="F381" t="s">
        <v>668</v>
      </c>
      <c r="G381" t="s">
        <v>1596</v>
      </c>
      <c r="H381" t="s">
        <v>943</v>
      </c>
      <c r="I381" t="s">
        <v>747</v>
      </c>
      <c r="J381" t="s">
        <v>748</v>
      </c>
      <c r="K381" t="s">
        <v>660</v>
      </c>
      <c r="L381" t="s">
        <v>1597</v>
      </c>
      <c r="M381" t="s">
        <v>1570</v>
      </c>
      <c r="N381">
        <v>116000</v>
      </c>
    </row>
    <row r="382" spans="1:14" x14ac:dyDescent="0.3">
      <c r="A382" t="s">
        <v>1312</v>
      </c>
      <c r="B382" t="s">
        <v>681</v>
      </c>
      <c r="C382" t="s">
        <v>1313</v>
      </c>
      <c r="D382" t="s">
        <v>1314</v>
      </c>
      <c r="E382" t="s">
        <v>1314</v>
      </c>
      <c r="F382" t="s">
        <v>685</v>
      </c>
      <c r="G382" t="s">
        <v>708</v>
      </c>
      <c r="H382" t="s">
        <v>657</v>
      </c>
      <c r="I382" t="s">
        <v>789</v>
      </c>
      <c r="J382" t="s">
        <v>790</v>
      </c>
      <c r="K382" t="s">
        <v>749</v>
      </c>
      <c r="L382" t="s">
        <v>660</v>
      </c>
      <c r="M382" t="s">
        <v>1570</v>
      </c>
      <c r="N382">
        <v>116000</v>
      </c>
    </row>
    <row r="383" spans="1:14" x14ac:dyDescent="0.3">
      <c r="A383" t="s">
        <v>1315</v>
      </c>
      <c r="B383" t="s">
        <v>742</v>
      </c>
      <c r="C383" t="s">
        <v>1231</v>
      </c>
      <c r="D383" t="s">
        <v>676</v>
      </c>
      <c r="E383" t="s">
        <v>1232</v>
      </c>
      <c r="F383" t="s">
        <v>668</v>
      </c>
      <c r="G383" t="s">
        <v>1233</v>
      </c>
      <c r="H383" t="s">
        <v>694</v>
      </c>
      <c r="I383" t="s">
        <v>658</v>
      </c>
      <c r="J383" t="s">
        <v>659</v>
      </c>
      <c r="K383" t="s">
        <v>710</v>
      </c>
      <c r="L383" t="s">
        <v>660</v>
      </c>
      <c r="M383" t="s">
        <v>1570</v>
      </c>
      <c r="N383">
        <v>116000</v>
      </c>
    </row>
    <row r="384" spans="1:14" x14ac:dyDescent="0.3">
      <c r="A384" t="s">
        <v>1598</v>
      </c>
      <c r="B384" t="s">
        <v>832</v>
      </c>
      <c r="C384" t="s">
        <v>1599</v>
      </c>
      <c r="D384" t="s">
        <v>676</v>
      </c>
      <c r="E384" t="s">
        <v>1013</v>
      </c>
      <c r="F384" t="s">
        <v>765</v>
      </c>
      <c r="G384" t="s">
        <v>814</v>
      </c>
      <c r="H384" t="s">
        <v>1600</v>
      </c>
      <c r="I384" t="s">
        <v>700</v>
      </c>
      <c r="J384" t="s">
        <v>701</v>
      </c>
      <c r="K384" t="s">
        <v>660</v>
      </c>
      <c r="L384" t="s">
        <v>660</v>
      </c>
      <c r="M384" t="s">
        <v>1570</v>
      </c>
      <c r="N384">
        <v>116000</v>
      </c>
    </row>
    <row r="385" spans="1:15" x14ac:dyDescent="0.3">
      <c r="A385" t="s">
        <v>1601</v>
      </c>
      <c r="B385" t="s">
        <v>1602</v>
      </c>
      <c r="C385" t="s">
        <v>1603</v>
      </c>
      <c r="D385" t="s">
        <v>1604</v>
      </c>
      <c r="E385" t="s">
        <v>904</v>
      </c>
      <c r="F385" t="s">
        <v>1605</v>
      </c>
      <c r="G385" t="s">
        <v>991</v>
      </c>
      <c r="H385" t="s">
        <v>991</v>
      </c>
      <c r="I385" t="s">
        <v>707</v>
      </c>
      <c r="J385" t="s">
        <v>1606</v>
      </c>
      <c r="K385" t="s">
        <v>670</v>
      </c>
      <c r="L385" t="s">
        <v>658</v>
      </c>
      <c r="M385" t="s">
        <v>659</v>
      </c>
    </row>
    <row r="386" spans="1:15" x14ac:dyDescent="0.3">
      <c r="A386" t="s">
        <v>1607</v>
      </c>
      <c r="B386" t="s">
        <v>724</v>
      </c>
      <c r="C386" t="s">
        <v>1608</v>
      </c>
      <c r="D386" t="s">
        <v>793</v>
      </c>
      <c r="E386" t="s">
        <v>793</v>
      </c>
      <c r="F386" t="s">
        <v>655</v>
      </c>
      <c r="G386" t="s">
        <v>797</v>
      </c>
      <c r="H386" t="s">
        <v>943</v>
      </c>
      <c r="I386" t="s">
        <v>773</v>
      </c>
      <c r="J386" t="s">
        <v>701</v>
      </c>
      <c r="K386" t="s">
        <v>660</v>
      </c>
      <c r="L386" t="s">
        <v>660</v>
      </c>
      <c r="M386" t="s">
        <v>1570</v>
      </c>
      <c r="N386">
        <v>116000</v>
      </c>
    </row>
    <row r="387" spans="1:15" x14ac:dyDescent="0.3">
      <c r="A387" t="s">
        <v>893</v>
      </c>
      <c r="B387" t="s">
        <v>836</v>
      </c>
      <c r="C387" t="s">
        <v>894</v>
      </c>
      <c r="D387" t="s">
        <v>676</v>
      </c>
      <c r="E387" t="s">
        <v>676</v>
      </c>
      <c r="F387" t="s">
        <v>754</v>
      </c>
      <c r="G387" t="s">
        <v>732</v>
      </c>
      <c r="H387" t="s">
        <v>694</v>
      </c>
      <c r="I387" t="s">
        <v>700</v>
      </c>
      <c r="J387" t="s">
        <v>701</v>
      </c>
      <c r="K387" t="s">
        <v>660</v>
      </c>
      <c r="L387" t="s">
        <v>660</v>
      </c>
      <c r="M387" t="s">
        <v>1609</v>
      </c>
      <c r="N387">
        <v>163000</v>
      </c>
    </row>
    <row r="388" spans="1:15" x14ac:dyDescent="0.3">
      <c r="A388" t="s">
        <v>1610</v>
      </c>
      <c r="B388" t="s">
        <v>674</v>
      </c>
      <c r="C388" t="s">
        <v>1041</v>
      </c>
      <c r="D388" t="s">
        <v>1042</v>
      </c>
      <c r="E388" t="s">
        <v>1042</v>
      </c>
      <c r="F388" t="s">
        <v>692</v>
      </c>
      <c r="G388" t="s">
        <v>1043</v>
      </c>
      <c r="H388" t="s">
        <v>694</v>
      </c>
      <c r="I388" t="s">
        <v>695</v>
      </c>
      <c r="J388" t="s">
        <v>672</v>
      </c>
      <c r="K388" t="s">
        <v>811</v>
      </c>
      <c r="L388" t="s">
        <v>1044</v>
      </c>
      <c r="M388" t="s">
        <v>1609</v>
      </c>
      <c r="N388">
        <v>163000</v>
      </c>
    </row>
    <row r="389" spans="1:15" x14ac:dyDescent="0.3">
      <c r="A389" t="s">
        <v>1611</v>
      </c>
      <c r="B389" t="s">
        <v>724</v>
      </c>
      <c r="C389" t="s">
        <v>1612</v>
      </c>
      <c r="D389" t="s">
        <v>705</v>
      </c>
      <c r="E389" t="s">
        <v>705</v>
      </c>
      <c r="F389" t="s">
        <v>668</v>
      </c>
      <c r="G389" t="s">
        <v>858</v>
      </c>
      <c r="H389" t="s">
        <v>670</v>
      </c>
      <c r="I389" t="s">
        <v>709</v>
      </c>
      <c r="J389" t="s">
        <v>709</v>
      </c>
      <c r="K389" t="s">
        <v>710</v>
      </c>
      <c r="L389" t="s">
        <v>660</v>
      </c>
      <c r="M389" t="s">
        <v>1609</v>
      </c>
      <c r="N389">
        <v>163000</v>
      </c>
    </row>
    <row r="390" spans="1:15" x14ac:dyDescent="0.3">
      <c r="A390" t="s">
        <v>663</v>
      </c>
      <c r="B390" t="s">
        <v>660</v>
      </c>
      <c r="C390" t="s">
        <v>1613</v>
      </c>
      <c r="D390" t="s">
        <v>793</v>
      </c>
      <c r="E390" t="s">
        <v>882</v>
      </c>
      <c r="F390" t="s">
        <v>882</v>
      </c>
      <c r="G390" t="s">
        <v>660</v>
      </c>
      <c r="H390" t="s">
        <v>882</v>
      </c>
      <c r="I390" t="s">
        <v>882</v>
      </c>
      <c r="J390" t="s">
        <v>882</v>
      </c>
      <c r="K390" t="s">
        <v>882</v>
      </c>
      <c r="L390" t="s">
        <v>660</v>
      </c>
      <c r="M390" t="s">
        <v>1609</v>
      </c>
      <c r="N390">
        <v>163000</v>
      </c>
    </row>
    <row r="391" spans="1:15" x14ac:dyDescent="0.3">
      <c r="A391" t="s">
        <v>663</v>
      </c>
      <c r="B391" t="s">
        <v>660</v>
      </c>
      <c r="C391" t="s">
        <v>1613</v>
      </c>
      <c r="D391" t="s">
        <v>793</v>
      </c>
      <c r="E391" t="s">
        <v>882</v>
      </c>
      <c r="F391" t="s">
        <v>882</v>
      </c>
      <c r="G391" t="s">
        <v>660</v>
      </c>
      <c r="H391" t="s">
        <v>882</v>
      </c>
      <c r="I391" t="s">
        <v>882</v>
      </c>
      <c r="J391" t="s">
        <v>882</v>
      </c>
      <c r="K391" t="s">
        <v>882</v>
      </c>
      <c r="L391" t="s">
        <v>660</v>
      </c>
      <c r="M391" t="s">
        <v>1609</v>
      </c>
      <c r="N391">
        <v>163000</v>
      </c>
    </row>
    <row r="392" spans="1:15" x14ac:dyDescent="0.3">
      <c r="A392" t="s">
        <v>1316</v>
      </c>
      <c r="B392" t="s">
        <v>1203</v>
      </c>
      <c r="C392" t="s">
        <v>848</v>
      </c>
      <c r="D392" t="s">
        <v>954</v>
      </c>
      <c r="E392" t="s">
        <v>965</v>
      </c>
      <c r="F392" t="s">
        <v>726</v>
      </c>
      <c r="G392" t="s">
        <v>685</v>
      </c>
      <c r="H392" t="s">
        <v>772</v>
      </c>
      <c r="I392" t="s">
        <v>694</v>
      </c>
      <c r="J392" t="s">
        <v>709</v>
      </c>
      <c r="K392" t="s">
        <v>709</v>
      </c>
      <c r="L392" t="s">
        <v>660</v>
      </c>
      <c r="M392" t="s">
        <v>660</v>
      </c>
      <c r="N392">
        <v>110000</v>
      </c>
      <c r="O392">
        <v>163000</v>
      </c>
    </row>
    <row r="393" spans="1:15" x14ac:dyDescent="0.3">
      <c r="A393" t="s">
        <v>1614</v>
      </c>
      <c r="B393" t="s">
        <v>1615</v>
      </c>
      <c r="C393" t="s">
        <v>1616</v>
      </c>
      <c r="D393" t="s">
        <v>1617</v>
      </c>
      <c r="E393" t="s">
        <v>1618</v>
      </c>
      <c r="F393" t="s">
        <v>769</v>
      </c>
      <c r="G393" t="s">
        <v>1619</v>
      </c>
      <c r="H393" t="s">
        <v>1446</v>
      </c>
      <c r="I393" t="s">
        <v>1620</v>
      </c>
      <c r="J393" t="s">
        <v>668</v>
      </c>
      <c r="K393" t="s">
        <v>677</v>
      </c>
      <c r="L393" t="s">
        <v>670</v>
      </c>
      <c r="M393" t="s">
        <v>700</v>
      </c>
    </row>
    <row r="394" spans="1:15" x14ac:dyDescent="0.3">
      <c r="A394" t="s">
        <v>1621</v>
      </c>
      <c r="B394" t="s">
        <v>724</v>
      </c>
      <c r="C394" t="s">
        <v>1622</v>
      </c>
      <c r="D394" t="s">
        <v>1623</v>
      </c>
      <c r="E394" t="s">
        <v>760</v>
      </c>
      <c r="F394" t="s">
        <v>655</v>
      </c>
      <c r="G394" t="s">
        <v>660</v>
      </c>
      <c r="H394" t="s">
        <v>694</v>
      </c>
      <c r="I394" t="s">
        <v>709</v>
      </c>
      <c r="J394" t="s">
        <v>709</v>
      </c>
      <c r="K394" t="s">
        <v>680</v>
      </c>
      <c r="L394" t="s">
        <v>660</v>
      </c>
      <c r="M394" t="s">
        <v>1609</v>
      </c>
      <c r="N394">
        <v>163000</v>
      </c>
    </row>
    <row r="395" spans="1:15" x14ac:dyDescent="0.3">
      <c r="A395" t="s">
        <v>840</v>
      </c>
      <c r="B395" t="s">
        <v>729</v>
      </c>
      <c r="C395" t="s">
        <v>825</v>
      </c>
      <c r="D395" t="s">
        <v>827</v>
      </c>
      <c r="E395" t="s">
        <v>827</v>
      </c>
      <c r="F395" t="s">
        <v>692</v>
      </c>
      <c r="G395" t="s">
        <v>828</v>
      </c>
      <c r="H395" t="s">
        <v>694</v>
      </c>
      <c r="I395" t="s">
        <v>767</v>
      </c>
      <c r="J395" t="s">
        <v>746</v>
      </c>
      <c r="K395" t="s">
        <v>815</v>
      </c>
      <c r="L395" t="s">
        <v>660</v>
      </c>
      <c r="M395" t="s">
        <v>1609</v>
      </c>
      <c r="N395">
        <v>163000</v>
      </c>
    </row>
    <row r="396" spans="1:15" x14ac:dyDescent="0.3">
      <c r="A396" t="s">
        <v>1624</v>
      </c>
      <c r="B396" t="s">
        <v>848</v>
      </c>
      <c r="C396" t="s">
        <v>954</v>
      </c>
      <c r="D396" t="s">
        <v>726</v>
      </c>
      <c r="E396" t="s">
        <v>726</v>
      </c>
      <c r="F396" t="s">
        <v>685</v>
      </c>
      <c r="G396" t="s">
        <v>772</v>
      </c>
      <c r="H396" t="s">
        <v>694</v>
      </c>
      <c r="I396" t="s">
        <v>709</v>
      </c>
      <c r="J396" t="s">
        <v>709</v>
      </c>
      <c r="K396" t="s">
        <v>660</v>
      </c>
      <c r="L396" t="s">
        <v>660</v>
      </c>
      <c r="M396" t="s">
        <v>1609</v>
      </c>
      <c r="N396">
        <v>163000</v>
      </c>
    </row>
    <row r="397" spans="1:15" x14ac:dyDescent="0.3">
      <c r="A397" t="s">
        <v>1625</v>
      </c>
      <c r="B397" t="s">
        <v>757</v>
      </c>
      <c r="C397" t="s">
        <v>873</v>
      </c>
      <c r="D397" t="s">
        <v>1069</v>
      </c>
      <c r="E397" t="s">
        <v>676</v>
      </c>
      <c r="F397" t="s">
        <v>707</v>
      </c>
      <c r="G397" t="s">
        <v>875</v>
      </c>
      <c r="H397" t="s">
        <v>694</v>
      </c>
      <c r="I397" t="s">
        <v>658</v>
      </c>
      <c r="J397" t="s">
        <v>659</v>
      </c>
      <c r="K397" t="s">
        <v>710</v>
      </c>
      <c r="L397" t="s">
        <v>876</v>
      </c>
      <c r="M397" t="s">
        <v>1609</v>
      </c>
      <c r="N397">
        <v>163000</v>
      </c>
    </row>
    <row r="398" spans="1:15" x14ac:dyDescent="0.3">
      <c r="A398" t="s">
        <v>663</v>
      </c>
      <c r="B398" t="s">
        <v>795</v>
      </c>
      <c r="C398" t="s">
        <v>1626</v>
      </c>
      <c r="D398" t="s">
        <v>759</v>
      </c>
      <c r="E398" t="s">
        <v>1594</v>
      </c>
      <c r="F398" t="s">
        <v>685</v>
      </c>
      <c r="G398" t="s">
        <v>708</v>
      </c>
      <c r="H398" t="s">
        <v>694</v>
      </c>
      <c r="I398" t="s">
        <v>738</v>
      </c>
      <c r="J398" t="s">
        <v>701</v>
      </c>
      <c r="K398" t="s">
        <v>680</v>
      </c>
      <c r="L398" t="s">
        <v>1627</v>
      </c>
      <c r="M398" t="s">
        <v>1609</v>
      </c>
      <c r="N398">
        <v>163000</v>
      </c>
    </row>
    <row r="399" spans="1:15" x14ac:dyDescent="0.3">
      <c r="A399" t="s">
        <v>1628</v>
      </c>
      <c r="B399" t="s">
        <v>681</v>
      </c>
      <c r="C399" t="s">
        <v>1084</v>
      </c>
      <c r="D399" t="s">
        <v>667</v>
      </c>
      <c r="E399" t="s">
        <v>1085</v>
      </c>
      <c r="F399" t="s">
        <v>668</v>
      </c>
      <c r="G399" t="s">
        <v>660</v>
      </c>
      <c r="H399" t="s">
        <v>670</v>
      </c>
      <c r="I399" t="s">
        <v>824</v>
      </c>
      <c r="J399" t="s">
        <v>824</v>
      </c>
      <c r="K399" t="s">
        <v>722</v>
      </c>
      <c r="L399" t="s">
        <v>660</v>
      </c>
      <c r="M399" t="s">
        <v>1609</v>
      </c>
      <c r="N399">
        <v>163000</v>
      </c>
    </row>
    <row r="400" spans="1:15" x14ac:dyDescent="0.3">
      <c r="A400" t="s">
        <v>1629</v>
      </c>
      <c r="B400" t="s">
        <v>904</v>
      </c>
      <c r="C400" t="s">
        <v>1630</v>
      </c>
      <c r="D400" t="s">
        <v>1631</v>
      </c>
      <c r="E400" t="s">
        <v>1631</v>
      </c>
      <c r="F400" t="s">
        <v>655</v>
      </c>
      <c r="G400" t="s">
        <v>980</v>
      </c>
      <c r="H400" t="s">
        <v>694</v>
      </c>
      <c r="I400" t="s">
        <v>824</v>
      </c>
      <c r="J400" t="s">
        <v>824</v>
      </c>
      <c r="K400" t="s">
        <v>680</v>
      </c>
      <c r="L400" t="s">
        <v>660</v>
      </c>
      <c r="M400" t="s">
        <v>1609</v>
      </c>
      <c r="N400">
        <v>163000</v>
      </c>
    </row>
    <row r="401" spans="1:15" x14ac:dyDescent="0.3">
      <c r="A401" t="s">
        <v>1632</v>
      </c>
      <c r="B401" t="s">
        <v>729</v>
      </c>
      <c r="C401" t="s">
        <v>937</v>
      </c>
      <c r="D401" t="s">
        <v>938</v>
      </c>
      <c r="E401" t="s">
        <v>938</v>
      </c>
      <c r="F401" t="s">
        <v>754</v>
      </c>
      <c r="G401" t="s">
        <v>699</v>
      </c>
      <c r="H401" t="s">
        <v>694</v>
      </c>
      <c r="I401" t="s">
        <v>824</v>
      </c>
      <c r="J401" t="s">
        <v>824</v>
      </c>
      <c r="K401" t="s">
        <v>680</v>
      </c>
      <c r="L401" t="s">
        <v>660</v>
      </c>
      <c r="M401" t="s">
        <v>1609</v>
      </c>
      <c r="N401">
        <v>163000</v>
      </c>
    </row>
    <row r="402" spans="1:15" x14ac:dyDescent="0.3">
      <c r="A402" t="s">
        <v>1188</v>
      </c>
      <c r="B402" t="s">
        <v>729</v>
      </c>
      <c r="C402" t="s">
        <v>730</v>
      </c>
      <c r="D402" t="s">
        <v>667</v>
      </c>
      <c r="E402" t="s">
        <v>731</v>
      </c>
      <c r="F402" t="s">
        <v>685</v>
      </c>
      <c r="G402" t="s">
        <v>732</v>
      </c>
      <c r="H402" t="s">
        <v>694</v>
      </c>
      <c r="I402" t="s">
        <v>728</v>
      </c>
      <c r="J402" t="s">
        <v>701</v>
      </c>
      <c r="K402" t="s">
        <v>680</v>
      </c>
      <c r="L402" t="s">
        <v>733</v>
      </c>
      <c r="M402" t="s">
        <v>1609</v>
      </c>
      <c r="N402">
        <v>163000</v>
      </c>
    </row>
    <row r="403" spans="1:15" x14ac:dyDescent="0.3">
      <c r="A403" t="s">
        <v>1633</v>
      </c>
      <c r="B403" t="s">
        <v>703</v>
      </c>
      <c r="C403" t="s">
        <v>1634</v>
      </c>
      <c r="D403" t="s">
        <v>1635</v>
      </c>
      <c r="E403" t="s">
        <v>910</v>
      </c>
      <c r="F403" t="s">
        <v>707</v>
      </c>
      <c r="G403" t="s">
        <v>1520</v>
      </c>
      <c r="H403" t="s">
        <v>1048</v>
      </c>
      <c r="I403" t="s">
        <v>1036</v>
      </c>
      <c r="J403" t="s">
        <v>37</v>
      </c>
      <c r="K403" t="s">
        <v>660</v>
      </c>
      <c r="L403" t="s">
        <v>660</v>
      </c>
      <c r="M403" t="s">
        <v>1609</v>
      </c>
      <c r="N403">
        <v>163000</v>
      </c>
    </row>
    <row r="404" spans="1:15" x14ac:dyDescent="0.3">
      <c r="A404" t="s">
        <v>1636</v>
      </c>
      <c r="B404" t="s">
        <v>1637</v>
      </c>
      <c r="C404" t="s">
        <v>904</v>
      </c>
      <c r="D404" t="s">
        <v>1638</v>
      </c>
      <c r="E404" t="s">
        <v>1639</v>
      </c>
      <c r="F404" t="s">
        <v>1639</v>
      </c>
      <c r="G404" t="s">
        <v>655</v>
      </c>
      <c r="H404" t="s">
        <v>948</v>
      </c>
      <c r="I404" t="s">
        <v>670</v>
      </c>
      <c r="J404" t="s">
        <v>789</v>
      </c>
      <c r="K404" t="s">
        <v>790</v>
      </c>
      <c r="L404" t="s">
        <v>680</v>
      </c>
      <c r="M404" t="s">
        <v>660</v>
      </c>
      <c r="N404">
        <v>110000</v>
      </c>
      <c r="O404">
        <v>163000</v>
      </c>
    </row>
    <row r="405" spans="1:15" x14ac:dyDescent="0.3">
      <c r="A405" t="s">
        <v>1640</v>
      </c>
      <c r="B405" t="s">
        <v>724</v>
      </c>
      <c r="C405" t="s">
        <v>1641</v>
      </c>
      <c r="D405" t="s">
        <v>1415</v>
      </c>
      <c r="E405" t="s">
        <v>1642</v>
      </c>
      <c r="F405" t="s">
        <v>754</v>
      </c>
      <c r="G405" t="s">
        <v>929</v>
      </c>
      <c r="H405" t="s">
        <v>694</v>
      </c>
      <c r="I405" t="s">
        <v>789</v>
      </c>
      <c r="J405" t="s">
        <v>790</v>
      </c>
      <c r="K405" t="s">
        <v>749</v>
      </c>
      <c r="L405" t="s">
        <v>660</v>
      </c>
      <c r="M405" t="s">
        <v>1609</v>
      </c>
      <c r="N405">
        <v>163000</v>
      </c>
    </row>
    <row r="406" spans="1:15" x14ac:dyDescent="0.3">
      <c r="A406" t="s">
        <v>1643</v>
      </c>
      <c r="B406" t="s">
        <v>848</v>
      </c>
      <c r="C406" t="s">
        <v>1644</v>
      </c>
      <c r="D406" t="s">
        <v>1645</v>
      </c>
      <c r="E406" t="s">
        <v>1645</v>
      </c>
      <c r="F406" t="s">
        <v>668</v>
      </c>
      <c r="G406" t="s">
        <v>1646</v>
      </c>
      <c r="H406" t="s">
        <v>694</v>
      </c>
      <c r="I406" t="s">
        <v>944</v>
      </c>
      <c r="J406" t="s">
        <v>688</v>
      </c>
      <c r="K406" t="s">
        <v>710</v>
      </c>
      <c r="L406" t="s">
        <v>660</v>
      </c>
      <c r="M406" t="s">
        <v>1609</v>
      </c>
      <c r="N406">
        <v>163000</v>
      </c>
    </row>
    <row r="407" spans="1:15" x14ac:dyDescent="0.3">
      <c r="A407" t="s">
        <v>1647</v>
      </c>
      <c r="B407" t="s">
        <v>832</v>
      </c>
      <c r="C407" t="s">
        <v>1648</v>
      </c>
      <c r="D407" t="s">
        <v>1512</v>
      </c>
      <c r="E407" t="s">
        <v>1069</v>
      </c>
      <c r="F407" t="s">
        <v>692</v>
      </c>
      <c r="G407" t="s">
        <v>737</v>
      </c>
      <c r="H407" t="s">
        <v>694</v>
      </c>
      <c r="I407" t="s">
        <v>728</v>
      </c>
      <c r="J407" t="s">
        <v>701</v>
      </c>
      <c r="K407" t="s">
        <v>660</v>
      </c>
      <c r="L407" t="s">
        <v>660</v>
      </c>
      <c r="M407" t="s">
        <v>1609</v>
      </c>
      <c r="N407">
        <v>163000</v>
      </c>
    </row>
    <row r="408" spans="1:15" x14ac:dyDescent="0.3">
      <c r="A408" t="s">
        <v>919</v>
      </c>
      <c r="B408" t="s">
        <v>769</v>
      </c>
      <c r="C408" t="s">
        <v>920</v>
      </c>
      <c r="D408" t="s">
        <v>793</v>
      </c>
      <c r="E408" t="s">
        <v>793</v>
      </c>
      <c r="F408" t="s">
        <v>655</v>
      </c>
      <c r="G408" t="s">
        <v>921</v>
      </c>
      <c r="H408" t="s">
        <v>670</v>
      </c>
      <c r="I408" t="s">
        <v>773</v>
      </c>
      <c r="J408" t="s">
        <v>701</v>
      </c>
      <c r="K408" t="s">
        <v>722</v>
      </c>
      <c r="L408" t="s">
        <v>922</v>
      </c>
      <c r="M408" t="s">
        <v>1649</v>
      </c>
      <c r="N408">
        <v>198000</v>
      </c>
    </row>
    <row r="409" spans="1:15" x14ac:dyDescent="0.3">
      <c r="A409" t="s">
        <v>663</v>
      </c>
      <c r="B409" t="s">
        <v>791</v>
      </c>
      <c r="C409" t="s">
        <v>923</v>
      </c>
      <c r="D409" t="s">
        <v>793</v>
      </c>
      <c r="E409" t="s">
        <v>793</v>
      </c>
      <c r="F409" t="s">
        <v>655</v>
      </c>
      <c r="G409" t="s">
        <v>797</v>
      </c>
      <c r="H409" t="s">
        <v>694</v>
      </c>
      <c r="I409" t="s">
        <v>924</v>
      </c>
      <c r="J409" t="s">
        <v>925</v>
      </c>
      <c r="K409" t="s">
        <v>660</v>
      </c>
      <c r="L409" t="s">
        <v>926</v>
      </c>
      <c r="M409" t="s">
        <v>1649</v>
      </c>
      <c r="N409">
        <v>198000</v>
      </c>
    </row>
    <row r="410" spans="1:15" x14ac:dyDescent="0.3">
      <c r="A410" t="s">
        <v>663</v>
      </c>
      <c r="B410" t="s">
        <v>977</v>
      </c>
      <c r="C410" t="s">
        <v>1650</v>
      </c>
      <c r="D410" t="s">
        <v>1567</v>
      </c>
      <c r="E410" t="s">
        <v>1567</v>
      </c>
      <c r="F410" t="s">
        <v>692</v>
      </c>
      <c r="G410" t="s">
        <v>699</v>
      </c>
      <c r="H410" t="s">
        <v>694</v>
      </c>
      <c r="I410" t="s">
        <v>728</v>
      </c>
      <c r="J410" t="s">
        <v>701</v>
      </c>
      <c r="K410" t="s">
        <v>811</v>
      </c>
      <c r="L410" t="s">
        <v>660</v>
      </c>
      <c r="M410" t="s">
        <v>1649</v>
      </c>
      <c r="N410">
        <v>198000</v>
      </c>
    </row>
    <row r="411" spans="1:15" x14ac:dyDescent="0.3">
      <c r="A411" t="s">
        <v>663</v>
      </c>
      <c r="B411" t="s">
        <v>660</v>
      </c>
      <c r="C411" t="s">
        <v>1651</v>
      </c>
      <c r="D411" t="s">
        <v>1059</v>
      </c>
      <c r="E411" t="s">
        <v>1652</v>
      </c>
      <c r="F411" t="s">
        <v>1248</v>
      </c>
      <c r="G411" t="s">
        <v>660</v>
      </c>
      <c r="H411" t="s">
        <v>1248</v>
      </c>
      <c r="I411" t="s">
        <v>882</v>
      </c>
      <c r="J411" t="s">
        <v>882</v>
      </c>
      <c r="K411" t="s">
        <v>660</v>
      </c>
      <c r="L411" t="s">
        <v>660</v>
      </c>
      <c r="M411" t="s">
        <v>1649</v>
      </c>
      <c r="N411">
        <v>198000</v>
      </c>
    </row>
    <row r="412" spans="1:15" x14ac:dyDescent="0.3">
      <c r="A412" t="s">
        <v>663</v>
      </c>
      <c r="B412" t="s">
        <v>848</v>
      </c>
      <c r="C412" t="s">
        <v>1653</v>
      </c>
      <c r="D412" t="s">
        <v>676</v>
      </c>
      <c r="E412" t="s">
        <v>676</v>
      </c>
      <c r="F412" t="s">
        <v>754</v>
      </c>
      <c r="G412" t="s">
        <v>1330</v>
      </c>
      <c r="H412" t="s">
        <v>694</v>
      </c>
      <c r="I412" t="s">
        <v>709</v>
      </c>
      <c r="J412" t="s">
        <v>709</v>
      </c>
      <c r="K412" t="s">
        <v>660</v>
      </c>
      <c r="L412" t="s">
        <v>660</v>
      </c>
      <c r="M412" t="s">
        <v>1649</v>
      </c>
      <c r="N412">
        <v>198000</v>
      </c>
    </row>
    <row r="413" spans="1:15" x14ac:dyDescent="0.3">
      <c r="A413" t="s">
        <v>663</v>
      </c>
      <c r="B413" t="s">
        <v>660</v>
      </c>
      <c r="C413" t="s">
        <v>1654</v>
      </c>
      <c r="D413" t="s">
        <v>1655</v>
      </c>
      <c r="E413" t="s">
        <v>1656</v>
      </c>
      <c r="F413" t="s">
        <v>765</v>
      </c>
      <c r="G413" t="s">
        <v>828</v>
      </c>
      <c r="H413" t="s">
        <v>694</v>
      </c>
      <c r="I413" t="s">
        <v>738</v>
      </c>
      <c r="J413" t="s">
        <v>701</v>
      </c>
      <c r="K413" t="s">
        <v>660</v>
      </c>
      <c r="L413" t="s">
        <v>660</v>
      </c>
      <c r="M413" t="s">
        <v>1649</v>
      </c>
      <c r="N413">
        <v>198000</v>
      </c>
    </row>
    <row r="414" spans="1:15" x14ac:dyDescent="0.3">
      <c r="A414" t="s">
        <v>663</v>
      </c>
      <c r="B414" t="s">
        <v>832</v>
      </c>
      <c r="C414" t="s">
        <v>1657</v>
      </c>
      <c r="D414" t="s">
        <v>1112</v>
      </c>
      <c r="E414" t="s">
        <v>1510</v>
      </c>
      <c r="F414" t="s">
        <v>765</v>
      </c>
      <c r="G414" t="s">
        <v>660</v>
      </c>
      <c r="H414" t="s">
        <v>694</v>
      </c>
      <c r="I414" t="s">
        <v>728</v>
      </c>
      <c r="J414" t="s">
        <v>701</v>
      </c>
      <c r="K414" t="s">
        <v>660</v>
      </c>
      <c r="L414" t="s">
        <v>660</v>
      </c>
      <c r="M414" t="s">
        <v>1649</v>
      </c>
      <c r="N414">
        <v>198000</v>
      </c>
    </row>
    <row r="415" spans="1:15" x14ac:dyDescent="0.3">
      <c r="A415" t="s">
        <v>663</v>
      </c>
      <c r="B415" t="s">
        <v>757</v>
      </c>
      <c r="C415" t="s">
        <v>1658</v>
      </c>
      <c r="D415" t="s">
        <v>951</v>
      </c>
      <c r="E415" t="s">
        <v>1659</v>
      </c>
      <c r="F415" t="s">
        <v>765</v>
      </c>
      <c r="G415" t="s">
        <v>660</v>
      </c>
      <c r="H415" t="s">
        <v>694</v>
      </c>
      <c r="I415" t="s">
        <v>695</v>
      </c>
      <c r="J415" t="s">
        <v>672</v>
      </c>
      <c r="K415" t="s">
        <v>864</v>
      </c>
      <c r="L415" t="s">
        <v>660</v>
      </c>
      <c r="M415" t="s">
        <v>1649</v>
      </c>
      <c r="N415">
        <v>198000</v>
      </c>
    </row>
    <row r="416" spans="1:15" x14ac:dyDescent="0.3">
      <c r="A416" t="s">
        <v>663</v>
      </c>
      <c r="B416" t="s">
        <v>769</v>
      </c>
      <c r="C416" t="s">
        <v>1660</v>
      </c>
      <c r="D416" t="s">
        <v>759</v>
      </c>
      <c r="E416" t="s">
        <v>1661</v>
      </c>
      <c r="F416" t="s">
        <v>765</v>
      </c>
      <c r="G416" t="s">
        <v>660</v>
      </c>
      <c r="H416" t="s">
        <v>694</v>
      </c>
      <c r="I416" t="s">
        <v>679</v>
      </c>
      <c r="J416" t="s">
        <v>672</v>
      </c>
      <c r="K416" t="s">
        <v>864</v>
      </c>
      <c r="L416" t="s">
        <v>660</v>
      </c>
      <c r="M416" t="s">
        <v>1649</v>
      </c>
      <c r="N416">
        <v>198000</v>
      </c>
    </row>
    <row r="417" spans="1:14" x14ac:dyDescent="0.3">
      <c r="A417" t="s">
        <v>663</v>
      </c>
      <c r="B417" t="s">
        <v>832</v>
      </c>
      <c r="C417" t="s">
        <v>1662</v>
      </c>
      <c r="D417" t="s">
        <v>1029</v>
      </c>
      <c r="E417" t="s">
        <v>1217</v>
      </c>
      <c r="F417" t="s">
        <v>692</v>
      </c>
      <c r="G417" t="s">
        <v>727</v>
      </c>
      <c r="H417" t="s">
        <v>694</v>
      </c>
      <c r="I417" t="s">
        <v>824</v>
      </c>
      <c r="J417" t="s">
        <v>824</v>
      </c>
      <c r="K417" t="s">
        <v>811</v>
      </c>
      <c r="L417" t="s">
        <v>660</v>
      </c>
      <c r="M417" t="s">
        <v>1649</v>
      </c>
      <c r="N417">
        <v>198000</v>
      </c>
    </row>
    <row r="418" spans="1:14" x14ac:dyDescent="0.3">
      <c r="A418" t="s">
        <v>663</v>
      </c>
      <c r="B418" t="s">
        <v>664</v>
      </c>
      <c r="C418" t="s">
        <v>1663</v>
      </c>
      <c r="D418" t="s">
        <v>801</v>
      </c>
      <c r="E418" t="s">
        <v>1434</v>
      </c>
      <c r="F418" t="s">
        <v>754</v>
      </c>
      <c r="G418" t="s">
        <v>852</v>
      </c>
      <c r="H418" t="s">
        <v>943</v>
      </c>
      <c r="I418" t="s">
        <v>930</v>
      </c>
      <c r="J418" t="s">
        <v>672</v>
      </c>
      <c r="K418" t="s">
        <v>680</v>
      </c>
      <c r="L418" t="s">
        <v>660</v>
      </c>
      <c r="M418" t="s">
        <v>1649</v>
      </c>
      <c r="N418">
        <v>198000</v>
      </c>
    </row>
    <row r="419" spans="1:14" x14ac:dyDescent="0.3">
      <c r="A419" t="s">
        <v>663</v>
      </c>
      <c r="B419" t="s">
        <v>742</v>
      </c>
      <c r="C419" t="s">
        <v>1664</v>
      </c>
      <c r="D419" t="s">
        <v>1665</v>
      </c>
      <c r="E419" t="s">
        <v>731</v>
      </c>
      <c r="F419" t="s">
        <v>707</v>
      </c>
      <c r="G419" t="s">
        <v>1666</v>
      </c>
      <c r="H419" t="s">
        <v>670</v>
      </c>
      <c r="I419" t="s">
        <v>679</v>
      </c>
      <c r="J419" t="s">
        <v>672</v>
      </c>
      <c r="K419" t="s">
        <v>782</v>
      </c>
      <c r="L419" t="s">
        <v>1667</v>
      </c>
      <c r="M419" t="s">
        <v>1649</v>
      </c>
      <c r="N419">
        <v>198000</v>
      </c>
    </row>
    <row r="420" spans="1:14" x14ac:dyDescent="0.3">
      <c r="A420" t="s">
        <v>663</v>
      </c>
      <c r="B420" t="s">
        <v>674</v>
      </c>
      <c r="C420" t="s">
        <v>1668</v>
      </c>
      <c r="D420" t="s">
        <v>1669</v>
      </c>
      <c r="E420" t="s">
        <v>1669</v>
      </c>
      <c r="F420" t="s">
        <v>668</v>
      </c>
      <c r="G420" t="s">
        <v>1670</v>
      </c>
      <c r="H420" t="s">
        <v>694</v>
      </c>
      <c r="I420" t="s">
        <v>1428</v>
      </c>
      <c r="J420" t="s">
        <v>672</v>
      </c>
      <c r="K420" t="s">
        <v>673</v>
      </c>
      <c r="L420" t="s">
        <v>1671</v>
      </c>
      <c r="M420" t="s">
        <v>1649</v>
      </c>
      <c r="N420">
        <v>198000</v>
      </c>
    </row>
    <row r="421" spans="1:14" x14ac:dyDescent="0.3">
      <c r="A421" t="s">
        <v>663</v>
      </c>
      <c r="B421" t="s">
        <v>836</v>
      </c>
      <c r="C421" t="s">
        <v>1672</v>
      </c>
      <c r="D421" t="s">
        <v>1255</v>
      </c>
      <c r="E421" t="s">
        <v>1673</v>
      </c>
      <c r="F421" t="s">
        <v>754</v>
      </c>
      <c r="G421" t="s">
        <v>699</v>
      </c>
      <c r="H421" t="s">
        <v>694</v>
      </c>
      <c r="I421" t="s">
        <v>738</v>
      </c>
      <c r="J421" t="s">
        <v>701</v>
      </c>
      <c r="K421" t="s">
        <v>864</v>
      </c>
      <c r="L421" t="s">
        <v>660</v>
      </c>
      <c r="M421" t="s">
        <v>1649</v>
      </c>
      <c r="N421">
        <v>198000</v>
      </c>
    </row>
    <row r="422" spans="1:14" x14ac:dyDescent="0.3">
      <c r="A422" t="s">
        <v>663</v>
      </c>
      <c r="B422" t="s">
        <v>681</v>
      </c>
      <c r="C422" t="s">
        <v>1674</v>
      </c>
      <c r="D422" t="s">
        <v>1675</v>
      </c>
      <c r="E422" t="s">
        <v>802</v>
      </c>
      <c r="F422" t="s">
        <v>707</v>
      </c>
      <c r="G422" t="s">
        <v>1225</v>
      </c>
      <c r="H422" t="s">
        <v>670</v>
      </c>
      <c r="I422" t="s">
        <v>930</v>
      </c>
      <c r="J422" t="s">
        <v>672</v>
      </c>
      <c r="K422" t="s">
        <v>722</v>
      </c>
      <c r="L422" t="s">
        <v>1676</v>
      </c>
      <c r="M422" t="s">
        <v>1649</v>
      </c>
      <c r="N422">
        <v>198000</v>
      </c>
    </row>
    <row r="423" spans="1:14" x14ac:dyDescent="0.3">
      <c r="A423" t="s">
        <v>1268</v>
      </c>
      <c r="B423" t="s">
        <v>1269</v>
      </c>
      <c r="C423" t="s">
        <v>1270</v>
      </c>
      <c r="D423" t="s">
        <v>1271</v>
      </c>
      <c r="E423" t="s">
        <v>1271</v>
      </c>
      <c r="F423" t="s">
        <v>685</v>
      </c>
      <c r="G423" t="s">
        <v>810</v>
      </c>
      <c r="H423" t="s">
        <v>694</v>
      </c>
      <c r="I423" t="s">
        <v>1119</v>
      </c>
      <c r="J423" t="s">
        <v>37</v>
      </c>
      <c r="K423" t="s">
        <v>680</v>
      </c>
      <c r="L423" t="s">
        <v>660</v>
      </c>
      <c r="M423" t="s">
        <v>1649</v>
      </c>
      <c r="N423">
        <v>198000</v>
      </c>
    </row>
    <row r="424" spans="1:14" x14ac:dyDescent="0.3">
      <c r="A424" t="s">
        <v>663</v>
      </c>
      <c r="B424" t="s">
        <v>729</v>
      </c>
      <c r="C424" t="s">
        <v>1677</v>
      </c>
      <c r="D424" t="s">
        <v>1678</v>
      </c>
      <c r="E424" t="s">
        <v>1679</v>
      </c>
      <c r="F424" t="s">
        <v>765</v>
      </c>
      <c r="G424" t="s">
        <v>660</v>
      </c>
      <c r="H424" t="s">
        <v>694</v>
      </c>
      <c r="I424" t="s">
        <v>1680</v>
      </c>
      <c r="J424" t="s">
        <v>1681</v>
      </c>
      <c r="K424" t="s">
        <v>1053</v>
      </c>
      <c r="L424" t="s">
        <v>660</v>
      </c>
      <c r="M424" t="s">
        <v>1649</v>
      </c>
      <c r="N424">
        <v>198000</v>
      </c>
    </row>
    <row r="425" spans="1:14" x14ac:dyDescent="0.3">
      <c r="A425" t="s">
        <v>663</v>
      </c>
      <c r="B425" t="s">
        <v>703</v>
      </c>
      <c r="C425" t="s">
        <v>1491</v>
      </c>
      <c r="D425" t="s">
        <v>1492</v>
      </c>
      <c r="E425" t="s">
        <v>1361</v>
      </c>
      <c r="F425" t="s">
        <v>655</v>
      </c>
      <c r="G425" t="s">
        <v>828</v>
      </c>
      <c r="H425" t="s">
        <v>670</v>
      </c>
      <c r="I425" t="s">
        <v>773</v>
      </c>
      <c r="J425" t="s">
        <v>701</v>
      </c>
      <c r="K425" t="s">
        <v>722</v>
      </c>
      <c r="L425" t="s">
        <v>1493</v>
      </c>
      <c r="M425" t="s">
        <v>1649</v>
      </c>
      <c r="N425">
        <v>198000</v>
      </c>
    </row>
    <row r="426" spans="1:14" x14ac:dyDescent="0.3">
      <c r="A426" t="s">
        <v>663</v>
      </c>
      <c r="B426" t="s">
        <v>757</v>
      </c>
      <c r="C426" t="s">
        <v>1682</v>
      </c>
      <c r="D426" t="s">
        <v>1683</v>
      </c>
      <c r="E426" t="s">
        <v>882</v>
      </c>
      <c r="F426" t="s">
        <v>1248</v>
      </c>
      <c r="G426" t="s">
        <v>660</v>
      </c>
      <c r="H426" t="s">
        <v>694</v>
      </c>
      <c r="I426" t="s">
        <v>882</v>
      </c>
      <c r="J426" t="s">
        <v>882</v>
      </c>
      <c r="K426" t="s">
        <v>660</v>
      </c>
      <c r="L426" t="s">
        <v>660</v>
      </c>
      <c r="M426" t="s">
        <v>1649</v>
      </c>
      <c r="N426">
        <v>198000</v>
      </c>
    </row>
    <row r="427" spans="1:14" x14ac:dyDescent="0.3">
      <c r="A427" t="s">
        <v>663</v>
      </c>
      <c r="B427" t="s">
        <v>660</v>
      </c>
      <c r="C427" t="s">
        <v>1497</v>
      </c>
      <c r="D427" t="s">
        <v>654</v>
      </c>
      <c r="E427" t="s">
        <v>760</v>
      </c>
      <c r="F427" t="s">
        <v>765</v>
      </c>
      <c r="G427" t="s">
        <v>660</v>
      </c>
      <c r="H427" t="s">
        <v>694</v>
      </c>
      <c r="I427" t="s">
        <v>679</v>
      </c>
      <c r="J427" t="s">
        <v>672</v>
      </c>
      <c r="K427" t="s">
        <v>864</v>
      </c>
      <c r="L427" t="s">
        <v>660</v>
      </c>
      <c r="M427" t="s">
        <v>1649</v>
      </c>
      <c r="N427">
        <v>198000</v>
      </c>
    </row>
    <row r="428" spans="1:14" x14ac:dyDescent="0.3">
      <c r="A428" t="s">
        <v>663</v>
      </c>
      <c r="B428" t="s">
        <v>769</v>
      </c>
      <c r="C428" t="s">
        <v>1272</v>
      </c>
      <c r="D428" t="s">
        <v>826</v>
      </c>
      <c r="E428" t="s">
        <v>826</v>
      </c>
      <c r="F428" t="s">
        <v>692</v>
      </c>
      <c r="G428" t="s">
        <v>844</v>
      </c>
      <c r="H428" t="s">
        <v>694</v>
      </c>
      <c r="I428" t="s">
        <v>679</v>
      </c>
      <c r="J428" t="s">
        <v>672</v>
      </c>
      <c r="K428" t="s">
        <v>811</v>
      </c>
      <c r="L428" t="s">
        <v>660</v>
      </c>
      <c r="M428" t="s">
        <v>1649</v>
      </c>
      <c r="N428">
        <v>198000</v>
      </c>
    </row>
    <row r="429" spans="1:14" x14ac:dyDescent="0.3">
      <c r="A429" t="s">
        <v>663</v>
      </c>
      <c r="B429" t="s">
        <v>742</v>
      </c>
      <c r="C429" t="s">
        <v>949</v>
      </c>
      <c r="D429" t="s">
        <v>654</v>
      </c>
      <c r="E429" t="s">
        <v>654</v>
      </c>
      <c r="F429" t="s">
        <v>685</v>
      </c>
      <c r="G429" t="s">
        <v>732</v>
      </c>
      <c r="H429" t="s">
        <v>694</v>
      </c>
      <c r="I429" t="s">
        <v>773</v>
      </c>
      <c r="J429" t="s">
        <v>701</v>
      </c>
      <c r="K429" t="s">
        <v>660</v>
      </c>
      <c r="L429" t="s">
        <v>660</v>
      </c>
      <c r="M429" t="s">
        <v>939</v>
      </c>
      <c r="N429">
        <v>133000</v>
      </c>
    </row>
    <row r="430" spans="1:14" x14ac:dyDescent="0.3">
      <c r="A430" t="s">
        <v>893</v>
      </c>
      <c r="B430" t="s">
        <v>681</v>
      </c>
      <c r="C430" t="s">
        <v>918</v>
      </c>
      <c r="D430" t="s">
        <v>736</v>
      </c>
      <c r="E430" t="s">
        <v>736</v>
      </c>
      <c r="F430" t="s">
        <v>754</v>
      </c>
      <c r="G430" t="s">
        <v>732</v>
      </c>
      <c r="H430" t="s">
        <v>694</v>
      </c>
      <c r="I430" t="s">
        <v>709</v>
      </c>
      <c r="J430" t="s">
        <v>709</v>
      </c>
      <c r="K430" t="s">
        <v>864</v>
      </c>
      <c r="L430" t="s">
        <v>660</v>
      </c>
      <c r="M430" t="s">
        <v>939</v>
      </c>
      <c r="N430">
        <v>133000</v>
      </c>
    </row>
    <row r="431" spans="1:14" x14ac:dyDescent="0.3">
      <c r="A431" t="s">
        <v>663</v>
      </c>
      <c r="B431" t="s">
        <v>1269</v>
      </c>
      <c r="C431" t="s">
        <v>1498</v>
      </c>
      <c r="D431" t="s">
        <v>1499</v>
      </c>
      <c r="E431" t="s">
        <v>775</v>
      </c>
      <c r="F431" t="s">
        <v>692</v>
      </c>
      <c r="G431" t="s">
        <v>660</v>
      </c>
      <c r="H431" t="s">
        <v>694</v>
      </c>
      <c r="I431" t="s">
        <v>679</v>
      </c>
      <c r="J431" t="s">
        <v>672</v>
      </c>
      <c r="K431" t="s">
        <v>1030</v>
      </c>
      <c r="L431" t="s">
        <v>660</v>
      </c>
      <c r="M431" t="s">
        <v>939</v>
      </c>
      <c r="N431">
        <v>133000</v>
      </c>
    </row>
    <row r="432" spans="1:14" x14ac:dyDescent="0.3">
      <c r="A432" t="s">
        <v>663</v>
      </c>
      <c r="B432" t="s">
        <v>660</v>
      </c>
      <c r="C432" t="s">
        <v>1684</v>
      </c>
      <c r="D432" t="s">
        <v>1274</v>
      </c>
      <c r="E432" t="s">
        <v>759</v>
      </c>
      <c r="F432" t="s">
        <v>1248</v>
      </c>
      <c r="G432" t="s">
        <v>660</v>
      </c>
      <c r="H432" t="s">
        <v>670</v>
      </c>
      <c r="I432" t="s">
        <v>882</v>
      </c>
      <c r="J432" t="s">
        <v>882</v>
      </c>
      <c r="K432" t="s">
        <v>660</v>
      </c>
      <c r="L432" t="s">
        <v>660</v>
      </c>
      <c r="M432" t="s">
        <v>939</v>
      </c>
      <c r="N432">
        <v>133000</v>
      </c>
    </row>
    <row r="433" spans="1:14" x14ac:dyDescent="0.3">
      <c r="A433" t="s">
        <v>663</v>
      </c>
      <c r="B433" t="s">
        <v>660</v>
      </c>
      <c r="C433" t="s">
        <v>1506</v>
      </c>
      <c r="D433" t="s">
        <v>1213</v>
      </c>
      <c r="E433" t="s">
        <v>1213</v>
      </c>
      <c r="F433" t="s">
        <v>765</v>
      </c>
      <c r="G433" t="s">
        <v>660</v>
      </c>
      <c r="H433" t="s">
        <v>694</v>
      </c>
      <c r="I433" t="s">
        <v>882</v>
      </c>
      <c r="J433" t="s">
        <v>882</v>
      </c>
      <c r="K433" t="s">
        <v>660</v>
      </c>
      <c r="L433" t="s">
        <v>660</v>
      </c>
      <c r="M433" t="s">
        <v>939</v>
      </c>
      <c r="N433">
        <v>133000</v>
      </c>
    </row>
    <row r="434" spans="1:14" x14ac:dyDescent="0.3">
      <c r="A434" t="s">
        <v>840</v>
      </c>
      <c r="B434" t="s">
        <v>717</v>
      </c>
      <c r="C434" t="s">
        <v>1278</v>
      </c>
      <c r="D434" t="s">
        <v>793</v>
      </c>
      <c r="E434" t="s">
        <v>793</v>
      </c>
      <c r="F434" t="s">
        <v>692</v>
      </c>
      <c r="G434" t="s">
        <v>844</v>
      </c>
      <c r="H434" t="s">
        <v>694</v>
      </c>
      <c r="I434" t="s">
        <v>700</v>
      </c>
      <c r="J434" t="s">
        <v>701</v>
      </c>
      <c r="K434" t="s">
        <v>845</v>
      </c>
      <c r="L434" t="s">
        <v>660</v>
      </c>
      <c r="M434" t="s">
        <v>939</v>
      </c>
      <c r="N434">
        <v>133000</v>
      </c>
    </row>
    <row r="435" spans="1:14" x14ac:dyDescent="0.3">
      <c r="A435" t="s">
        <v>663</v>
      </c>
      <c r="B435" t="s">
        <v>724</v>
      </c>
      <c r="C435" t="s">
        <v>1685</v>
      </c>
      <c r="D435" t="s">
        <v>1686</v>
      </c>
      <c r="E435" t="s">
        <v>1686</v>
      </c>
      <c r="F435" t="s">
        <v>692</v>
      </c>
      <c r="G435" t="s">
        <v>660</v>
      </c>
      <c r="H435" t="s">
        <v>694</v>
      </c>
      <c r="I435" t="s">
        <v>738</v>
      </c>
      <c r="J435" t="s">
        <v>701</v>
      </c>
      <c r="K435" t="s">
        <v>660</v>
      </c>
      <c r="L435" t="s">
        <v>1687</v>
      </c>
      <c r="M435" t="s">
        <v>939</v>
      </c>
      <c r="N435">
        <v>133000</v>
      </c>
    </row>
    <row r="436" spans="1:14" x14ac:dyDescent="0.3">
      <c r="A436" t="s">
        <v>663</v>
      </c>
      <c r="B436" t="s">
        <v>652</v>
      </c>
      <c r="C436" t="s">
        <v>1688</v>
      </c>
      <c r="D436" t="s">
        <v>1689</v>
      </c>
      <c r="E436" t="s">
        <v>1689</v>
      </c>
      <c r="F436" t="s">
        <v>707</v>
      </c>
      <c r="G436" t="s">
        <v>1690</v>
      </c>
      <c r="H436" t="s">
        <v>670</v>
      </c>
      <c r="I436" t="s">
        <v>1691</v>
      </c>
      <c r="J436" t="s">
        <v>925</v>
      </c>
      <c r="K436" t="s">
        <v>722</v>
      </c>
      <c r="L436" t="s">
        <v>660</v>
      </c>
      <c r="M436" t="s">
        <v>939</v>
      </c>
      <c r="N436">
        <v>133000</v>
      </c>
    </row>
    <row r="437" spans="1:14" x14ac:dyDescent="0.3">
      <c r="A437" t="s">
        <v>663</v>
      </c>
      <c r="B437" t="s">
        <v>832</v>
      </c>
      <c r="C437" t="s">
        <v>1692</v>
      </c>
      <c r="D437" t="s">
        <v>826</v>
      </c>
      <c r="E437" t="s">
        <v>1039</v>
      </c>
      <c r="F437" t="s">
        <v>765</v>
      </c>
      <c r="G437" t="s">
        <v>660</v>
      </c>
      <c r="H437" t="s">
        <v>694</v>
      </c>
      <c r="I437" t="s">
        <v>882</v>
      </c>
      <c r="J437" t="s">
        <v>882</v>
      </c>
      <c r="K437" t="s">
        <v>864</v>
      </c>
      <c r="L437" t="s">
        <v>660</v>
      </c>
      <c r="M437" t="s">
        <v>939</v>
      </c>
      <c r="N437">
        <v>133000</v>
      </c>
    </row>
    <row r="438" spans="1:14" x14ac:dyDescent="0.3">
      <c r="A438" t="s">
        <v>955</v>
      </c>
      <c r="B438" t="s">
        <v>832</v>
      </c>
      <c r="C438" t="s">
        <v>1693</v>
      </c>
      <c r="D438" t="s">
        <v>1694</v>
      </c>
      <c r="E438" t="s">
        <v>1695</v>
      </c>
      <c r="F438" t="s">
        <v>765</v>
      </c>
      <c r="G438" t="s">
        <v>1330</v>
      </c>
      <c r="H438" t="s">
        <v>694</v>
      </c>
      <c r="I438" t="s">
        <v>930</v>
      </c>
      <c r="J438" t="s">
        <v>672</v>
      </c>
      <c r="K438" t="s">
        <v>660</v>
      </c>
      <c r="L438" t="s">
        <v>660</v>
      </c>
      <c r="M438" t="s">
        <v>939</v>
      </c>
      <c r="N438">
        <v>133000</v>
      </c>
    </row>
    <row r="439" spans="1:14" x14ac:dyDescent="0.3">
      <c r="A439" t="s">
        <v>663</v>
      </c>
      <c r="B439" t="s">
        <v>660</v>
      </c>
      <c r="C439" t="s">
        <v>1515</v>
      </c>
      <c r="D439" t="s">
        <v>1039</v>
      </c>
      <c r="E439" t="s">
        <v>1516</v>
      </c>
      <c r="F439" t="s">
        <v>692</v>
      </c>
      <c r="G439" t="s">
        <v>660</v>
      </c>
      <c r="H439" t="s">
        <v>694</v>
      </c>
      <c r="I439" t="s">
        <v>738</v>
      </c>
      <c r="J439" t="s">
        <v>701</v>
      </c>
      <c r="K439" t="s">
        <v>660</v>
      </c>
      <c r="L439" t="s">
        <v>660</v>
      </c>
      <c r="M439" t="s">
        <v>939</v>
      </c>
      <c r="N439">
        <v>133000</v>
      </c>
    </row>
    <row r="440" spans="1:14" x14ac:dyDescent="0.3">
      <c r="A440" t="s">
        <v>663</v>
      </c>
      <c r="B440" t="s">
        <v>660</v>
      </c>
      <c r="C440" t="s">
        <v>1696</v>
      </c>
      <c r="D440" t="s">
        <v>842</v>
      </c>
      <c r="E440" t="s">
        <v>1697</v>
      </c>
      <c r="F440" t="s">
        <v>765</v>
      </c>
      <c r="G440" t="s">
        <v>660</v>
      </c>
      <c r="H440" t="s">
        <v>694</v>
      </c>
      <c r="I440" t="s">
        <v>882</v>
      </c>
      <c r="J440" t="s">
        <v>882</v>
      </c>
      <c r="K440" t="s">
        <v>660</v>
      </c>
      <c r="L440" t="s">
        <v>660</v>
      </c>
      <c r="M440" t="s">
        <v>939</v>
      </c>
      <c r="N440">
        <v>133000</v>
      </c>
    </row>
    <row r="441" spans="1:14" x14ac:dyDescent="0.3">
      <c r="A441" t="s">
        <v>663</v>
      </c>
      <c r="B441" t="s">
        <v>681</v>
      </c>
      <c r="C441" t="s">
        <v>1698</v>
      </c>
      <c r="D441" t="s">
        <v>1236</v>
      </c>
      <c r="E441" t="s">
        <v>1236</v>
      </c>
      <c r="F441" t="s">
        <v>754</v>
      </c>
      <c r="G441" t="s">
        <v>727</v>
      </c>
      <c r="H441" t="s">
        <v>694</v>
      </c>
      <c r="I441" t="s">
        <v>1699</v>
      </c>
      <c r="J441" t="s">
        <v>1530</v>
      </c>
      <c r="K441" t="s">
        <v>660</v>
      </c>
      <c r="L441" t="s">
        <v>660</v>
      </c>
      <c r="M441" t="s">
        <v>939</v>
      </c>
      <c r="N441">
        <v>133000</v>
      </c>
    </row>
    <row r="442" spans="1:14" x14ac:dyDescent="0.3">
      <c r="A442" t="s">
        <v>663</v>
      </c>
      <c r="B442" t="s">
        <v>660</v>
      </c>
      <c r="C442" t="s">
        <v>1700</v>
      </c>
      <c r="D442" t="s">
        <v>676</v>
      </c>
      <c r="E442" t="s">
        <v>676</v>
      </c>
      <c r="F442" t="s">
        <v>765</v>
      </c>
      <c r="G442" t="s">
        <v>660</v>
      </c>
      <c r="H442" t="s">
        <v>678</v>
      </c>
      <c r="I442" t="s">
        <v>789</v>
      </c>
      <c r="J442" t="s">
        <v>790</v>
      </c>
      <c r="K442" t="s">
        <v>1053</v>
      </c>
      <c r="L442" t="s">
        <v>660</v>
      </c>
      <c r="M442" t="s">
        <v>939</v>
      </c>
      <c r="N442">
        <v>133000</v>
      </c>
    </row>
    <row r="443" spans="1:14" x14ac:dyDescent="0.3">
      <c r="A443" t="s">
        <v>663</v>
      </c>
      <c r="B443" t="s">
        <v>832</v>
      </c>
      <c r="C443" t="s">
        <v>1701</v>
      </c>
      <c r="D443" t="s">
        <v>1702</v>
      </c>
      <c r="E443" t="s">
        <v>1702</v>
      </c>
      <c r="F443" t="s">
        <v>765</v>
      </c>
      <c r="G443" t="s">
        <v>660</v>
      </c>
      <c r="H443" t="s">
        <v>670</v>
      </c>
      <c r="I443" t="s">
        <v>882</v>
      </c>
      <c r="J443" t="s">
        <v>882</v>
      </c>
      <c r="K443" t="s">
        <v>660</v>
      </c>
      <c r="L443" t="s">
        <v>660</v>
      </c>
      <c r="M443" t="s">
        <v>939</v>
      </c>
      <c r="N443">
        <v>133000</v>
      </c>
    </row>
    <row r="444" spans="1:14" x14ac:dyDescent="0.3">
      <c r="A444" t="s">
        <v>663</v>
      </c>
      <c r="B444" t="s">
        <v>855</v>
      </c>
      <c r="C444" t="s">
        <v>1703</v>
      </c>
      <c r="D444" t="s">
        <v>1704</v>
      </c>
      <c r="E444" t="s">
        <v>1077</v>
      </c>
      <c r="F444" t="s">
        <v>707</v>
      </c>
      <c r="G444" t="s">
        <v>1056</v>
      </c>
      <c r="H444" t="s">
        <v>670</v>
      </c>
      <c r="I444" t="s">
        <v>738</v>
      </c>
      <c r="J444" t="s">
        <v>701</v>
      </c>
      <c r="K444" t="s">
        <v>660</v>
      </c>
      <c r="L444" t="s">
        <v>660</v>
      </c>
      <c r="M444" t="s">
        <v>939</v>
      </c>
      <c r="N444">
        <v>133000</v>
      </c>
    </row>
    <row r="445" spans="1:14" x14ac:dyDescent="0.3">
      <c r="A445" t="s">
        <v>663</v>
      </c>
      <c r="B445" t="s">
        <v>769</v>
      </c>
      <c r="C445" t="s">
        <v>1705</v>
      </c>
      <c r="D445" t="s">
        <v>1466</v>
      </c>
      <c r="E445" t="s">
        <v>1031</v>
      </c>
      <c r="F445" t="s">
        <v>655</v>
      </c>
      <c r="G445" t="s">
        <v>1706</v>
      </c>
      <c r="H445" t="s">
        <v>694</v>
      </c>
      <c r="I445" t="s">
        <v>671</v>
      </c>
      <c r="J445" t="s">
        <v>672</v>
      </c>
      <c r="K445" t="s">
        <v>680</v>
      </c>
      <c r="L445" t="s">
        <v>660</v>
      </c>
      <c r="M445" t="s">
        <v>939</v>
      </c>
      <c r="N445">
        <v>133000</v>
      </c>
    </row>
    <row r="446" spans="1:14" x14ac:dyDescent="0.3">
      <c r="A446" t="s">
        <v>663</v>
      </c>
      <c r="B446" t="s">
        <v>1707</v>
      </c>
      <c r="C446" t="s">
        <v>1708</v>
      </c>
      <c r="D446" t="s">
        <v>793</v>
      </c>
      <c r="E446" t="s">
        <v>1656</v>
      </c>
      <c r="F446" t="s">
        <v>1248</v>
      </c>
      <c r="G446" t="s">
        <v>834</v>
      </c>
      <c r="H446" t="s">
        <v>694</v>
      </c>
      <c r="I446" t="s">
        <v>1113</v>
      </c>
      <c r="J446" t="s">
        <v>1114</v>
      </c>
      <c r="K446" t="s">
        <v>660</v>
      </c>
      <c r="L446" t="s">
        <v>660</v>
      </c>
      <c r="M446" t="s">
        <v>939</v>
      </c>
      <c r="N446">
        <v>133000</v>
      </c>
    </row>
    <row r="447" spans="1:14" x14ac:dyDescent="0.3">
      <c r="A447" t="s">
        <v>1521</v>
      </c>
      <c r="B447" t="s">
        <v>836</v>
      </c>
      <c r="C447" t="s">
        <v>1522</v>
      </c>
      <c r="D447" t="s">
        <v>654</v>
      </c>
      <c r="E447" t="s">
        <v>654</v>
      </c>
      <c r="F447" t="s">
        <v>685</v>
      </c>
      <c r="G447" t="s">
        <v>686</v>
      </c>
      <c r="H447" t="s">
        <v>694</v>
      </c>
      <c r="I447" t="s">
        <v>819</v>
      </c>
      <c r="J447" t="s">
        <v>37</v>
      </c>
      <c r="K447" t="s">
        <v>660</v>
      </c>
      <c r="L447" t="s">
        <v>660</v>
      </c>
      <c r="M447" t="s">
        <v>939</v>
      </c>
      <c r="N447">
        <v>133000</v>
      </c>
    </row>
    <row r="448" spans="1:14" x14ac:dyDescent="0.3">
      <c r="A448" t="s">
        <v>927</v>
      </c>
      <c r="B448" t="s">
        <v>729</v>
      </c>
      <c r="C448" t="s">
        <v>928</v>
      </c>
      <c r="D448" t="s">
        <v>736</v>
      </c>
      <c r="E448" t="s">
        <v>736</v>
      </c>
      <c r="F448" t="s">
        <v>754</v>
      </c>
      <c r="G448" t="s">
        <v>929</v>
      </c>
      <c r="H448" t="s">
        <v>694</v>
      </c>
      <c r="I448" t="s">
        <v>930</v>
      </c>
      <c r="J448" t="s">
        <v>672</v>
      </c>
      <c r="K448" t="s">
        <v>815</v>
      </c>
      <c r="L448" t="s">
        <v>660</v>
      </c>
      <c r="M448" t="s">
        <v>1709</v>
      </c>
      <c r="N448">
        <v>116000</v>
      </c>
    </row>
    <row r="449" spans="1:15" x14ac:dyDescent="0.3">
      <c r="A449" t="s">
        <v>966</v>
      </c>
      <c r="B449" t="s">
        <v>904</v>
      </c>
      <c r="C449" t="s">
        <v>967</v>
      </c>
      <c r="D449" t="s">
        <v>793</v>
      </c>
      <c r="E449" t="s">
        <v>968</v>
      </c>
      <c r="F449" t="s">
        <v>668</v>
      </c>
      <c r="G449" t="s">
        <v>969</v>
      </c>
      <c r="H449" t="s">
        <v>670</v>
      </c>
      <c r="I449" t="s">
        <v>700</v>
      </c>
      <c r="J449" t="s">
        <v>701</v>
      </c>
      <c r="K449" t="s">
        <v>722</v>
      </c>
      <c r="L449" t="s">
        <v>660</v>
      </c>
      <c r="M449" t="s">
        <v>1709</v>
      </c>
      <c r="N449">
        <v>116000</v>
      </c>
    </row>
    <row r="450" spans="1:15" x14ac:dyDescent="0.3">
      <c r="A450" t="s">
        <v>663</v>
      </c>
      <c r="B450" t="s">
        <v>848</v>
      </c>
      <c r="C450" t="s">
        <v>1710</v>
      </c>
      <c r="D450" t="s">
        <v>1575</v>
      </c>
      <c r="E450" t="s">
        <v>1575</v>
      </c>
      <c r="F450" t="s">
        <v>707</v>
      </c>
      <c r="G450" t="s">
        <v>660</v>
      </c>
      <c r="H450" t="s">
        <v>657</v>
      </c>
      <c r="I450" t="s">
        <v>789</v>
      </c>
      <c r="J450" t="s">
        <v>790</v>
      </c>
      <c r="K450" t="s">
        <v>782</v>
      </c>
      <c r="L450" t="s">
        <v>660</v>
      </c>
      <c r="M450" t="s">
        <v>1709</v>
      </c>
      <c r="N450">
        <v>116000</v>
      </c>
    </row>
    <row r="451" spans="1:15" x14ac:dyDescent="0.3">
      <c r="A451" t="s">
        <v>1279</v>
      </c>
      <c r="B451" t="s">
        <v>1280</v>
      </c>
      <c r="C451" t="s">
        <v>703</v>
      </c>
      <c r="D451" t="s">
        <v>704</v>
      </c>
      <c r="E451" t="s">
        <v>705</v>
      </c>
      <c r="F451" t="s">
        <v>706</v>
      </c>
      <c r="G451" t="s">
        <v>707</v>
      </c>
      <c r="H451" t="s">
        <v>708</v>
      </c>
      <c r="I451" t="s">
        <v>670</v>
      </c>
      <c r="J451" t="s">
        <v>709</v>
      </c>
      <c r="K451" t="s">
        <v>709</v>
      </c>
      <c r="L451" t="s">
        <v>710</v>
      </c>
      <c r="M451" t="s">
        <v>660</v>
      </c>
      <c r="N451">
        <v>69000</v>
      </c>
      <c r="O451">
        <v>116000</v>
      </c>
    </row>
    <row r="452" spans="1:15" x14ac:dyDescent="0.3">
      <c r="A452" t="s">
        <v>663</v>
      </c>
      <c r="B452" t="s">
        <v>791</v>
      </c>
      <c r="C452" t="s">
        <v>1711</v>
      </c>
      <c r="D452" t="s">
        <v>1679</v>
      </c>
      <c r="E452" t="s">
        <v>1508</v>
      </c>
      <c r="F452" t="s">
        <v>655</v>
      </c>
      <c r="G452" t="s">
        <v>1056</v>
      </c>
      <c r="H452" t="s">
        <v>694</v>
      </c>
      <c r="I452" t="s">
        <v>930</v>
      </c>
      <c r="J452" t="s">
        <v>672</v>
      </c>
      <c r="K452" t="s">
        <v>680</v>
      </c>
      <c r="L452" t="s">
        <v>660</v>
      </c>
      <c r="M452" t="s">
        <v>1709</v>
      </c>
      <c r="N452">
        <v>116000</v>
      </c>
    </row>
    <row r="453" spans="1:15" x14ac:dyDescent="0.3">
      <c r="A453" t="s">
        <v>663</v>
      </c>
      <c r="B453" t="s">
        <v>791</v>
      </c>
      <c r="C453" t="s">
        <v>1712</v>
      </c>
      <c r="D453" t="s">
        <v>1713</v>
      </c>
      <c r="E453" t="s">
        <v>1714</v>
      </c>
      <c r="F453" t="s">
        <v>655</v>
      </c>
      <c r="G453" t="s">
        <v>1043</v>
      </c>
      <c r="H453" t="s">
        <v>670</v>
      </c>
      <c r="I453" t="s">
        <v>773</v>
      </c>
      <c r="J453" t="s">
        <v>701</v>
      </c>
      <c r="K453" t="s">
        <v>660</v>
      </c>
      <c r="L453" t="s">
        <v>660</v>
      </c>
      <c r="M453" t="s">
        <v>1709</v>
      </c>
      <c r="N453">
        <v>116000</v>
      </c>
    </row>
    <row r="454" spans="1:15" x14ac:dyDescent="0.3">
      <c r="A454" t="s">
        <v>1715</v>
      </c>
      <c r="B454" t="s">
        <v>742</v>
      </c>
      <c r="C454" t="s">
        <v>1716</v>
      </c>
      <c r="D454" t="s">
        <v>813</v>
      </c>
      <c r="E454" t="s">
        <v>1717</v>
      </c>
      <c r="F454" t="s">
        <v>707</v>
      </c>
      <c r="G454" t="s">
        <v>1025</v>
      </c>
      <c r="H454" t="s">
        <v>670</v>
      </c>
      <c r="I454" t="s">
        <v>738</v>
      </c>
      <c r="J454" t="s">
        <v>701</v>
      </c>
      <c r="K454" t="s">
        <v>710</v>
      </c>
      <c r="L454" t="s">
        <v>1718</v>
      </c>
      <c r="M454" t="s">
        <v>1709</v>
      </c>
      <c r="N454">
        <v>116000</v>
      </c>
    </row>
    <row r="455" spans="1:15" x14ac:dyDescent="0.3">
      <c r="A455" t="s">
        <v>663</v>
      </c>
      <c r="B455" t="s">
        <v>717</v>
      </c>
      <c r="C455" t="s">
        <v>1719</v>
      </c>
      <c r="D455" t="s">
        <v>827</v>
      </c>
      <c r="E455" t="s">
        <v>1184</v>
      </c>
      <c r="F455" t="s">
        <v>692</v>
      </c>
      <c r="G455" t="s">
        <v>1056</v>
      </c>
      <c r="H455" t="s">
        <v>694</v>
      </c>
      <c r="I455" t="s">
        <v>679</v>
      </c>
      <c r="J455" t="s">
        <v>672</v>
      </c>
      <c r="K455" t="s">
        <v>815</v>
      </c>
      <c r="L455" t="s">
        <v>1720</v>
      </c>
      <c r="M455" t="s">
        <v>1709</v>
      </c>
      <c r="N455">
        <v>116000</v>
      </c>
    </row>
    <row r="456" spans="1:15" x14ac:dyDescent="0.3">
      <c r="A456" t="s">
        <v>663</v>
      </c>
      <c r="B456" t="s">
        <v>652</v>
      </c>
      <c r="C456" t="s">
        <v>1721</v>
      </c>
      <c r="D456" t="s">
        <v>720</v>
      </c>
      <c r="E456" t="s">
        <v>1252</v>
      </c>
      <c r="F456" t="s">
        <v>765</v>
      </c>
      <c r="G456" t="s">
        <v>1043</v>
      </c>
      <c r="H456" t="s">
        <v>694</v>
      </c>
      <c r="I456" t="s">
        <v>738</v>
      </c>
      <c r="J456" t="s">
        <v>701</v>
      </c>
      <c r="K456" t="s">
        <v>864</v>
      </c>
      <c r="L456" t="s">
        <v>660</v>
      </c>
      <c r="M456" t="s">
        <v>1709</v>
      </c>
      <c r="N456">
        <v>116000</v>
      </c>
    </row>
    <row r="457" spans="1:15" x14ac:dyDescent="0.3">
      <c r="A457" t="s">
        <v>663</v>
      </c>
      <c r="B457" t="s">
        <v>848</v>
      </c>
      <c r="C457" t="s">
        <v>1525</v>
      </c>
      <c r="D457" t="s">
        <v>1526</v>
      </c>
      <c r="E457" t="s">
        <v>1526</v>
      </c>
      <c r="F457" t="s">
        <v>707</v>
      </c>
      <c r="G457" t="s">
        <v>1527</v>
      </c>
      <c r="H457" t="s">
        <v>1528</v>
      </c>
      <c r="I457" t="s">
        <v>1529</v>
      </c>
      <c r="J457" t="s">
        <v>1530</v>
      </c>
      <c r="K457" t="s">
        <v>673</v>
      </c>
      <c r="L457" t="s">
        <v>1531</v>
      </c>
      <c r="M457" t="s">
        <v>1709</v>
      </c>
      <c r="N457">
        <v>116000</v>
      </c>
    </row>
    <row r="458" spans="1:15" x14ac:dyDescent="0.3">
      <c r="A458" t="s">
        <v>663</v>
      </c>
      <c r="B458" t="s">
        <v>681</v>
      </c>
      <c r="C458" t="s">
        <v>1722</v>
      </c>
      <c r="D458" t="s">
        <v>1723</v>
      </c>
      <c r="E458" t="s">
        <v>1723</v>
      </c>
      <c r="F458" t="s">
        <v>685</v>
      </c>
      <c r="G458" t="s">
        <v>921</v>
      </c>
      <c r="H458" t="s">
        <v>694</v>
      </c>
      <c r="I458" t="s">
        <v>658</v>
      </c>
      <c r="J458" t="s">
        <v>659</v>
      </c>
      <c r="K458" t="s">
        <v>845</v>
      </c>
      <c r="L458" t="s">
        <v>660</v>
      </c>
      <c r="M458" t="s">
        <v>1709</v>
      </c>
      <c r="N458">
        <v>116000</v>
      </c>
    </row>
    <row r="459" spans="1:15" x14ac:dyDescent="0.3">
      <c r="A459" t="s">
        <v>663</v>
      </c>
      <c r="B459" t="s">
        <v>660</v>
      </c>
      <c r="C459" t="s">
        <v>1534</v>
      </c>
      <c r="D459" t="s">
        <v>793</v>
      </c>
      <c r="E459" t="s">
        <v>1535</v>
      </c>
      <c r="F459" t="s">
        <v>765</v>
      </c>
      <c r="G459" t="s">
        <v>660</v>
      </c>
      <c r="H459" t="s">
        <v>694</v>
      </c>
      <c r="I459" t="s">
        <v>882</v>
      </c>
      <c r="J459" t="s">
        <v>882</v>
      </c>
      <c r="K459" t="s">
        <v>1053</v>
      </c>
      <c r="L459" t="s">
        <v>660</v>
      </c>
      <c r="M459" t="s">
        <v>1709</v>
      </c>
      <c r="N459">
        <v>116000</v>
      </c>
    </row>
    <row r="460" spans="1:15" x14ac:dyDescent="0.3">
      <c r="A460" t="s">
        <v>872</v>
      </c>
      <c r="B460" t="s">
        <v>878</v>
      </c>
      <c r="C460" t="s">
        <v>1536</v>
      </c>
      <c r="D460" t="s">
        <v>1424</v>
      </c>
      <c r="E460" t="s">
        <v>1424</v>
      </c>
      <c r="F460" t="s">
        <v>685</v>
      </c>
      <c r="G460" t="s">
        <v>1513</v>
      </c>
      <c r="H460" t="s">
        <v>1537</v>
      </c>
      <c r="I460" t="s">
        <v>1538</v>
      </c>
      <c r="J460" t="s">
        <v>1539</v>
      </c>
      <c r="K460" t="s">
        <v>660</v>
      </c>
      <c r="L460" t="s">
        <v>660</v>
      </c>
      <c r="M460" t="s">
        <v>1709</v>
      </c>
      <c r="N460">
        <v>116000</v>
      </c>
    </row>
    <row r="461" spans="1:15" x14ac:dyDescent="0.3">
      <c r="A461" t="s">
        <v>663</v>
      </c>
      <c r="B461" t="s">
        <v>660</v>
      </c>
      <c r="C461" t="s">
        <v>1724</v>
      </c>
      <c r="D461" t="s">
        <v>1725</v>
      </c>
      <c r="E461" t="s">
        <v>882</v>
      </c>
      <c r="F461" t="s">
        <v>882</v>
      </c>
      <c r="G461" t="s">
        <v>660</v>
      </c>
      <c r="H461" t="s">
        <v>882</v>
      </c>
      <c r="I461" t="s">
        <v>882</v>
      </c>
      <c r="J461" t="s">
        <v>882</v>
      </c>
      <c r="K461" t="s">
        <v>882</v>
      </c>
      <c r="L461" t="s">
        <v>660</v>
      </c>
      <c r="M461" t="s">
        <v>1709</v>
      </c>
      <c r="N461">
        <v>116000</v>
      </c>
    </row>
    <row r="462" spans="1:15" x14ac:dyDescent="0.3">
      <c r="A462" t="s">
        <v>663</v>
      </c>
      <c r="B462" t="s">
        <v>855</v>
      </c>
      <c r="C462" t="s">
        <v>1726</v>
      </c>
      <c r="D462" t="s">
        <v>654</v>
      </c>
      <c r="E462" t="s">
        <v>654</v>
      </c>
      <c r="F462" t="s">
        <v>655</v>
      </c>
      <c r="G462" t="s">
        <v>669</v>
      </c>
      <c r="H462" t="s">
        <v>670</v>
      </c>
      <c r="I462" t="s">
        <v>695</v>
      </c>
      <c r="J462" t="s">
        <v>672</v>
      </c>
      <c r="K462" t="s">
        <v>680</v>
      </c>
      <c r="L462" t="s">
        <v>660</v>
      </c>
      <c r="M462" t="s">
        <v>1709</v>
      </c>
      <c r="N462">
        <v>116000</v>
      </c>
    </row>
    <row r="463" spans="1:15" x14ac:dyDescent="0.3">
      <c r="A463" t="s">
        <v>663</v>
      </c>
      <c r="B463" t="s">
        <v>681</v>
      </c>
      <c r="C463" t="s">
        <v>1727</v>
      </c>
      <c r="D463" t="s">
        <v>1679</v>
      </c>
      <c r="E463" t="s">
        <v>1007</v>
      </c>
      <c r="F463" t="s">
        <v>685</v>
      </c>
      <c r="G463" t="s">
        <v>1043</v>
      </c>
      <c r="H463" t="s">
        <v>694</v>
      </c>
      <c r="I463" t="s">
        <v>679</v>
      </c>
      <c r="J463" t="s">
        <v>672</v>
      </c>
      <c r="K463" t="s">
        <v>660</v>
      </c>
      <c r="L463" t="s">
        <v>660</v>
      </c>
      <c r="M463" t="s">
        <v>1709</v>
      </c>
      <c r="N463">
        <v>116000</v>
      </c>
    </row>
    <row r="464" spans="1:15" x14ac:dyDescent="0.3">
      <c r="A464" t="s">
        <v>663</v>
      </c>
      <c r="B464" t="s">
        <v>791</v>
      </c>
      <c r="C464" t="s">
        <v>1728</v>
      </c>
      <c r="D464" t="s">
        <v>1415</v>
      </c>
      <c r="E464" t="s">
        <v>1729</v>
      </c>
      <c r="F464" t="s">
        <v>765</v>
      </c>
      <c r="G464" t="s">
        <v>660</v>
      </c>
      <c r="H464" t="s">
        <v>694</v>
      </c>
      <c r="I464" t="s">
        <v>930</v>
      </c>
      <c r="J464" t="s">
        <v>672</v>
      </c>
      <c r="K464" t="s">
        <v>1030</v>
      </c>
      <c r="L464" t="s">
        <v>660</v>
      </c>
      <c r="M464" t="s">
        <v>1709</v>
      </c>
      <c r="N464">
        <v>116000</v>
      </c>
    </row>
    <row r="465" spans="1:15" x14ac:dyDescent="0.3">
      <c r="A465" t="s">
        <v>1540</v>
      </c>
      <c r="B465" t="s">
        <v>674</v>
      </c>
      <c r="C465" t="s">
        <v>941</v>
      </c>
      <c r="D465" t="s">
        <v>942</v>
      </c>
      <c r="E465" t="s">
        <v>942</v>
      </c>
      <c r="F465" t="s">
        <v>754</v>
      </c>
      <c r="G465" t="s">
        <v>761</v>
      </c>
      <c r="H465" t="s">
        <v>943</v>
      </c>
      <c r="I465" t="s">
        <v>944</v>
      </c>
      <c r="J465" t="s">
        <v>688</v>
      </c>
      <c r="K465" t="s">
        <v>680</v>
      </c>
      <c r="L465" t="s">
        <v>945</v>
      </c>
      <c r="M465" t="s">
        <v>1709</v>
      </c>
      <c r="N465">
        <v>116000</v>
      </c>
    </row>
    <row r="466" spans="1:15" x14ac:dyDescent="0.3">
      <c r="A466" t="s">
        <v>663</v>
      </c>
      <c r="B466" t="s">
        <v>664</v>
      </c>
      <c r="C466" t="s">
        <v>1730</v>
      </c>
      <c r="D466" t="s">
        <v>1731</v>
      </c>
      <c r="E466" t="s">
        <v>1575</v>
      </c>
      <c r="F466" t="s">
        <v>692</v>
      </c>
      <c r="G466" t="s">
        <v>660</v>
      </c>
      <c r="H466" t="s">
        <v>694</v>
      </c>
      <c r="I466" t="s">
        <v>738</v>
      </c>
      <c r="J466" t="s">
        <v>701</v>
      </c>
      <c r="K466" t="s">
        <v>1053</v>
      </c>
      <c r="L466" t="s">
        <v>660</v>
      </c>
      <c r="M466" t="s">
        <v>1709</v>
      </c>
      <c r="N466">
        <v>116000</v>
      </c>
    </row>
    <row r="467" spans="1:15" x14ac:dyDescent="0.3">
      <c r="A467" t="s">
        <v>663</v>
      </c>
      <c r="B467" t="s">
        <v>836</v>
      </c>
      <c r="C467" t="s">
        <v>1541</v>
      </c>
      <c r="D467" t="s">
        <v>654</v>
      </c>
      <c r="E467" t="s">
        <v>1542</v>
      </c>
      <c r="F467" t="s">
        <v>765</v>
      </c>
      <c r="G467" t="s">
        <v>797</v>
      </c>
      <c r="H467" t="s">
        <v>694</v>
      </c>
      <c r="I467" t="s">
        <v>738</v>
      </c>
      <c r="J467" t="s">
        <v>701</v>
      </c>
      <c r="K467" t="s">
        <v>660</v>
      </c>
      <c r="L467" t="s">
        <v>660</v>
      </c>
      <c r="M467" t="s">
        <v>1709</v>
      </c>
      <c r="N467">
        <v>116000</v>
      </c>
    </row>
    <row r="468" spans="1:15" x14ac:dyDescent="0.3">
      <c r="A468" t="s">
        <v>663</v>
      </c>
      <c r="B468" t="s">
        <v>664</v>
      </c>
      <c r="C468" t="s">
        <v>1732</v>
      </c>
      <c r="D468" t="s">
        <v>1733</v>
      </c>
      <c r="E468" t="s">
        <v>726</v>
      </c>
      <c r="F468" t="s">
        <v>692</v>
      </c>
      <c r="G468" t="s">
        <v>1587</v>
      </c>
      <c r="H468" t="s">
        <v>694</v>
      </c>
      <c r="I468" t="s">
        <v>930</v>
      </c>
      <c r="J468" t="s">
        <v>672</v>
      </c>
      <c r="K468" t="s">
        <v>811</v>
      </c>
      <c r="L468" t="s">
        <v>660</v>
      </c>
      <c r="M468" t="s">
        <v>1709</v>
      </c>
      <c r="N468">
        <v>116000</v>
      </c>
    </row>
    <row r="469" spans="1:15" x14ac:dyDescent="0.3">
      <c r="A469" t="s">
        <v>953</v>
      </c>
      <c r="B469" t="s">
        <v>848</v>
      </c>
      <c r="C469" t="s">
        <v>954</v>
      </c>
      <c r="D469" t="s">
        <v>726</v>
      </c>
      <c r="E469" t="s">
        <v>726</v>
      </c>
      <c r="F469" t="s">
        <v>685</v>
      </c>
      <c r="G469" t="s">
        <v>772</v>
      </c>
      <c r="H469" t="s">
        <v>694</v>
      </c>
      <c r="I469" t="s">
        <v>709</v>
      </c>
      <c r="J469" t="s">
        <v>709</v>
      </c>
      <c r="K469" t="s">
        <v>660</v>
      </c>
      <c r="L469" t="s">
        <v>660</v>
      </c>
      <c r="M469" t="s">
        <v>1734</v>
      </c>
      <c r="N469">
        <v>56000</v>
      </c>
    </row>
    <row r="470" spans="1:15" x14ac:dyDescent="0.3">
      <c r="A470" t="s">
        <v>663</v>
      </c>
      <c r="B470" t="s">
        <v>904</v>
      </c>
      <c r="C470" t="s">
        <v>950</v>
      </c>
      <c r="D470" t="s">
        <v>906</v>
      </c>
      <c r="E470" t="s">
        <v>951</v>
      </c>
      <c r="F470" t="s">
        <v>655</v>
      </c>
      <c r="G470" t="s">
        <v>921</v>
      </c>
      <c r="H470" t="s">
        <v>694</v>
      </c>
      <c r="I470" t="s">
        <v>728</v>
      </c>
      <c r="J470" t="s">
        <v>701</v>
      </c>
      <c r="K470" t="s">
        <v>845</v>
      </c>
      <c r="L470" t="s">
        <v>952</v>
      </c>
      <c r="M470" t="s">
        <v>1734</v>
      </c>
      <c r="N470">
        <v>56000</v>
      </c>
    </row>
    <row r="471" spans="1:15" x14ac:dyDescent="0.3">
      <c r="A471" t="s">
        <v>1543</v>
      </c>
      <c r="B471" t="s">
        <v>1544</v>
      </c>
      <c r="C471" t="s">
        <v>703</v>
      </c>
      <c r="D471" t="s">
        <v>1545</v>
      </c>
      <c r="E471" t="s">
        <v>654</v>
      </c>
      <c r="F471" t="s">
        <v>654</v>
      </c>
      <c r="G471" t="s">
        <v>692</v>
      </c>
      <c r="H471" t="s">
        <v>732</v>
      </c>
      <c r="I471" t="s">
        <v>694</v>
      </c>
      <c r="J471" t="s">
        <v>671</v>
      </c>
      <c r="K471" t="s">
        <v>672</v>
      </c>
      <c r="L471" t="s">
        <v>660</v>
      </c>
      <c r="M471" t="s">
        <v>660</v>
      </c>
      <c r="N471">
        <v>31000</v>
      </c>
      <c r="O471">
        <v>56000</v>
      </c>
    </row>
    <row r="472" spans="1:15" x14ac:dyDescent="0.3">
      <c r="A472" t="s">
        <v>1284</v>
      </c>
      <c r="B472" t="s">
        <v>742</v>
      </c>
      <c r="C472" t="s">
        <v>1285</v>
      </c>
      <c r="D472" t="s">
        <v>1286</v>
      </c>
      <c r="E472" t="s">
        <v>1286</v>
      </c>
      <c r="F472" t="s">
        <v>655</v>
      </c>
      <c r="G472" t="s">
        <v>852</v>
      </c>
      <c r="H472" t="s">
        <v>670</v>
      </c>
      <c r="I472" t="s">
        <v>1287</v>
      </c>
      <c r="J472" t="s">
        <v>688</v>
      </c>
      <c r="K472" t="s">
        <v>680</v>
      </c>
      <c r="L472" t="s">
        <v>660</v>
      </c>
      <c r="M472" t="s">
        <v>1734</v>
      </c>
      <c r="N472">
        <v>56000</v>
      </c>
    </row>
    <row r="473" spans="1:15" x14ac:dyDescent="0.3">
      <c r="A473" t="s">
        <v>663</v>
      </c>
      <c r="B473" t="s">
        <v>703</v>
      </c>
      <c r="C473" t="s">
        <v>1735</v>
      </c>
      <c r="D473" t="s">
        <v>1736</v>
      </c>
      <c r="E473" t="s">
        <v>1656</v>
      </c>
      <c r="F473" t="s">
        <v>685</v>
      </c>
      <c r="G473" t="s">
        <v>1237</v>
      </c>
      <c r="H473" t="s">
        <v>694</v>
      </c>
      <c r="I473" t="s">
        <v>824</v>
      </c>
      <c r="J473" t="s">
        <v>824</v>
      </c>
      <c r="K473" t="s">
        <v>845</v>
      </c>
      <c r="L473" t="s">
        <v>660</v>
      </c>
      <c r="M473" t="s">
        <v>1734</v>
      </c>
      <c r="N473">
        <v>56000</v>
      </c>
    </row>
    <row r="474" spans="1:15" x14ac:dyDescent="0.3">
      <c r="A474" t="s">
        <v>1549</v>
      </c>
      <c r="B474" t="s">
        <v>681</v>
      </c>
      <c r="C474" t="s">
        <v>1550</v>
      </c>
      <c r="D474" t="s">
        <v>1252</v>
      </c>
      <c r="E474" t="s">
        <v>1252</v>
      </c>
      <c r="F474" t="s">
        <v>707</v>
      </c>
      <c r="G474" t="s">
        <v>1551</v>
      </c>
      <c r="H474" t="s">
        <v>670</v>
      </c>
      <c r="I474" t="s">
        <v>700</v>
      </c>
      <c r="J474" t="s">
        <v>701</v>
      </c>
      <c r="K474" t="s">
        <v>710</v>
      </c>
      <c r="L474" t="s">
        <v>1552</v>
      </c>
      <c r="M474" t="s">
        <v>1734</v>
      </c>
      <c r="N474">
        <v>56000</v>
      </c>
    </row>
    <row r="475" spans="1:15" x14ac:dyDescent="0.3">
      <c r="A475" t="s">
        <v>663</v>
      </c>
      <c r="B475" t="s">
        <v>904</v>
      </c>
      <c r="C475" t="s">
        <v>1737</v>
      </c>
      <c r="D475" t="s">
        <v>842</v>
      </c>
      <c r="E475" t="s">
        <v>1153</v>
      </c>
      <c r="F475" t="s">
        <v>765</v>
      </c>
      <c r="G475" t="s">
        <v>732</v>
      </c>
      <c r="H475" t="s">
        <v>694</v>
      </c>
      <c r="I475" t="s">
        <v>819</v>
      </c>
      <c r="J475" t="s">
        <v>37</v>
      </c>
      <c r="K475" t="s">
        <v>660</v>
      </c>
      <c r="L475" t="s">
        <v>660</v>
      </c>
      <c r="M475" t="s">
        <v>1734</v>
      </c>
      <c r="N475">
        <v>56000</v>
      </c>
    </row>
    <row r="476" spans="1:15" x14ac:dyDescent="0.3">
      <c r="A476" t="s">
        <v>663</v>
      </c>
      <c r="B476" t="s">
        <v>1325</v>
      </c>
      <c r="C476" t="s">
        <v>1547</v>
      </c>
      <c r="D476" t="s">
        <v>1213</v>
      </c>
      <c r="E476" t="s">
        <v>857</v>
      </c>
      <c r="F476" t="s">
        <v>655</v>
      </c>
      <c r="G476" t="s">
        <v>1548</v>
      </c>
      <c r="H476" t="s">
        <v>694</v>
      </c>
      <c r="I476" t="s">
        <v>935</v>
      </c>
      <c r="J476" t="s">
        <v>659</v>
      </c>
      <c r="K476" t="s">
        <v>722</v>
      </c>
      <c r="L476" t="s">
        <v>660</v>
      </c>
      <c r="M476" t="s">
        <v>1734</v>
      </c>
      <c r="N476">
        <v>56000</v>
      </c>
    </row>
    <row r="477" spans="1:15" x14ac:dyDescent="0.3">
      <c r="A477" t="s">
        <v>663</v>
      </c>
      <c r="B477" t="s">
        <v>742</v>
      </c>
      <c r="C477" t="s">
        <v>1738</v>
      </c>
      <c r="D477" t="s">
        <v>813</v>
      </c>
      <c r="E477" t="s">
        <v>813</v>
      </c>
      <c r="F477" t="s">
        <v>668</v>
      </c>
      <c r="G477" t="s">
        <v>686</v>
      </c>
      <c r="H477" t="s">
        <v>670</v>
      </c>
      <c r="I477" t="s">
        <v>1489</v>
      </c>
      <c r="J477" t="s">
        <v>37</v>
      </c>
      <c r="K477" t="s">
        <v>722</v>
      </c>
      <c r="L477" t="s">
        <v>660</v>
      </c>
      <c r="M477" t="s">
        <v>1734</v>
      </c>
      <c r="N477">
        <v>56000</v>
      </c>
    </row>
    <row r="478" spans="1:15" x14ac:dyDescent="0.3">
      <c r="A478" t="s">
        <v>663</v>
      </c>
      <c r="B478" t="s">
        <v>729</v>
      </c>
      <c r="C478" t="s">
        <v>1739</v>
      </c>
      <c r="D478" t="s">
        <v>759</v>
      </c>
      <c r="E478" t="s">
        <v>654</v>
      </c>
      <c r="F478" t="s">
        <v>765</v>
      </c>
      <c r="G478" t="s">
        <v>660</v>
      </c>
      <c r="H478" t="s">
        <v>694</v>
      </c>
      <c r="I478" t="s">
        <v>882</v>
      </c>
      <c r="J478" t="s">
        <v>882</v>
      </c>
      <c r="K478" t="s">
        <v>1053</v>
      </c>
      <c r="L478" t="s">
        <v>660</v>
      </c>
      <c r="M478" t="s">
        <v>1734</v>
      </c>
      <c r="N478">
        <v>56000</v>
      </c>
    </row>
    <row r="479" spans="1:15" x14ac:dyDescent="0.3">
      <c r="A479" t="s">
        <v>663</v>
      </c>
      <c r="B479" t="s">
        <v>829</v>
      </c>
      <c r="C479" t="s">
        <v>1740</v>
      </c>
      <c r="D479" t="s">
        <v>1217</v>
      </c>
      <c r="E479" t="s">
        <v>1217</v>
      </c>
      <c r="F479" t="s">
        <v>692</v>
      </c>
      <c r="G479" t="s">
        <v>1741</v>
      </c>
      <c r="H479" t="s">
        <v>657</v>
      </c>
      <c r="I479" t="s">
        <v>1742</v>
      </c>
      <c r="J479" t="s">
        <v>1743</v>
      </c>
      <c r="K479" t="s">
        <v>815</v>
      </c>
      <c r="L479" t="s">
        <v>660</v>
      </c>
      <c r="M479" t="s">
        <v>1734</v>
      </c>
      <c r="N479">
        <v>56000</v>
      </c>
    </row>
    <row r="480" spans="1:15" x14ac:dyDescent="0.3">
      <c r="A480" t="s">
        <v>663</v>
      </c>
      <c r="B480" t="s">
        <v>769</v>
      </c>
      <c r="C480" t="s">
        <v>1744</v>
      </c>
      <c r="D480" t="s">
        <v>906</v>
      </c>
      <c r="E480" t="s">
        <v>906</v>
      </c>
      <c r="F480" t="s">
        <v>754</v>
      </c>
      <c r="G480" t="s">
        <v>660</v>
      </c>
      <c r="H480" t="s">
        <v>694</v>
      </c>
      <c r="I480" t="s">
        <v>882</v>
      </c>
      <c r="J480" t="s">
        <v>882</v>
      </c>
      <c r="K480" t="s">
        <v>811</v>
      </c>
      <c r="L480" t="s">
        <v>660</v>
      </c>
      <c r="M480" t="s">
        <v>1734</v>
      </c>
      <c r="N480">
        <v>56000</v>
      </c>
    </row>
    <row r="481" spans="1:15" x14ac:dyDescent="0.3">
      <c r="A481" t="s">
        <v>1288</v>
      </c>
      <c r="B481" t="s">
        <v>690</v>
      </c>
      <c r="C481" t="s">
        <v>1289</v>
      </c>
      <c r="D481" t="s">
        <v>1290</v>
      </c>
      <c r="E481" t="s">
        <v>1291</v>
      </c>
      <c r="F481" t="s">
        <v>754</v>
      </c>
      <c r="G481" t="s">
        <v>708</v>
      </c>
      <c r="H481" t="s">
        <v>670</v>
      </c>
      <c r="I481" t="s">
        <v>1292</v>
      </c>
      <c r="J481" t="s">
        <v>748</v>
      </c>
      <c r="K481" t="s">
        <v>845</v>
      </c>
      <c r="L481" t="s">
        <v>660</v>
      </c>
      <c r="M481" t="s">
        <v>1734</v>
      </c>
      <c r="N481">
        <v>56000</v>
      </c>
    </row>
    <row r="482" spans="1:15" x14ac:dyDescent="0.3">
      <c r="A482" t="s">
        <v>663</v>
      </c>
      <c r="B482" t="s">
        <v>734</v>
      </c>
      <c r="C482" t="s">
        <v>1556</v>
      </c>
      <c r="D482" t="s">
        <v>666</v>
      </c>
      <c r="E482" t="s">
        <v>1093</v>
      </c>
      <c r="F482" t="s">
        <v>754</v>
      </c>
      <c r="G482" t="s">
        <v>1094</v>
      </c>
      <c r="H482" t="s">
        <v>943</v>
      </c>
      <c r="I482" t="s">
        <v>700</v>
      </c>
      <c r="J482" t="s">
        <v>701</v>
      </c>
      <c r="K482" t="s">
        <v>680</v>
      </c>
      <c r="L482" t="s">
        <v>1557</v>
      </c>
      <c r="M482" t="s">
        <v>1734</v>
      </c>
      <c r="N482">
        <v>56000</v>
      </c>
    </row>
    <row r="483" spans="1:15" x14ac:dyDescent="0.3">
      <c r="A483" t="s">
        <v>663</v>
      </c>
      <c r="B483" t="s">
        <v>757</v>
      </c>
      <c r="C483" t="s">
        <v>1745</v>
      </c>
      <c r="D483" t="s">
        <v>1746</v>
      </c>
      <c r="E483" t="s">
        <v>1747</v>
      </c>
      <c r="F483" t="s">
        <v>655</v>
      </c>
      <c r="G483" t="s">
        <v>693</v>
      </c>
      <c r="H483" t="s">
        <v>694</v>
      </c>
      <c r="I483" t="s">
        <v>1748</v>
      </c>
      <c r="J483" t="s">
        <v>1749</v>
      </c>
      <c r="K483" t="s">
        <v>680</v>
      </c>
      <c r="L483" t="s">
        <v>660</v>
      </c>
      <c r="M483" t="s">
        <v>1734</v>
      </c>
      <c r="N483">
        <v>56000</v>
      </c>
    </row>
    <row r="484" spans="1:15" x14ac:dyDescent="0.3">
      <c r="A484" t="s">
        <v>663</v>
      </c>
      <c r="B484" t="s">
        <v>703</v>
      </c>
      <c r="C484" t="s">
        <v>1750</v>
      </c>
      <c r="D484" t="s">
        <v>793</v>
      </c>
      <c r="E484" t="s">
        <v>1751</v>
      </c>
      <c r="F484" t="s">
        <v>655</v>
      </c>
      <c r="G484" t="s">
        <v>948</v>
      </c>
      <c r="H484" t="s">
        <v>943</v>
      </c>
      <c r="I484" t="s">
        <v>930</v>
      </c>
      <c r="J484" t="s">
        <v>672</v>
      </c>
      <c r="K484" t="s">
        <v>722</v>
      </c>
      <c r="L484" t="s">
        <v>1752</v>
      </c>
      <c r="M484" t="s">
        <v>1734</v>
      </c>
      <c r="N484">
        <v>56000</v>
      </c>
    </row>
    <row r="485" spans="1:15" x14ac:dyDescent="0.3">
      <c r="A485" t="s">
        <v>663</v>
      </c>
      <c r="B485" t="s">
        <v>690</v>
      </c>
      <c r="C485" t="s">
        <v>1753</v>
      </c>
      <c r="D485" t="s">
        <v>842</v>
      </c>
      <c r="E485" t="s">
        <v>1039</v>
      </c>
      <c r="F485" t="s">
        <v>754</v>
      </c>
      <c r="G485" t="s">
        <v>992</v>
      </c>
      <c r="H485" t="s">
        <v>694</v>
      </c>
      <c r="I485" t="s">
        <v>738</v>
      </c>
      <c r="J485" t="s">
        <v>701</v>
      </c>
      <c r="K485" t="s">
        <v>680</v>
      </c>
      <c r="L485" t="s">
        <v>660</v>
      </c>
      <c r="M485" t="s">
        <v>1734</v>
      </c>
      <c r="N485">
        <v>56000</v>
      </c>
    </row>
    <row r="486" spans="1:15" x14ac:dyDescent="0.3">
      <c r="A486" t="s">
        <v>1559</v>
      </c>
      <c r="B486" t="s">
        <v>729</v>
      </c>
      <c r="C486" t="s">
        <v>1560</v>
      </c>
      <c r="D486" t="s">
        <v>1561</v>
      </c>
      <c r="E486" t="s">
        <v>1561</v>
      </c>
      <c r="F486" t="s">
        <v>668</v>
      </c>
      <c r="G486" t="s">
        <v>1562</v>
      </c>
      <c r="H486" t="s">
        <v>657</v>
      </c>
      <c r="I486" t="s">
        <v>824</v>
      </c>
      <c r="J486" t="s">
        <v>824</v>
      </c>
      <c r="K486" t="s">
        <v>673</v>
      </c>
      <c r="L486" t="s">
        <v>1563</v>
      </c>
      <c r="M486" t="s">
        <v>1734</v>
      </c>
      <c r="N486">
        <v>56000</v>
      </c>
    </row>
    <row r="487" spans="1:15" x14ac:dyDescent="0.3">
      <c r="A487" t="s">
        <v>663</v>
      </c>
      <c r="B487" t="s">
        <v>977</v>
      </c>
      <c r="C487" t="s">
        <v>1564</v>
      </c>
      <c r="D487" t="s">
        <v>705</v>
      </c>
      <c r="E487" t="s">
        <v>705</v>
      </c>
      <c r="F487" t="s">
        <v>765</v>
      </c>
      <c r="G487" t="s">
        <v>699</v>
      </c>
      <c r="H487" t="s">
        <v>694</v>
      </c>
      <c r="I487" t="s">
        <v>728</v>
      </c>
      <c r="J487" t="s">
        <v>701</v>
      </c>
      <c r="K487" t="s">
        <v>660</v>
      </c>
      <c r="L487" t="s">
        <v>660</v>
      </c>
      <c r="M487" t="s">
        <v>1734</v>
      </c>
      <c r="N487">
        <v>56000</v>
      </c>
    </row>
    <row r="488" spans="1:15" x14ac:dyDescent="0.3">
      <c r="A488" t="s">
        <v>1293</v>
      </c>
      <c r="B488" t="s">
        <v>832</v>
      </c>
      <c r="C488" t="s">
        <v>1294</v>
      </c>
      <c r="D488" t="s">
        <v>1093</v>
      </c>
      <c r="E488" t="s">
        <v>1295</v>
      </c>
      <c r="F488" t="s">
        <v>765</v>
      </c>
      <c r="G488" t="s">
        <v>797</v>
      </c>
      <c r="H488" t="s">
        <v>694</v>
      </c>
      <c r="I488" t="s">
        <v>738</v>
      </c>
      <c r="J488" t="s">
        <v>701</v>
      </c>
      <c r="K488" t="s">
        <v>864</v>
      </c>
      <c r="L488" t="s">
        <v>660</v>
      </c>
      <c r="M488" t="s">
        <v>1734</v>
      </c>
      <c r="N488">
        <v>56000</v>
      </c>
    </row>
    <row r="489" spans="1:15" x14ac:dyDescent="0.3">
      <c r="A489" t="s">
        <v>663</v>
      </c>
      <c r="B489" t="s">
        <v>964</v>
      </c>
      <c r="C489" t="s">
        <v>848</v>
      </c>
      <c r="D489" t="s">
        <v>954</v>
      </c>
      <c r="E489" t="s">
        <v>965</v>
      </c>
      <c r="F489" t="s">
        <v>726</v>
      </c>
      <c r="G489" t="s">
        <v>685</v>
      </c>
      <c r="H489" t="s">
        <v>772</v>
      </c>
      <c r="I489" t="s">
        <v>694</v>
      </c>
      <c r="J489" t="s">
        <v>709</v>
      </c>
      <c r="K489" t="s">
        <v>709</v>
      </c>
      <c r="L489" t="s">
        <v>660</v>
      </c>
      <c r="M489" t="s">
        <v>660</v>
      </c>
      <c r="N489">
        <v>95000</v>
      </c>
      <c r="O489">
        <v>119000</v>
      </c>
    </row>
    <row r="490" spans="1:15" x14ac:dyDescent="0.3">
      <c r="A490" t="s">
        <v>663</v>
      </c>
      <c r="B490" t="s">
        <v>681</v>
      </c>
      <c r="C490" t="s">
        <v>987</v>
      </c>
      <c r="D490" t="s">
        <v>759</v>
      </c>
      <c r="E490" t="s">
        <v>988</v>
      </c>
      <c r="F490" t="s">
        <v>655</v>
      </c>
      <c r="G490" t="s">
        <v>834</v>
      </c>
      <c r="H490" t="s">
        <v>694</v>
      </c>
      <c r="I490" t="s">
        <v>773</v>
      </c>
      <c r="J490" t="s">
        <v>701</v>
      </c>
      <c r="K490" t="s">
        <v>660</v>
      </c>
      <c r="L490" t="s">
        <v>989</v>
      </c>
      <c r="M490" t="s">
        <v>1754</v>
      </c>
      <c r="N490">
        <v>119000</v>
      </c>
    </row>
    <row r="491" spans="1:15" x14ac:dyDescent="0.3">
      <c r="A491" t="s">
        <v>663</v>
      </c>
      <c r="B491" t="s">
        <v>681</v>
      </c>
      <c r="C491" t="s">
        <v>1755</v>
      </c>
      <c r="D491" t="s">
        <v>1756</v>
      </c>
      <c r="E491" t="s">
        <v>1757</v>
      </c>
      <c r="F491" t="s">
        <v>765</v>
      </c>
      <c r="G491" t="s">
        <v>699</v>
      </c>
      <c r="H491" t="s">
        <v>694</v>
      </c>
      <c r="I491" t="s">
        <v>789</v>
      </c>
      <c r="J491" t="s">
        <v>790</v>
      </c>
      <c r="K491" t="s">
        <v>864</v>
      </c>
      <c r="L491" t="s">
        <v>660</v>
      </c>
      <c r="M491" t="s">
        <v>1754</v>
      </c>
      <c r="N491">
        <v>119000</v>
      </c>
    </row>
    <row r="492" spans="1:15" x14ac:dyDescent="0.3">
      <c r="A492" t="s">
        <v>663</v>
      </c>
      <c r="B492" t="s">
        <v>904</v>
      </c>
      <c r="C492" t="s">
        <v>1758</v>
      </c>
      <c r="D492" t="s">
        <v>654</v>
      </c>
      <c r="E492" t="s">
        <v>1759</v>
      </c>
      <c r="F492" t="s">
        <v>765</v>
      </c>
      <c r="G492" t="s">
        <v>660</v>
      </c>
      <c r="H492" t="s">
        <v>694</v>
      </c>
      <c r="I492" t="s">
        <v>1680</v>
      </c>
      <c r="J492" t="s">
        <v>1681</v>
      </c>
      <c r="K492" t="s">
        <v>1053</v>
      </c>
      <c r="L492" t="s">
        <v>660</v>
      </c>
      <c r="M492" t="s">
        <v>1754</v>
      </c>
      <c r="N492">
        <v>119000</v>
      </c>
    </row>
    <row r="493" spans="1:15" x14ac:dyDescent="0.3">
      <c r="A493" t="s">
        <v>870</v>
      </c>
      <c r="B493" t="s">
        <v>703</v>
      </c>
      <c r="C493" t="s">
        <v>1568</v>
      </c>
      <c r="D493" t="s">
        <v>827</v>
      </c>
      <c r="E493" t="s">
        <v>910</v>
      </c>
      <c r="F493" t="s">
        <v>692</v>
      </c>
      <c r="G493" t="s">
        <v>732</v>
      </c>
      <c r="H493" t="s">
        <v>670</v>
      </c>
      <c r="I493" t="s">
        <v>679</v>
      </c>
      <c r="J493" t="s">
        <v>672</v>
      </c>
      <c r="K493" t="s">
        <v>864</v>
      </c>
      <c r="L493" t="s">
        <v>660</v>
      </c>
      <c r="M493" t="s">
        <v>1754</v>
      </c>
      <c r="N493">
        <v>119000</v>
      </c>
    </row>
    <row r="494" spans="1:15" x14ac:dyDescent="0.3">
      <c r="A494" t="s">
        <v>663</v>
      </c>
      <c r="B494" t="s">
        <v>757</v>
      </c>
      <c r="C494" t="s">
        <v>1296</v>
      </c>
      <c r="D494" t="s">
        <v>683</v>
      </c>
      <c r="E494" t="s">
        <v>1042</v>
      </c>
      <c r="F494" t="s">
        <v>754</v>
      </c>
      <c r="G494" t="s">
        <v>713</v>
      </c>
      <c r="H494" t="s">
        <v>943</v>
      </c>
      <c r="I494" t="s">
        <v>930</v>
      </c>
      <c r="J494" t="s">
        <v>672</v>
      </c>
      <c r="K494" t="s">
        <v>680</v>
      </c>
      <c r="L494" t="s">
        <v>1297</v>
      </c>
      <c r="M494" t="s">
        <v>1754</v>
      </c>
      <c r="N494">
        <v>119000</v>
      </c>
    </row>
    <row r="495" spans="1:15" x14ac:dyDescent="0.3">
      <c r="A495" t="s">
        <v>663</v>
      </c>
      <c r="B495" t="s">
        <v>681</v>
      </c>
      <c r="C495" t="s">
        <v>1760</v>
      </c>
      <c r="D495" t="s">
        <v>793</v>
      </c>
      <c r="E495" t="s">
        <v>793</v>
      </c>
      <c r="F495" t="s">
        <v>707</v>
      </c>
      <c r="G495" t="s">
        <v>1173</v>
      </c>
      <c r="H495" t="s">
        <v>670</v>
      </c>
      <c r="I495" t="s">
        <v>1761</v>
      </c>
      <c r="J495" t="s">
        <v>715</v>
      </c>
      <c r="K495" t="s">
        <v>710</v>
      </c>
      <c r="L495" t="s">
        <v>1762</v>
      </c>
      <c r="M495" t="s">
        <v>1754</v>
      </c>
      <c r="N495">
        <v>119000</v>
      </c>
    </row>
    <row r="496" spans="1:15" x14ac:dyDescent="0.3">
      <c r="A496" t="s">
        <v>663</v>
      </c>
      <c r="B496" t="s">
        <v>734</v>
      </c>
      <c r="C496" t="s">
        <v>1763</v>
      </c>
      <c r="D496" t="s">
        <v>759</v>
      </c>
      <c r="E496" t="s">
        <v>1764</v>
      </c>
      <c r="F496" t="s">
        <v>765</v>
      </c>
      <c r="G496" t="s">
        <v>660</v>
      </c>
      <c r="H496" t="s">
        <v>694</v>
      </c>
      <c r="I496" t="s">
        <v>882</v>
      </c>
      <c r="J496" t="s">
        <v>882</v>
      </c>
      <c r="K496" t="s">
        <v>864</v>
      </c>
      <c r="L496" t="s">
        <v>660</v>
      </c>
      <c r="M496" t="s">
        <v>1754</v>
      </c>
      <c r="N496">
        <v>119000</v>
      </c>
    </row>
    <row r="497" spans="1:15" x14ac:dyDescent="0.3">
      <c r="A497" t="s">
        <v>663</v>
      </c>
      <c r="B497" t="s">
        <v>660</v>
      </c>
      <c r="C497" t="s">
        <v>1569</v>
      </c>
      <c r="D497" t="s">
        <v>793</v>
      </c>
      <c r="E497" t="s">
        <v>882</v>
      </c>
      <c r="F497" t="s">
        <v>882</v>
      </c>
      <c r="G497" t="s">
        <v>660</v>
      </c>
      <c r="H497" t="s">
        <v>882</v>
      </c>
      <c r="I497" t="s">
        <v>882</v>
      </c>
      <c r="J497" t="s">
        <v>882</v>
      </c>
      <c r="K497" t="s">
        <v>882</v>
      </c>
      <c r="L497" t="s">
        <v>660</v>
      </c>
      <c r="M497" t="s">
        <v>1754</v>
      </c>
      <c r="N497">
        <v>119000</v>
      </c>
    </row>
    <row r="498" spans="1:15" x14ac:dyDescent="0.3">
      <c r="A498" t="s">
        <v>663</v>
      </c>
      <c r="B498" t="s">
        <v>660</v>
      </c>
      <c r="C498" t="s">
        <v>1569</v>
      </c>
      <c r="D498" t="s">
        <v>793</v>
      </c>
      <c r="E498" t="s">
        <v>882</v>
      </c>
      <c r="F498" t="s">
        <v>882</v>
      </c>
      <c r="G498" t="s">
        <v>660</v>
      </c>
      <c r="H498" t="s">
        <v>882</v>
      </c>
      <c r="I498" t="s">
        <v>882</v>
      </c>
      <c r="J498" t="s">
        <v>882</v>
      </c>
      <c r="K498" t="s">
        <v>882</v>
      </c>
      <c r="L498" t="s">
        <v>660</v>
      </c>
      <c r="M498" t="s">
        <v>1754</v>
      </c>
      <c r="N498">
        <v>119000</v>
      </c>
    </row>
    <row r="499" spans="1:15" x14ac:dyDescent="0.3">
      <c r="A499" t="s">
        <v>663</v>
      </c>
      <c r="B499" t="s">
        <v>660</v>
      </c>
      <c r="C499" t="s">
        <v>1569</v>
      </c>
      <c r="D499" t="s">
        <v>793</v>
      </c>
      <c r="E499" t="s">
        <v>882</v>
      </c>
      <c r="F499" t="s">
        <v>882</v>
      </c>
      <c r="G499" t="s">
        <v>660</v>
      </c>
      <c r="H499" t="s">
        <v>882</v>
      </c>
      <c r="I499" t="s">
        <v>882</v>
      </c>
      <c r="J499" t="s">
        <v>882</v>
      </c>
      <c r="K499" t="s">
        <v>882</v>
      </c>
      <c r="L499" t="s">
        <v>660</v>
      </c>
      <c r="M499" t="s">
        <v>1754</v>
      </c>
      <c r="N499">
        <v>119000</v>
      </c>
    </row>
    <row r="500" spans="1:15" x14ac:dyDescent="0.3">
      <c r="A500" t="s">
        <v>663</v>
      </c>
      <c r="B500" t="s">
        <v>660</v>
      </c>
      <c r="C500" t="s">
        <v>1569</v>
      </c>
      <c r="D500" t="s">
        <v>793</v>
      </c>
      <c r="E500" t="s">
        <v>882</v>
      </c>
      <c r="F500" t="s">
        <v>882</v>
      </c>
      <c r="G500" t="s">
        <v>660</v>
      </c>
      <c r="H500" t="s">
        <v>882</v>
      </c>
      <c r="I500" t="s">
        <v>882</v>
      </c>
      <c r="J500" t="s">
        <v>882</v>
      </c>
      <c r="K500" t="s">
        <v>882</v>
      </c>
      <c r="L500" t="s">
        <v>660</v>
      </c>
      <c r="M500" t="s">
        <v>1754</v>
      </c>
      <c r="N500">
        <v>119000</v>
      </c>
    </row>
    <row r="501" spans="1:15" x14ac:dyDescent="0.3">
      <c r="A501" t="s">
        <v>663</v>
      </c>
      <c r="B501" t="s">
        <v>660</v>
      </c>
      <c r="C501" t="s">
        <v>1569</v>
      </c>
      <c r="D501" t="s">
        <v>793</v>
      </c>
      <c r="E501" t="s">
        <v>882</v>
      </c>
      <c r="F501" t="s">
        <v>882</v>
      </c>
      <c r="G501" t="s">
        <v>660</v>
      </c>
      <c r="H501" t="s">
        <v>882</v>
      </c>
      <c r="I501" t="s">
        <v>882</v>
      </c>
      <c r="J501" t="s">
        <v>882</v>
      </c>
      <c r="K501" t="s">
        <v>882</v>
      </c>
      <c r="L501" t="s">
        <v>660</v>
      </c>
      <c r="M501" t="s">
        <v>1754</v>
      </c>
      <c r="N501">
        <v>119000</v>
      </c>
    </row>
    <row r="502" spans="1:15" x14ac:dyDescent="0.3">
      <c r="A502" t="s">
        <v>663</v>
      </c>
      <c r="B502" t="s">
        <v>660</v>
      </c>
      <c r="C502" t="s">
        <v>1569</v>
      </c>
      <c r="D502" t="s">
        <v>793</v>
      </c>
      <c r="E502" t="s">
        <v>882</v>
      </c>
      <c r="F502" t="s">
        <v>882</v>
      </c>
      <c r="G502" t="s">
        <v>660</v>
      </c>
      <c r="H502" t="s">
        <v>882</v>
      </c>
      <c r="I502" t="s">
        <v>882</v>
      </c>
      <c r="J502" t="s">
        <v>882</v>
      </c>
      <c r="K502" t="s">
        <v>882</v>
      </c>
      <c r="L502" t="s">
        <v>660</v>
      </c>
      <c r="M502" t="s">
        <v>1754</v>
      </c>
      <c r="N502">
        <v>119000</v>
      </c>
    </row>
    <row r="503" spans="1:15" x14ac:dyDescent="0.3">
      <c r="A503" t="s">
        <v>663</v>
      </c>
      <c r="B503" t="s">
        <v>1269</v>
      </c>
      <c r="C503" t="s">
        <v>1765</v>
      </c>
      <c r="D503" t="s">
        <v>1766</v>
      </c>
      <c r="E503" t="s">
        <v>1372</v>
      </c>
      <c r="F503" t="s">
        <v>765</v>
      </c>
      <c r="G503" t="s">
        <v>781</v>
      </c>
      <c r="H503" t="s">
        <v>694</v>
      </c>
      <c r="I503" t="s">
        <v>930</v>
      </c>
      <c r="J503" t="s">
        <v>672</v>
      </c>
      <c r="K503" t="s">
        <v>811</v>
      </c>
      <c r="L503" t="s">
        <v>660</v>
      </c>
      <c r="M503" t="s">
        <v>1754</v>
      </c>
      <c r="N503">
        <v>119000</v>
      </c>
    </row>
    <row r="504" spans="1:15" x14ac:dyDescent="0.3">
      <c r="A504" t="s">
        <v>663</v>
      </c>
      <c r="B504" t="s">
        <v>904</v>
      </c>
      <c r="C504" t="s">
        <v>1767</v>
      </c>
      <c r="D504" t="s">
        <v>843</v>
      </c>
      <c r="E504" t="s">
        <v>1255</v>
      </c>
      <c r="F504" t="s">
        <v>692</v>
      </c>
      <c r="G504" t="s">
        <v>852</v>
      </c>
      <c r="H504" t="s">
        <v>694</v>
      </c>
      <c r="I504" t="s">
        <v>700</v>
      </c>
      <c r="J504" t="s">
        <v>701</v>
      </c>
      <c r="K504" t="s">
        <v>811</v>
      </c>
      <c r="L504" t="s">
        <v>660</v>
      </c>
      <c r="M504" t="s">
        <v>1754</v>
      </c>
      <c r="N504">
        <v>119000</v>
      </c>
    </row>
    <row r="505" spans="1:15" x14ac:dyDescent="0.3">
      <c r="A505" t="s">
        <v>663</v>
      </c>
      <c r="B505" t="s">
        <v>904</v>
      </c>
      <c r="C505" t="s">
        <v>1768</v>
      </c>
      <c r="D505" t="s">
        <v>726</v>
      </c>
      <c r="E505" t="s">
        <v>1769</v>
      </c>
      <c r="F505" t="s">
        <v>765</v>
      </c>
      <c r="G505" t="s">
        <v>660</v>
      </c>
      <c r="H505" t="s">
        <v>694</v>
      </c>
      <c r="I505" t="s">
        <v>930</v>
      </c>
      <c r="J505" t="s">
        <v>672</v>
      </c>
      <c r="K505" t="s">
        <v>864</v>
      </c>
      <c r="L505" t="s">
        <v>660</v>
      </c>
      <c r="M505" t="s">
        <v>1754</v>
      </c>
      <c r="N505">
        <v>119000</v>
      </c>
    </row>
    <row r="506" spans="1:15" x14ac:dyDescent="0.3">
      <c r="A506" t="s">
        <v>663</v>
      </c>
      <c r="B506" t="s">
        <v>660</v>
      </c>
      <c r="C506" t="s">
        <v>1770</v>
      </c>
      <c r="D506" t="s">
        <v>666</v>
      </c>
      <c r="E506" t="s">
        <v>882</v>
      </c>
      <c r="F506" t="s">
        <v>765</v>
      </c>
      <c r="G506" t="s">
        <v>660</v>
      </c>
      <c r="H506" t="s">
        <v>1248</v>
      </c>
      <c r="I506" t="s">
        <v>882</v>
      </c>
      <c r="J506" t="s">
        <v>882</v>
      </c>
      <c r="K506" t="s">
        <v>660</v>
      </c>
      <c r="L506" t="s">
        <v>660</v>
      </c>
      <c r="M506" t="s">
        <v>1754</v>
      </c>
      <c r="N506">
        <v>119000</v>
      </c>
    </row>
    <row r="507" spans="1:15" x14ac:dyDescent="0.3">
      <c r="A507" t="s">
        <v>663</v>
      </c>
      <c r="B507" t="s">
        <v>734</v>
      </c>
      <c r="C507" t="s">
        <v>1771</v>
      </c>
      <c r="D507" t="s">
        <v>726</v>
      </c>
      <c r="E507" t="s">
        <v>1772</v>
      </c>
      <c r="F507" t="s">
        <v>692</v>
      </c>
      <c r="G507" t="s">
        <v>929</v>
      </c>
      <c r="H507" t="s">
        <v>694</v>
      </c>
      <c r="I507" t="s">
        <v>930</v>
      </c>
      <c r="J507" t="s">
        <v>672</v>
      </c>
      <c r="K507" t="s">
        <v>811</v>
      </c>
      <c r="L507" t="s">
        <v>660</v>
      </c>
      <c r="M507" t="s">
        <v>1754</v>
      </c>
      <c r="N507">
        <v>119000</v>
      </c>
    </row>
    <row r="508" spans="1:15" x14ac:dyDescent="0.3">
      <c r="A508" t="s">
        <v>663</v>
      </c>
      <c r="B508" t="s">
        <v>681</v>
      </c>
      <c r="C508" t="s">
        <v>1773</v>
      </c>
      <c r="D508" t="s">
        <v>793</v>
      </c>
      <c r="E508" t="s">
        <v>793</v>
      </c>
      <c r="F508" t="s">
        <v>692</v>
      </c>
      <c r="G508" t="s">
        <v>693</v>
      </c>
      <c r="H508" t="s">
        <v>694</v>
      </c>
      <c r="I508" t="s">
        <v>679</v>
      </c>
      <c r="J508" t="s">
        <v>672</v>
      </c>
      <c r="K508" t="s">
        <v>815</v>
      </c>
      <c r="L508" t="s">
        <v>660</v>
      </c>
      <c r="M508" t="s">
        <v>1754</v>
      </c>
      <c r="N508">
        <v>119000</v>
      </c>
    </row>
    <row r="509" spans="1:15" x14ac:dyDescent="0.3">
      <c r="A509" t="s">
        <v>1298</v>
      </c>
      <c r="B509" t="s">
        <v>832</v>
      </c>
      <c r="C509" t="s">
        <v>1294</v>
      </c>
      <c r="D509" t="s">
        <v>1299</v>
      </c>
      <c r="E509" t="s">
        <v>1295</v>
      </c>
      <c r="F509" t="s">
        <v>765</v>
      </c>
      <c r="G509" t="s">
        <v>797</v>
      </c>
      <c r="H509" t="s">
        <v>694</v>
      </c>
      <c r="I509" t="s">
        <v>738</v>
      </c>
      <c r="J509" t="s">
        <v>701</v>
      </c>
      <c r="K509" t="s">
        <v>864</v>
      </c>
      <c r="L509" t="s">
        <v>660</v>
      </c>
      <c r="M509" t="s">
        <v>1754</v>
      </c>
      <c r="N509">
        <v>119000</v>
      </c>
    </row>
    <row r="510" spans="1:15" x14ac:dyDescent="0.3">
      <c r="A510" t="s">
        <v>1774</v>
      </c>
      <c r="B510" t="s">
        <v>769</v>
      </c>
      <c r="C510" t="s">
        <v>1775</v>
      </c>
      <c r="D510" t="s">
        <v>1389</v>
      </c>
      <c r="E510" t="s">
        <v>706</v>
      </c>
      <c r="F510" t="s">
        <v>707</v>
      </c>
      <c r="G510" t="s">
        <v>1776</v>
      </c>
      <c r="H510" t="s">
        <v>670</v>
      </c>
      <c r="I510" t="s">
        <v>709</v>
      </c>
      <c r="J510" t="s">
        <v>709</v>
      </c>
      <c r="K510" t="s">
        <v>710</v>
      </c>
      <c r="L510" t="s">
        <v>1777</v>
      </c>
      <c r="M510" t="s">
        <v>1778</v>
      </c>
      <c r="N510">
        <v>331000</v>
      </c>
    </row>
    <row r="511" spans="1:15" x14ac:dyDescent="0.3">
      <c r="A511" t="s">
        <v>997</v>
      </c>
      <c r="B511" t="s">
        <v>998</v>
      </c>
      <c r="C511" t="s">
        <v>904</v>
      </c>
      <c r="D511" t="s">
        <v>999</v>
      </c>
      <c r="E511" t="s">
        <v>1779</v>
      </c>
      <c r="F511" t="s">
        <v>1001</v>
      </c>
      <c r="G511" t="s">
        <v>707</v>
      </c>
      <c r="H511" t="s">
        <v>1002</v>
      </c>
      <c r="I511" t="s">
        <v>670</v>
      </c>
      <c r="J511" t="s">
        <v>709</v>
      </c>
      <c r="K511" t="s">
        <v>709</v>
      </c>
      <c r="L511" t="s">
        <v>710</v>
      </c>
      <c r="M511" t="s">
        <v>1003</v>
      </c>
      <c r="N511">
        <v>212000</v>
      </c>
      <c r="O511">
        <v>331000</v>
      </c>
    </row>
    <row r="512" spans="1:15" x14ac:dyDescent="0.3">
      <c r="A512" t="s">
        <v>663</v>
      </c>
      <c r="B512" t="s">
        <v>724</v>
      </c>
      <c r="C512" t="s">
        <v>1780</v>
      </c>
      <c r="D512" t="s">
        <v>842</v>
      </c>
      <c r="E512" t="s">
        <v>1656</v>
      </c>
      <c r="F512" t="s">
        <v>754</v>
      </c>
      <c r="G512" t="s">
        <v>1094</v>
      </c>
      <c r="H512" t="s">
        <v>670</v>
      </c>
      <c r="I512" t="s">
        <v>930</v>
      </c>
      <c r="J512" t="s">
        <v>672</v>
      </c>
      <c r="K512" t="s">
        <v>660</v>
      </c>
      <c r="L512" t="s">
        <v>1781</v>
      </c>
      <c r="M512" t="s">
        <v>1778</v>
      </c>
      <c r="N512">
        <v>331000</v>
      </c>
    </row>
    <row r="513" spans="1:15" x14ac:dyDescent="0.3">
      <c r="A513" t="s">
        <v>1782</v>
      </c>
      <c r="B513" t="s">
        <v>832</v>
      </c>
      <c r="C513" t="s">
        <v>1783</v>
      </c>
      <c r="D513" t="s">
        <v>654</v>
      </c>
      <c r="E513" t="s">
        <v>1784</v>
      </c>
      <c r="F513" t="s">
        <v>765</v>
      </c>
      <c r="G513" t="s">
        <v>1741</v>
      </c>
      <c r="H513" t="s">
        <v>694</v>
      </c>
      <c r="I513" t="s">
        <v>930</v>
      </c>
      <c r="J513" t="s">
        <v>672</v>
      </c>
      <c r="K513" t="s">
        <v>660</v>
      </c>
      <c r="L513" t="s">
        <v>660</v>
      </c>
      <c r="M513" t="s">
        <v>1778</v>
      </c>
      <c r="N513">
        <v>331000</v>
      </c>
    </row>
    <row r="514" spans="1:15" x14ac:dyDescent="0.3">
      <c r="A514" t="s">
        <v>893</v>
      </c>
      <c r="B514" t="s">
        <v>681</v>
      </c>
      <c r="C514" t="s">
        <v>1084</v>
      </c>
      <c r="D514" t="s">
        <v>667</v>
      </c>
      <c r="E514" t="s">
        <v>1085</v>
      </c>
      <c r="F514" t="s">
        <v>668</v>
      </c>
      <c r="G514" t="s">
        <v>660</v>
      </c>
      <c r="H514" t="s">
        <v>670</v>
      </c>
      <c r="I514" t="s">
        <v>824</v>
      </c>
      <c r="J514" t="s">
        <v>824</v>
      </c>
      <c r="K514" t="s">
        <v>722</v>
      </c>
      <c r="L514" t="s">
        <v>660</v>
      </c>
      <c r="M514" t="s">
        <v>1778</v>
      </c>
      <c r="N514">
        <v>331000</v>
      </c>
    </row>
    <row r="515" spans="1:15" x14ac:dyDescent="0.3">
      <c r="A515" t="s">
        <v>663</v>
      </c>
      <c r="B515" t="s">
        <v>734</v>
      </c>
      <c r="C515" t="s">
        <v>1785</v>
      </c>
      <c r="D515" t="s">
        <v>843</v>
      </c>
      <c r="E515" t="s">
        <v>1704</v>
      </c>
      <c r="F515" t="s">
        <v>1248</v>
      </c>
      <c r="G515" t="s">
        <v>660</v>
      </c>
      <c r="H515" t="s">
        <v>694</v>
      </c>
      <c r="I515" t="s">
        <v>1786</v>
      </c>
      <c r="J515" t="s">
        <v>1082</v>
      </c>
      <c r="K515" t="s">
        <v>1053</v>
      </c>
      <c r="L515" t="s">
        <v>660</v>
      </c>
      <c r="M515" t="s">
        <v>1778</v>
      </c>
      <c r="N515">
        <v>331000</v>
      </c>
    </row>
    <row r="516" spans="1:15" x14ac:dyDescent="0.3">
      <c r="A516" t="s">
        <v>663</v>
      </c>
      <c r="B516" t="s">
        <v>681</v>
      </c>
      <c r="C516" t="s">
        <v>1084</v>
      </c>
      <c r="D516" t="s">
        <v>667</v>
      </c>
      <c r="E516" t="s">
        <v>1085</v>
      </c>
      <c r="F516" t="s">
        <v>668</v>
      </c>
      <c r="G516" t="s">
        <v>660</v>
      </c>
      <c r="H516" t="s">
        <v>670</v>
      </c>
      <c r="I516" t="s">
        <v>824</v>
      </c>
      <c r="J516" t="s">
        <v>824</v>
      </c>
      <c r="K516" t="s">
        <v>722</v>
      </c>
      <c r="L516" t="s">
        <v>660</v>
      </c>
      <c r="M516" t="s">
        <v>1778</v>
      </c>
      <c r="N516">
        <v>331000</v>
      </c>
    </row>
    <row r="517" spans="1:15" x14ac:dyDescent="0.3">
      <c r="A517" t="s">
        <v>663</v>
      </c>
      <c r="B517" t="s">
        <v>724</v>
      </c>
      <c r="C517" t="s">
        <v>1787</v>
      </c>
      <c r="D517" t="s">
        <v>1788</v>
      </c>
      <c r="E517" t="s">
        <v>1789</v>
      </c>
      <c r="F517" t="s">
        <v>685</v>
      </c>
      <c r="G517" t="s">
        <v>660</v>
      </c>
      <c r="H517" t="s">
        <v>746</v>
      </c>
      <c r="I517" t="s">
        <v>882</v>
      </c>
      <c r="J517" t="s">
        <v>882</v>
      </c>
      <c r="K517" t="s">
        <v>660</v>
      </c>
      <c r="L517" t="s">
        <v>660</v>
      </c>
      <c r="M517" t="s">
        <v>1778</v>
      </c>
      <c r="N517">
        <v>331000</v>
      </c>
    </row>
    <row r="518" spans="1:15" x14ac:dyDescent="0.3">
      <c r="A518" t="s">
        <v>1301</v>
      </c>
      <c r="B518" t="s">
        <v>703</v>
      </c>
      <c r="C518" t="s">
        <v>1302</v>
      </c>
      <c r="D518" t="s">
        <v>1303</v>
      </c>
      <c r="E518" t="s">
        <v>1304</v>
      </c>
      <c r="F518" t="s">
        <v>655</v>
      </c>
      <c r="G518" t="s">
        <v>1305</v>
      </c>
      <c r="H518" t="s">
        <v>657</v>
      </c>
      <c r="I518" t="s">
        <v>671</v>
      </c>
      <c r="J518" t="s">
        <v>672</v>
      </c>
      <c r="K518" t="s">
        <v>749</v>
      </c>
      <c r="L518" t="s">
        <v>1306</v>
      </c>
      <c r="M518" t="s">
        <v>1778</v>
      </c>
      <c r="N518">
        <v>331000</v>
      </c>
    </row>
    <row r="519" spans="1:15" x14ac:dyDescent="0.3">
      <c r="A519" t="s">
        <v>663</v>
      </c>
      <c r="B519" t="s">
        <v>855</v>
      </c>
      <c r="C519" t="s">
        <v>1790</v>
      </c>
      <c r="D519" t="s">
        <v>1791</v>
      </c>
      <c r="E519" t="s">
        <v>666</v>
      </c>
      <c r="F519" t="s">
        <v>692</v>
      </c>
      <c r="G519" t="s">
        <v>699</v>
      </c>
      <c r="H519" t="s">
        <v>670</v>
      </c>
      <c r="I519" t="s">
        <v>824</v>
      </c>
      <c r="J519" t="s">
        <v>824</v>
      </c>
      <c r="K519" t="s">
        <v>660</v>
      </c>
      <c r="L519" t="s">
        <v>660</v>
      </c>
      <c r="M519" t="s">
        <v>1778</v>
      </c>
      <c r="N519">
        <v>331000</v>
      </c>
    </row>
    <row r="520" spans="1:15" x14ac:dyDescent="0.3">
      <c r="A520" t="s">
        <v>1300</v>
      </c>
      <c r="B520" t="s">
        <v>836</v>
      </c>
      <c r="C520" t="s">
        <v>894</v>
      </c>
      <c r="D520" t="s">
        <v>676</v>
      </c>
      <c r="E520" t="s">
        <v>676</v>
      </c>
      <c r="F520" t="s">
        <v>754</v>
      </c>
      <c r="G520" t="s">
        <v>732</v>
      </c>
      <c r="H520" t="s">
        <v>694</v>
      </c>
      <c r="I520" t="s">
        <v>700</v>
      </c>
      <c r="J520" t="s">
        <v>701</v>
      </c>
      <c r="K520" t="s">
        <v>660</v>
      </c>
      <c r="L520" t="s">
        <v>660</v>
      </c>
      <c r="M520" t="s">
        <v>1778</v>
      </c>
      <c r="N520">
        <v>331000</v>
      </c>
    </row>
    <row r="521" spans="1:15" x14ac:dyDescent="0.3">
      <c r="A521" t="s">
        <v>1792</v>
      </c>
      <c r="B521" t="s">
        <v>1793</v>
      </c>
      <c r="C521" t="s">
        <v>660</v>
      </c>
      <c r="D521" t="s">
        <v>1794</v>
      </c>
      <c r="E521" t="s">
        <v>705</v>
      </c>
      <c r="F521" t="s">
        <v>882</v>
      </c>
      <c r="G521" t="s">
        <v>882</v>
      </c>
      <c r="H521" t="s">
        <v>660</v>
      </c>
      <c r="I521" t="s">
        <v>882</v>
      </c>
      <c r="J521" t="s">
        <v>882</v>
      </c>
      <c r="K521" t="s">
        <v>882</v>
      </c>
      <c r="L521" t="s">
        <v>882</v>
      </c>
      <c r="M521" t="s">
        <v>660</v>
      </c>
      <c r="N521">
        <v>212000</v>
      </c>
      <c r="O521">
        <v>331000</v>
      </c>
    </row>
    <row r="522" spans="1:15" x14ac:dyDescent="0.3">
      <c r="A522" t="s">
        <v>663</v>
      </c>
      <c r="B522" t="s">
        <v>904</v>
      </c>
      <c r="C522" t="s">
        <v>1795</v>
      </c>
      <c r="D522" t="s">
        <v>759</v>
      </c>
      <c r="E522" t="s">
        <v>1393</v>
      </c>
      <c r="F522" t="s">
        <v>692</v>
      </c>
      <c r="G522" t="s">
        <v>660</v>
      </c>
      <c r="H522" t="s">
        <v>694</v>
      </c>
      <c r="I522" t="s">
        <v>1796</v>
      </c>
      <c r="J522" t="s">
        <v>1797</v>
      </c>
      <c r="K522" t="s">
        <v>1030</v>
      </c>
      <c r="L522" t="s">
        <v>660</v>
      </c>
      <c r="M522" t="s">
        <v>1778</v>
      </c>
      <c r="N522">
        <v>331000</v>
      </c>
    </row>
    <row r="523" spans="1:15" x14ac:dyDescent="0.3">
      <c r="A523" t="s">
        <v>663</v>
      </c>
      <c r="B523" t="s">
        <v>674</v>
      </c>
      <c r="C523" t="s">
        <v>1798</v>
      </c>
      <c r="D523" t="s">
        <v>759</v>
      </c>
      <c r="E523" t="s">
        <v>1217</v>
      </c>
      <c r="F523" t="s">
        <v>692</v>
      </c>
      <c r="G523" t="s">
        <v>699</v>
      </c>
      <c r="H523" t="s">
        <v>670</v>
      </c>
      <c r="I523" t="s">
        <v>738</v>
      </c>
      <c r="J523" t="s">
        <v>701</v>
      </c>
      <c r="K523" t="s">
        <v>811</v>
      </c>
      <c r="L523" t="s">
        <v>660</v>
      </c>
      <c r="M523" t="s">
        <v>1778</v>
      </c>
      <c r="N523">
        <v>331000</v>
      </c>
    </row>
    <row r="524" spans="1:15" x14ac:dyDescent="0.3">
      <c r="A524" t="s">
        <v>1799</v>
      </c>
      <c r="B524" t="s">
        <v>1800</v>
      </c>
      <c r="C524" t="s">
        <v>1801</v>
      </c>
      <c r="D524" t="s">
        <v>664</v>
      </c>
      <c r="E524" t="s">
        <v>1802</v>
      </c>
      <c r="F524" t="s">
        <v>1512</v>
      </c>
      <c r="G524" t="s">
        <v>1389</v>
      </c>
      <c r="H524" t="s">
        <v>685</v>
      </c>
      <c r="I524" t="s">
        <v>732</v>
      </c>
      <c r="J524" t="s">
        <v>670</v>
      </c>
      <c r="K524" t="s">
        <v>709</v>
      </c>
      <c r="L524" t="s">
        <v>709</v>
      </c>
      <c r="M524" t="s">
        <v>660</v>
      </c>
      <c r="O524">
        <v>212000</v>
      </c>
    </row>
    <row r="525" spans="1:15" x14ac:dyDescent="0.3">
      <c r="A525" t="s">
        <v>1803</v>
      </c>
      <c r="B525" t="s">
        <v>703</v>
      </c>
      <c r="C525" t="s">
        <v>1302</v>
      </c>
      <c r="D525" t="s">
        <v>1101</v>
      </c>
      <c r="E525" t="s">
        <v>1304</v>
      </c>
      <c r="F525" t="s">
        <v>655</v>
      </c>
      <c r="G525" t="s">
        <v>1305</v>
      </c>
      <c r="H525" t="s">
        <v>657</v>
      </c>
      <c r="I525" t="s">
        <v>671</v>
      </c>
      <c r="J525" t="s">
        <v>672</v>
      </c>
      <c r="K525" t="s">
        <v>749</v>
      </c>
      <c r="L525" t="s">
        <v>1306</v>
      </c>
      <c r="M525" t="s">
        <v>1778</v>
      </c>
      <c r="N525">
        <v>331000</v>
      </c>
    </row>
    <row r="526" spans="1:15" x14ac:dyDescent="0.3">
      <c r="A526" t="s">
        <v>663</v>
      </c>
      <c r="B526" t="s">
        <v>660</v>
      </c>
      <c r="C526" t="s">
        <v>1804</v>
      </c>
      <c r="D526" t="s">
        <v>654</v>
      </c>
      <c r="E526" t="s">
        <v>654</v>
      </c>
      <c r="F526" t="s">
        <v>1248</v>
      </c>
      <c r="G526" t="s">
        <v>660</v>
      </c>
      <c r="H526" t="s">
        <v>694</v>
      </c>
      <c r="I526" t="s">
        <v>882</v>
      </c>
      <c r="J526" t="s">
        <v>882</v>
      </c>
      <c r="K526" t="s">
        <v>660</v>
      </c>
      <c r="L526" t="s">
        <v>660</v>
      </c>
      <c r="M526" t="s">
        <v>1778</v>
      </c>
      <c r="N526">
        <v>331000</v>
      </c>
    </row>
    <row r="527" spans="1:15" x14ac:dyDescent="0.3">
      <c r="A527" t="s">
        <v>663</v>
      </c>
      <c r="B527" t="s">
        <v>729</v>
      </c>
      <c r="C527" t="s">
        <v>1579</v>
      </c>
      <c r="D527" t="s">
        <v>759</v>
      </c>
      <c r="E527" t="s">
        <v>1580</v>
      </c>
      <c r="F527" t="s">
        <v>765</v>
      </c>
      <c r="G527" t="s">
        <v>1581</v>
      </c>
      <c r="H527" t="s">
        <v>694</v>
      </c>
      <c r="I527" t="s">
        <v>930</v>
      </c>
      <c r="J527" t="s">
        <v>672</v>
      </c>
      <c r="K527" t="s">
        <v>660</v>
      </c>
      <c r="L527" t="s">
        <v>1582</v>
      </c>
      <c r="M527" t="s">
        <v>1778</v>
      </c>
      <c r="N527">
        <v>331000</v>
      </c>
    </row>
    <row r="528" spans="1:15" x14ac:dyDescent="0.3">
      <c r="A528" t="s">
        <v>1583</v>
      </c>
      <c r="B528" t="s">
        <v>681</v>
      </c>
      <c r="C528" t="s">
        <v>1584</v>
      </c>
      <c r="D528" t="s">
        <v>843</v>
      </c>
      <c r="E528" t="s">
        <v>843</v>
      </c>
      <c r="F528" t="s">
        <v>754</v>
      </c>
      <c r="G528" t="s">
        <v>814</v>
      </c>
      <c r="H528" t="s">
        <v>657</v>
      </c>
      <c r="I528" t="s">
        <v>671</v>
      </c>
      <c r="J528" t="s">
        <v>672</v>
      </c>
      <c r="K528" t="s">
        <v>680</v>
      </c>
      <c r="L528" t="s">
        <v>660</v>
      </c>
      <c r="M528" t="s">
        <v>1778</v>
      </c>
      <c r="N528">
        <v>331000</v>
      </c>
    </row>
    <row r="529" spans="1:15" x14ac:dyDescent="0.3">
      <c r="A529" t="s">
        <v>663</v>
      </c>
      <c r="B529" t="s">
        <v>855</v>
      </c>
      <c r="C529" t="s">
        <v>1805</v>
      </c>
      <c r="D529" t="s">
        <v>654</v>
      </c>
      <c r="E529" t="s">
        <v>1806</v>
      </c>
      <c r="F529" t="s">
        <v>655</v>
      </c>
      <c r="G529" t="s">
        <v>1241</v>
      </c>
      <c r="H529" t="s">
        <v>670</v>
      </c>
      <c r="I529" t="s">
        <v>1807</v>
      </c>
      <c r="J529" t="s">
        <v>672</v>
      </c>
      <c r="K529" t="s">
        <v>673</v>
      </c>
      <c r="L529" t="s">
        <v>660</v>
      </c>
      <c r="M529" t="s">
        <v>1778</v>
      </c>
      <c r="N529">
        <v>331000</v>
      </c>
    </row>
    <row r="530" spans="1:15" x14ac:dyDescent="0.3">
      <c r="A530" t="s">
        <v>663</v>
      </c>
      <c r="B530" t="s">
        <v>681</v>
      </c>
      <c r="C530" t="s">
        <v>1808</v>
      </c>
      <c r="D530" t="s">
        <v>759</v>
      </c>
      <c r="E530" t="s">
        <v>1031</v>
      </c>
      <c r="F530" t="s">
        <v>692</v>
      </c>
      <c r="G530" t="s">
        <v>732</v>
      </c>
      <c r="H530" t="s">
        <v>694</v>
      </c>
      <c r="I530" t="s">
        <v>679</v>
      </c>
      <c r="J530" t="s">
        <v>672</v>
      </c>
      <c r="K530" t="s">
        <v>815</v>
      </c>
      <c r="L530" t="s">
        <v>660</v>
      </c>
      <c r="M530" t="s">
        <v>1778</v>
      </c>
      <c r="N530">
        <v>331000</v>
      </c>
    </row>
    <row r="531" spans="1:15" x14ac:dyDescent="0.3">
      <c r="A531" t="s">
        <v>1009</v>
      </c>
      <c r="B531" t="s">
        <v>977</v>
      </c>
      <c r="C531" t="s">
        <v>1010</v>
      </c>
      <c r="D531" t="s">
        <v>1011</v>
      </c>
      <c r="E531" t="s">
        <v>726</v>
      </c>
      <c r="F531" t="s">
        <v>765</v>
      </c>
      <c r="G531" t="s">
        <v>737</v>
      </c>
      <c r="H531" t="s">
        <v>694</v>
      </c>
      <c r="I531" t="s">
        <v>930</v>
      </c>
      <c r="J531" t="s">
        <v>672</v>
      </c>
      <c r="K531" t="s">
        <v>660</v>
      </c>
      <c r="L531" t="s">
        <v>660</v>
      </c>
      <c r="M531" t="s">
        <v>1809</v>
      </c>
      <c r="N531">
        <v>112000</v>
      </c>
    </row>
    <row r="532" spans="1:15" x14ac:dyDescent="0.3">
      <c r="A532" t="s">
        <v>663</v>
      </c>
      <c r="B532" t="s">
        <v>724</v>
      </c>
      <c r="C532" t="s">
        <v>1004</v>
      </c>
      <c r="D532" t="s">
        <v>759</v>
      </c>
      <c r="E532" t="s">
        <v>1005</v>
      </c>
      <c r="F532" t="s">
        <v>692</v>
      </c>
      <c r="G532" t="s">
        <v>984</v>
      </c>
      <c r="H532" t="s">
        <v>694</v>
      </c>
      <c r="I532" t="s">
        <v>738</v>
      </c>
      <c r="J532" t="s">
        <v>701</v>
      </c>
      <c r="K532" t="s">
        <v>815</v>
      </c>
      <c r="L532" t="s">
        <v>660</v>
      </c>
      <c r="M532" t="s">
        <v>1809</v>
      </c>
      <c r="N532">
        <v>112000</v>
      </c>
    </row>
    <row r="533" spans="1:15" x14ac:dyDescent="0.3">
      <c r="A533" t="s">
        <v>663</v>
      </c>
      <c r="B533" t="s">
        <v>832</v>
      </c>
      <c r="C533" t="s">
        <v>1810</v>
      </c>
      <c r="D533" t="s">
        <v>759</v>
      </c>
      <c r="E533" t="s">
        <v>1686</v>
      </c>
      <c r="F533" t="s">
        <v>765</v>
      </c>
      <c r="G533" t="s">
        <v>660</v>
      </c>
      <c r="H533" t="s">
        <v>694</v>
      </c>
      <c r="I533" t="s">
        <v>882</v>
      </c>
      <c r="J533" t="s">
        <v>882</v>
      </c>
      <c r="K533" t="s">
        <v>660</v>
      </c>
      <c r="L533" t="s">
        <v>660</v>
      </c>
      <c r="M533" t="s">
        <v>1809</v>
      </c>
      <c r="N533">
        <v>112000</v>
      </c>
    </row>
    <row r="534" spans="1:15" x14ac:dyDescent="0.3">
      <c r="A534" t="s">
        <v>663</v>
      </c>
      <c r="B534" t="s">
        <v>652</v>
      </c>
      <c r="C534" t="s">
        <v>1589</v>
      </c>
      <c r="D534" t="s">
        <v>1112</v>
      </c>
      <c r="E534" t="s">
        <v>1389</v>
      </c>
      <c r="F534" t="s">
        <v>765</v>
      </c>
      <c r="G534" t="s">
        <v>984</v>
      </c>
      <c r="H534" t="s">
        <v>694</v>
      </c>
      <c r="I534" t="s">
        <v>930</v>
      </c>
      <c r="J534" t="s">
        <v>672</v>
      </c>
      <c r="K534" t="s">
        <v>864</v>
      </c>
      <c r="L534" t="s">
        <v>660</v>
      </c>
      <c r="M534" t="s">
        <v>1809</v>
      </c>
      <c r="N534">
        <v>112000</v>
      </c>
    </row>
    <row r="535" spans="1:15" x14ac:dyDescent="0.3">
      <c r="A535" t="s">
        <v>1104</v>
      </c>
      <c r="B535" t="s">
        <v>703</v>
      </c>
      <c r="C535" t="s">
        <v>1811</v>
      </c>
      <c r="D535" t="s">
        <v>793</v>
      </c>
      <c r="E535" t="s">
        <v>793</v>
      </c>
      <c r="F535" t="s">
        <v>685</v>
      </c>
      <c r="G535" t="s">
        <v>1043</v>
      </c>
      <c r="H535" t="s">
        <v>694</v>
      </c>
      <c r="I535" t="s">
        <v>773</v>
      </c>
      <c r="J535" t="s">
        <v>701</v>
      </c>
      <c r="K535" t="s">
        <v>660</v>
      </c>
      <c r="L535" t="s">
        <v>660</v>
      </c>
      <c r="M535" t="s">
        <v>1809</v>
      </c>
      <c r="N535">
        <v>112000</v>
      </c>
    </row>
    <row r="536" spans="1:15" x14ac:dyDescent="0.3">
      <c r="A536" t="s">
        <v>663</v>
      </c>
      <c r="B536" t="s">
        <v>757</v>
      </c>
      <c r="C536" t="s">
        <v>1812</v>
      </c>
      <c r="D536" t="s">
        <v>1813</v>
      </c>
      <c r="E536" t="s">
        <v>818</v>
      </c>
      <c r="F536" t="s">
        <v>692</v>
      </c>
      <c r="G536" t="s">
        <v>761</v>
      </c>
      <c r="H536" t="s">
        <v>694</v>
      </c>
      <c r="I536" t="s">
        <v>738</v>
      </c>
      <c r="J536" t="s">
        <v>701</v>
      </c>
      <c r="K536" t="s">
        <v>815</v>
      </c>
      <c r="L536" t="s">
        <v>660</v>
      </c>
      <c r="M536" t="s">
        <v>1809</v>
      </c>
      <c r="N536">
        <v>112000</v>
      </c>
    </row>
    <row r="537" spans="1:15" x14ac:dyDescent="0.3">
      <c r="A537" t="s">
        <v>1814</v>
      </c>
      <c r="B537" t="s">
        <v>769</v>
      </c>
      <c r="C537" t="s">
        <v>1815</v>
      </c>
      <c r="D537" t="s">
        <v>906</v>
      </c>
      <c r="E537" t="s">
        <v>1111</v>
      </c>
      <c r="F537" t="s">
        <v>707</v>
      </c>
      <c r="G537" t="s">
        <v>1241</v>
      </c>
      <c r="H537" t="s">
        <v>670</v>
      </c>
      <c r="I537" t="s">
        <v>700</v>
      </c>
      <c r="J537" t="s">
        <v>701</v>
      </c>
      <c r="K537" t="s">
        <v>710</v>
      </c>
      <c r="L537" t="s">
        <v>1816</v>
      </c>
      <c r="M537" t="s">
        <v>1809</v>
      </c>
      <c r="N537">
        <v>112000</v>
      </c>
    </row>
    <row r="538" spans="1:15" x14ac:dyDescent="0.3">
      <c r="A538" t="s">
        <v>663</v>
      </c>
      <c r="B538" t="s">
        <v>769</v>
      </c>
      <c r="C538" t="s">
        <v>1817</v>
      </c>
      <c r="D538" t="s">
        <v>1184</v>
      </c>
      <c r="E538" t="s">
        <v>1818</v>
      </c>
      <c r="F538" t="s">
        <v>707</v>
      </c>
      <c r="G538" t="s">
        <v>868</v>
      </c>
      <c r="H538" t="s">
        <v>670</v>
      </c>
      <c r="I538" t="s">
        <v>930</v>
      </c>
      <c r="J538" t="s">
        <v>672</v>
      </c>
      <c r="K538" t="s">
        <v>673</v>
      </c>
      <c r="L538" t="s">
        <v>660</v>
      </c>
      <c r="M538" t="s">
        <v>1809</v>
      </c>
      <c r="N538">
        <v>112000</v>
      </c>
    </row>
    <row r="539" spans="1:15" x14ac:dyDescent="0.3">
      <c r="A539" t="s">
        <v>1590</v>
      </c>
      <c r="B539" t="s">
        <v>681</v>
      </c>
      <c r="C539" t="s">
        <v>1591</v>
      </c>
      <c r="D539" t="s">
        <v>1042</v>
      </c>
      <c r="E539" t="s">
        <v>1042</v>
      </c>
      <c r="F539" t="s">
        <v>754</v>
      </c>
      <c r="G539" t="s">
        <v>797</v>
      </c>
      <c r="H539" t="s">
        <v>694</v>
      </c>
      <c r="I539" t="s">
        <v>1592</v>
      </c>
      <c r="J539" t="s">
        <v>1464</v>
      </c>
      <c r="K539" t="s">
        <v>660</v>
      </c>
      <c r="L539" t="s">
        <v>660</v>
      </c>
      <c r="M539" t="s">
        <v>1809</v>
      </c>
      <c r="N539">
        <v>112000</v>
      </c>
    </row>
    <row r="540" spans="1:15" x14ac:dyDescent="0.3">
      <c r="A540" t="s">
        <v>1308</v>
      </c>
      <c r="B540" t="s">
        <v>1309</v>
      </c>
      <c r="C540" t="s">
        <v>795</v>
      </c>
      <c r="D540" t="s">
        <v>1310</v>
      </c>
      <c r="E540" t="s">
        <v>1274</v>
      </c>
      <c r="F540" t="s">
        <v>1039</v>
      </c>
      <c r="G540" t="s">
        <v>685</v>
      </c>
      <c r="H540" t="s">
        <v>699</v>
      </c>
      <c r="I540" t="s">
        <v>694</v>
      </c>
      <c r="J540" t="s">
        <v>738</v>
      </c>
      <c r="K540" t="s">
        <v>701</v>
      </c>
      <c r="L540" t="s">
        <v>680</v>
      </c>
      <c r="M540" t="s">
        <v>1311</v>
      </c>
      <c r="N540">
        <v>66000</v>
      </c>
      <c r="O540">
        <v>112000</v>
      </c>
    </row>
    <row r="541" spans="1:15" x14ac:dyDescent="0.3">
      <c r="A541" t="s">
        <v>1819</v>
      </c>
      <c r="B541" t="s">
        <v>717</v>
      </c>
      <c r="C541" t="s">
        <v>1820</v>
      </c>
      <c r="D541" t="s">
        <v>726</v>
      </c>
      <c r="E541" t="s">
        <v>726</v>
      </c>
      <c r="F541" t="s">
        <v>754</v>
      </c>
      <c r="G541" t="s">
        <v>732</v>
      </c>
      <c r="H541" t="s">
        <v>694</v>
      </c>
      <c r="I541" t="s">
        <v>1119</v>
      </c>
      <c r="J541" t="s">
        <v>37</v>
      </c>
      <c r="K541" t="s">
        <v>680</v>
      </c>
      <c r="L541" t="s">
        <v>660</v>
      </c>
      <c r="M541" t="s">
        <v>1809</v>
      </c>
      <c r="N541">
        <v>112000</v>
      </c>
    </row>
    <row r="542" spans="1:15" x14ac:dyDescent="0.3">
      <c r="A542" t="s">
        <v>663</v>
      </c>
      <c r="B542" t="s">
        <v>674</v>
      </c>
      <c r="C542" t="s">
        <v>1593</v>
      </c>
      <c r="D542" t="s">
        <v>1572</v>
      </c>
      <c r="E542" t="s">
        <v>1594</v>
      </c>
      <c r="F542" t="s">
        <v>655</v>
      </c>
      <c r="G542" t="s">
        <v>852</v>
      </c>
      <c r="H542" t="s">
        <v>694</v>
      </c>
      <c r="I542" t="s">
        <v>738</v>
      </c>
      <c r="J542" t="s">
        <v>701</v>
      </c>
      <c r="K542" t="s">
        <v>845</v>
      </c>
      <c r="L542" t="s">
        <v>660</v>
      </c>
      <c r="M542" t="s">
        <v>1809</v>
      </c>
      <c r="N542">
        <v>112000</v>
      </c>
    </row>
    <row r="543" spans="1:15" x14ac:dyDescent="0.3">
      <c r="A543" t="s">
        <v>663</v>
      </c>
      <c r="B543" t="s">
        <v>742</v>
      </c>
      <c r="C543" t="s">
        <v>1595</v>
      </c>
      <c r="D543" t="s">
        <v>826</v>
      </c>
      <c r="E543" t="s">
        <v>1512</v>
      </c>
      <c r="F543" t="s">
        <v>668</v>
      </c>
      <c r="G543" t="s">
        <v>1596</v>
      </c>
      <c r="H543" t="s">
        <v>943</v>
      </c>
      <c r="I543" t="s">
        <v>747</v>
      </c>
      <c r="J543" t="s">
        <v>748</v>
      </c>
      <c r="K543" t="s">
        <v>660</v>
      </c>
      <c r="L543" t="s">
        <v>1597</v>
      </c>
      <c r="M543" t="s">
        <v>1809</v>
      </c>
      <c r="N543">
        <v>112000</v>
      </c>
    </row>
    <row r="544" spans="1:15" x14ac:dyDescent="0.3">
      <c r="A544" t="s">
        <v>1821</v>
      </c>
      <c r="B544" t="s">
        <v>703</v>
      </c>
      <c r="C544" t="s">
        <v>1302</v>
      </c>
      <c r="D544" t="s">
        <v>1304</v>
      </c>
      <c r="E544" t="s">
        <v>1304</v>
      </c>
      <c r="F544" t="s">
        <v>655</v>
      </c>
      <c r="G544" t="s">
        <v>1305</v>
      </c>
      <c r="H544" t="s">
        <v>657</v>
      </c>
      <c r="I544" t="s">
        <v>671</v>
      </c>
      <c r="J544" t="s">
        <v>672</v>
      </c>
      <c r="K544" t="s">
        <v>749</v>
      </c>
      <c r="L544" t="s">
        <v>1306</v>
      </c>
      <c r="M544" t="s">
        <v>1809</v>
      </c>
      <c r="N544">
        <v>112000</v>
      </c>
    </row>
    <row r="545" spans="1:15" x14ac:dyDescent="0.3">
      <c r="A545" t="s">
        <v>663</v>
      </c>
      <c r="B545" t="s">
        <v>703</v>
      </c>
      <c r="C545" t="s">
        <v>1822</v>
      </c>
      <c r="D545" t="s">
        <v>1823</v>
      </c>
      <c r="E545" t="s">
        <v>1039</v>
      </c>
      <c r="F545" t="s">
        <v>685</v>
      </c>
      <c r="G545" t="s">
        <v>921</v>
      </c>
      <c r="H545" t="s">
        <v>694</v>
      </c>
      <c r="I545" t="s">
        <v>738</v>
      </c>
      <c r="J545" t="s">
        <v>701</v>
      </c>
      <c r="K545" t="s">
        <v>815</v>
      </c>
      <c r="L545" t="s">
        <v>660</v>
      </c>
      <c r="M545" t="s">
        <v>1809</v>
      </c>
      <c r="N545">
        <v>112000</v>
      </c>
    </row>
    <row r="546" spans="1:15" x14ac:dyDescent="0.3">
      <c r="A546" t="s">
        <v>1315</v>
      </c>
      <c r="B546" t="s">
        <v>742</v>
      </c>
      <c r="C546" t="s">
        <v>1231</v>
      </c>
      <c r="D546" t="s">
        <v>676</v>
      </c>
      <c r="E546" t="s">
        <v>1232</v>
      </c>
      <c r="F546" t="s">
        <v>668</v>
      </c>
      <c r="G546" t="s">
        <v>1233</v>
      </c>
      <c r="H546" t="s">
        <v>694</v>
      </c>
      <c r="I546" t="s">
        <v>658</v>
      </c>
      <c r="J546" t="s">
        <v>659</v>
      </c>
      <c r="K546" t="s">
        <v>710</v>
      </c>
      <c r="L546" t="s">
        <v>660</v>
      </c>
      <c r="M546" t="s">
        <v>1809</v>
      </c>
      <c r="N546">
        <v>112000</v>
      </c>
    </row>
    <row r="547" spans="1:15" x14ac:dyDescent="0.3">
      <c r="A547" t="s">
        <v>663</v>
      </c>
      <c r="B547" t="s">
        <v>690</v>
      </c>
      <c r="C547" t="s">
        <v>1824</v>
      </c>
      <c r="D547" t="s">
        <v>759</v>
      </c>
      <c r="E547" t="s">
        <v>1039</v>
      </c>
      <c r="F547" t="s">
        <v>685</v>
      </c>
      <c r="G547" t="s">
        <v>660</v>
      </c>
      <c r="H547" t="s">
        <v>1600</v>
      </c>
      <c r="I547" t="s">
        <v>738</v>
      </c>
      <c r="J547" t="s">
        <v>701</v>
      </c>
      <c r="K547" t="s">
        <v>815</v>
      </c>
      <c r="L547" t="s">
        <v>660</v>
      </c>
      <c r="M547" t="s">
        <v>1809</v>
      </c>
      <c r="N547">
        <v>112000</v>
      </c>
    </row>
    <row r="548" spans="1:15" x14ac:dyDescent="0.3">
      <c r="A548" t="s">
        <v>663</v>
      </c>
      <c r="B548" t="s">
        <v>1269</v>
      </c>
      <c r="C548" t="s">
        <v>1825</v>
      </c>
      <c r="D548" t="s">
        <v>654</v>
      </c>
      <c r="E548" t="s">
        <v>1826</v>
      </c>
      <c r="F548" t="s">
        <v>692</v>
      </c>
      <c r="G548" t="s">
        <v>732</v>
      </c>
      <c r="H548" t="s">
        <v>694</v>
      </c>
      <c r="I548" t="s">
        <v>738</v>
      </c>
      <c r="J548" t="s">
        <v>701</v>
      </c>
      <c r="K548" t="s">
        <v>660</v>
      </c>
      <c r="L548" t="s">
        <v>660</v>
      </c>
      <c r="M548" t="s">
        <v>1809</v>
      </c>
      <c r="N548">
        <v>112000</v>
      </c>
    </row>
    <row r="549" spans="1:15" x14ac:dyDescent="0.3">
      <c r="A549" t="s">
        <v>663</v>
      </c>
      <c r="B549" t="s">
        <v>757</v>
      </c>
      <c r="C549" t="s">
        <v>1827</v>
      </c>
      <c r="D549" t="s">
        <v>826</v>
      </c>
      <c r="E549" t="s">
        <v>1271</v>
      </c>
      <c r="F549" t="s">
        <v>754</v>
      </c>
      <c r="G549" t="s">
        <v>766</v>
      </c>
      <c r="H549" t="s">
        <v>694</v>
      </c>
      <c r="I549" t="s">
        <v>728</v>
      </c>
      <c r="J549" t="s">
        <v>701</v>
      </c>
      <c r="K549" t="s">
        <v>811</v>
      </c>
      <c r="L549" t="s">
        <v>660</v>
      </c>
      <c r="M549" t="s">
        <v>1809</v>
      </c>
      <c r="N549">
        <v>112000</v>
      </c>
    </row>
    <row r="550" spans="1:15" x14ac:dyDescent="0.3">
      <c r="A550" t="s">
        <v>1601</v>
      </c>
      <c r="B550" t="s">
        <v>1602</v>
      </c>
      <c r="C550" t="s">
        <v>1603</v>
      </c>
      <c r="D550" t="s">
        <v>1604</v>
      </c>
      <c r="E550" t="s">
        <v>904</v>
      </c>
      <c r="F550" t="s">
        <v>1605</v>
      </c>
      <c r="G550" t="s">
        <v>991</v>
      </c>
      <c r="H550" t="s">
        <v>991</v>
      </c>
      <c r="I550" t="s">
        <v>707</v>
      </c>
      <c r="J550" t="s">
        <v>1606</v>
      </c>
      <c r="K550" t="s">
        <v>670</v>
      </c>
      <c r="L550" t="s">
        <v>658</v>
      </c>
      <c r="M550" t="s">
        <v>659</v>
      </c>
    </row>
    <row r="551" spans="1:15" x14ac:dyDescent="0.3">
      <c r="A551" t="s">
        <v>994</v>
      </c>
      <c r="B551" t="s">
        <v>848</v>
      </c>
      <c r="C551" t="s">
        <v>995</v>
      </c>
      <c r="D551" t="s">
        <v>996</v>
      </c>
      <c r="E551" t="s">
        <v>996</v>
      </c>
      <c r="F551" t="s">
        <v>754</v>
      </c>
      <c r="G551" t="s">
        <v>814</v>
      </c>
      <c r="H551" t="s">
        <v>670</v>
      </c>
      <c r="I551" t="s">
        <v>709</v>
      </c>
      <c r="J551" t="s">
        <v>709</v>
      </c>
      <c r="K551" t="s">
        <v>680</v>
      </c>
      <c r="L551" t="s">
        <v>660</v>
      </c>
      <c r="M551" t="s">
        <v>1828</v>
      </c>
      <c r="N551">
        <v>201000</v>
      </c>
    </row>
    <row r="552" spans="1:15" x14ac:dyDescent="0.3">
      <c r="A552" t="s">
        <v>663</v>
      </c>
      <c r="B552" t="s">
        <v>795</v>
      </c>
      <c r="C552" t="s">
        <v>1012</v>
      </c>
      <c r="D552" t="s">
        <v>1013</v>
      </c>
      <c r="E552" t="s">
        <v>1013</v>
      </c>
      <c r="F552" t="s">
        <v>692</v>
      </c>
      <c r="G552" t="s">
        <v>852</v>
      </c>
      <c r="H552" t="s">
        <v>694</v>
      </c>
      <c r="I552" t="s">
        <v>700</v>
      </c>
      <c r="J552" t="s">
        <v>701</v>
      </c>
      <c r="K552" t="s">
        <v>815</v>
      </c>
      <c r="L552" t="s">
        <v>660</v>
      </c>
      <c r="M552" t="s">
        <v>1828</v>
      </c>
      <c r="N552">
        <v>201000</v>
      </c>
    </row>
    <row r="553" spans="1:15" x14ac:dyDescent="0.3">
      <c r="A553" t="s">
        <v>893</v>
      </c>
      <c r="B553" t="s">
        <v>703</v>
      </c>
      <c r="C553" t="s">
        <v>1811</v>
      </c>
      <c r="D553" t="s">
        <v>793</v>
      </c>
      <c r="E553" t="s">
        <v>793</v>
      </c>
      <c r="F553" t="s">
        <v>685</v>
      </c>
      <c r="G553" t="s">
        <v>1043</v>
      </c>
      <c r="H553" t="s">
        <v>694</v>
      </c>
      <c r="I553" t="s">
        <v>773</v>
      </c>
      <c r="J553" t="s">
        <v>701</v>
      </c>
      <c r="K553" t="s">
        <v>660</v>
      </c>
      <c r="L553" t="s">
        <v>660</v>
      </c>
      <c r="M553" t="s">
        <v>1828</v>
      </c>
      <c r="N553">
        <v>201000</v>
      </c>
    </row>
    <row r="554" spans="1:15" x14ac:dyDescent="0.3">
      <c r="A554" t="s">
        <v>1607</v>
      </c>
      <c r="B554" t="s">
        <v>724</v>
      </c>
      <c r="C554" t="s">
        <v>1608</v>
      </c>
      <c r="D554" t="s">
        <v>793</v>
      </c>
      <c r="E554" t="s">
        <v>793</v>
      </c>
      <c r="F554" t="s">
        <v>655</v>
      </c>
      <c r="G554" t="s">
        <v>797</v>
      </c>
      <c r="H554" t="s">
        <v>943</v>
      </c>
      <c r="I554" t="s">
        <v>773</v>
      </c>
      <c r="J554" t="s">
        <v>701</v>
      </c>
      <c r="K554" t="s">
        <v>660</v>
      </c>
      <c r="L554" t="s">
        <v>660</v>
      </c>
      <c r="M554" t="s">
        <v>1828</v>
      </c>
      <c r="N554">
        <v>201000</v>
      </c>
    </row>
    <row r="555" spans="1:15" x14ac:dyDescent="0.3">
      <c r="A555" t="s">
        <v>1829</v>
      </c>
      <c r="B555" t="s">
        <v>734</v>
      </c>
      <c r="C555" t="s">
        <v>1830</v>
      </c>
      <c r="D555" t="s">
        <v>1831</v>
      </c>
      <c r="E555" t="s">
        <v>793</v>
      </c>
      <c r="F555" t="s">
        <v>655</v>
      </c>
      <c r="G555" t="s">
        <v>844</v>
      </c>
      <c r="H555" t="s">
        <v>670</v>
      </c>
      <c r="I555" t="s">
        <v>700</v>
      </c>
      <c r="J555" t="s">
        <v>701</v>
      </c>
      <c r="K555" t="s">
        <v>680</v>
      </c>
      <c r="L555" t="s">
        <v>1832</v>
      </c>
      <c r="M555" t="s">
        <v>1828</v>
      </c>
      <c r="N555">
        <v>201000</v>
      </c>
    </row>
    <row r="556" spans="1:15" x14ac:dyDescent="0.3">
      <c r="A556" t="s">
        <v>1611</v>
      </c>
      <c r="B556" t="s">
        <v>724</v>
      </c>
      <c r="C556" t="s">
        <v>1612</v>
      </c>
      <c r="D556" t="s">
        <v>705</v>
      </c>
      <c r="E556" t="s">
        <v>705</v>
      </c>
      <c r="F556" t="s">
        <v>668</v>
      </c>
      <c r="G556" t="s">
        <v>858</v>
      </c>
      <c r="H556" t="s">
        <v>670</v>
      </c>
      <c r="I556" t="s">
        <v>709</v>
      </c>
      <c r="J556" t="s">
        <v>709</v>
      </c>
      <c r="K556" t="s">
        <v>710</v>
      </c>
      <c r="L556" t="s">
        <v>660</v>
      </c>
      <c r="M556" t="s">
        <v>1828</v>
      </c>
      <c r="N556">
        <v>201000</v>
      </c>
    </row>
    <row r="557" spans="1:15" x14ac:dyDescent="0.3">
      <c r="A557" t="s">
        <v>663</v>
      </c>
      <c r="B557" t="s">
        <v>660</v>
      </c>
      <c r="C557" t="s">
        <v>1613</v>
      </c>
      <c r="D557" t="s">
        <v>793</v>
      </c>
      <c r="E557" t="s">
        <v>882</v>
      </c>
      <c r="F557" t="s">
        <v>882</v>
      </c>
      <c r="G557" t="s">
        <v>660</v>
      </c>
      <c r="H557" t="s">
        <v>882</v>
      </c>
      <c r="I557" t="s">
        <v>882</v>
      </c>
      <c r="J557" t="s">
        <v>882</v>
      </c>
      <c r="K557" t="s">
        <v>882</v>
      </c>
      <c r="L557" t="s">
        <v>660</v>
      </c>
      <c r="M557" t="s">
        <v>1828</v>
      </c>
      <c r="N557">
        <v>201000</v>
      </c>
    </row>
    <row r="558" spans="1:15" x14ac:dyDescent="0.3">
      <c r="A558" t="s">
        <v>1316</v>
      </c>
      <c r="B558" t="s">
        <v>1203</v>
      </c>
      <c r="C558" t="s">
        <v>848</v>
      </c>
      <c r="D558" t="s">
        <v>954</v>
      </c>
      <c r="E558" t="s">
        <v>965</v>
      </c>
      <c r="F558" t="s">
        <v>726</v>
      </c>
      <c r="G558" t="s">
        <v>685</v>
      </c>
      <c r="H558" t="s">
        <v>772</v>
      </c>
      <c r="I558" t="s">
        <v>694</v>
      </c>
      <c r="J558" t="s">
        <v>709</v>
      </c>
      <c r="K558" t="s">
        <v>709</v>
      </c>
      <c r="L558" t="s">
        <v>660</v>
      </c>
      <c r="M558" t="s">
        <v>660</v>
      </c>
      <c r="N558">
        <v>128000</v>
      </c>
      <c r="O558">
        <v>201000</v>
      </c>
    </row>
    <row r="559" spans="1:15" x14ac:dyDescent="0.3">
      <c r="A559" t="s">
        <v>663</v>
      </c>
      <c r="B559" t="s">
        <v>848</v>
      </c>
      <c r="C559" t="s">
        <v>1833</v>
      </c>
      <c r="D559" t="s">
        <v>719</v>
      </c>
      <c r="E559" t="s">
        <v>719</v>
      </c>
      <c r="F559" t="s">
        <v>685</v>
      </c>
      <c r="G559" t="s">
        <v>1834</v>
      </c>
      <c r="H559" t="s">
        <v>694</v>
      </c>
      <c r="I559" t="s">
        <v>658</v>
      </c>
      <c r="J559" t="s">
        <v>659</v>
      </c>
      <c r="K559" t="s">
        <v>749</v>
      </c>
      <c r="L559" t="s">
        <v>1835</v>
      </c>
      <c r="M559" t="s">
        <v>1828</v>
      </c>
      <c r="N559">
        <v>201000</v>
      </c>
    </row>
    <row r="560" spans="1:15" x14ac:dyDescent="0.3">
      <c r="A560" t="s">
        <v>1836</v>
      </c>
      <c r="B560" t="s">
        <v>674</v>
      </c>
      <c r="C560" t="s">
        <v>1837</v>
      </c>
      <c r="D560" t="s">
        <v>654</v>
      </c>
      <c r="E560" t="s">
        <v>1838</v>
      </c>
      <c r="F560" t="s">
        <v>692</v>
      </c>
      <c r="G560" t="s">
        <v>708</v>
      </c>
      <c r="H560" t="s">
        <v>657</v>
      </c>
      <c r="I560" t="s">
        <v>679</v>
      </c>
      <c r="J560" t="s">
        <v>672</v>
      </c>
      <c r="K560" t="s">
        <v>815</v>
      </c>
      <c r="L560" t="s">
        <v>1839</v>
      </c>
      <c r="M560" t="s">
        <v>1828</v>
      </c>
      <c r="N560">
        <v>201000</v>
      </c>
    </row>
    <row r="561" spans="1:15" x14ac:dyDescent="0.3">
      <c r="A561" t="s">
        <v>663</v>
      </c>
      <c r="B561" t="s">
        <v>729</v>
      </c>
      <c r="C561" t="s">
        <v>1840</v>
      </c>
      <c r="D561" t="s">
        <v>666</v>
      </c>
      <c r="E561" t="s">
        <v>826</v>
      </c>
      <c r="F561" t="s">
        <v>685</v>
      </c>
      <c r="G561" t="s">
        <v>1237</v>
      </c>
      <c r="H561" t="s">
        <v>694</v>
      </c>
      <c r="I561" t="s">
        <v>679</v>
      </c>
      <c r="J561" t="s">
        <v>672</v>
      </c>
      <c r="K561" t="s">
        <v>660</v>
      </c>
      <c r="L561" t="s">
        <v>660</v>
      </c>
      <c r="M561" t="s">
        <v>1828</v>
      </c>
      <c r="N561">
        <v>201000</v>
      </c>
    </row>
    <row r="562" spans="1:15" x14ac:dyDescent="0.3">
      <c r="A562" t="s">
        <v>840</v>
      </c>
      <c r="B562" t="s">
        <v>729</v>
      </c>
      <c r="C562" t="s">
        <v>825</v>
      </c>
      <c r="D562" t="s">
        <v>827</v>
      </c>
      <c r="E562" t="s">
        <v>827</v>
      </c>
      <c r="F562" t="s">
        <v>692</v>
      </c>
      <c r="G562" t="s">
        <v>828</v>
      </c>
      <c r="H562" t="s">
        <v>694</v>
      </c>
      <c r="I562" t="s">
        <v>767</v>
      </c>
      <c r="J562" t="s">
        <v>746</v>
      </c>
      <c r="K562" t="s">
        <v>815</v>
      </c>
      <c r="L562" t="s">
        <v>660</v>
      </c>
      <c r="M562" t="s">
        <v>1828</v>
      </c>
      <c r="N562">
        <v>201000</v>
      </c>
    </row>
    <row r="563" spans="1:15" x14ac:dyDescent="0.3">
      <c r="A563" t="s">
        <v>1841</v>
      </c>
      <c r="B563" t="s">
        <v>757</v>
      </c>
      <c r="C563" t="s">
        <v>1842</v>
      </c>
      <c r="D563" t="s">
        <v>666</v>
      </c>
      <c r="E563" t="s">
        <v>667</v>
      </c>
      <c r="F563" t="s">
        <v>655</v>
      </c>
      <c r="G563" t="s">
        <v>788</v>
      </c>
      <c r="H563" t="s">
        <v>694</v>
      </c>
      <c r="I563" t="s">
        <v>824</v>
      </c>
      <c r="J563" t="s">
        <v>824</v>
      </c>
      <c r="K563" t="s">
        <v>673</v>
      </c>
      <c r="L563" t="s">
        <v>660</v>
      </c>
      <c r="M563" t="s">
        <v>1828</v>
      </c>
      <c r="N563">
        <v>201000</v>
      </c>
    </row>
    <row r="564" spans="1:15" x14ac:dyDescent="0.3">
      <c r="A564" t="s">
        <v>893</v>
      </c>
      <c r="B564" t="s">
        <v>652</v>
      </c>
      <c r="C564" t="s">
        <v>1843</v>
      </c>
      <c r="D564" t="s">
        <v>726</v>
      </c>
      <c r="E564" t="s">
        <v>1844</v>
      </c>
      <c r="F564" t="s">
        <v>655</v>
      </c>
      <c r="G564" t="s">
        <v>980</v>
      </c>
      <c r="H564" t="s">
        <v>694</v>
      </c>
      <c r="I564" t="s">
        <v>930</v>
      </c>
      <c r="J564" t="s">
        <v>672</v>
      </c>
      <c r="K564" t="s">
        <v>749</v>
      </c>
      <c r="L564" t="s">
        <v>660</v>
      </c>
      <c r="M564" t="s">
        <v>1828</v>
      </c>
      <c r="N564">
        <v>201000</v>
      </c>
    </row>
    <row r="565" spans="1:15" x14ac:dyDescent="0.3">
      <c r="A565" t="s">
        <v>1014</v>
      </c>
      <c r="B565" t="s">
        <v>904</v>
      </c>
      <c r="C565" t="s">
        <v>967</v>
      </c>
      <c r="D565" t="s">
        <v>793</v>
      </c>
      <c r="E565" t="s">
        <v>968</v>
      </c>
      <c r="F565" t="s">
        <v>668</v>
      </c>
      <c r="G565" t="s">
        <v>969</v>
      </c>
      <c r="H565" t="s">
        <v>670</v>
      </c>
      <c r="I565" t="s">
        <v>700</v>
      </c>
      <c r="J565" t="s">
        <v>701</v>
      </c>
      <c r="K565" t="s">
        <v>722</v>
      </c>
      <c r="L565" t="s">
        <v>660</v>
      </c>
      <c r="M565" t="s">
        <v>1828</v>
      </c>
      <c r="N565">
        <v>201000</v>
      </c>
    </row>
    <row r="566" spans="1:15" x14ac:dyDescent="0.3">
      <c r="A566" t="s">
        <v>1624</v>
      </c>
      <c r="B566" t="s">
        <v>848</v>
      </c>
      <c r="C566" t="s">
        <v>954</v>
      </c>
      <c r="D566" t="s">
        <v>726</v>
      </c>
      <c r="E566" t="s">
        <v>726</v>
      </c>
      <c r="F566" t="s">
        <v>685</v>
      </c>
      <c r="G566" t="s">
        <v>772</v>
      </c>
      <c r="H566" t="s">
        <v>694</v>
      </c>
      <c r="I566" t="s">
        <v>709</v>
      </c>
      <c r="J566" t="s">
        <v>709</v>
      </c>
      <c r="K566" t="s">
        <v>660</v>
      </c>
      <c r="L566" t="s">
        <v>660</v>
      </c>
      <c r="M566" t="s">
        <v>1828</v>
      </c>
      <c r="N566">
        <v>201000</v>
      </c>
    </row>
    <row r="567" spans="1:15" x14ac:dyDescent="0.3">
      <c r="A567" t="s">
        <v>1845</v>
      </c>
      <c r="B567" t="s">
        <v>769</v>
      </c>
      <c r="C567" t="s">
        <v>1846</v>
      </c>
      <c r="D567" t="s">
        <v>1512</v>
      </c>
      <c r="E567" t="s">
        <v>1512</v>
      </c>
      <c r="F567" t="s">
        <v>655</v>
      </c>
      <c r="G567" t="s">
        <v>1241</v>
      </c>
      <c r="H567" t="s">
        <v>694</v>
      </c>
      <c r="I567" t="s">
        <v>974</v>
      </c>
      <c r="J567" t="s">
        <v>688</v>
      </c>
      <c r="K567" t="s">
        <v>680</v>
      </c>
      <c r="L567" t="s">
        <v>660</v>
      </c>
      <c r="M567" t="s">
        <v>1828</v>
      </c>
      <c r="N567">
        <v>201000</v>
      </c>
    </row>
    <row r="568" spans="1:15" x14ac:dyDescent="0.3">
      <c r="A568" t="s">
        <v>1847</v>
      </c>
      <c r="B568" t="s">
        <v>664</v>
      </c>
      <c r="C568" t="s">
        <v>817</v>
      </c>
      <c r="D568" t="s">
        <v>818</v>
      </c>
      <c r="E568" t="s">
        <v>818</v>
      </c>
      <c r="F568" t="s">
        <v>692</v>
      </c>
      <c r="G568" t="s">
        <v>708</v>
      </c>
      <c r="H568" t="s">
        <v>694</v>
      </c>
      <c r="I568" t="s">
        <v>819</v>
      </c>
      <c r="J568" t="s">
        <v>37</v>
      </c>
      <c r="K568" t="s">
        <v>680</v>
      </c>
      <c r="L568" t="s">
        <v>660</v>
      </c>
      <c r="M568" t="s">
        <v>1828</v>
      </c>
      <c r="N568">
        <v>201000</v>
      </c>
    </row>
    <row r="569" spans="1:15" x14ac:dyDescent="0.3">
      <c r="A569" t="s">
        <v>872</v>
      </c>
      <c r="B569" t="s">
        <v>703</v>
      </c>
      <c r="C569" t="s">
        <v>1848</v>
      </c>
      <c r="D569" t="s">
        <v>654</v>
      </c>
      <c r="E569" t="s">
        <v>654</v>
      </c>
      <c r="F569" t="s">
        <v>765</v>
      </c>
      <c r="G569" t="s">
        <v>660</v>
      </c>
      <c r="H569" t="s">
        <v>694</v>
      </c>
      <c r="I569" t="s">
        <v>738</v>
      </c>
      <c r="J569" t="s">
        <v>701</v>
      </c>
      <c r="K569" t="s">
        <v>660</v>
      </c>
      <c r="L569" t="s">
        <v>660</v>
      </c>
      <c r="M569" t="s">
        <v>1828</v>
      </c>
      <c r="N569">
        <v>201000</v>
      </c>
    </row>
    <row r="570" spans="1:15" x14ac:dyDescent="0.3">
      <c r="A570" t="s">
        <v>663</v>
      </c>
      <c r="B570" t="s">
        <v>660</v>
      </c>
      <c r="C570" t="s">
        <v>1849</v>
      </c>
      <c r="D570" t="s">
        <v>1415</v>
      </c>
      <c r="E570" t="s">
        <v>1850</v>
      </c>
      <c r="F570" t="s">
        <v>1248</v>
      </c>
      <c r="G570" t="s">
        <v>660</v>
      </c>
      <c r="H570" t="s">
        <v>670</v>
      </c>
      <c r="I570" t="s">
        <v>882</v>
      </c>
      <c r="J570" t="s">
        <v>882</v>
      </c>
      <c r="K570" t="s">
        <v>660</v>
      </c>
      <c r="L570" t="s">
        <v>660</v>
      </c>
      <c r="M570" t="s">
        <v>1828</v>
      </c>
      <c r="N570">
        <v>201000</v>
      </c>
    </row>
    <row r="571" spans="1:15" x14ac:dyDescent="0.3">
      <c r="A571" t="s">
        <v>1851</v>
      </c>
      <c r="B571" t="s">
        <v>848</v>
      </c>
      <c r="C571" t="s">
        <v>1133</v>
      </c>
      <c r="D571" t="s">
        <v>826</v>
      </c>
      <c r="E571" t="s">
        <v>712</v>
      </c>
      <c r="F571" t="s">
        <v>668</v>
      </c>
      <c r="G571" t="s">
        <v>881</v>
      </c>
      <c r="H571" t="s">
        <v>657</v>
      </c>
      <c r="I571" t="s">
        <v>767</v>
      </c>
      <c r="J571" t="s">
        <v>746</v>
      </c>
      <c r="K571" t="s">
        <v>673</v>
      </c>
      <c r="L571" t="s">
        <v>1134</v>
      </c>
      <c r="M571" t="s">
        <v>1828</v>
      </c>
      <c r="N571">
        <v>201000</v>
      </c>
    </row>
    <row r="572" spans="1:15" x14ac:dyDescent="0.3">
      <c r="A572" t="s">
        <v>663</v>
      </c>
      <c r="B572" t="s">
        <v>703</v>
      </c>
      <c r="C572" t="s">
        <v>1024</v>
      </c>
      <c r="D572" t="s">
        <v>842</v>
      </c>
      <c r="E572" t="s">
        <v>731</v>
      </c>
      <c r="F572" t="s">
        <v>707</v>
      </c>
      <c r="G572" t="s">
        <v>1025</v>
      </c>
      <c r="H572" t="s">
        <v>694</v>
      </c>
      <c r="I572" t="s">
        <v>1026</v>
      </c>
      <c r="J572" t="s">
        <v>688</v>
      </c>
      <c r="K572" t="s">
        <v>710</v>
      </c>
      <c r="L572" t="s">
        <v>660</v>
      </c>
      <c r="M572" t="s">
        <v>1852</v>
      </c>
      <c r="N572">
        <v>158000</v>
      </c>
    </row>
    <row r="573" spans="1:15" x14ac:dyDescent="0.3">
      <c r="A573" t="s">
        <v>1021</v>
      </c>
      <c r="B573" t="s">
        <v>729</v>
      </c>
      <c r="C573" t="s">
        <v>1022</v>
      </c>
      <c r="D573" t="s">
        <v>1023</v>
      </c>
      <c r="E573" t="s">
        <v>1023</v>
      </c>
      <c r="F573" t="s">
        <v>692</v>
      </c>
      <c r="G573" t="s">
        <v>814</v>
      </c>
      <c r="H573" t="s">
        <v>694</v>
      </c>
      <c r="I573" t="s">
        <v>700</v>
      </c>
      <c r="J573" t="s">
        <v>701</v>
      </c>
      <c r="K573" t="s">
        <v>811</v>
      </c>
      <c r="L573" t="s">
        <v>660</v>
      </c>
      <c r="M573" t="s">
        <v>1852</v>
      </c>
      <c r="N573">
        <v>158000</v>
      </c>
    </row>
    <row r="574" spans="1:15" x14ac:dyDescent="0.3">
      <c r="A574" t="s">
        <v>872</v>
      </c>
      <c r="B574" t="s">
        <v>1853</v>
      </c>
      <c r="C574" t="s">
        <v>664</v>
      </c>
      <c r="D574" t="s">
        <v>1854</v>
      </c>
      <c r="E574" t="s">
        <v>1855</v>
      </c>
      <c r="F574" t="s">
        <v>1855</v>
      </c>
      <c r="G574" t="s">
        <v>685</v>
      </c>
      <c r="H574" t="s">
        <v>1020</v>
      </c>
      <c r="I574" t="s">
        <v>670</v>
      </c>
      <c r="J574" t="s">
        <v>824</v>
      </c>
      <c r="K574" t="s">
        <v>824</v>
      </c>
      <c r="L574" t="s">
        <v>680</v>
      </c>
      <c r="M574" t="s">
        <v>1856</v>
      </c>
      <c r="N574">
        <v>138000</v>
      </c>
      <c r="O574">
        <v>158000</v>
      </c>
    </row>
    <row r="575" spans="1:15" x14ac:dyDescent="0.3">
      <c r="A575" t="s">
        <v>1628</v>
      </c>
      <c r="B575" t="s">
        <v>681</v>
      </c>
      <c r="C575" t="s">
        <v>1084</v>
      </c>
      <c r="D575" t="s">
        <v>667</v>
      </c>
      <c r="E575" t="s">
        <v>1085</v>
      </c>
      <c r="F575" t="s">
        <v>668</v>
      </c>
      <c r="G575" t="s">
        <v>660</v>
      </c>
      <c r="H575" t="s">
        <v>670</v>
      </c>
      <c r="I575" t="s">
        <v>824</v>
      </c>
      <c r="J575" t="s">
        <v>824</v>
      </c>
      <c r="K575" t="s">
        <v>722</v>
      </c>
      <c r="L575" t="s">
        <v>660</v>
      </c>
      <c r="M575" t="s">
        <v>1852</v>
      </c>
      <c r="N575">
        <v>158000</v>
      </c>
    </row>
    <row r="576" spans="1:15" x14ac:dyDescent="0.3">
      <c r="A576" t="s">
        <v>1629</v>
      </c>
      <c r="B576" t="s">
        <v>904</v>
      </c>
      <c r="C576" t="s">
        <v>1630</v>
      </c>
      <c r="D576" t="s">
        <v>1631</v>
      </c>
      <c r="E576" t="s">
        <v>1631</v>
      </c>
      <c r="F576" t="s">
        <v>655</v>
      </c>
      <c r="G576" t="s">
        <v>980</v>
      </c>
      <c r="H576" t="s">
        <v>694</v>
      </c>
      <c r="I576" t="s">
        <v>824</v>
      </c>
      <c r="J576" t="s">
        <v>824</v>
      </c>
      <c r="K576" t="s">
        <v>680</v>
      </c>
      <c r="L576" t="s">
        <v>660</v>
      </c>
      <c r="M576" t="s">
        <v>1852</v>
      </c>
      <c r="N576">
        <v>158000</v>
      </c>
    </row>
    <row r="577" spans="1:15" x14ac:dyDescent="0.3">
      <c r="A577" t="s">
        <v>1632</v>
      </c>
      <c r="B577" t="s">
        <v>729</v>
      </c>
      <c r="C577" t="s">
        <v>937</v>
      </c>
      <c r="D577" t="s">
        <v>938</v>
      </c>
      <c r="E577" t="s">
        <v>938</v>
      </c>
      <c r="F577" t="s">
        <v>754</v>
      </c>
      <c r="G577" t="s">
        <v>699</v>
      </c>
      <c r="H577" t="s">
        <v>694</v>
      </c>
      <c r="I577" t="s">
        <v>824</v>
      </c>
      <c r="J577" t="s">
        <v>824</v>
      </c>
      <c r="K577" t="s">
        <v>680</v>
      </c>
      <c r="L577" t="s">
        <v>660</v>
      </c>
      <c r="M577" t="s">
        <v>1852</v>
      </c>
      <c r="N577">
        <v>158000</v>
      </c>
    </row>
    <row r="578" spans="1:15" x14ac:dyDescent="0.3">
      <c r="A578" t="s">
        <v>1188</v>
      </c>
      <c r="B578" t="s">
        <v>729</v>
      </c>
      <c r="C578" t="s">
        <v>730</v>
      </c>
      <c r="D578" t="s">
        <v>667</v>
      </c>
      <c r="E578" t="s">
        <v>731</v>
      </c>
      <c r="F578" t="s">
        <v>685</v>
      </c>
      <c r="G578" t="s">
        <v>732</v>
      </c>
      <c r="H578" t="s">
        <v>694</v>
      </c>
      <c r="I578" t="s">
        <v>728</v>
      </c>
      <c r="J578" t="s">
        <v>701</v>
      </c>
      <c r="K578" t="s">
        <v>680</v>
      </c>
      <c r="L578" t="s">
        <v>733</v>
      </c>
      <c r="M578" t="s">
        <v>1852</v>
      </c>
      <c r="N578">
        <v>158000</v>
      </c>
    </row>
    <row r="579" spans="1:15" x14ac:dyDescent="0.3">
      <c r="A579" t="s">
        <v>1857</v>
      </c>
      <c r="B579" t="s">
        <v>674</v>
      </c>
      <c r="C579" t="s">
        <v>1858</v>
      </c>
      <c r="D579" t="s">
        <v>1013</v>
      </c>
      <c r="E579" t="s">
        <v>1013</v>
      </c>
      <c r="F579" t="s">
        <v>685</v>
      </c>
      <c r="G579" t="s">
        <v>660</v>
      </c>
      <c r="H579" t="s">
        <v>1537</v>
      </c>
      <c r="I579" t="s">
        <v>1538</v>
      </c>
      <c r="J579" t="s">
        <v>1539</v>
      </c>
      <c r="K579" t="s">
        <v>660</v>
      </c>
      <c r="L579" t="s">
        <v>660</v>
      </c>
      <c r="M579" t="s">
        <v>1852</v>
      </c>
      <c r="N579">
        <v>158000</v>
      </c>
    </row>
    <row r="580" spans="1:15" x14ac:dyDescent="0.3">
      <c r="A580" t="s">
        <v>1633</v>
      </c>
      <c r="B580" t="s">
        <v>703</v>
      </c>
      <c r="C580" t="s">
        <v>1634</v>
      </c>
      <c r="D580" t="s">
        <v>1635</v>
      </c>
      <c r="E580" t="s">
        <v>910</v>
      </c>
      <c r="F580" t="s">
        <v>707</v>
      </c>
      <c r="G580" t="s">
        <v>1520</v>
      </c>
      <c r="H580" t="s">
        <v>1048</v>
      </c>
      <c r="I580" t="s">
        <v>1036</v>
      </c>
      <c r="J580" t="s">
        <v>37</v>
      </c>
      <c r="K580" t="s">
        <v>660</v>
      </c>
      <c r="L580" t="s">
        <v>660</v>
      </c>
      <c r="M580" t="s">
        <v>1852</v>
      </c>
      <c r="N580">
        <v>158000</v>
      </c>
    </row>
    <row r="581" spans="1:15" x14ac:dyDescent="0.3">
      <c r="A581" t="s">
        <v>1859</v>
      </c>
      <c r="B581" t="s">
        <v>1860</v>
      </c>
      <c r="C581" t="s">
        <v>1861</v>
      </c>
      <c r="D581" t="s">
        <v>1862</v>
      </c>
      <c r="E581" t="s">
        <v>712</v>
      </c>
      <c r="F581" t="s">
        <v>692</v>
      </c>
      <c r="G581" t="s">
        <v>660</v>
      </c>
      <c r="H581" t="s">
        <v>694</v>
      </c>
      <c r="I581" t="s">
        <v>709</v>
      </c>
      <c r="J581" t="s">
        <v>709</v>
      </c>
      <c r="K581" t="s">
        <v>660</v>
      </c>
      <c r="L581" t="s">
        <v>660</v>
      </c>
      <c r="M581" t="s">
        <v>1852</v>
      </c>
      <c r="N581">
        <v>158000</v>
      </c>
    </row>
    <row r="582" spans="1:15" x14ac:dyDescent="0.3">
      <c r="A582" t="s">
        <v>1863</v>
      </c>
      <c r="B582" t="s">
        <v>1864</v>
      </c>
      <c r="C582" t="s">
        <v>836</v>
      </c>
      <c r="D582" t="s">
        <v>1865</v>
      </c>
      <c r="E582" t="s">
        <v>885</v>
      </c>
      <c r="F582" t="s">
        <v>885</v>
      </c>
      <c r="G582" t="s">
        <v>692</v>
      </c>
      <c r="H582" t="s">
        <v>888</v>
      </c>
      <c r="I582" t="s">
        <v>670</v>
      </c>
      <c r="J582" t="s">
        <v>709</v>
      </c>
      <c r="K582" t="s">
        <v>709</v>
      </c>
      <c r="L582" t="s">
        <v>660</v>
      </c>
      <c r="M582" t="s">
        <v>660</v>
      </c>
      <c r="N582">
        <v>138000</v>
      </c>
      <c r="O582">
        <v>158000</v>
      </c>
    </row>
    <row r="583" spans="1:15" x14ac:dyDescent="0.3">
      <c r="A583" t="s">
        <v>1866</v>
      </c>
      <c r="B583" t="s">
        <v>703</v>
      </c>
      <c r="C583" t="s">
        <v>1634</v>
      </c>
      <c r="D583" t="s">
        <v>1635</v>
      </c>
      <c r="E583" t="s">
        <v>910</v>
      </c>
      <c r="F583" t="s">
        <v>707</v>
      </c>
      <c r="G583" t="s">
        <v>1520</v>
      </c>
      <c r="H583" t="s">
        <v>1048</v>
      </c>
      <c r="I583" t="s">
        <v>1036</v>
      </c>
      <c r="J583" t="s">
        <v>37</v>
      </c>
      <c r="K583" t="s">
        <v>660</v>
      </c>
      <c r="L583" t="s">
        <v>660</v>
      </c>
      <c r="M583" t="s">
        <v>1852</v>
      </c>
      <c r="N583">
        <v>158000</v>
      </c>
    </row>
    <row r="584" spans="1:15" x14ac:dyDescent="0.3">
      <c r="A584" t="s">
        <v>1643</v>
      </c>
      <c r="B584" t="s">
        <v>848</v>
      </c>
      <c r="C584" t="s">
        <v>1644</v>
      </c>
      <c r="D584" t="s">
        <v>1645</v>
      </c>
      <c r="E584" t="s">
        <v>1645</v>
      </c>
      <c r="F584" t="s">
        <v>668</v>
      </c>
      <c r="G584" t="s">
        <v>1646</v>
      </c>
      <c r="H584" t="s">
        <v>694</v>
      </c>
      <c r="I584" t="s">
        <v>944</v>
      </c>
      <c r="J584" t="s">
        <v>688</v>
      </c>
      <c r="K584" t="s">
        <v>710</v>
      </c>
      <c r="L584" t="s">
        <v>660</v>
      </c>
      <c r="M584" t="s">
        <v>1852</v>
      </c>
      <c r="N584">
        <v>158000</v>
      </c>
    </row>
    <row r="585" spans="1:15" x14ac:dyDescent="0.3">
      <c r="A585" t="s">
        <v>1867</v>
      </c>
      <c r="B585" t="s">
        <v>848</v>
      </c>
      <c r="C585" t="s">
        <v>1133</v>
      </c>
      <c r="D585" t="s">
        <v>712</v>
      </c>
      <c r="E585" t="s">
        <v>712</v>
      </c>
      <c r="F585" t="s">
        <v>668</v>
      </c>
      <c r="G585" t="s">
        <v>881</v>
      </c>
      <c r="H585" t="s">
        <v>657</v>
      </c>
      <c r="I585" t="s">
        <v>767</v>
      </c>
      <c r="J585" t="s">
        <v>746</v>
      </c>
      <c r="K585" t="s">
        <v>673</v>
      </c>
      <c r="L585" t="s">
        <v>1134</v>
      </c>
      <c r="M585" t="s">
        <v>1852</v>
      </c>
      <c r="N585">
        <v>158000</v>
      </c>
    </row>
    <row r="586" spans="1:15" x14ac:dyDescent="0.3">
      <c r="A586" t="s">
        <v>1647</v>
      </c>
      <c r="B586" t="s">
        <v>832</v>
      </c>
      <c r="C586" t="s">
        <v>1648</v>
      </c>
      <c r="D586" t="s">
        <v>1512</v>
      </c>
      <c r="E586" t="s">
        <v>1069</v>
      </c>
      <c r="F586" t="s">
        <v>692</v>
      </c>
      <c r="G586" t="s">
        <v>737</v>
      </c>
      <c r="H586" t="s">
        <v>694</v>
      </c>
      <c r="I586" t="s">
        <v>728</v>
      </c>
      <c r="J586" t="s">
        <v>701</v>
      </c>
      <c r="K586" t="s">
        <v>660</v>
      </c>
      <c r="L586" t="s">
        <v>660</v>
      </c>
      <c r="M586" t="s">
        <v>1852</v>
      </c>
      <c r="N586">
        <v>158000</v>
      </c>
    </row>
    <row r="587" spans="1:15" x14ac:dyDescent="0.3">
      <c r="A587" t="s">
        <v>1868</v>
      </c>
      <c r="B587" t="s">
        <v>1869</v>
      </c>
      <c r="C587" t="s">
        <v>717</v>
      </c>
      <c r="D587" t="s">
        <v>1870</v>
      </c>
      <c r="E587" t="s">
        <v>1862</v>
      </c>
      <c r="F587" t="s">
        <v>712</v>
      </c>
      <c r="G587" t="s">
        <v>692</v>
      </c>
      <c r="H587" t="s">
        <v>660</v>
      </c>
      <c r="I587" t="s">
        <v>670</v>
      </c>
      <c r="J587" t="s">
        <v>882</v>
      </c>
      <c r="K587" t="s">
        <v>882</v>
      </c>
      <c r="L587" t="s">
        <v>660</v>
      </c>
      <c r="M587" t="s">
        <v>660</v>
      </c>
      <c r="N587">
        <v>138000</v>
      </c>
      <c r="O587">
        <v>158000</v>
      </c>
    </row>
    <row r="588" spans="1:15" x14ac:dyDescent="0.3">
      <c r="A588" t="s">
        <v>840</v>
      </c>
      <c r="B588" t="s">
        <v>757</v>
      </c>
      <c r="C588" t="s">
        <v>809</v>
      </c>
      <c r="D588" t="s">
        <v>726</v>
      </c>
      <c r="E588" t="s">
        <v>726</v>
      </c>
      <c r="F588" t="s">
        <v>692</v>
      </c>
      <c r="G588" t="s">
        <v>810</v>
      </c>
      <c r="H588" t="s">
        <v>694</v>
      </c>
      <c r="I588" t="s">
        <v>695</v>
      </c>
      <c r="J588" t="s">
        <v>672</v>
      </c>
      <c r="K588" t="s">
        <v>811</v>
      </c>
      <c r="L588" t="s">
        <v>660</v>
      </c>
      <c r="M588" t="s">
        <v>1852</v>
      </c>
      <c r="N588">
        <v>158000</v>
      </c>
    </row>
    <row r="589" spans="1:15" x14ac:dyDescent="0.3">
      <c r="A589" t="s">
        <v>1871</v>
      </c>
      <c r="B589" t="s">
        <v>848</v>
      </c>
      <c r="C589" t="s">
        <v>1872</v>
      </c>
      <c r="D589" t="s">
        <v>1873</v>
      </c>
      <c r="E589" t="s">
        <v>1873</v>
      </c>
      <c r="F589" t="s">
        <v>655</v>
      </c>
      <c r="G589" t="s">
        <v>708</v>
      </c>
      <c r="H589" t="s">
        <v>670</v>
      </c>
      <c r="I589" t="s">
        <v>789</v>
      </c>
      <c r="J589" t="s">
        <v>790</v>
      </c>
      <c r="K589" t="s">
        <v>673</v>
      </c>
      <c r="L589" t="s">
        <v>660</v>
      </c>
      <c r="M589" t="s">
        <v>1852</v>
      </c>
      <c r="N589">
        <v>158000</v>
      </c>
    </row>
    <row r="590" spans="1:15" x14ac:dyDescent="0.3">
      <c r="A590" t="s">
        <v>1104</v>
      </c>
      <c r="B590" t="s">
        <v>690</v>
      </c>
      <c r="C590" t="s">
        <v>691</v>
      </c>
      <c r="D590" t="s">
        <v>654</v>
      </c>
      <c r="E590" t="s">
        <v>654</v>
      </c>
      <c r="F590" t="s">
        <v>692</v>
      </c>
      <c r="G590" t="s">
        <v>693</v>
      </c>
      <c r="H590" t="s">
        <v>694</v>
      </c>
      <c r="I590" t="s">
        <v>695</v>
      </c>
      <c r="J590" t="s">
        <v>672</v>
      </c>
      <c r="K590" t="s">
        <v>660</v>
      </c>
      <c r="L590" t="s">
        <v>696</v>
      </c>
      <c r="M590" t="s">
        <v>1852</v>
      </c>
      <c r="N590">
        <v>158000</v>
      </c>
    </row>
    <row r="591" spans="1:15" x14ac:dyDescent="0.3">
      <c r="A591" t="s">
        <v>1874</v>
      </c>
      <c r="B591" t="s">
        <v>674</v>
      </c>
      <c r="C591" t="s">
        <v>1875</v>
      </c>
      <c r="D591" t="s">
        <v>1419</v>
      </c>
      <c r="E591" t="s">
        <v>1876</v>
      </c>
      <c r="F591" t="s">
        <v>707</v>
      </c>
      <c r="G591" t="s">
        <v>1877</v>
      </c>
      <c r="H591" t="s">
        <v>746</v>
      </c>
      <c r="I591" t="s">
        <v>767</v>
      </c>
      <c r="J591" t="s">
        <v>746</v>
      </c>
      <c r="K591" t="s">
        <v>722</v>
      </c>
      <c r="L591" t="s">
        <v>1878</v>
      </c>
      <c r="M591" t="s">
        <v>1852</v>
      </c>
      <c r="N591">
        <v>158000</v>
      </c>
    </row>
    <row r="592" spans="1:15" x14ac:dyDescent="0.3">
      <c r="A592" t="s">
        <v>840</v>
      </c>
      <c r="B592" t="s">
        <v>681</v>
      </c>
      <c r="C592" t="s">
        <v>1084</v>
      </c>
      <c r="D592" t="s">
        <v>826</v>
      </c>
      <c r="E592" t="s">
        <v>1085</v>
      </c>
      <c r="F592" t="s">
        <v>668</v>
      </c>
      <c r="G592" t="s">
        <v>660</v>
      </c>
      <c r="H592" t="s">
        <v>670</v>
      </c>
      <c r="I592" t="s">
        <v>824</v>
      </c>
      <c r="J592" t="s">
        <v>824</v>
      </c>
      <c r="K592" t="s">
        <v>722</v>
      </c>
      <c r="L592" t="s">
        <v>660</v>
      </c>
      <c r="M592" t="s">
        <v>1852</v>
      </c>
      <c r="N592">
        <v>158000</v>
      </c>
    </row>
    <row r="593" spans="1:14" x14ac:dyDescent="0.3">
      <c r="A593" t="s">
        <v>1027</v>
      </c>
      <c r="B593" t="s">
        <v>904</v>
      </c>
      <c r="C593" t="s">
        <v>999</v>
      </c>
      <c r="D593" t="s">
        <v>1000</v>
      </c>
      <c r="E593" t="s">
        <v>1001</v>
      </c>
      <c r="F593" t="s">
        <v>707</v>
      </c>
      <c r="G593" t="s">
        <v>1002</v>
      </c>
      <c r="H593" t="s">
        <v>670</v>
      </c>
      <c r="I593" t="s">
        <v>709</v>
      </c>
      <c r="J593" t="s">
        <v>709</v>
      </c>
      <c r="K593" t="s">
        <v>710</v>
      </c>
      <c r="L593" t="s">
        <v>1003</v>
      </c>
      <c r="M593" t="s">
        <v>1879</v>
      </c>
      <c r="N593">
        <v>132000</v>
      </c>
    </row>
    <row r="594" spans="1:14" x14ac:dyDescent="0.3">
      <c r="A594" t="s">
        <v>893</v>
      </c>
      <c r="B594" t="s">
        <v>904</v>
      </c>
      <c r="C594" t="s">
        <v>967</v>
      </c>
      <c r="D594" t="s">
        <v>793</v>
      </c>
      <c r="E594" t="s">
        <v>968</v>
      </c>
      <c r="F594" t="s">
        <v>668</v>
      </c>
      <c r="G594" t="s">
        <v>969</v>
      </c>
      <c r="H594" t="s">
        <v>670</v>
      </c>
      <c r="I594" t="s">
        <v>700</v>
      </c>
      <c r="J594" t="s">
        <v>701</v>
      </c>
      <c r="K594" t="s">
        <v>722</v>
      </c>
      <c r="L594" t="s">
        <v>660</v>
      </c>
      <c r="M594" t="s">
        <v>1879</v>
      </c>
      <c r="N594">
        <v>132000</v>
      </c>
    </row>
    <row r="595" spans="1:14" x14ac:dyDescent="0.3">
      <c r="A595" t="s">
        <v>663</v>
      </c>
      <c r="B595" t="s">
        <v>757</v>
      </c>
      <c r="C595" t="s">
        <v>1745</v>
      </c>
      <c r="D595" t="s">
        <v>1746</v>
      </c>
      <c r="E595" t="s">
        <v>1747</v>
      </c>
      <c r="F595" t="s">
        <v>655</v>
      </c>
      <c r="G595" t="s">
        <v>693</v>
      </c>
      <c r="H595" t="s">
        <v>694</v>
      </c>
      <c r="I595" t="s">
        <v>1748</v>
      </c>
      <c r="J595" t="s">
        <v>1749</v>
      </c>
      <c r="K595" t="s">
        <v>680</v>
      </c>
      <c r="L595" t="s">
        <v>660</v>
      </c>
      <c r="M595" t="s">
        <v>1879</v>
      </c>
      <c r="N595">
        <v>132000</v>
      </c>
    </row>
    <row r="596" spans="1:14" x14ac:dyDescent="0.3">
      <c r="A596" t="s">
        <v>663</v>
      </c>
      <c r="B596" t="s">
        <v>703</v>
      </c>
      <c r="C596" t="s">
        <v>1502</v>
      </c>
      <c r="D596" t="s">
        <v>1880</v>
      </c>
      <c r="E596" t="s">
        <v>1503</v>
      </c>
      <c r="F596" t="s">
        <v>707</v>
      </c>
      <c r="G596" t="s">
        <v>1504</v>
      </c>
      <c r="H596" t="s">
        <v>670</v>
      </c>
      <c r="I596" t="s">
        <v>709</v>
      </c>
      <c r="J596" t="s">
        <v>709</v>
      </c>
      <c r="K596" t="s">
        <v>710</v>
      </c>
      <c r="L596" t="s">
        <v>1505</v>
      </c>
      <c r="M596" t="s">
        <v>1879</v>
      </c>
      <c r="N596">
        <v>132000</v>
      </c>
    </row>
    <row r="597" spans="1:14" x14ac:dyDescent="0.3">
      <c r="A597" t="s">
        <v>663</v>
      </c>
      <c r="B597" t="s">
        <v>674</v>
      </c>
      <c r="C597" t="s">
        <v>1881</v>
      </c>
      <c r="D597" t="s">
        <v>759</v>
      </c>
      <c r="E597" t="s">
        <v>1882</v>
      </c>
      <c r="F597" t="s">
        <v>1248</v>
      </c>
      <c r="G597" t="s">
        <v>1305</v>
      </c>
      <c r="H597" t="s">
        <v>746</v>
      </c>
      <c r="I597" t="s">
        <v>767</v>
      </c>
      <c r="J597" t="s">
        <v>746</v>
      </c>
      <c r="K597" t="s">
        <v>660</v>
      </c>
      <c r="L597" t="s">
        <v>660</v>
      </c>
      <c r="M597" t="s">
        <v>1879</v>
      </c>
      <c r="N597">
        <v>132000</v>
      </c>
    </row>
    <row r="598" spans="1:14" x14ac:dyDescent="0.3">
      <c r="A598" t="s">
        <v>663</v>
      </c>
      <c r="B598" t="s">
        <v>729</v>
      </c>
      <c r="C598" t="s">
        <v>1883</v>
      </c>
      <c r="D598" t="s">
        <v>726</v>
      </c>
      <c r="E598" t="s">
        <v>726</v>
      </c>
      <c r="F598" t="s">
        <v>754</v>
      </c>
      <c r="G598" t="s">
        <v>844</v>
      </c>
      <c r="H598" t="s">
        <v>694</v>
      </c>
      <c r="I598" t="s">
        <v>679</v>
      </c>
      <c r="J598" t="s">
        <v>672</v>
      </c>
      <c r="K598" t="s">
        <v>845</v>
      </c>
      <c r="L598" t="s">
        <v>660</v>
      </c>
      <c r="M598" t="s">
        <v>1879</v>
      </c>
      <c r="N598">
        <v>132000</v>
      </c>
    </row>
    <row r="599" spans="1:14" x14ac:dyDescent="0.3">
      <c r="A599" t="s">
        <v>663</v>
      </c>
      <c r="B599" t="s">
        <v>795</v>
      </c>
      <c r="C599" t="s">
        <v>1884</v>
      </c>
      <c r="D599" t="s">
        <v>1007</v>
      </c>
      <c r="E599" t="s">
        <v>1007</v>
      </c>
      <c r="F599" t="s">
        <v>692</v>
      </c>
      <c r="G599" t="s">
        <v>1043</v>
      </c>
      <c r="H599" t="s">
        <v>694</v>
      </c>
      <c r="I599" t="s">
        <v>695</v>
      </c>
      <c r="J599" t="s">
        <v>672</v>
      </c>
      <c r="K599" t="s">
        <v>811</v>
      </c>
      <c r="L599" t="s">
        <v>660</v>
      </c>
      <c r="M599" t="s">
        <v>1879</v>
      </c>
      <c r="N599">
        <v>132000</v>
      </c>
    </row>
    <row r="600" spans="1:14" x14ac:dyDescent="0.3">
      <c r="A600" t="s">
        <v>663</v>
      </c>
      <c r="B600" t="s">
        <v>724</v>
      </c>
      <c r="C600" t="s">
        <v>1885</v>
      </c>
      <c r="D600" t="s">
        <v>1886</v>
      </c>
      <c r="E600" t="s">
        <v>654</v>
      </c>
      <c r="F600" t="s">
        <v>765</v>
      </c>
      <c r="G600" t="s">
        <v>660</v>
      </c>
      <c r="H600" t="s">
        <v>694</v>
      </c>
      <c r="I600" t="s">
        <v>882</v>
      </c>
      <c r="J600" t="s">
        <v>882</v>
      </c>
      <c r="K600" t="s">
        <v>660</v>
      </c>
      <c r="L600" t="s">
        <v>660</v>
      </c>
      <c r="M600" t="s">
        <v>1879</v>
      </c>
      <c r="N600">
        <v>132000</v>
      </c>
    </row>
    <row r="601" spans="1:14" x14ac:dyDescent="0.3">
      <c r="A601" t="s">
        <v>663</v>
      </c>
      <c r="B601" t="s">
        <v>690</v>
      </c>
      <c r="C601" t="s">
        <v>1887</v>
      </c>
      <c r="D601" t="s">
        <v>1077</v>
      </c>
      <c r="E601" t="s">
        <v>1077</v>
      </c>
      <c r="F601" t="s">
        <v>707</v>
      </c>
      <c r="G601" t="s">
        <v>828</v>
      </c>
      <c r="H601" t="s">
        <v>694</v>
      </c>
      <c r="I601" t="s">
        <v>789</v>
      </c>
      <c r="J601" t="s">
        <v>790</v>
      </c>
      <c r="K601" t="s">
        <v>660</v>
      </c>
      <c r="L601" t="s">
        <v>660</v>
      </c>
      <c r="M601" t="s">
        <v>1879</v>
      </c>
      <c r="N601">
        <v>132000</v>
      </c>
    </row>
    <row r="602" spans="1:14" x14ac:dyDescent="0.3">
      <c r="A602" t="s">
        <v>663</v>
      </c>
      <c r="B602" t="s">
        <v>690</v>
      </c>
      <c r="C602" t="s">
        <v>1753</v>
      </c>
      <c r="D602" t="s">
        <v>842</v>
      </c>
      <c r="E602" t="s">
        <v>1039</v>
      </c>
      <c r="F602" t="s">
        <v>754</v>
      </c>
      <c r="G602" t="s">
        <v>992</v>
      </c>
      <c r="H602" t="s">
        <v>694</v>
      </c>
      <c r="I602" t="s">
        <v>738</v>
      </c>
      <c r="J602" t="s">
        <v>701</v>
      </c>
      <c r="K602" t="s">
        <v>680</v>
      </c>
      <c r="L602" t="s">
        <v>660</v>
      </c>
      <c r="M602" t="s">
        <v>1879</v>
      </c>
      <c r="N602">
        <v>132000</v>
      </c>
    </row>
    <row r="603" spans="1:14" x14ac:dyDescent="0.3">
      <c r="A603" t="s">
        <v>663</v>
      </c>
      <c r="B603" t="s">
        <v>791</v>
      </c>
      <c r="C603" t="s">
        <v>1888</v>
      </c>
      <c r="D603" t="s">
        <v>1889</v>
      </c>
      <c r="E603" t="s">
        <v>1656</v>
      </c>
      <c r="F603" t="s">
        <v>692</v>
      </c>
      <c r="G603" t="s">
        <v>1237</v>
      </c>
      <c r="H603" t="s">
        <v>694</v>
      </c>
      <c r="I603" t="s">
        <v>773</v>
      </c>
      <c r="J603" t="s">
        <v>701</v>
      </c>
      <c r="K603" t="s">
        <v>815</v>
      </c>
      <c r="L603" t="s">
        <v>660</v>
      </c>
      <c r="M603" t="s">
        <v>1879</v>
      </c>
      <c r="N603">
        <v>132000</v>
      </c>
    </row>
    <row r="604" spans="1:14" x14ac:dyDescent="0.3">
      <c r="A604" t="s">
        <v>1559</v>
      </c>
      <c r="B604" t="s">
        <v>729</v>
      </c>
      <c r="C604" t="s">
        <v>1560</v>
      </c>
      <c r="D604" t="s">
        <v>1561</v>
      </c>
      <c r="E604" t="s">
        <v>1561</v>
      </c>
      <c r="F604" t="s">
        <v>668</v>
      </c>
      <c r="G604" t="s">
        <v>1562</v>
      </c>
      <c r="H604" t="s">
        <v>657</v>
      </c>
      <c r="I604" t="s">
        <v>824</v>
      </c>
      <c r="J604" t="s">
        <v>824</v>
      </c>
      <c r="K604" t="s">
        <v>673</v>
      </c>
      <c r="L604" t="s">
        <v>1563</v>
      </c>
      <c r="M604" t="s">
        <v>1879</v>
      </c>
      <c r="N604">
        <v>132000</v>
      </c>
    </row>
    <row r="605" spans="1:14" x14ac:dyDescent="0.3">
      <c r="A605" t="s">
        <v>1293</v>
      </c>
      <c r="B605" t="s">
        <v>832</v>
      </c>
      <c r="C605" t="s">
        <v>1294</v>
      </c>
      <c r="D605" t="s">
        <v>1093</v>
      </c>
      <c r="E605" t="s">
        <v>1295</v>
      </c>
      <c r="F605" t="s">
        <v>765</v>
      </c>
      <c r="G605" t="s">
        <v>797</v>
      </c>
      <c r="H605" t="s">
        <v>694</v>
      </c>
      <c r="I605" t="s">
        <v>738</v>
      </c>
      <c r="J605" t="s">
        <v>701</v>
      </c>
      <c r="K605" t="s">
        <v>864</v>
      </c>
      <c r="L605" t="s">
        <v>660</v>
      </c>
      <c r="M605" t="s">
        <v>1879</v>
      </c>
      <c r="N605">
        <v>132000</v>
      </c>
    </row>
    <row r="606" spans="1:14" x14ac:dyDescent="0.3">
      <c r="A606" t="s">
        <v>663</v>
      </c>
      <c r="B606" t="s">
        <v>681</v>
      </c>
      <c r="C606" t="s">
        <v>1755</v>
      </c>
      <c r="D606" t="s">
        <v>1756</v>
      </c>
      <c r="E606" t="s">
        <v>1757</v>
      </c>
      <c r="F606" t="s">
        <v>765</v>
      </c>
      <c r="G606" t="s">
        <v>699</v>
      </c>
      <c r="H606" t="s">
        <v>694</v>
      </c>
      <c r="I606" t="s">
        <v>789</v>
      </c>
      <c r="J606" t="s">
        <v>790</v>
      </c>
      <c r="K606" t="s">
        <v>864</v>
      </c>
      <c r="L606" t="s">
        <v>660</v>
      </c>
      <c r="M606" t="s">
        <v>1879</v>
      </c>
      <c r="N606">
        <v>132000</v>
      </c>
    </row>
    <row r="607" spans="1:14" x14ac:dyDescent="0.3">
      <c r="A607" t="s">
        <v>663</v>
      </c>
      <c r="B607" t="s">
        <v>904</v>
      </c>
      <c r="C607" t="s">
        <v>1758</v>
      </c>
      <c r="D607" t="s">
        <v>654</v>
      </c>
      <c r="E607" t="s">
        <v>1759</v>
      </c>
      <c r="F607" t="s">
        <v>765</v>
      </c>
      <c r="G607" t="s">
        <v>660</v>
      </c>
      <c r="H607" t="s">
        <v>694</v>
      </c>
      <c r="I607" t="s">
        <v>1680</v>
      </c>
      <c r="J607" t="s">
        <v>1681</v>
      </c>
      <c r="K607" t="s">
        <v>1053</v>
      </c>
      <c r="L607" t="s">
        <v>660</v>
      </c>
      <c r="M607" t="s">
        <v>1879</v>
      </c>
      <c r="N607">
        <v>132000</v>
      </c>
    </row>
    <row r="608" spans="1:14" x14ac:dyDescent="0.3">
      <c r="A608" t="s">
        <v>663</v>
      </c>
      <c r="B608" t="s">
        <v>717</v>
      </c>
      <c r="C608" t="s">
        <v>1890</v>
      </c>
      <c r="D608" t="s">
        <v>759</v>
      </c>
      <c r="E608" t="s">
        <v>1039</v>
      </c>
      <c r="F608" t="s">
        <v>692</v>
      </c>
      <c r="G608" t="s">
        <v>766</v>
      </c>
      <c r="H608" t="s">
        <v>943</v>
      </c>
      <c r="I608" t="s">
        <v>728</v>
      </c>
      <c r="J608" t="s">
        <v>701</v>
      </c>
      <c r="K608" t="s">
        <v>680</v>
      </c>
      <c r="L608" t="s">
        <v>660</v>
      </c>
      <c r="M608" t="s">
        <v>1879</v>
      </c>
      <c r="N608">
        <v>132000</v>
      </c>
    </row>
    <row r="609" spans="1:14" x14ac:dyDescent="0.3">
      <c r="A609" t="s">
        <v>663</v>
      </c>
      <c r="B609" t="s">
        <v>664</v>
      </c>
      <c r="C609" t="s">
        <v>1891</v>
      </c>
      <c r="D609" t="s">
        <v>813</v>
      </c>
      <c r="E609" t="s">
        <v>1757</v>
      </c>
      <c r="F609" t="s">
        <v>707</v>
      </c>
      <c r="G609" t="s">
        <v>852</v>
      </c>
      <c r="H609" t="s">
        <v>694</v>
      </c>
      <c r="I609" t="s">
        <v>738</v>
      </c>
      <c r="J609" t="s">
        <v>701</v>
      </c>
      <c r="K609" t="s">
        <v>673</v>
      </c>
      <c r="L609" t="s">
        <v>1892</v>
      </c>
      <c r="M609" t="s">
        <v>1879</v>
      </c>
      <c r="N609">
        <v>132000</v>
      </c>
    </row>
    <row r="610" spans="1:14" x14ac:dyDescent="0.3">
      <c r="A610" t="s">
        <v>663</v>
      </c>
      <c r="B610" t="s">
        <v>791</v>
      </c>
      <c r="C610" t="s">
        <v>1893</v>
      </c>
      <c r="D610" t="s">
        <v>779</v>
      </c>
      <c r="E610" t="s">
        <v>779</v>
      </c>
      <c r="F610" t="s">
        <v>765</v>
      </c>
      <c r="G610" t="s">
        <v>660</v>
      </c>
      <c r="H610" t="s">
        <v>694</v>
      </c>
      <c r="I610" t="s">
        <v>679</v>
      </c>
      <c r="J610" t="s">
        <v>672</v>
      </c>
      <c r="K610" t="s">
        <v>864</v>
      </c>
      <c r="L610" t="s">
        <v>660</v>
      </c>
      <c r="M610" t="s">
        <v>1879</v>
      </c>
      <c r="N610">
        <v>132000</v>
      </c>
    </row>
    <row r="611" spans="1:14" x14ac:dyDescent="0.3">
      <c r="A611" t="s">
        <v>663</v>
      </c>
      <c r="B611" t="s">
        <v>757</v>
      </c>
      <c r="C611" t="s">
        <v>1894</v>
      </c>
      <c r="D611" t="s">
        <v>1184</v>
      </c>
      <c r="E611" t="s">
        <v>1184</v>
      </c>
      <c r="F611" t="s">
        <v>692</v>
      </c>
      <c r="G611" t="s">
        <v>992</v>
      </c>
      <c r="H611" t="s">
        <v>694</v>
      </c>
      <c r="I611" t="s">
        <v>824</v>
      </c>
      <c r="J611" t="s">
        <v>824</v>
      </c>
      <c r="K611" t="s">
        <v>815</v>
      </c>
      <c r="L611" t="s">
        <v>660</v>
      </c>
      <c r="M611" t="s">
        <v>1879</v>
      </c>
      <c r="N611">
        <v>132000</v>
      </c>
    </row>
    <row r="612" spans="1:14" x14ac:dyDescent="0.3">
      <c r="A612" t="s">
        <v>663</v>
      </c>
      <c r="B612" t="s">
        <v>734</v>
      </c>
      <c r="C612" t="s">
        <v>1763</v>
      </c>
      <c r="D612" t="s">
        <v>759</v>
      </c>
      <c r="E612" t="s">
        <v>1764</v>
      </c>
      <c r="F612" t="s">
        <v>765</v>
      </c>
      <c r="G612" t="s">
        <v>660</v>
      </c>
      <c r="H612" t="s">
        <v>694</v>
      </c>
      <c r="I612" t="s">
        <v>882</v>
      </c>
      <c r="J612" t="s">
        <v>882</v>
      </c>
      <c r="K612" t="s">
        <v>864</v>
      </c>
      <c r="L612" t="s">
        <v>660</v>
      </c>
      <c r="M612" t="s">
        <v>1879</v>
      </c>
      <c r="N612">
        <v>132000</v>
      </c>
    </row>
    <row r="613" spans="1:14" x14ac:dyDescent="0.3">
      <c r="A613" t="s">
        <v>1032</v>
      </c>
      <c r="B613" t="s">
        <v>724</v>
      </c>
      <c r="C613" t="s">
        <v>1033</v>
      </c>
      <c r="D613" t="s">
        <v>1034</v>
      </c>
      <c r="E613" t="s">
        <v>1035</v>
      </c>
      <c r="F613" t="s">
        <v>754</v>
      </c>
      <c r="G613" t="s">
        <v>766</v>
      </c>
      <c r="H613" t="s">
        <v>694</v>
      </c>
      <c r="I613" t="s">
        <v>1036</v>
      </c>
      <c r="J613" t="s">
        <v>37</v>
      </c>
      <c r="K613" t="s">
        <v>660</v>
      </c>
      <c r="L613" t="s">
        <v>660</v>
      </c>
      <c r="M613" t="s">
        <v>1895</v>
      </c>
      <c r="N613">
        <v>141000</v>
      </c>
    </row>
    <row r="614" spans="1:14" x14ac:dyDescent="0.3">
      <c r="A614" t="s">
        <v>893</v>
      </c>
      <c r="B614" t="s">
        <v>664</v>
      </c>
      <c r="C614" t="s">
        <v>665</v>
      </c>
      <c r="D614" t="s">
        <v>1031</v>
      </c>
      <c r="E614" t="s">
        <v>667</v>
      </c>
      <c r="F614" t="s">
        <v>668</v>
      </c>
      <c r="G614" t="s">
        <v>669</v>
      </c>
      <c r="H614" t="s">
        <v>670</v>
      </c>
      <c r="I614" t="s">
        <v>671</v>
      </c>
      <c r="J614" t="s">
        <v>672</v>
      </c>
      <c r="K614" t="s">
        <v>673</v>
      </c>
      <c r="L614" t="s">
        <v>660</v>
      </c>
      <c r="M614" t="s">
        <v>1895</v>
      </c>
      <c r="N614">
        <v>141000</v>
      </c>
    </row>
    <row r="615" spans="1:14" x14ac:dyDescent="0.3">
      <c r="A615" t="s">
        <v>663</v>
      </c>
      <c r="B615" t="s">
        <v>660</v>
      </c>
      <c r="C615" t="s">
        <v>1896</v>
      </c>
      <c r="D615" t="s">
        <v>1689</v>
      </c>
      <c r="E615" t="s">
        <v>882</v>
      </c>
      <c r="F615" t="s">
        <v>882</v>
      </c>
      <c r="G615" t="s">
        <v>660</v>
      </c>
      <c r="H615" t="s">
        <v>882</v>
      </c>
      <c r="I615" t="s">
        <v>882</v>
      </c>
      <c r="J615" t="s">
        <v>882</v>
      </c>
      <c r="K615" t="s">
        <v>882</v>
      </c>
      <c r="L615" t="s">
        <v>660</v>
      </c>
      <c r="M615" t="s">
        <v>1895</v>
      </c>
      <c r="N615">
        <v>141000</v>
      </c>
    </row>
    <row r="616" spans="1:14" x14ac:dyDescent="0.3">
      <c r="A616" t="s">
        <v>663</v>
      </c>
      <c r="B616" t="s">
        <v>791</v>
      </c>
      <c r="C616" t="s">
        <v>1897</v>
      </c>
      <c r="D616" t="s">
        <v>1898</v>
      </c>
      <c r="E616" t="s">
        <v>1098</v>
      </c>
      <c r="F616" t="s">
        <v>707</v>
      </c>
      <c r="G616" t="s">
        <v>1606</v>
      </c>
      <c r="H616" t="s">
        <v>694</v>
      </c>
      <c r="I616" t="s">
        <v>658</v>
      </c>
      <c r="J616" t="s">
        <v>659</v>
      </c>
      <c r="K616" t="s">
        <v>710</v>
      </c>
      <c r="L616" t="s">
        <v>1899</v>
      </c>
      <c r="M616" t="s">
        <v>1895</v>
      </c>
      <c r="N616">
        <v>141000</v>
      </c>
    </row>
    <row r="617" spans="1:14" x14ac:dyDescent="0.3">
      <c r="A617" t="s">
        <v>663</v>
      </c>
      <c r="B617" t="s">
        <v>660</v>
      </c>
      <c r="C617" t="s">
        <v>1900</v>
      </c>
      <c r="D617" t="s">
        <v>1901</v>
      </c>
      <c r="E617" t="s">
        <v>826</v>
      </c>
      <c r="F617" t="s">
        <v>1248</v>
      </c>
      <c r="G617" t="s">
        <v>660</v>
      </c>
      <c r="H617" t="s">
        <v>694</v>
      </c>
      <c r="I617" t="s">
        <v>882</v>
      </c>
      <c r="J617" t="s">
        <v>882</v>
      </c>
      <c r="K617" t="s">
        <v>660</v>
      </c>
      <c r="L617" t="s">
        <v>660</v>
      </c>
      <c r="M617" t="s">
        <v>1895</v>
      </c>
      <c r="N617">
        <v>141000</v>
      </c>
    </row>
    <row r="618" spans="1:14" x14ac:dyDescent="0.3">
      <c r="A618" t="s">
        <v>663</v>
      </c>
      <c r="B618" t="s">
        <v>829</v>
      </c>
      <c r="C618" t="s">
        <v>1902</v>
      </c>
      <c r="D618" t="s">
        <v>1261</v>
      </c>
      <c r="E618" t="s">
        <v>1903</v>
      </c>
      <c r="F618" t="s">
        <v>655</v>
      </c>
      <c r="G618" t="s">
        <v>721</v>
      </c>
      <c r="H618" t="s">
        <v>943</v>
      </c>
      <c r="I618" t="s">
        <v>1904</v>
      </c>
      <c r="J618" t="s">
        <v>925</v>
      </c>
      <c r="K618" t="s">
        <v>722</v>
      </c>
      <c r="L618" t="s">
        <v>660</v>
      </c>
      <c r="M618" t="s">
        <v>1895</v>
      </c>
      <c r="N618">
        <v>141000</v>
      </c>
    </row>
    <row r="619" spans="1:14" x14ac:dyDescent="0.3">
      <c r="A619" t="s">
        <v>663</v>
      </c>
      <c r="B619" t="s">
        <v>664</v>
      </c>
      <c r="C619" t="s">
        <v>1891</v>
      </c>
      <c r="D619" t="s">
        <v>813</v>
      </c>
      <c r="E619" t="s">
        <v>1757</v>
      </c>
      <c r="F619" t="s">
        <v>707</v>
      </c>
      <c r="G619" t="s">
        <v>852</v>
      </c>
      <c r="H619" t="s">
        <v>694</v>
      </c>
      <c r="I619" t="s">
        <v>738</v>
      </c>
      <c r="J619" t="s">
        <v>701</v>
      </c>
      <c r="K619" t="s">
        <v>673</v>
      </c>
      <c r="L619" t="s">
        <v>1892</v>
      </c>
      <c r="M619" t="s">
        <v>1895</v>
      </c>
      <c r="N619">
        <v>141000</v>
      </c>
    </row>
    <row r="620" spans="1:14" x14ac:dyDescent="0.3">
      <c r="A620" t="s">
        <v>663</v>
      </c>
      <c r="B620" t="s">
        <v>729</v>
      </c>
      <c r="C620" t="s">
        <v>1905</v>
      </c>
      <c r="D620" t="s">
        <v>1031</v>
      </c>
      <c r="E620" t="s">
        <v>1184</v>
      </c>
      <c r="F620" t="s">
        <v>692</v>
      </c>
      <c r="G620" t="s">
        <v>1043</v>
      </c>
      <c r="H620" t="s">
        <v>694</v>
      </c>
      <c r="I620" t="s">
        <v>824</v>
      </c>
      <c r="J620" t="s">
        <v>824</v>
      </c>
      <c r="K620" t="s">
        <v>660</v>
      </c>
      <c r="L620" t="s">
        <v>660</v>
      </c>
      <c r="M620" t="s">
        <v>1895</v>
      </c>
      <c r="N620">
        <v>141000</v>
      </c>
    </row>
    <row r="621" spans="1:14" x14ac:dyDescent="0.3">
      <c r="A621" t="s">
        <v>663</v>
      </c>
      <c r="B621" t="s">
        <v>1325</v>
      </c>
      <c r="C621" t="s">
        <v>1906</v>
      </c>
      <c r="D621" t="s">
        <v>851</v>
      </c>
      <c r="E621" t="s">
        <v>851</v>
      </c>
      <c r="F621" t="s">
        <v>692</v>
      </c>
      <c r="G621" t="s">
        <v>921</v>
      </c>
      <c r="H621" t="s">
        <v>694</v>
      </c>
      <c r="I621" t="s">
        <v>679</v>
      </c>
      <c r="J621" t="s">
        <v>672</v>
      </c>
      <c r="K621" t="s">
        <v>811</v>
      </c>
      <c r="L621" t="s">
        <v>660</v>
      </c>
      <c r="M621" t="s">
        <v>1895</v>
      </c>
      <c r="N621">
        <v>141000</v>
      </c>
    </row>
    <row r="622" spans="1:14" x14ac:dyDescent="0.3">
      <c r="A622" t="s">
        <v>663</v>
      </c>
      <c r="B622" t="s">
        <v>848</v>
      </c>
      <c r="C622" t="s">
        <v>1907</v>
      </c>
      <c r="D622" t="s">
        <v>842</v>
      </c>
      <c r="E622" t="s">
        <v>719</v>
      </c>
      <c r="F622" t="s">
        <v>668</v>
      </c>
      <c r="G622" t="s">
        <v>823</v>
      </c>
      <c r="H622" t="s">
        <v>670</v>
      </c>
      <c r="I622" t="s">
        <v>824</v>
      </c>
      <c r="J622" t="s">
        <v>824</v>
      </c>
      <c r="K622" t="s">
        <v>673</v>
      </c>
      <c r="L622" t="s">
        <v>1908</v>
      </c>
      <c r="M622" t="s">
        <v>1895</v>
      </c>
      <c r="N622">
        <v>141000</v>
      </c>
    </row>
    <row r="623" spans="1:14" x14ac:dyDescent="0.3">
      <c r="A623" t="s">
        <v>663</v>
      </c>
      <c r="B623" t="s">
        <v>904</v>
      </c>
      <c r="C623" t="s">
        <v>1909</v>
      </c>
      <c r="D623" t="s">
        <v>1572</v>
      </c>
      <c r="E623" t="s">
        <v>1535</v>
      </c>
      <c r="F623" t="s">
        <v>765</v>
      </c>
      <c r="G623" t="s">
        <v>660</v>
      </c>
      <c r="H623" t="s">
        <v>694</v>
      </c>
      <c r="I623" t="s">
        <v>882</v>
      </c>
      <c r="J623" t="s">
        <v>882</v>
      </c>
      <c r="K623" t="s">
        <v>1053</v>
      </c>
      <c r="L623" t="s">
        <v>660</v>
      </c>
      <c r="M623" t="s">
        <v>1895</v>
      </c>
      <c r="N623">
        <v>141000</v>
      </c>
    </row>
    <row r="624" spans="1:14" x14ac:dyDescent="0.3">
      <c r="A624" t="s">
        <v>840</v>
      </c>
      <c r="B624" t="s">
        <v>681</v>
      </c>
      <c r="C624" t="s">
        <v>1910</v>
      </c>
      <c r="D624" t="s">
        <v>1911</v>
      </c>
      <c r="E624" t="s">
        <v>1911</v>
      </c>
      <c r="F624" t="s">
        <v>685</v>
      </c>
      <c r="G624" t="s">
        <v>888</v>
      </c>
      <c r="H624" t="s">
        <v>694</v>
      </c>
      <c r="I624" t="s">
        <v>789</v>
      </c>
      <c r="J624" t="s">
        <v>790</v>
      </c>
      <c r="K624" t="s">
        <v>660</v>
      </c>
      <c r="L624" t="s">
        <v>660</v>
      </c>
      <c r="M624" t="s">
        <v>1895</v>
      </c>
      <c r="N624">
        <v>141000</v>
      </c>
    </row>
    <row r="625" spans="1:15" x14ac:dyDescent="0.3">
      <c r="A625" t="s">
        <v>663</v>
      </c>
      <c r="B625" t="s">
        <v>681</v>
      </c>
      <c r="C625" t="s">
        <v>1912</v>
      </c>
      <c r="D625" t="s">
        <v>1299</v>
      </c>
      <c r="E625" t="s">
        <v>654</v>
      </c>
      <c r="F625" t="s">
        <v>765</v>
      </c>
      <c r="G625" t="s">
        <v>693</v>
      </c>
      <c r="H625" t="s">
        <v>694</v>
      </c>
      <c r="I625" t="s">
        <v>679</v>
      </c>
      <c r="J625" t="s">
        <v>672</v>
      </c>
      <c r="K625" t="s">
        <v>845</v>
      </c>
      <c r="L625" t="s">
        <v>660</v>
      </c>
      <c r="M625" t="s">
        <v>1895</v>
      </c>
      <c r="N625">
        <v>141000</v>
      </c>
    </row>
    <row r="626" spans="1:15" x14ac:dyDescent="0.3">
      <c r="A626" t="s">
        <v>663</v>
      </c>
      <c r="B626" t="s">
        <v>724</v>
      </c>
      <c r="C626" t="s">
        <v>1913</v>
      </c>
      <c r="D626" t="s">
        <v>667</v>
      </c>
      <c r="E626" t="s">
        <v>1914</v>
      </c>
      <c r="F626" t="s">
        <v>692</v>
      </c>
      <c r="G626" t="s">
        <v>713</v>
      </c>
      <c r="H626" t="s">
        <v>694</v>
      </c>
      <c r="I626" t="s">
        <v>700</v>
      </c>
      <c r="J626" t="s">
        <v>701</v>
      </c>
      <c r="K626" t="s">
        <v>811</v>
      </c>
      <c r="L626" t="s">
        <v>660</v>
      </c>
      <c r="M626" t="s">
        <v>1895</v>
      </c>
      <c r="N626">
        <v>141000</v>
      </c>
    </row>
    <row r="627" spans="1:15" x14ac:dyDescent="0.3">
      <c r="A627" t="s">
        <v>663</v>
      </c>
      <c r="B627" t="s">
        <v>1325</v>
      </c>
      <c r="C627" t="s">
        <v>1915</v>
      </c>
      <c r="D627" t="s">
        <v>1031</v>
      </c>
      <c r="E627" t="s">
        <v>1031</v>
      </c>
      <c r="F627" t="s">
        <v>692</v>
      </c>
      <c r="G627" t="s">
        <v>732</v>
      </c>
      <c r="H627" t="s">
        <v>694</v>
      </c>
      <c r="I627" t="s">
        <v>728</v>
      </c>
      <c r="J627" t="s">
        <v>701</v>
      </c>
      <c r="K627" t="s">
        <v>660</v>
      </c>
      <c r="L627" t="s">
        <v>660</v>
      </c>
      <c r="M627" t="s">
        <v>1895</v>
      </c>
      <c r="N627">
        <v>141000</v>
      </c>
    </row>
    <row r="628" spans="1:15" x14ac:dyDescent="0.3">
      <c r="A628" t="s">
        <v>1916</v>
      </c>
      <c r="B628" t="s">
        <v>904</v>
      </c>
      <c r="C628" t="s">
        <v>1088</v>
      </c>
      <c r="D628" t="s">
        <v>1917</v>
      </c>
      <c r="E628" t="s">
        <v>1039</v>
      </c>
      <c r="F628" t="s">
        <v>655</v>
      </c>
      <c r="G628" t="s">
        <v>708</v>
      </c>
      <c r="H628" t="s">
        <v>657</v>
      </c>
      <c r="I628" t="s">
        <v>679</v>
      </c>
      <c r="J628" t="s">
        <v>672</v>
      </c>
      <c r="K628" t="s">
        <v>680</v>
      </c>
      <c r="L628" t="s">
        <v>1089</v>
      </c>
      <c r="M628" t="s">
        <v>1895</v>
      </c>
      <c r="N628">
        <v>141000</v>
      </c>
    </row>
    <row r="629" spans="1:15" x14ac:dyDescent="0.3">
      <c r="A629" t="s">
        <v>663</v>
      </c>
      <c r="B629" t="s">
        <v>1269</v>
      </c>
      <c r="C629" t="s">
        <v>1765</v>
      </c>
      <c r="D629" t="s">
        <v>1766</v>
      </c>
      <c r="E629" t="s">
        <v>1372</v>
      </c>
      <c r="F629" t="s">
        <v>765</v>
      </c>
      <c r="G629" t="s">
        <v>781</v>
      </c>
      <c r="H629" t="s">
        <v>694</v>
      </c>
      <c r="I629" t="s">
        <v>930</v>
      </c>
      <c r="J629" t="s">
        <v>672</v>
      </c>
      <c r="K629" t="s">
        <v>811</v>
      </c>
      <c r="L629" t="s">
        <v>660</v>
      </c>
      <c r="M629" t="s">
        <v>1895</v>
      </c>
      <c r="N629">
        <v>141000</v>
      </c>
    </row>
    <row r="630" spans="1:15" x14ac:dyDescent="0.3">
      <c r="A630" t="s">
        <v>663</v>
      </c>
      <c r="B630" t="s">
        <v>795</v>
      </c>
      <c r="C630" t="s">
        <v>1918</v>
      </c>
      <c r="D630" t="s">
        <v>1919</v>
      </c>
      <c r="E630" t="s">
        <v>1920</v>
      </c>
      <c r="F630" t="s">
        <v>655</v>
      </c>
      <c r="G630" t="s">
        <v>686</v>
      </c>
      <c r="H630" t="s">
        <v>694</v>
      </c>
      <c r="I630" t="s">
        <v>700</v>
      </c>
      <c r="J630" t="s">
        <v>701</v>
      </c>
      <c r="K630" t="s">
        <v>680</v>
      </c>
      <c r="L630" t="s">
        <v>660</v>
      </c>
      <c r="M630" t="s">
        <v>1895</v>
      </c>
      <c r="N630">
        <v>141000</v>
      </c>
    </row>
    <row r="631" spans="1:15" x14ac:dyDescent="0.3">
      <c r="A631" t="s">
        <v>663</v>
      </c>
      <c r="B631" t="s">
        <v>734</v>
      </c>
      <c r="C631" t="s">
        <v>1771</v>
      </c>
      <c r="D631" t="s">
        <v>726</v>
      </c>
      <c r="E631" t="s">
        <v>1772</v>
      </c>
      <c r="F631" t="s">
        <v>692</v>
      </c>
      <c r="G631" t="s">
        <v>929</v>
      </c>
      <c r="H631" t="s">
        <v>694</v>
      </c>
      <c r="I631" t="s">
        <v>930</v>
      </c>
      <c r="J631" t="s">
        <v>672</v>
      </c>
      <c r="K631" t="s">
        <v>811</v>
      </c>
      <c r="L631" t="s">
        <v>660</v>
      </c>
      <c r="M631" t="s">
        <v>1895</v>
      </c>
      <c r="N631">
        <v>141000</v>
      </c>
    </row>
    <row r="632" spans="1:15" x14ac:dyDescent="0.3">
      <c r="A632" t="s">
        <v>663</v>
      </c>
      <c r="B632" t="s">
        <v>742</v>
      </c>
      <c r="C632" t="s">
        <v>1921</v>
      </c>
      <c r="D632" t="s">
        <v>1217</v>
      </c>
      <c r="E632" t="s">
        <v>910</v>
      </c>
      <c r="F632" t="s">
        <v>754</v>
      </c>
      <c r="G632" t="s">
        <v>1237</v>
      </c>
      <c r="H632" t="s">
        <v>694</v>
      </c>
      <c r="I632" t="s">
        <v>738</v>
      </c>
      <c r="J632" t="s">
        <v>701</v>
      </c>
      <c r="K632" t="s">
        <v>660</v>
      </c>
      <c r="L632" t="s">
        <v>660</v>
      </c>
      <c r="M632" t="s">
        <v>1895</v>
      </c>
      <c r="N632">
        <v>141000</v>
      </c>
    </row>
    <row r="633" spans="1:15" x14ac:dyDescent="0.3">
      <c r="A633" t="s">
        <v>663</v>
      </c>
      <c r="B633" t="s">
        <v>1040</v>
      </c>
      <c r="C633" t="s">
        <v>703</v>
      </c>
      <c r="D633" t="s">
        <v>1024</v>
      </c>
      <c r="E633" t="s">
        <v>654</v>
      </c>
      <c r="F633" t="s">
        <v>731</v>
      </c>
      <c r="G633" t="s">
        <v>707</v>
      </c>
      <c r="H633" t="s">
        <v>1025</v>
      </c>
      <c r="I633" t="s">
        <v>694</v>
      </c>
      <c r="J633" t="s">
        <v>1026</v>
      </c>
      <c r="K633" t="s">
        <v>688</v>
      </c>
      <c r="L633" t="s">
        <v>710</v>
      </c>
      <c r="M633" t="s">
        <v>660</v>
      </c>
      <c r="N633">
        <v>92000</v>
      </c>
      <c r="O633">
        <v>155000</v>
      </c>
    </row>
    <row r="634" spans="1:15" x14ac:dyDescent="0.3">
      <c r="A634" t="s">
        <v>663</v>
      </c>
      <c r="B634" t="s">
        <v>977</v>
      </c>
      <c r="C634" t="s">
        <v>1050</v>
      </c>
      <c r="D634" t="s">
        <v>1051</v>
      </c>
      <c r="E634" t="s">
        <v>1052</v>
      </c>
      <c r="F634" t="s">
        <v>765</v>
      </c>
      <c r="G634" t="s">
        <v>888</v>
      </c>
      <c r="H634" t="s">
        <v>694</v>
      </c>
      <c r="I634" t="s">
        <v>728</v>
      </c>
      <c r="J634" t="s">
        <v>701</v>
      </c>
      <c r="K634" t="s">
        <v>1053</v>
      </c>
      <c r="L634" t="s">
        <v>660</v>
      </c>
      <c r="M634" t="s">
        <v>1922</v>
      </c>
      <c r="N634">
        <v>155000</v>
      </c>
    </row>
    <row r="635" spans="1:15" x14ac:dyDescent="0.3">
      <c r="A635" t="s">
        <v>663</v>
      </c>
      <c r="B635" t="s">
        <v>1325</v>
      </c>
      <c r="C635" t="s">
        <v>1923</v>
      </c>
      <c r="D635" t="s">
        <v>843</v>
      </c>
      <c r="E635" t="s">
        <v>1446</v>
      </c>
      <c r="F635" t="s">
        <v>692</v>
      </c>
      <c r="G635" t="s">
        <v>660</v>
      </c>
      <c r="H635" t="s">
        <v>694</v>
      </c>
      <c r="I635" t="s">
        <v>679</v>
      </c>
      <c r="J635" t="s">
        <v>672</v>
      </c>
      <c r="K635" t="s">
        <v>1030</v>
      </c>
      <c r="L635" t="s">
        <v>660</v>
      </c>
      <c r="M635" t="s">
        <v>1922</v>
      </c>
      <c r="N635">
        <v>155000</v>
      </c>
    </row>
    <row r="636" spans="1:15" x14ac:dyDescent="0.3">
      <c r="A636" t="s">
        <v>663</v>
      </c>
      <c r="B636" t="s">
        <v>956</v>
      </c>
      <c r="C636" t="s">
        <v>1924</v>
      </c>
      <c r="D636" t="s">
        <v>1496</v>
      </c>
      <c r="E636" t="s">
        <v>1496</v>
      </c>
      <c r="F636" t="s">
        <v>668</v>
      </c>
      <c r="G636" t="s">
        <v>1276</v>
      </c>
      <c r="H636" t="s">
        <v>694</v>
      </c>
      <c r="I636" t="s">
        <v>1807</v>
      </c>
      <c r="J636" t="s">
        <v>672</v>
      </c>
      <c r="K636" t="s">
        <v>660</v>
      </c>
      <c r="L636" t="s">
        <v>1925</v>
      </c>
      <c r="M636" t="s">
        <v>1922</v>
      </c>
      <c r="N636">
        <v>155000</v>
      </c>
    </row>
    <row r="637" spans="1:15" x14ac:dyDescent="0.3">
      <c r="A637" t="s">
        <v>663</v>
      </c>
      <c r="B637" t="s">
        <v>681</v>
      </c>
      <c r="C637" t="s">
        <v>1773</v>
      </c>
      <c r="D637" t="s">
        <v>793</v>
      </c>
      <c r="E637" t="s">
        <v>793</v>
      </c>
      <c r="F637" t="s">
        <v>692</v>
      </c>
      <c r="G637" t="s">
        <v>693</v>
      </c>
      <c r="H637" t="s">
        <v>694</v>
      </c>
      <c r="I637" t="s">
        <v>679</v>
      </c>
      <c r="J637" t="s">
        <v>672</v>
      </c>
      <c r="K637" t="s">
        <v>815</v>
      </c>
      <c r="L637" t="s">
        <v>660</v>
      </c>
      <c r="M637" t="s">
        <v>1922</v>
      </c>
      <c r="N637">
        <v>155000</v>
      </c>
    </row>
    <row r="638" spans="1:15" x14ac:dyDescent="0.3">
      <c r="A638" t="s">
        <v>1298</v>
      </c>
      <c r="B638" t="s">
        <v>832</v>
      </c>
      <c r="C638" t="s">
        <v>1294</v>
      </c>
      <c r="D638" t="s">
        <v>1299</v>
      </c>
      <c r="E638" t="s">
        <v>1295</v>
      </c>
      <c r="F638" t="s">
        <v>765</v>
      </c>
      <c r="G638" t="s">
        <v>797</v>
      </c>
      <c r="H638" t="s">
        <v>694</v>
      </c>
      <c r="I638" t="s">
        <v>738</v>
      </c>
      <c r="J638" t="s">
        <v>701</v>
      </c>
      <c r="K638" t="s">
        <v>864</v>
      </c>
      <c r="L638" t="s">
        <v>660</v>
      </c>
      <c r="M638" t="s">
        <v>1922</v>
      </c>
      <c r="N638">
        <v>155000</v>
      </c>
    </row>
    <row r="639" spans="1:15" x14ac:dyDescent="0.3">
      <c r="A639" t="s">
        <v>663</v>
      </c>
      <c r="B639" t="s">
        <v>660</v>
      </c>
      <c r="C639" t="s">
        <v>1770</v>
      </c>
      <c r="D639" t="s">
        <v>666</v>
      </c>
      <c r="E639" t="s">
        <v>882</v>
      </c>
      <c r="F639" t="s">
        <v>765</v>
      </c>
      <c r="G639" t="s">
        <v>660</v>
      </c>
      <c r="H639" t="s">
        <v>1248</v>
      </c>
      <c r="I639" t="s">
        <v>882</v>
      </c>
      <c r="J639" t="s">
        <v>882</v>
      </c>
      <c r="K639" t="s">
        <v>660</v>
      </c>
      <c r="L639" t="s">
        <v>660</v>
      </c>
      <c r="M639" t="s">
        <v>1922</v>
      </c>
      <c r="N639">
        <v>155000</v>
      </c>
    </row>
    <row r="640" spans="1:15" x14ac:dyDescent="0.3">
      <c r="A640" t="s">
        <v>893</v>
      </c>
      <c r="B640" t="s">
        <v>681</v>
      </c>
      <c r="C640" t="s">
        <v>1084</v>
      </c>
      <c r="D640" t="s">
        <v>667</v>
      </c>
      <c r="E640" t="s">
        <v>1085</v>
      </c>
      <c r="F640" t="s">
        <v>668</v>
      </c>
      <c r="G640" t="s">
        <v>660</v>
      </c>
      <c r="H640" t="s">
        <v>670</v>
      </c>
      <c r="I640" t="s">
        <v>824</v>
      </c>
      <c r="J640" t="s">
        <v>824</v>
      </c>
      <c r="K640" t="s">
        <v>722</v>
      </c>
      <c r="L640" t="s">
        <v>660</v>
      </c>
      <c r="M640" t="s">
        <v>1922</v>
      </c>
      <c r="N640">
        <v>155000</v>
      </c>
    </row>
    <row r="641" spans="1:15" x14ac:dyDescent="0.3">
      <c r="A641" t="s">
        <v>663</v>
      </c>
      <c r="B641" t="s">
        <v>1325</v>
      </c>
      <c r="C641" t="s">
        <v>1926</v>
      </c>
      <c r="D641" t="s">
        <v>851</v>
      </c>
      <c r="E641" t="s">
        <v>1927</v>
      </c>
      <c r="F641" t="s">
        <v>692</v>
      </c>
      <c r="G641" t="s">
        <v>852</v>
      </c>
      <c r="H641" t="s">
        <v>694</v>
      </c>
      <c r="I641" t="s">
        <v>728</v>
      </c>
      <c r="J641" t="s">
        <v>701</v>
      </c>
      <c r="K641" t="s">
        <v>660</v>
      </c>
      <c r="L641" t="s">
        <v>1928</v>
      </c>
      <c r="M641" t="s">
        <v>1922</v>
      </c>
      <c r="N641">
        <v>155000</v>
      </c>
    </row>
    <row r="642" spans="1:15" x14ac:dyDescent="0.3">
      <c r="A642" t="s">
        <v>1782</v>
      </c>
      <c r="B642" t="s">
        <v>832</v>
      </c>
      <c r="C642" t="s">
        <v>1783</v>
      </c>
      <c r="D642" t="s">
        <v>654</v>
      </c>
      <c r="E642" t="s">
        <v>1784</v>
      </c>
      <c r="F642" t="s">
        <v>765</v>
      </c>
      <c r="G642" t="s">
        <v>1741</v>
      </c>
      <c r="H642" t="s">
        <v>694</v>
      </c>
      <c r="I642" t="s">
        <v>930</v>
      </c>
      <c r="J642" t="s">
        <v>672</v>
      </c>
      <c r="K642" t="s">
        <v>660</v>
      </c>
      <c r="L642" t="s">
        <v>660</v>
      </c>
      <c r="M642" t="s">
        <v>1922</v>
      </c>
      <c r="N642">
        <v>155000</v>
      </c>
    </row>
    <row r="643" spans="1:15" x14ac:dyDescent="0.3">
      <c r="A643" t="s">
        <v>663</v>
      </c>
      <c r="B643" t="s">
        <v>734</v>
      </c>
      <c r="C643" t="s">
        <v>1929</v>
      </c>
      <c r="D643" t="s">
        <v>726</v>
      </c>
      <c r="E643" t="s">
        <v>1496</v>
      </c>
      <c r="F643" t="s">
        <v>692</v>
      </c>
      <c r="G643" t="s">
        <v>660</v>
      </c>
      <c r="H643" t="s">
        <v>694</v>
      </c>
      <c r="I643" t="s">
        <v>738</v>
      </c>
      <c r="J643" t="s">
        <v>701</v>
      </c>
      <c r="K643" t="s">
        <v>660</v>
      </c>
      <c r="L643" t="s">
        <v>660</v>
      </c>
      <c r="M643" t="s">
        <v>1922</v>
      </c>
      <c r="N643">
        <v>155000</v>
      </c>
    </row>
    <row r="644" spans="1:15" x14ac:dyDescent="0.3">
      <c r="A644" t="s">
        <v>840</v>
      </c>
      <c r="B644" t="s">
        <v>848</v>
      </c>
      <c r="C644" t="s">
        <v>1930</v>
      </c>
      <c r="D644" t="s">
        <v>1669</v>
      </c>
      <c r="E644" t="s">
        <v>1669</v>
      </c>
      <c r="F644" t="s">
        <v>754</v>
      </c>
      <c r="G644" t="s">
        <v>810</v>
      </c>
      <c r="H644" t="s">
        <v>694</v>
      </c>
      <c r="I644" t="s">
        <v>658</v>
      </c>
      <c r="J644" t="s">
        <v>659</v>
      </c>
      <c r="K644" t="s">
        <v>680</v>
      </c>
      <c r="L644" t="s">
        <v>660</v>
      </c>
      <c r="M644" t="s">
        <v>1922</v>
      </c>
      <c r="N644">
        <v>155000</v>
      </c>
    </row>
    <row r="645" spans="1:15" x14ac:dyDescent="0.3">
      <c r="A645" t="s">
        <v>663</v>
      </c>
      <c r="B645" t="s">
        <v>848</v>
      </c>
      <c r="C645" t="s">
        <v>1931</v>
      </c>
      <c r="D645" t="s">
        <v>1372</v>
      </c>
      <c r="E645" t="s">
        <v>1372</v>
      </c>
      <c r="F645" t="s">
        <v>655</v>
      </c>
      <c r="G645" t="s">
        <v>980</v>
      </c>
      <c r="H645" t="s">
        <v>694</v>
      </c>
      <c r="I645" t="s">
        <v>658</v>
      </c>
      <c r="J645" t="s">
        <v>659</v>
      </c>
      <c r="K645" t="s">
        <v>660</v>
      </c>
      <c r="L645" t="s">
        <v>1932</v>
      </c>
      <c r="M645" t="s">
        <v>1922</v>
      </c>
      <c r="N645">
        <v>155000</v>
      </c>
    </row>
    <row r="646" spans="1:15" x14ac:dyDescent="0.3">
      <c r="A646" t="s">
        <v>663</v>
      </c>
      <c r="B646" t="s">
        <v>681</v>
      </c>
      <c r="C646" t="s">
        <v>1933</v>
      </c>
      <c r="D646" t="s">
        <v>666</v>
      </c>
      <c r="E646" t="s">
        <v>1217</v>
      </c>
      <c r="F646" t="s">
        <v>707</v>
      </c>
      <c r="G646" t="s">
        <v>1934</v>
      </c>
      <c r="H646" t="s">
        <v>670</v>
      </c>
      <c r="I646" t="s">
        <v>824</v>
      </c>
      <c r="J646" t="s">
        <v>824</v>
      </c>
      <c r="K646" t="s">
        <v>722</v>
      </c>
      <c r="L646" t="s">
        <v>1935</v>
      </c>
      <c r="M646" t="s">
        <v>1922</v>
      </c>
      <c r="N646">
        <v>155000</v>
      </c>
    </row>
    <row r="647" spans="1:15" x14ac:dyDescent="0.3">
      <c r="A647" t="s">
        <v>1936</v>
      </c>
      <c r="B647" t="s">
        <v>1937</v>
      </c>
      <c r="C647" t="s">
        <v>769</v>
      </c>
      <c r="D647" t="s">
        <v>1815</v>
      </c>
      <c r="E647" t="s">
        <v>906</v>
      </c>
      <c r="F647" t="s">
        <v>1111</v>
      </c>
      <c r="G647" t="s">
        <v>707</v>
      </c>
      <c r="H647" t="s">
        <v>1241</v>
      </c>
      <c r="I647" t="s">
        <v>670</v>
      </c>
      <c r="J647" t="s">
        <v>700</v>
      </c>
      <c r="K647" t="s">
        <v>701</v>
      </c>
      <c r="L647" t="s">
        <v>710</v>
      </c>
      <c r="M647" t="s">
        <v>1816</v>
      </c>
      <c r="N647">
        <v>92000</v>
      </c>
      <c r="O647">
        <v>155000</v>
      </c>
    </row>
    <row r="648" spans="1:15" x14ac:dyDescent="0.3">
      <c r="A648" t="s">
        <v>663</v>
      </c>
      <c r="B648" t="s">
        <v>681</v>
      </c>
      <c r="C648" t="s">
        <v>1084</v>
      </c>
      <c r="D648" t="s">
        <v>667</v>
      </c>
      <c r="E648" t="s">
        <v>1085</v>
      </c>
      <c r="F648" t="s">
        <v>668</v>
      </c>
      <c r="G648" t="s">
        <v>660</v>
      </c>
      <c r="H648" t="s">
        <v>670</v>
      </c>
      <c r="I648" t="s">
        <v>824</v>
      </c>
      <c r="J648" t="s">
        <v>824</v>
      </c>
      <c r="K648" t="s">
        <v>722</v>
      </c>
      <c r="L648" t="s">
        <v>660</v>
      </c>
      <c r="M648" t="s">
        <v>1922</v>
      </c>
      <c r="N648">
        <v>155000</v>
      </c>
    </row>
    <row r="649" spans="1:15" x14ac:dyDescent="0.3">
      <c r="A649" t="s">
        <v>1301</v>
      </c>
      <c r="B649" t="s">
        <v>703</v>
      </c>
      <c r="C649" t="s">
        <v>1302</v>
      </c>
      <c r="D649" t="s">
        <v>1303</v>
      </c>
      <c r="E649" t="s">
        <v>1304</v>
      </c>
      <c r="F649" t="s">
        <v>655</v>
      </c>
      <c r="G649" t="s">
        <v>1305</v>
      </c>
      <c r="H649" t="s">
        <v>657</v>
      </c>
      <c r="I649" t="s">
        <v>671</v>
      </c>
      <c r="J649" t="s">
        <v>672</v>
      </c>
      <c r="K649" t="s">
        <v>749</v>
      </c>
      <c r="L649" t="s">
        <v>1306</v>
      </c>
      <c r="M649" t="s">
        <v>1922</v>
      </c>
      <c r="N649">
        <v>155000</v>
      </c>
    </row>
    <row r="650" spans="1:15" x14ac:dyDescent="0.3">
      <c r="A650" t="s">
        <v>663</v>
      </c>
      <c r="B650" t="s">
        <v>734</v>
      </c>
      <c r="C650" t="s">
        <v>1571</v>
      </c>
      <c r="D650" t="s">
        <v>1572</v>
      </c>
      <c r="E650" t="s">
        <v>1573</v>
      </c>
      <c r="F650" t="s">
        <v>692</v>
      </c>
      <c r="G650" t="s">
        <v>844</v>
      </c>
      <c r="H650" t="s">
        <v>694</v>
      </c>
      <c r="I650" t="s">
        <v>679</v>
      </c>
      <c r="J650" t="s">
        <v>672</v>
      </c>
      <c r="K650" t="s">
        <v>660</v>
      </c>
      <c r="L650" t="s">
        <v>660</v>
      </c>
      <c r="M650" t="s">
        <v>1922</v>
      </c>
      <c r="N650">
        <v>155000</v>
      </c>
    </row>
    <row r="651" spans="1:15" x14ac:dyDescent="0.3">
      <c r="A651" t="s">
        <v>1300</v>
      </c>
      <c r="B651" t="s">
        <v>836</v>
      </c>
      <c r="C651" t="s">
        <v>894</v>
      </c>
      <c r="D651" t="s">
        <v>676</v>
      </c>
      <c r="E651" t="s">
        <v>676</v>
      </c>
      <c r="F651" t="s">
        <v>754</v>
      </c>
      <c r="G651" t="s">
        <v>732</v>
      </c>
      <c r="H651" t="s">
        <v>694</v>
      </c>
      <c r="I651" t="s">
        <v>700</v>
      </c>
      <c r="J651" t="s">
        <v>701</v>
      </c>
      <c r="K651" t="s">
        <v>660</v>
      </c>
      <c r="L651" t="s">
        <v>660</v>
      </c>
      <c r="M651" t="s">
        <v>1922</v>
      </c>
      <c r="N651">
        <v>155000</v>
      </c>
    </row>
    <row r="652" spans="1:15" x14ac:dyDescent="0.3">
      <c r="A652" t="s">
        <v>1792</v>
      </c>
      <c r="B652" t="s">
        <v>1793</v>
      </c>
      <c r="C652" t="s">
        <v>660</v>
      </c>
      <c r="D652" t="s">
        <v>1794</v>
      </c>
      <c r="E652" t="s">
        <v>705</v>
      </c>
      <c r="F652" t="s">
        <v>882</v>
      </c>
      <c r="G652" t="s">
        <v>882</v>
      </c>
      <c r="H652" t="s">
        <v>660</v>
      </c>
      <c r="I652" t="s">
        <v>882</v>
      </c>
      <c r="J652" t="s">
        <v>882</v>
      </c>
      <c r="K652" t="s">
        <v>882</v>
      </c>
      <c r="L652" t="s">
        <v>882</v>
      </c>
      <c r="M652" t="s">
        <v>660</v>
      </c>
      <c r="N652">
        <v>92000</v>
      </c>
      <c r="O652">
        <v>155000</v>
      </c>
    </row>
    <row r="653" spans="1:15" x14ac:dyDescent="0.3">
      <c r="A653" t="s">
        <v>1307</v>
      </c>
      <c r="B653" t="s">
        <v>904</v>
      </c>
      <c r="C653" t="s">
        <v>999</v>
      </c>
      <c r="D653" t="s">
        <v>1000</v>
      </c>
      <c r="E653" t="s">
        <v>1001</v>
      </c>
      <c r="F653" t="s">
        <v>707</v>
      </c>
      <c r="G653" t="s">
        <v>1002</v>
      </c>
      <c r="H653" t="s">
        <v>670</v>
      </c>
      <c r="I653" t="s">
        <v>709</v>
      </c>
      <c r="J653" t="s">
        <v>709</v>
      </c>
      <c r="K653" t="s">
        <v>710</v>
      </c>
      <c r="L653" t="s">
        <v>1003</v>
      </c>
      <c r="M653" t="s">
        <v>1922</v>
      </c>
      <c r="N653">
        <v>155000</v>
      </c>
    </row>
    <row r="654" spans="1:15" x14ac:dyDescent="0.3">
      <c r="A654" t="s">
        <v>893</v>
      </c>
      <c r="B654" t="s">
        <v>674</v>
      </c>
      <c r="C654" t="s">
        <v>1041</v>
      </c>
      <c r="D654" t="s">
        <v>1042</v>
      </c>
      <c r="E654" t="s">
        <v>1042</v>
      </c>
      <c r="F654" t="s">
        <v>692</v>
      </c>
      <c r="G654" t="s">
        <v>1043</v>
      </c>
      <c r="H654" t="s">
        <v>694</v>
      </c>
      <c r="I654" t="s">
        <v>695</v>
      </c>
      <c r="J654" t="s">
        <v>672</v>
      </c>
      <c r="K654" t="s">
        <v>811</v>
      </c>
      <c r="L654" t="s">
        <v>1044</v>
      </c>
      <c r="M654" t="s">
        <v>1938</v>
      </c>
      <c r="N654">
        <v>167000</v>
      </c>
    </row>
    <row r="655" spans="1:15" x14ac:dyDescent="0.3">
      <c r="A655" t="s">
        <v>1109</v>
      </c>
      <c r="B655" t="s">
        <v>674</v>
      </c>
      <c r="C655" t="s">
        <v>1110</v>
      </c>
      <c r="D655" t="s">
        <v>1111</v>
      </c>
      <c r="E655" t="s">
        <v>1112</v>
      </c>
      <c r="F655" t="s">
        <v>668</v>
      </c>
      <c r="G655" t="s">
        <v>708</v>
      </c>
      <c r="H655" t="s">
        <v>670</v>
      </c>
      <c r="I655" t="s">
        <v>1113</v>
      </c>
      <c r="J655" t="s">
        <v>1114</v>
      </c>
      <c r="K655" t="s">
        <v>722</v>
      </c>
      <c r="L655" t="s">
        <v>660</v>
      </c>
      <c r="M655" t="s">
        <v>1938</v>
      </c>
      <c r="N655">
        <v>167000</v>
      </c>
    </row>
    <row r="656" spans="1:15" x14ac:dyDescent="0.3">
      <c r="A656" t="s">
        <v>663</v>
      </c>
      <c r="B656" t="s">
        <v>855</v>
      </c>
      <c r="C656" t="s">
        <v>1790</v>
      </c>
      <c r="D656" t="s">
        <v>1791</v>
      </c>
      <c r="E656" t="s">
        <v>666</v>
      </c>
      <c r="F656" t="s">
        <v>692</v>
      </c>
      <c r="G656" t="s">
        <v>699</v>
      </c>
      <c r="H656" t="s">
        <v>670</v>
      </c>
      <c r="I656" t="s">
        <v>824</v>
      </c>
      <c r="J656" t="s">
        <v>824</v>
      </c>
      <c r="K656" t="s">
        <v>660</v>
      </c>
      <c r="L656" t="s">
        <v>660</v>
      </c>
      <c r="M656" t="s">
        <v>1938</v>
      </c>
      <c r="N656">
        <v>167000</v>
      </c>
    </row>
    <row r="657" spans="1:14" x14ac:dyDescent="0.3">
      <c r="A657" t="s">
        <v>663</v>
      </c>
      <c r="B657" t="s">
        <v>904</v>
      </c>
      <c r="C657" t="s">
        <v>1795</v>
      </c>
      <c r="D657" t="s">
        <v>759</v>
      </c>
      <c r="E657" t="s">
        <v>1393</v>
      </c>
      <c r="F657" t="s">
        <v>692</v>
      </c>
      <c r="G657" t="s">
        <v>660</v>
      </c>
      <c r="H657" t="s">
        <v>694</v>
      </c>
      <c r="I657" t="s">
        <v>1796</v>
      </c>
      <c r="J657" t="s">
        <v>1797</v>
      </c>
      <c r="K657" t="s">
        <v>1030</v>
      </c>
      <c r="L657" t="s">
        <v>660</v>
      </c>
      <c r="M657" t="s">
        <v>1938</v>
      </c>
      <c r="N657">
        <v>167000</v>
      </c>
    </row>
    <row r="658" spans="1:14" x14ac:dyDescent="0.3">
      <c r="A658" t="s">
        <v>663</v>
      </c>
      <c r="B658" t="s">
        <v>660</v>
      </c>
      <c r="C658" t="s">
        <v>1939</v>
      </c>
      <c r="D658" t="s">
        <v>1274</v>
      </c>
      <c r="E658" t="s">
        <v>882</v>
      </c>
      <c r="F658" t="s">
        <v>882</v>
      </c>
      <c r="G658" t="s">
        <v>660</v>
      </c>
      <c r="H658" t="s">
        <v>882</v>
      </c>
      <c r="I658" t="s">
        <v>882</v>
      </c>
      <c r="J658" t="s">
        <v>882</v>
      </c>
      <c r="K658" t="s">
        <v>882</v>
      </c>
      <c r="L658" t="s">
        <v>660</v>
      </c>
      <c r="M658" t="s">
        <v>1938</v>
      </c>
      <c r="N658">
        <v>167000</v>
      </c>
    </row>
    <row r="659" spans="1:14" x14ac:dyDescent="0.3">
      <c r="A659" t="s">
        <v>663</v>
      </c>
      <c r="B659" t="s">
        <v>660</v>
      </c>
      <c r="C659" t="s">
        <v>1940</v>
      </c>
      <c r="D659" t="s">
        <v>1496</v>
      </c>
      <c r="E659" t="s">
        <v>882</v>
      </c>
      <c r="F659" t="s">
        <v>882</v>
      </c>
      <c r="G659" t="s">
        <v>660</v>
      </c>
      <c r="H659" t="s">
        <v>882</v>
      </c>
      <c r="I659" t="s">
        <v>882</v>
      </c>
      <c r="J659" t="s">
        <v>882</v>
      </c>
      <c r="K659" t="s">
        <v>882</v>
      </c>
      <c r="L659" t="s">
        <v>660</v>
      </c>
      <c r="M659" t="s">
        <v>1938</v>
      </c>
      <c r="N659">
        <v>167000</v>
      </c>
    </row>
    <row r="660" spans="1:14" x14ac:dyDescent="0.3">
      <c r="A660" t="s">
        <v>663</v>
      </c>
      <c r="B660" t="s">
        <v>674</v>
      </c>
      <c r="C660" t="s">
        <v>1798</v>
      </c>
      <c r="D660" t="s">
        <v>759</v>
      </c>
      <c r="E660" t="s">
        <v>1217</v>
      </c>
      <c r="F660" t="s">
        <v>692</v>
      </c>
      <c r="G660" t="s">
        <v>699</v>
      </c>
      <c r="H660" t="s">
        <v>670</v>
      </c>
      <c r="I660" t="s">
        <v>738</v>
      </c>
      <c r="J660" t="s">
        <v>701</v>
      </c>
      <c r="K660" t="s">
        <v>811</v>
      </c>
      <c r="L660" t="s">
        <v>660</v>
      </c>
      <c r="M660" t="s">
        <v>1938</v>
      </c>
      <c r="N660">
        <v>167000</v>
      </c>
    </row>
    <row r="661" spans="1:14" x14ac:dyDescent="0.3">
      <c r="A661" t="s">
        <v>663</v>
      </c>
      <c r="B661" t="s">
        <v>791</v>
      </c>
      <c r="C661" t="s">
        <v>1577</v>
      </c>
      <c r="D661" t="s">
        <v>1578</v>
      </c>
      <c r="E661" t="s">
        <v>666</v>
      </c>
      <c r="F661" t="s">
        <v>707</v>
      </c>
      <c r="G661" t="s">
        <v>1330</v>
      </c>
      <c r="H661" t="s">
        <v>670</v>
      </c>
      <c r="I661" t="s">
        <v>824</v>
      </c>
      <c r="J661" t="s">
        <v>824</v>
      </c>
      <c r="K661" t="s">
        <v>660</v>
      </c>
      <c r="L661" t="s">
        <v>660</v>
      </c>
      <c r="M661" t="s">
        <v>1938</v>
      </c>
      <c r="N661">
        <v>167000</v>
      </c>
    </row>
    <row r="662" spans="1:14" x14ac:dyDescent="0.3">
      <c r="A662" t="s">
        <v>663</v>
      </c>
      <c r="B662" t="s">
        <v>660</v>
      </c>
      <c r="C662" t="s">
        <v>1941</v>
      </c>
      <c r="D662" t="s">
        <v>1942</v>
      </c>
      <c r="E662" t="s">
        <v>882</v>
      </c>
      <c r="F662" t="s">
        <v>882</v>
      </c>
      <c r="G662" t="s">
        <v>660</v>
      </c>
      <c r="H662" t="s">
        <v>882</v>
      </c>
      <c r="I662" t="s">
        <v>882</v>
      </c>
      <c r="J662" t="s">
        <v>882</v>
      </c>
      <c r="K662" t="s">
        <v>882</v>
      </c>
      <c r="L662" t="s">
        <v>660</v>
      </c>
      <c r="M662" t="s">
        <v>1938</v>
      </c>
      <c r="N662">
        <v>167000</v>
      </c>
    </row>
    <row r="663" spans="1:14" x14ac:dyDescent="0.3">
      <c r="A663" t="s">
        <v>663</v>
      </c>
      <c r="B663" t="s">
        <v>724</v>
      </c>
      <c r="C663" t="s">
        <v>1943</v>
      </c>
      <c r="D663" t="s">
        <v>1944</v>
      </c>
      <c r="E663" t="s">
        <v>1944</v>
      </c>
      <c r="F663" t="s">
        <v>707</v>
      </c>
      <c r="G663" t="s">
        <v>660</v>
      </c>
      <c r="H663" t="s">
        <v>670</v>
      </c>
      <c r="I663" t="s">
        <v>1459</v>
      </c>
      <c r="J663" t="s">
        <v>715</v>
      </c>
      <c r="K663" t="s">
        <v>660</v>
      </c>
      <c r="L663" t="s">
        <v>660</v>
      </c>
      <c r="M663" t="s">
        <v>1938</v>
      </c>
      <c r="N663">
        <v>167000</v>
      </c>
    </row>
    <row r="664" spans="1:14" x14ac:dyDescent="0.3">
      <c r="A664" t="s">
        <v>663</v>
      </c>
      <c r="B664" t="s">
        <v>717</v>
      </c>
      <c r="C664" t="s">
        <v>1574</v>
      </c>
      <c r="D664" t="s">
        <v>1575</v>
      </c>
      <c r="E664" t="s">
        <v>1576</v>
      </c>
      <c r="F664" t="s">
        <v>692</v>
      </c>
      <c r="G664" t="s">
        <v>660</v>
      </c>
      <c r="H664" t="s">
        <v>694</v>
      </c>
      <c r="I664" t="s">
        <v>882</v>
      </c>
      <c r="J664" t="s">
        <v>882</v>
      </c>
      <c r="K664" t="s">
        <v>660</v>
      </c>
      <c r="L664" t="s">
        <v>660</v>
      </c>
      <c r="M664" t="s">
        <v>1938</v>
      </c>
      <c r="N664">
        <v>167000</v>
      </c>
    </row>
    <row r="665" spans="1:14" x14ac:dyDescent="0.3">
      <c r="A665" t="s">
        <v>663</v>
      </c>
      <c r="B665" t="s">
        <v>769</v>
      </c>
      <c r="C665" t="s">
        <v>1945</v>
      </c>
      <c r="D665" t="s">
        <v>1519</v>
      </c>
      <c r="E665" t="s">
        <v>1946</v>
      </c>
      <c r="F665" t="s">
        <v>685</v>
      </c>
      <c r="G665" t="s">
        <v>1237</v>
      </c>
      <c r="H665" t="s">
        <v>694</v>
      </c>
      <c r="I665" t="s">
        <v>930</v>
      </c>
      <c r="J665" t="s">
        <v>672</v>
      </c>
      <c r="K665" t="s">
        <v>660</v>
      </c>
      <c r="L665" t="s">
        <v>660</v>
      </c>
      <c r="M665" t="s">
        <v>1938</v>
      </c>
      <c r="N665">
        <v>167000</v>
      </c>
    </row>
    <row r="666" spans="1:14" x14ac:dyDescent="0.3">
      <c r="A666" t="s">
        <v>663</v>
      </c>
      <c r="B666" t="s">
        <v>660</v>
      </c>
      <c r="C666" t="s">
        <v>1947</v>
      </c>
      <c r="D666" t="s">
        <v>1948</v>
      </c>
      <c r="E666" t="s">
        <v>1299</v>
      </c>
      <c r="F666" t="s">
        <v>765</v>
      </c>
      <c r="G666" t="s">
        <v>660</v>
      </c>
      <c r="H666" t="s">
        <v>694</v>
      </c>
      <c r="I666" t="s">
        <v>882</v>
      </c>
      <c r="J666" t="s">
        <v>882</v>
      </c>
      <c r="K666" t="s">
        <v>660</v>
      </c>
      <c r="L666" t="s">
        <v>660</v>
      </c>
      <c r="M666" t="s">
        <v>1938</v>
      </c>
      <c r="N666">
        <v>167000</v>
      </c>
    </row>
    <row r="667" spans="1:14" x14ac:dyDescent="0.3">
      <c r="A667" t="s">
        <v>663</v>
      </c>
      <c r="B667" t="s">
        <v>674</v>
      </c>
      <c r="C667" t="s">
        <v>1949</v>
      </c>
      <c r="D667" t="s">
        <v>910</v>
      </c>
      <c r="E667" t="s">
        <v>910</v>
      </c>
      <c r="F667" t="s">
        <v>754</v>
      </c>
      <c r="G667" t="s">
        <v>828</v>
      </c>
      <c r="H667" t="s">
        <v>694</v>
      </c>
      <c r="I667" t="s">
        <v>738</v>
      </c>
      <c r="J667" t="s">
        <v>701</v>
      </c>
      <c r="K667" t="s">
        <v>845</v>
      </c>
      <c r="L667" t="s">
        <v>660</v>
      </c>
      <c r="M667" t="s">
        <v>1938</v>
      </c>
      <c r="N667">
        <v>167000</v>
      </c>
    </row>
    <row r="668" spans="1:14" x14ac:dyDescent="0.3">
      <c r="A668" t="s">
        <v>663</v>
      </c>
      <c r="B668" t="s">
        <v>904</v>
      </c>
      <c r="C668" t="s">
        <v>1950</v>
      </c>
      <c r="D668" t="s">
        <v>676</v>
      </c>
      <c r="E668" t="s">
        <v>705</v>
      </c>
      <c r="F668" t="s">
        <v>655</v>
      </c>
      <c r="G668" t="s">
        <v>699</v>
      </c>
      <c r="H668" t="s">
        <v>670</v>
      </c>
      <c r="I668" t="s">
        <v>709</v>
      </c>
      <c r="J668" t="s">
        <v>709</v>
      </c>
      <c r="K668" t="s">
        <v>680</v>
      </c>
      <c r="L668" t="s">
        <v>1951</v>
      </c>
      <c r="M668" t="s">
        <v>1938</v>
      </c>
      <c r="N668">
        <v>167000</v>
      </c>
    </row>
    <row r="669" spans="1:14" x14ac:dyDescent="0.3">
      <c r="A669" t="s">
        <v>663</v>
      </c>
      <c r="B669" t="s">
        <v>724</v>
      </c>
      <c r="C669" t="s">
        <v>1952</v>
      </c>
      <c r="D669" t="s">
        <v>1953</v>
      </c>
      <c r="E669" t="s">
        <v>1953</v>
      </c>
      <c r="F669" t="s">
        <v>655</v>
      </c>
      <c r="G669" t="s">
        <v>1587</v>
      </c>
      <c r="H669" t="s">
        <v>694</v>
      </c>
      <c r="I669" t="s">
        <v>695</v>
      </c>
      <c r="J669" t="s">
        <v>672</v>
      </c>
      <c r="K669" t="s">
        <v>660</v>
      </c>
      <c r="L669" t="s">
        <v>660</v>
      </c>
      <c r="M669" t="s">
        <v>1938</v>
      </c>
      <c r="N669">
        <v>167000</v>
      </c>
    </row>
    <row r="670" spans="1:14" x14ac:dyDescent="0.3">
      <c r="A670" t="s">
        <v>663</v>
      </c>
      <c r="B670" t="s">
        <v>660</v>
      </c>
      <c r="C670" t="s">
        <v>1954</v>
      </c>
      <c r="D670" t="s">
        <v>793</v>
      </c>
      <c r="E670" t="s">
        <v>882</v>
      </c>
      <c r="F670" t="s">
        <v>882</v>
      </c>
      <c r="G670" t="s">
        <v>660</v>
      </c>
      <c r="H670" t="s">
        <v>882</v>
      </c>
      <c r="I670" t="s">
        <v>882</v>
      </c>
      <c r="J670" t="s">
        <v>882</v>
      </c>
      <c r="K670" t="s">
        <v>882</v>
      </c>
      <c r="L670" t="s">
        <v>660</v>
      </c>
      <c r="M670" t="s">
        <v>1938</v>
      </c>
      <c r="N670">
        <v>167000</v>
      </c>
    </row>
    <row r="671" spans="1:14" x14ac:dyDescent="0.3">
      <c r="A671" t="s">
        <v>663</v>
      </c>
      <c r="B671" t="s">
        <v>660</v>
      </c>
      <c r="C671" t="s">
        <v>1955</v>
      </c>
      <c r="D671" t="s">
        <v>1956</v>
      </c>
      <c r="E671" t="s">
        <v>882</v>
      </c>
      <c r="F671" t="s">
        <v>882</v>
      </c>
      <c r="G671" t="s">
        <v>660</v>
      </c>
      <c r="H671" t="s">
        <v>882</v>
      </c>
      <c r="I671" t="s">
        <v>882</v>
      </c>
      <c r="J671" t="s">
        <v>882</v>
      </c>
      <c r="K671" t="s">
        <v>882</v>
      </c>
      <c r="L671" t="s">
        <v>660</v>
      </c>
      <c r="M671" t="s">
        <v>1938</v>
      </c>
      <c r="N671">
        <v>167000</v>
      </c>
    </row>
    <row r="672" spans="1:14" x14ac:dyDescent="0.3">
      <c r="A672" t="s">
        <v>663</v>
      </c>
      <c r="B672" t="s">
        <v>832</v>
      </c>
      <c r="C672" t="s">
        <v>1957</v>
      </c>
      <c r="D672" t="s">
        <v>793</v>
      </c>
      <c r="E672" t="s">
        <v>906</v>
      </c>
      <c r="F672" t="s">
        <v>765</v>
      </c>
      <c r="G672" t="s">
        <v>660</v>
      </c>
      <c r="H672" t="s">
        <v>694</v>
      </c>
      <c r="I672" t="s">
        <v>695</v>
      </c>
      <c r="J672" t="s">
        <v>672</v>
      </c>
      <c r="K672" t="s">
        <v>864</v>
      </c>
      <c r="L672" t="s">
        <v>660</v>
      </c>
      <c r="M672" t="s">
        <v>1938</v>
      </c>
      <c r="N672">
        <v>167000</v>
      </c>
    </row>
    <row r="673" spans="1:14" x14ac:dyDescent="0.3">
      <c r="A673" t="s">
        <v>663</v>
      </c>
      <c r="B673" t="s">
        <v>855</v>
      </c>
      <c r="C673" t="s">
        <v>1805</v>
      </c>
      <c r="D673" t="s">
        <v>654</v>
      </c>
      <c r="E673" t="s">
        <v>1806</v>
      </c>
      <c r="F673" t="s">
        <v>655</v>
      </c>
      <c r="G673" t="s">
        <v>1241</v>
      </c>
      <c r="H673" t="s">
        <v>670</v>
      </c>
      <c r="I673" t="s">
        <v>1807</v>
      </c>
      <c r="J673" t="s">
        <v>672</v>
      </c>
      <c r="K673" t="s">
        <v>673</v>
      </c>
      <c r="L673" t="s">
        <v>660</v>
      </c>
      <c r="M673" t="s">
        <v>1938</v>
      </c>
      <c r="N673">
        <v>167000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016E-A625-4152-A990-A640A2D352DA}">
  <dimension ref="B2:L22"/>
  <sheetViews>
    <sheetView workbookViewId="0">
      <selection activeCell="F12" sqref="B3:L22"/>
    </sheetView>
  </sheetViews>
  <sheetFormatPr defaultRowHeight="14.4" x14ac:dyDescent="0.3"/>
  <cols>
    <col min="2" max="2" width="10.33203125" bestFit="1" customWidth="1"/>
    <col min="3" max="3" width="9.5546875" customWidth="1"/>
    <col min="5" max="5" width="17.5546875" customWidth="1"/>
    <col min="6" max="6" width="15" customWidth="1"/>
    <col min="7" max="7" width="11.33203125" customWidth="1"/>
    <col min="8" max="8" width="11" customWidth="1"/>
    <col min="9" max="9" width="10.5546875" customWidth="1"/>
    <col min="10" max="10" width="14.88671875" customWidth="1"/>
    <col min="11" max="11" width="15.88671875" bestFit="1" customWidth="1"/>
    <col min="12" max="12" width="17.6640625" customWidth="1"/>
  </cols>
  <sheetData>
    <row r="2" spans="2:12" x14ac:dyDescent="0.3">
      <c r="B2" s="174" t="s">
        <v>239</v>
      </c>
      <c r="C2" s="175" t="s">
        <v>1958</v>
      </c>
      <c r="D2" s="175" t="s">
        <v>624</v>
      </c>
      <c r="E2" s="175" t="s">
        <v>1959</v>
      </c>
      <c r="F2" s="175" t="s">
        <v>473</v>
      </c>
      <c r="G2" s="175" t="s">
        <v>499</v>
      </c>
      <c r="H2" s="175" t="s">
        <v>1960</v>
      </c>
      <c r="I2" s="175" t="s">
        <v>1989</v>
      </c>
      <c r="J2" s="175" t="s">
        <v>1961</v>
      </c>
      <c r="K2" s="175" t="s">
        <v>1962</v>
      </c>
      <c r="L2" s="176" t="s">
        <v>1963</v>
      </c>
    </row>
    <row r="3" spans="2:12" x14ac:dyDescent="0.3">
      <c r="B3" s="171">
        <v>45908</v>
      </c>
      <c r="C3" s="11" t="s">
        <v>1964</v>
      </c>
      <c r="D3" s="11" t="s">
        <v>522</v>
      </c>
      <c r="E3" s="11" t="s">
        <v>1965</v>
      </c>
      <c r="F3" s="11" t="s">
        <v>1966</v>
      </c>
      <c r="G3" s="11">
        <v>1</v>
      </c>
      <c r="H3" s="11">
        <v>41.48</v>
      </c>
      <c r="I3" s="11">
        <v>15.2</v>
      </c>
      <c r="J3" s="11">
        <f>(H3 - I3) * G3</f>
        <v>26.279999999999998</v>
      </c>
      <c r="K3" s="11" t="s">
        <v>1967</v>
      </c>
      <c r="L3" s="170" t="s">
        <v>1968</v>
      </c>
    </row>
    <row r="4" spans="2:12" x14ac:dyDescent="0.3">
      <c r="B4" s="171">
        <v>45908</v>
      </c>
      <c r="C4" s="11" t="s">
        <v>1969</v>
      </c>
      <c r="D4" s="11" t="s">
        <v>525</v>
      </c>
      <c r="E4" s="11" t="s">
        <v>1965</v>
      </c>
      <c r="F4" s="11" t="s">
        <v>1970</v>
      </c>
      <c r="G4" s="11">
        <v>4</v>
      </c>
      <c r="H4" s="11">
        <v>18.16</v>
      </c>
      <c r="I4" s="11">
        <v>8.6</v>
      </c>
      <c r="J4" s="11">
        <f t="shared" ref="J4:J22" si="0">(H4 - I4) * G4</f>
        <v>38.24</v>
      </c>
      <c r="K4" s="11" t="s">
        <v>1971</v>
      </c>
      <c r="L4" s="170" t="s">
        <v>1968</v>
      </c>
    </row>
    <row r="5" spans="2:12" x14ac:dyDescent="0.3">
      <c r="B5" s="171">
        <v>45901</v>
      </c>
      <c r="C5" s="11" t="s">
        <v>1972</v>
      </c>
      <c r="D5" s="11" t="s">
        <v>520</v>
      </c>
      <c r="E5" s="11" t="s">
        <v>1973</v>
      </c>
      <c r="F5" s="11" t="s">
        <v>1974</v>
      </c>
      <c r="G5" s="11">
        <v>3</v>
      </c>
      <c r="H5" s="11">
        <v>98.82</v>
      </c>
      <c r="I5" s="11">
        <v>59.5</v>
      </c>
      <c r="J5" s="11">
        <f t="shared" si="0"/>
        <v>117.95999999999998</v>
      </c>
      <c r="K5" s="11" t="s">
        <v>1967</v>
      </c>
      <c r="L5" s="170" t="s">
        <v>1975</v>
      </c>
    </row>
    <row r="6" spans="2:12" x14ac:dyDescent="0.3">
      <c r="B6" s="171">
        <v>45906</v>
      </c>
      <c r="C6" s="11" t="s">
        <v>1969</v>
      </c>
      <c r="D6" s="11" t="s">
        <v>520</v>
      </c>
      <c r="E6" s="11" t="s">
        <v>1965</v>
      </c>
      <c r="F6" s="11" t="s">
        <v>1976</v>
      </c>
      <c r="G6" s="11">
        <v>4</v>
      </c>
      <c r="H6" s="11">
        <v>58.08</v>
      </c>
      <c r="I6" s="11">
        <v>48.2</v>
      </c>
      <c r="J6" s="11">
        <f t="shared" si="0"/>
        <v>39.519999999999982</v>
      </c>
      <c r="K6" s="11" t="s">
        <v>1971</v>
      </c>
      <c r="L6" s="170" t="s">
        <v>1975</v>
      </c>
    </row>
    <row r="7" spans="2:12" x14ac:dyDescent="0.3">
      <c r="B7" s="171">
        <v>45905</v>
      </c>
      <c r="C7" s="11" t="s">
        <v>1969</v>
      </c>
      <c r="D7" s="11" t="s">
        <v>520</v>
      </c>
      <c r="E7" s="11" t="s">
        <v>1973</v>
      </c>
      <c r="F7" s="11" t="s">
        <v>1977</v>
      </c>
      <c r="G7" s="11">
        <v>10</v>
      </c>
      <c r="H7" s="11">
        <v>15.66</v>
      </c>
      <c r="I7" s="11">
        <v>7.5</v>
      </c>
      <c r="J7" s="11">
        <f t="shared" si="0"/>
        <v>81.599999999999994</v>
      </c>
      <c r="K7" s="11" t="s">
        <v>1971</v>
      </c>
      <c r="L7" s="170" t="s">
        <v>1975</v>
      </c>
    </row>
    <row r="8" spans="2:12" x14ac:dyDescent="0.3">
      <c r="B8" s="171">
        <v>45910</v>
      </c>
      <c r="C8" s="11" t="s">
        <v>1969</v>
      </c>
      <c r="D8" s="11" t="s">
        <v>522</v>
      </c>
      <c r="E8" s="11" t="s">
        <v>1978</v>
      </c>
      <c r="F8" s="11" t="s">
        <v>1979</v>
      </c>
      <c r="G8" s="11">
        <v>7</v>
      </c>
      <c r="H8" s="11">
        <v>19.579999999999998</v>
      </c>
      <c r="I8" s="11">
        <v>11.5</v>
      </c>
      <c r="J8" s="11">
        <f t="shared" si="0"/>
        <v>56.559999999999988</v>
      </c>
      <c r="K8" s="11" t="s">
        <v>1967</v>
      </c>
      <c r="L8" s="170" t="s">
        <v>1980</v>
      </c>
    </row>
    <row r="9" spans="2:12" x14ac:dyDescent="0.3">
      <c r="B9" s="171">
        <v>45909</v>
      </c>
      <c r="C9" s="11" t="s">
        <v>1969</v>
      </c>
      <c r="D9" s="11" t="s">
        <v>518</v>
      </c>
      <c r="E9" s="11" t="s">
        <v>1978</v>
      </c>
      <c r="F9" s="11" t="s">
        <v>1981</v>
      </c>
      <c r="G9" s="11">
        <v>1</v>
      </c>
      <c r="H9" s="11">
        <v>84.66</v>
      </c>
      <c r="I9" s="11">
        <v>37.5</v>
      </c>
      <c r="J9" s="11">
        <f t="shared" si="0"/>
        <v>47.16</v>
      </c>
      <c r="K9" s="11" t="s">
        <v>1971</v>
      </c>
      <c r="L9" s="170" t="s">
        <v>1968</v>
      </c>
    </row>
    <row r="10" spans="2:12" x14ac:dyDescent="0.3">
      <c r="B10" s="171">
        <v>45901</v>
      </c>
      <c r="C10" s="11" t="s">
        <v>1972</v>
      </c>
      <c r="D10" s="11" t="s">
        <v>525</v>
      </c>
      <c r="E10" s="11" t="s">
        <v>1965</v>
      </c>
      <c r="F10" s="11" t="s">
        <v>1970</v>
      </c>
      <c r="G10" s="11">
        <v>4</v>
      </c>
      <c r="H10" s="11">
        <v>39.630000000000003</v>
      </c>
      <c r="I10" s="11">
        <v>24.59</v>
      </c>
      <c r="J10" s="11">
        <f t="shared" si="0"/>
        <v>60.160000000000011</v>
      </c>
      <c r="K10" s="11" t="s">
        <v>1971</v>
      </c>
      <c r="L10" s="170" t="s">
        <v>1968</v>
      </c>
    </row>
    <row r="11" spans="2:12" x14ac:dyDescent="0.3">
      <c r="B11" s="171">
        <v>45908</v>
      </c>
      <c r="C11" s="11" t="s">
        <v>1982</v>
      </c>
      <c r="D11" s="11" t="s">
        <v>518</v>
      </c>
      <c r="E11" s="11" t="s">
        <v>1965</v>
      </c>
      <c r="F11" s="11" t="s">
        <v>1966</v>
      </c>
      <c r="G11" s="11">
        <v>4</v>
      </c>
      <c r="H11" s="11">
        <v>10.55</v>
      </c>
      <c r="I11" s="11">
        <v>2.58</v>
      </c>
      <c r="J11" s="11">
        <f t="shared" si="0"/>
        <v>31.880000000000003</v>
      </c>
      <c r="K11" s="11" t="s">
        <v>1971</v>
      </c>
      <c r="L11" s="170" t="s">
        <v>1980</v>
      </c>
    </row>
    <row r="12" spans="2:12" x14ac:dyDescent="0.3">
      <c r="B12" s="171">
        <v>45903</v>
      </c>
      <c r="C12" s="11" t="s">
        <v>1972</v>
      </c>
      <c r="D12" s="11" t="s">
        <v>522</v>
      </c>
      <c r="E12" s="11" t="s">
        <v>135</v>
      </c>
      <c r="F12" s="11" t="s">
        <v>1983</v>
      </c>
      <c r="G12" s="11">
        <v>4</v>
      </c>
      <c r="H12" s="11">
        <v>63.82</v>
      </c>
      <c r="I12" s="11">
        <v>45.1</v>
      </c>
      <c r="J12" s="11">
        <f t="shared" si="0"/>
        <v>74.88</v>
      </c>
      <c r="K12" s="11" t="s">
        <v>1971</v>
      </c>
      <c r="L12" s="170" t="s">
        <v>1975</v>
      </c>
    </row>
    <row r="13" spans="2:12" x14ac:dyDescent="0.3">
      <c r="B13" s="171">
        <v>45905</v>
      </c>
      <c r="C13" s="11" t="s">
        <v>1969</v>
      </c>
      <c r="D13" s="11" t="s">
        <v>525</v>
      </c>
      <c r="E13" s="11" t="s">
        <v>1965</v>
      </c>
      <c r="F13" s="11" t="s">
        <v>1976</v>
      </c>
      <c r="G13" s="11">
        <v>4</v>
      </c>
      <c r="H13" s="11">
        <v>68.650000000000006</v>
      </c>
      <c r="I13" s="11">
        <v>59.6</v>
      </c>
      <c r="J13" s="11">
        <f t="shared" si="0"/>
        <v>36.200000000000017</v>
      </c>
      <c r="K13" s="11" t="s">
        <v>1971</v>
      </c>
      <c r="L13" s="170" t="s">
        <v>1980</v>
      </c>
    </row>
    <row r="14" spans="2:12" x14ac:dyDescent="0.3">
      <c r="B14" s="171">
        <v>45904</v>
      </c>
      <c r="C14" s="11" t="s">
        <v>1969</v>
      </c>
      <c r="D14" s="11" t="s">
        <v>520</v>
      </c>
      <c r="E14" s="11" t="s">
        <v>1973</v>
      </c>
      <c r="F14" s="11" t="s">
        <v>1974</v>
      </c>
      <c r="G14" s="11">
        <v>7</v>
      </c>
      <c r="H14" s="11">
        <v>50.58</v>
      </c>
      <c r="I14" s="11">
        <v>28</v>
      </c>
      <c r="J14" s="11">
        <f t="shared" si="0"/>
        <v>158.06</v>
      </c>
      <c r="K14" s="11" t="s">
        <v>1967</v>
      </c>
      <c r="L14" s="170" t="s">
        <v>1968</v>
      </c>
    </row>
    <row r="15" spans="2:12" x14ac:dyDescent="0.3">
      <c r="B15" s="171">
        <v>45903</v>
      </c>
      <c r="C15" s="11" t="s">
        <v>1964</v>
      </c>
      <c r="D15" s="11" t="s">
        <v>518</v>
      </c>
      <c r="E15" s="11" t="s">
        <v>1978</v>
      </c>
      <c r="F15" s="11" t="s">
        <v>1979</v>
      </c>
      <c r="G15" s="11">
        <v>4</v>
      </c>
      <c r="H15" s="11">
        <v>80.81</v>
      </c>
      <c r="I15" s="11">
        <v>72.2</v>
      </c>
      <c r="J15" s="11">
        <f t="shared" si="0"/>
        <v>34.44</v>
      </c>
      <c r="K15" s="11" t="s">
        <v>1967</v>
      </c>
      <c r="L15" s="170" t="s">
        <v>1968</v>
      </c>
    </row>
    <row r="16" spans="2:12" x14ac:dyDescent="0.3">
      <c r="B16" s="171">
        <v>45907</v>
      </c>
      <c r="C16" s="11" t="s">
        <v>1982</v>
      </c>
      <c r="D16" s="11" t="s">
        <v>525</v>
      </c>
      <c r="E16" s="11" t="s">
        <v>135</v>
      </c>
      <c r="F16" s="11" t="s">
        <v>1984</v>
      </c>
      <c r="G16" s="11">
        <v>6</v>
      </c>
      <c r="H16" s="11">
        <v>53.89</v>
      </c>
      <c r="I16" s="11">
        <v>35.6</v>
      </c>
      <c r="J16" s="11">
        <f t="shared" si="0"/>
        <v>109.74</v>
      </c>
      <c r="K16" s="11" t="s">
        <v>1967</v>
      </c>
      <c r="L16" s="170" t="s">
        <v>1980</v>
      </c>
    </row>
    <row r="17" spans="2:12" x14ac:dyDescent="0.3">
      <c r="B17" s="171">
        <v>45901</v>
      </c>
      <c r="C17" s="11" t="s">
        <v>1964</v>
      </c>
      <c r="D17" s="11" t="s">
        <v>525</v>
      </c>
      <c r="E17" s="11" t="s">
        <v>1965</v>
      </c>
      <c r="F17" s="11" t="s">
        <v>1970</v>
      </c>
      <c r="G17" s="11">
        <v>1</v>
      </c>
      <c r="H17" s="11">
        <v>66.849999999999994</v>
      </c>
      <c r="I17" s="11">
        <v>55.2</v>
      </c>
      <c r="J17" s="11">
        <f t="shared" si="0"/>
        <v>11.649999999999991</v>
      </c>
      <c r="K17" s="11" t="s">
        <v>1967</v>
      </c>
      <c r="L17" s="170" t="s">
        <v>1980</v>
      </c>
    </row>
    <row r="18" spans="2:12" x14ac:dyDescent="0.3">
      <c r="B18" s="171">
        <v>45906</v>
      </c>
      <c r="C18" s="11" t="s">
        <v>1972</v>
      </c>
      <c r="D18" s="11" t="s">
        <v>525</v>
      </c>
      <c r="E18" s="11" t="s">
        <v>1965</v>
      </c>
      <c r="F18" s="11" t="s">
        <v>1970</v>
      </c>
      <c r="G18" s="11">
        <v>7</v>
      </c>
      <c r="H18" s="11">
        <v>80.89</v>
      </c>
      <c r="I18" s="11">
        <v>48.6</v>
      </c>
      <c r="J18" s="11">
        <f t="shared" si="0"/>
        <v>226.03</v>
      </c>
      <c r="K18" s="11" t="s">
        <v>1967</v>
      </c>
      <c r="L18" s="170" t="s">
        <v>1968</v>
      </c>
    </row>
    <row r="19" spans="2:12" x14ac:dyDescent="0.3">
      <c r="B19" s="171">
        <v>45910</v>
      </c>
      <c r="C19" s="11" t="s">
        <v>1969</v>
      </c>
      <c r="D19" s="11" t="s">
        <v>525</v>
      </c>
      <c r="E19" s="11" t="s">
        <v>1965</v>
      </c>
      <c r="F19" s="11" t="s">
        <v>1970</v>
      </c>
      <c r="G19" s="11">
        <v>9</v>
      </c>
      <c r="H19" s="11">
        <v>7.82</v>
      </c>
      <c r="I19" s="11">
        <v>1.5</v>
      </c>
      <c r="J19" s="11">
        <f t="shared" si="0"/>
        <v>56.88</v>
      </c>
      <c r="K19" s="11" t="s">
        <v>1967</v>
      </c>
      <c r="L19" s="170" t="s">
        <v>1968</v>
      </c>
    </row>
    <row r="20" spans="2:12" x14ac:dyDescent="0.3">
      <c r="B20" s="171">
        <v>45902</v>
      </c>
      <c r="C20" s="11" t="s">
        <v>1982</v>
      </c>
      <c r="D20" s="11" t="s">
        <v>520</v>
      </c>
      <c r="E20" s="11" t="s">
        <v>135</v>
      </c>
      <c r="F20" s="11" t="s">
        <v>1984</v>
      </c>
      <c r="G20" s="11">
        <v>5</v>
      </c>
      <c r="H20" s="11">
        <v>56.66</v>
      </c>
      <c r="I20" s="11">
        <v>29.4</v>
      </c>
      <c r="J20" s="11">
        <f t="shared" si="0"/>
        <v>136.29999999999998</v>
      </c>
      <c r="K20" s="11" t="s">
        <v>1967</v>
      </c>
      <c r="L20" s="170" t="s">
        <v>1975</v>
      </c>
    </row>
    <row r="21" spans="2:12" x14ac:dyDescent="0.3">
      <c r="B21" s="171">
        <v>45903</v>
      </c>
      <c r="C21" s="11" t="s">
        <v>1969</v>
      </c>
      <c r="D21" s="11" t="s">
        <v>518</v>
      </c>
      <c r="E21" s="11" t="s">
        <v>1965</v>
      </c>
      <c r="F21" s="11" t="s">
        <v>1966</v>
      </c>
      <c r="G21" s="11">
        <v>4</v>
      </c>
      <c r="H21" s="11">
        <v>96.26</v>
      </c>
      <c r="I21" s="11">
        <v>88.4</v>
      </c>
      <c r="J21" s="11">
        <f t="shared" si="0"/>
        <v>31.439999999999998</v>
      </c>
      <c r="K21" s="11" t="s">
        <v>1967</v>
      </c>
      <c r="L21" s="170" t="s">
        <v>1968</v>
      </c>
    </row>
    <row r="22" spans="2:12" x14ac:dyDescent="0.3">
      <c r="B22" s="179">
        <v>45909</v>
      </c>
      <c r="C22" s="177" t="s">
        <v>1964</v>
      </c>
      <c r="D22" s="177" t="s">
        <v>518</v>
      </c>
      <c r="E22" s="177" t="s">
        <v>1965</v>
      </c>
      <c r="F22" s="177" t="s">
        <v>1970</v>
      </c>
      <c r="G22" s="177">
        <v>10</v>
      </c>
      <c r="H22" s="177">
        <v>61.45</v>
      </c>
      <c r="I22" s="177">
        <v>66</v>
      </c>
      <c r="J22" s="177">
        <f t="shared" si="0"/>
        <v>-45.499999999999972</v>
      </c>
      <c r="K22" s="177" t="s">
        <v>1971</v>
      </c>
      <c r="L22" s="178" t="s">
        <v>1968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4AAB-38B4-4E77-BCC2-5139F0EFB666}">
  <dimension ref="B2:P13"/>
  <sheetViews>
    <sheetView topLeftCell="B1" zoomScale="74" workbookViewId="0">
      <selection activeCell="N31" sqref="N31"/>
    </sheetView>
  </sheetViews>
  <sheetFormatPr defaultRowHeight="14.4" x14ac:dyDescent="0.3"/>
  <cols>
    <col min="2" max="2" width="19.6640625" bestFit="1" customWidth="1"/>
    <col min="3" max="3" width="15.5546875" bestFit="1" customWidth="1"/>
    <col min="4" max="4" width="10" bestFit="1" customWidth="1"/>
    <col min="5" max="5" width="7.5546875" bestFit="1" customWidth="1"/>
    <col min="6" max="6" width="7" bestFit="1" customWidth="1"/>
    <col min="7" max="7" width="10.77734375" bestFit="1" customWidth="1"/>
    <col min="8" max="8" width="14.77734375" bestFit="1" customWidth="1"/>
    <col min="9" max="9" width="13" bestFit="1" customWidth="1"/>
    <col min="10" max="10" width="19.6640625" bestFit="1" customWidth="1"/>
    <col min="11" max="11" width="12.21875" bestFit="1" customWidth="1"/>
    <col min="12" max="12" width="8" bestFit="1" customWidth="1"/>
    <col min="13" max="13" width="9.21875" bestFit="1" customWidth="1"/>
    <col min="14" max="14" width="10.6640625" bestFit="1" customWidth="1"/>
    <col min="15" max="15" width="13.88671875" bestFit="1" customWidth="1"/>
    <col min="16" max="16" width="20.6640625" bestFit="1" customWidth="1"/>
    <col min="17" max="21" width="7" bestFit="1" customWidth="1"/>
    <col min="22" max="22" width="6" bestFit="1" customWidth="1"/>
    <col min="23" max="23" width="10.77734375" bestFit="1" customWidth="1"/>
  </cols>
  <sheetData>
    <row r="2" spans="2:16" x14ac:dyDescent="0.3">
      <c r="B2" s="172" t="s">
        <v>1988</v>
      </c>
      <c r="C2" s="172" t="s">
        <v>1987</v>
      </c>
      <c r="I2" s="172" t="s">
        <v>1985</v>
      </c>
      <c r="J2" t="s">
        <v>1988</v>
      </c>
      <c r="O2" s="172" t="s">
        <v>1985</v>
      </c>
      <c r="P2" t="s">
        <v>1988</v>
      </c>
    </row>
    <row r="3" spans="2:16" x14ac:dyDescent="0.3">
      <c r="B3" s="172" t="s">
        <v>1985</v>
      </c>
      <c r="C3" t="s">
        <v>1973</v>
      </c>
      <c r="D3" t="s">
        <v>135</v>
      </c>
      <c r="E3" t="s">
        <v>1965</v>
      </c>
      <c r="F3" t="s">
        <v>1978</v>
      </c>
      <c r="G3" t="s">
        <v>1986</v>
      </c>
      <c r="I3" s="173" t="s">
        <v>520</v>
      </c>
      <c r="J3">
        <v>533.43999999999994</v>
      </c>
      <c r="O3" s="180">
        <v>45901</v>
      </c>
      <c r="P3">
        <v>189.76999999999998</v>
      </c>
    </row>
    <row r="4" spans="2:16" x14ac:dyDescent="0.3">
      <c r="B4" s="173" t="s">
        <v>520</v>
      </c>
      <c r="C4">
        <v>357.62</v>
      </c>
      <c r="D4">
        <v>136.29999999999998</v>
      </c>
      <c r="E4">
        <v>39.519999999999982</v>
      </c>
      <c r="G4">
        <v>533.43999999999994</v>
      </c>
      <c r="I4" s="173" t="s">
        <v>522</v>
      </c>
      <c r="J4">
        <v>157.71999999999997</v>
      </c>
      <c r="O4" s="180">
        <v>45902</v>
      </c>
      <c r="P4">
        <v>136.29999999999998</v>
      </c>
    </row>
    <row r="5" spans="2:16" x14ac:dyDescent="0.3">
      <c r="B5" s="173" t="s">
        <v>522</v>
      </c>
      <c r="D5">
        <v>74.88</v>
      </c>
      <c r="E5">
        <v>26.279999999999998</v>
      </c>
      <c r="F5">
        <v>56.559999999999988</v>
      </c>
      <c r="G5">
        <v>157.71999999999997</v>
      </c>
      <c r="I5" s="173" t="s">
        <v>518</v>
      </c>
      <c r="J5">
        <v>99.420000000000016</v>
      </c>
      <c r="O5" s="180">
        <v>45903</v>
      </c>
      <c r="P5">
        <v>140.76</v>
      </c>
    </row>
    <row r="6" spans="2:16" x14ac:dyDescent="0.3">
      <c r="B6" s="173" t="s">
        <v>518</v>
      </c>
      <c r="E6">
        <v>17.820000000000029</v>
      </c>
      <c r="F6">
        <v>81.599999999999994</v>
      </c>
      <c r="G6">
        <v>99.420000000000016</v>
      </c>
      <c r="I6" s="173" t="s">
        <v>525</v>
      </c>
      <c r="J6">
        <v>538.9</v>
      </c>
      <c r="O6" s="180">
        <v>45904</v>
      </c>
      <c r="P6">
        <v>158.06</v>
      </c>
    </row>
    <row r="7" spans="2:16" x14ac:dyDescent="0.3">
      <c r="B7" s="173" t="s">
        <v>525</v>
      </c>
      <c r="D7">
        <v>109.74</v>
      </c>
      <c r="E7">
        <v>429.15999999999997</v>
      </c>
      <c r="G7">
        <v>538.9</v>
      </c>
      <c r="I7" s="173" t="s">
        <v>1986</v>
      </c>
      <c r="J7">
        <v>1329.48</v>
      </c>
      <c r="O7" s="180">
        <v>45905</v>
      </c>
      <c r="P7">
        <v>117.80000000000001</v>
      </c>
    </row>
    <row r="8" spans="2:16" x14ac:dyDescent="0.3">
      <c r="B8" s="173" t="s">
        <v>1986</v>
      </c>
      <c r="C8">
        <v>357.62</v>
      </c>
      <c r="D8">
        <v>320.91999999999996</v>
      </c>
      <c r="E8">
        <v>512.78</v>
      </c>
      <c r="F8">
        <v>138.15999999999997</v>
      </c>
      <c r="G8">
        <v>1329.48</v>
      </c>
      <c r="O8" s="180">
        <v>45906</v>
      </c>
      <c r="P8">
        <v>265.54999999999995</v>
      </c>
    </row>
    <row r="9" spans="2:16" x14ac:dyDescent="0.3">
      <c r="O9" s="180">
        <v>45907</v>
      </c>
      <c r="P9">
        <v>109.74</v>
      </c>
    </row>
    <row r="10" spans="2:16" x14ac:dyDescent="0.3">
      <c r="O10" s="180">
        <v>45908</v>
      </c>
      <c r="P10">
        <v>96.4</v>
      </c>
    </row>
    <row r="11" spans="2:16" x14ac:dyDescent="0.3">
      <c r="O11" s="180">
        <v>45909</v>
      </c>
      <c r="P11">
        <v>1.660000000000025</v>
      </c>
    </row>
    <row r="12" spans="2:16" x14ac:dyDescent="0.3">
      <c r="O12" s="180">
        <v>45910</v>
      </c>
      <c r="P12">
        <v>113.44</v>
      </c>
    </row>
    <row r="13" spans="2:16" x14ac:dyDescent="0.3">
      <c r="O13" s="173" t="s">
        <v>1986</v>
      </c>
      <c r="P13">
        <v>1329.48</v>
      </c>
    </row>
  </sheetData>
  <pageMargins left="0.7" right="0.7" top="0.75" bottom="0.75" header="0.3" footer="0.3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1AF8-FAE1-4203-9FE5-C233DED98BC8}">
  <sheetPr>
    <outlinePr summaryBelow="0"/>
  </sheetPr>
  <dimension ref="B1:H12"/>
  <sheetViews>
    <sheetView showGridLines="0" workbookViewId="0">
      <selection activeCell="I13" sqref="I13"/>
    </sheetView>
  </sheetViews>
  <sheetFormatPr defaultRowHeight="14.4" outlineLevelRow="1" outlineLevelCol="1" x14ac:dyDescent="0.3"/>
  <cols>
    <col min="3" max="3" width="5.109375" bestFit="1" customWidth="1"/>
    <col min="4" max="8" width="13.109375" bestFit="1" customWidth="1" outlineLevel="1"/>
  </cols>
  <sheetData>
    <row r="1" spans="2:8" ht="15" thickBot="1" x14ac:dyDescent="0.35"/>
    <row r="2" spans="2:8" ht="15.6" x14ac:dyDescent="0.3">
      <c r="B2" s="260" t="s">
        <v>2005</v>
      </c>
      <c r="C2" s="260"/>
      <c r="D2" s="265"/>
      <c r="E2" s="265"/>
      <c r="F2" s="265"/>
      <c r="G2" s="265"/>
      <c r="H2" s="265"/>
    </row>
    <row r="3" spans="2:8" ht="15.6" collapsed="1" x14ac:dyDescent="0.3">
      <c r="B3" s="259"/>
      <c r="C3" s="259"/>
      <c r="D3" s="266" t="s">
        <v>2007</v>
      </c>
      <c r="E3" s="266" t="s">
        <v>1999</v>
      </c>
      <c r="F3" s="266" t="s">
        <v>2001</v>
      </c>
      <c r="G3" s="266" t="s">
        <v>2003</v>
      </c>
      <c r="H3" s="266" t="s">
        <v>2004</v>
      </c>
    </row>
    <row r="4" spans="2:8" ht="40.799999999999997" hidden="1" outlineLevel="1" x14ac:dyDescent="0.3">
      <c r="B4" s="262"/>
      <c r="C4" s="262"/>
      <c r="D4" s="257"/>
      <c r="E4" s="268" t="s">
        <v>2000</v>
      </c>
      <c r="F4" s="268" t="s">
        <v>2002</v>
      </c>
      <c r="G4" s="268" t="s">
        <v>2002</v>
      </c>
      <c r="H4" s="268" t="s">
        <v>2002</v>
      </c>
    </row>
    <row r="5" spans="2:8" x14ac:dyDescent="0.3">
      <c r="B5" s="263" t="s">
        <v>2006</v>
      </c>
      <c r="C5" s="263"/>
      <c r="D5" s="261"/>
      <c r="E5" s="261"/>
      <c r="F5" s="261"/>
      <c r="G5" s="261"/>
      <c r="H5" s="261"/>
    </row>
    <row r="6" spans="2:8" outlineLevel="1" x14ac:dyDescent="0.3">
      <c r="B6" s="262"/>
      <c r="C6" s="262" t="s">
        <v>1996</v>
      </c>
      <c r="D6" s="257">
        <v>100</v>
      </c>
      <c r="E6" s="267">
        <v>100</v>
      </c>
      <c r="F6" s="267">
        <v>200</v>
      </c>
      <c r="G6" s="267">
        <v>300</v>
      </c>
      <c r="H6" s="257">
        <v>100</v>
      </c>
    </row>
    <row r="7" spans="2:8" outlineLevel="1" x14ac:dyDescent="0.3">
      <c r="B7" s="262"/>
      <c r="C7" s="262" t="s">
        <v>1997</v>
      </c>
      <c r="D7" s="257">
        <v>8</v>
      </c>
      <c r="E7" s="267">
        <v>8</v>
      </c>
      <c r="F7" s="257">
        <v>8</v>
      </c>
      <c r="G7" s="257">
        <v>8</v>
      </c>
      <c r="H7" s="267">
        <v>11</v>
      </c>
    </row>
    <row r="8" spans="2:8" x14ac:dyDescent="0.3">
      <c r="B8" s="263" t="s">
        <v>2008</v>
      </c>
      <c r="C8" s="263"/>
      <c r="D8" s="261"/>
      <c r="E8" s="261"/>
      <c r="F8" s="261"/>
      <c r="G8" s="261"/>
      <c r="H8" s="261"/>
    </row>
    <row r="9" spans="2:8" ht="15" outlineLevel="1" thickBot="1" x14ac:dyDescent="0.35">
      <c r="B9" s="264"/>
      <c r="C9" s="264" t="s">
        <v>1998</v>
      </c>
      <c r="D9" s="258">
        <v>700</v>
      </c>
      <c r="E9" s="258">
        <v>700</v>
      </c>
      <c r="F9" s="258">
        <v>1400</v>
      </c>
      <c r="G9" s="258">
        <v>2100</v>
      </c>
      <c r="H9" s="258">
        <v>400</v>
      </c>
    </row>
    <row r="10" spans="2:8" x14ac:dyDescent="0.3">
      <c r="B10" t="s">
        <v>2009</v>
      </c>
    </row>
    <row r="11" spans="2:8" x14ac:dyDescent="0.3">
      <c r="B11" t="s">
        <v>2010</v>
      </c>
    </row>
    <row r="12" spans="2:8" x14ac:dyDescent="0.3">
      <c r="B12" t="s">
        <v>2011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1757-C388-481B-AE37-B4E1343FD4A3}">
  <dimension ref="B1:G17"/>
  <sheetViews>
    <sheetView tabSelected="1" workbookViewId="0">
      <selection activeCell="K14" sqref="K14"/>
    </sheetView>
  </sheetViews>
  <sheetFormatPr defaultRowHeight="14.4" x14ac:dyDescent="0.3"/>
  <cols>
    <col min="2" max="2" width="13.109375" bestFit="1" customWidth="1"/>
    <col min="6" max="6" width="13.109375" bestFit="1" customWidth="1"/>
  </cols>
  <sheetData>
    <row r="1" spans="2:7" ht="15" thickBot="1" x14ac:dyDescent="0.35"/>
    <row r="2" spans="2:7" x14ac:dyDescent="0.3">
      <c r="B2" s="202" t="s">
        <v>1993</v>
      </c>
      <c r="C2" s="208"/>
      <c r="D2" s="85"/>
      <c r="F2" s="202" t="s">
        <v>1994</v>
      </c>
      <c r="G2" s="208"/>
    </row>
    <row r="3" spans="2:7" x14ac:dyDescent="0.3">
      <c r="B3" s="44" t="s">
        <v>1960</v>
      </c>
      <c r="C3" s="40">
        <v>8</v>
      </c>
      <c r="D3" s="85"/>
      <c r="F3" s="44" t="s">
        <v>1960</v>
      </c>
      <c r="G3" s="40">
        <v>8</v>
      </c>
    </row>
    <row r="4" spans="2:7" x14ac:dyDescent="0.3">
      <c r="B4" s="44" t="s">
        <v>1990</v>
      </c>
      <c r="C4" s="40">
        <v>15</v>
      </c>
      <c r="D4" s="85"/>
      <c r="F4" s="44" t="s">
        <v>1990</v>
      </c>
      <c r="G4" s="40">
        <v>15</v>
      </c>
    </row>
    <row r="5" spans="2:7" x14ac:dyDescent="0.3">
      <c r="B5" s="44" t="s">
        <v>474</v>
      </c>
      <c r="C5" s="40">
        <v>100</v>
      </c>
      <c r="D5" s="85"/>
      <c r="F5" s="44" t="s">
        <v>474</v>
      </c>
      <c r="G5" s="40">
        <v>214.28571428571428</v>
      </c>
    </row>
    <row r="6" spans="2:7" x14ac:dyDescent="0.3">
      <c r="B6" s="44" t="s">
        <v>1961</v>
      </c>
      <c r="C6" s="40">
        <f>C5 * C4</f>
        <v>1500</v>
      </c>
      <c r="D6" s="85"/>
      <c r="F6" s="44" t="s">
        <v>1961</v>
      </c>
      <c r="G6" s="40">
        <f>G5 * G4</f>
        <v>3214.2857142857142</v>
      </c>
    </row>
    <row r="7" spans="2:7" x14ac:dyDescent="0.3">
      <c r="B7" s="44" t="s">
        <v>1991</v>
      </c>
      <c r="C7" s="40">
        <f>C5 * C3</f>
        <v>800</v>
      </c>
      <c r="D7" s="85"/>
      <c r="F7" s="44" t="s">
        <v>1991</v>
      </c>
      <c r="G7" s="40">
        <f>G5 * G3</f>
        <v>1714.2857142857142</v>
      </c>
    </row>
    <row r="8" spans="2:7" ht="15" thickBot="1" x14ac:dyDescent="0.35">
      <c r="B8" s="76" t="s">
        <v>1992</v>
      </c>
      <c r="C8" s="43">
        <f xml:space="preserve"> C6 - C7</f>
        <v>700</v>
      </c>
      <c r="D8" s="85"/>
      <c r="F8" s="76" t="s">
        <v>1992</v>
      </c>
      <c r="G8" s="43">
        <f xml:space="preserve"> G6 - G7</f>
        <v>1500</v>
      </c>
    </row>
    <row r="9" spans="2:7" x14ac:dyDescent="0.3">
      <c r="B9" s="253"/>
      <c r="C9" s="253"/>
      <c r="D9" s="254"/>
      <c r="E9" s="253"/>
      <c r="F9" s="253"/>
      <c r="G9" s="253"/>
    </row>
    <row r="10" spans="2:7" ht="15" thickBot="1" x14ac:dyDescent="0.35"/>
    <row r="11" spans="2:7" x14ac:dyDescent="0.3">
      <c r="B11" s="202" t="s">
        <v>630</v>
      </c>
      <c r="C11" s="208"/>
      <c r="F11" s="256" t="s">
        <v>1995</v>
      </c>
      <c r="G11" s="255">
        <f>C8</f>
        <v>700</v>
      </c>
    </row>
    <row r="12" spans="2:7" x14ac:dyDescent="0.3">
      <c r="B12" s="44" t="s">
        <v>1960</v>
      </c>
      <c r="C12" s="40">
        <v>8</v>
      </c>
      <c r="F12">
        <v>200</v>
      </c>
      <c r="G12">
        <f t="dataTable" ref="G12:G17" dt2D="0" dtr="0" r1="C5"/>
        <v>1400</v>
      </c>
    </row>
    <row r="13" spans="2:7" x14ac:dyDescent="0.3">
      <c r="B13" s="44" t="s">
        <v>1990</v>
      </c>
      <c r="C13" s="40">
        <v>15</v>
      </c>
      <c r="F13">
        <v>300</v>
      </c>
      <c r="G13">
        <v>2100</v>
      </c>
    </row>
    <row r="14" spans="2:7" x14ac:dyDescent="0.3">
      <c r="B14" s="44" t="s">
        <v>474</v>
      </c>
      <c r="C14" s="40">
        <v>100</v>
      </c>
      <c r="F14">
        <v>400</v>
      </c>
      <c r="G14">
        <v>2800</v>
      </c>
    </row>
    <row r="15" spans="2:7" x14ac:dyDescent="0.3">
      <c r="B15" s="44" t="s">
        <v>1961</v>
      </c>
      <c r="C15" s="40">
        <f>C14 * C13</f>
        <v>1500</v>
      </c>
      <c r="F15">
        <v>500</v>
      </c>
      <c r="G15">
        <v>3500</v>
      </c>
    </row>
    <row r="16" spans="2:7" x14ac:dyDescent="0.3">
      <c r="B16" s="44" t="s">
        <v>1991</v>
      </c>
      <c r="C16" s="40">
        <f>C14 * C12</f>
        <v>800</v>
      </c>
      <c r="F16">
        <v>600</v>
      </c>
      <c r="G16">
        <v>4200</v>
      </c>
    </row>
    <row r="17" spans="2:7" ht="15" thickBot="1" x14ac:dyDescent="0.35">
      <c r="B17" s="76" t="s">
        <v>1992</v>
      </c>
      <c r="C17" s="43">
        <f xml:space="preserve"> C15 - C16</f>
        <v>700</v>
      </c>
      <c r="F17">
        <v>700</v>
      </c>
      <c r="G17">
        <v>4900</v>
      </c>
    </row>
  </sheetData>
  <scenarios current="0" show="0" sqref="C8">
    <scenario name="Default" locked="1" count="2" user="HP" comment="Created by HP on 30-09-2025_x000a_Modified by HP on 30-09-2025">
      <inputCells r="C5" val="100"/>
      <inputCells r="C3" val="8"/>
    </scenario>
    <scenario name="Qty 200" locked="1" count="1" user="HP" comment="Created by HP on 30-09-2025">
      <inputCells r="C5" val="200"/>
    </scenario>
    <scenario name="Qty 300" locked="1" count="1" user="HP" comment="Created by HP on 30-09-2025">
      <inputCells r="C5" val="300"/>
    </scenario>
    <scenario name="Unit Price 11" locked="1" count="1" user="HP" comment="Created by HP on 30-09-2025">
      <inputCells r="C3" val="11"/>
    </scenario>
  </scenarios>
  <mergeCells count="3">
    <mergeCell ref="B2:C2"/>
    <mergeCell ref="F2:G2"/>
    <mergeCell ref="B11:C1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0518-BBF4-4866-833D-F49031F02450}">
  <dimension ref="B2:K34"/>
  <sheetViews>
    <sheetView topLeftCell="A2" zoomScale="81" workbookViewId="0">
      <selection activeCell="L26" sqref="L26"/>
    </sheetView>
  </sheetViews>
  <sheetFormatPr defaultRowHeight="14.4" x14ac:dyDescent="0.3"/>
  <cols>
    <col min="3" max="3" width="10.109375" bestFit="1" customWidth="1"/>
    <col min="4" max="4" width="7.33203125" bestFit="1" customWidth="1"/>
    <col min="5" max="5" width="12.21875" bestFit="1" customWidth="1"/>
    <col min="8" max="8" width="10.77734375" bestFit="1" customWidth="1"/>
  </cols>
  <sheetData>
    <row r="2" spans="2:11" x14ac:dyDescent="0.3">
      <c r="B2" s="18" t="s">
        <v>148</v>
      </c>
      <c r="C2" s="18" t="s">
        <v>149</v>
      </c>
      <c r="D2" s="18" t="s">
        <v>150</v>
      </c>
      <c r="E2" s="18" t="s">
        <v>151</v>
      </c>
      <c r="F2" s="18" t="s">
        <v>152</v>
      </c>
      <c r="G2" s="18" t="s">
        <v>153</v>
      </c>
      <c r="H2" s="18" t="s">
        <v>154</v>
      </c>
      <c r="I2" s="12" t="s">
        <v>155</v>
      </c>
      <c r="J2" s="12" t="s">
        <v>156</v>
      </c>
      <c r="K2" s="12" t="s">
        <v>125</v>
      </c>
    </row>
    <row r="3" spans="2:11" x14ac:dyDescent="0.3">
      <c r="B3" s="14">
        <v>1</v>
      </c>
      <c r="C3" s="17" t="s">
        <v>157</v>
      </c>
      <c r="D3" s="15">
        <v>98</v>
      </c>
      <c r="E3" s="16">
        <v>86</v>
      </c>
      <c r="F3" s="15">
        <v>53</v>
      </c>
      <c r="G3" s="16">
        <v>51</v>
      </c>
      <c r="H3" s="15">
        <v>52</v>
      </c>
      <c r="I3" s="13">
        <f>SUM(D3:H3)</f>
        <v>340</v>
      </c>
      <c r="J3" s="13">
        <f>AVERAGE(D3:H3)</f>
        <v>68</v>
      </c>
      <c r="K3" s="13" t="str">
        <f>IF(J3&gt;80,"A","B")</f>
        <v>B</v>
      </c>
    </row>
    <row r="4" spans="2:11" x14ac:dyDescent="0.3">
      <c r="B4" s="14">
        <v>2</v>
      </c>
      <c r="C4" s="17" t="s">
        <v>158</v>
      </c>
      <c r="D4" s="15">
        <v>97</v>
      </c>
      <c r="E4" s="16">
        <v>84</v>
      </c>
      <c r="F4" s="15">
        <v>88</v>
      </c>
      <c r="G4" s="16">
        <v>78</v>
      </c>
      <c r="H4" s="15">
        <v>59</v>
      </c>
      <c r="I4" s="13">
        <f t="shared" ref="I4:I12" si="0">SUM(D4:H4)</f>
        <v>406</v>
      </c>
      <c r="J4" s="13">
        <f t="shared" ref="J4:J12" si="1">AVERAGE(D4:H4)</f>
        <v>81.2</v>
      </c>
      <c r="K4" s="13" t="str">
        <f t="shared" ref="K4:K12" si="2">IF(J4&gt;80,"A","B")</f>
        <v>A</v>
      </c>
    </row>
    <row r="5" spans="2:11" x14ac:dyDescent="0.3">
      <c r="B5" s="14">
        <v>3</v>
      </c>
      <c r="C5" s="17" t="s">
        <v>159</v>
      </c>
      <c r="D5" s="15">
        <v>96</v>
      </c>
      <c r="E5" s="16">
        <v>58</v>
      </c>
      <c r="F5" s="15">
        <v>43</v>
      </c>
      <c r="G5" s="16">
        <v>67</v>
      </c>
      <c r="H5" s="15">
        <v>59</v>
      </c>
      <c r="I5" s="13">
        <f t="shared" si="0"/>
        <v>323</v>
      </c>
      <c r="J5" s="13">
        <f t="shared" si="1"/>
        <v>64.599999999999994</v>
      </c>
      <c r="K5" s="13" t="str">
        <f t="shared" si="2"/>
        <v>B</v>
      </c>
    </row>
    <row r="6" spans="2:11" x14ac:dyDescent="0.3">
      <c r="B6" s="14">
        <v>4</v>
      </c>
      <c r="C6" s="17" t="s">
        <v>160</v>
      </c>
      <c r="D6" s="15">
        <v>94</v>
      </c>
      <c r="E6" s="16">
        <v>62</v>
      </c>
      <c r="F6" s="15">
        <v>72</v>
      </c>
      <c r="G6" s="16">
        <v>44</v>
      </c>
      <c r="H6" s="15">
        <v>51</v>
      </c>
      <c r="I6" s="13">
        <f t="shared" si="0"/>
        <v>323</v>
      </c>
      <c r="J6" s="13">
        <f t="shared" si="1"/>
        <v>64.599999999999994</v>
      </c>
      <c r="K6" s="13" t="str">
        <f t="shared" si="2"/>
        <v>B</v>
      </c>
    </row>
    <row r="7" spans="2:11" x14ac:dyDescent="0.3">
      <c r="B7" s="14">
        <v>5</v>
      </c>
      <c r="C7" s="17" t="s">
        <v>161</v>
      </c>
      <c r="D7" s="15">
        <v>94</v>
      </c>
      <c r="E7" s="16">
        <v>44</v>
      </c>
      <c r="F7" s="15">
        <v>42</v>
      </c>
      <c r="G7" s="16">
        <v>45</v>
      </c>
      <c r="H7" s="15">
        <v>91</v>
      </c>
      <c r="I7" s="13">
        <f t="shared" si="0"/>
        <v>316</v>
      </c>
      <c r="J7" s="13">
        <f t="shared" si="1"/>
        <v>63.2</v>
      </c>
      <c r="K7" s="13" t="str">
        <f t="shared" si="2"/>
        <v>B</v>
      </c>
    </row>
    <row r="8" spans="2:11" x14ac:dyDescent="0.3">
      <c r="B8" s="14">
        <v>6</v>
      </c>
      <c r="C8" s="17" t="s">
        <v>162</v>
      </c>
      <c r="D8" s="15">
        <v>87</v>
      </c>
      <c r="E8" s="16">
        <v>48</v>
      </c>
      <c r="F8" s="15">
        <v>57</v>
      </c>
      <c r="G8" s="16">
        <v>61</v>
      </c>
      <c r="H8" s="15">
        <v>76</v>
      </c>
      <c r="I8" s="13">
        <f t="shared" si="0"/>
        <v>329</v>
      </c>
      <c r="J8" s="13">
        <f t="shared" si="1"/>
        <v>65.8</v>
      </c>
      <c r="K8" s="13" t="str">
        <f t="shared" si="2"/>
        <v>B</v>
      </c>
    </row>
    <row r="9" spans="2:11" x14ac:dyDescent="0.3">
      <c r="B9" s="14">
        <v>7</v>
      </c>
      <c r="C9" s="17" t="s">
        <v>163</v>
      </c>
      <c r="D9" s="15">
        <v>79</v>
      </c>
      <c r="E9" s="16">
        <v>100</v>
      </c>
      <c r="F9" s="15">
        <v>99</v>
      </c>
      <c r="G9" s="16">
        <v>87</v>
      </c>
      <c r="H9" s="15">
        <v>85</v>
      </c>
      <c r="I9" s="13">
        <f t="shared" si="0"/>
        <v>450</v>
      </c>
      <c r="J9" s="13">
        <f t="shared" si="1"/>
        <v>90</v>
      </c>
      <c r="K9" s="13" t="str">
        <f t="shared" si="2"/>
        <v>A</v>
      </c>
    </row>
    <row r="10" spans="2:11" x14ac:dyDescent="0.3">
      <c r="B10" s="14">
        <v>8</v>
      </c>
      <c r="C10" s="17" t="s">
        <v>164</v>
      </c>
      <c r="D10" s="15">
        <v>78</v>
      </c>
      <c r="E10" s="16">
        <v>94</v>
      </c>
      <c r="F10" s="15">
        <v>99</v>
      </c>
      <c r="G10" s="16">
        <v>67</v>
      </c>
      <c r="H10" s="15">
        <v>62</v>
      </c>
      <c r="I10" s="13">
        <f t="shared" si="0"/>
        <v>400</v>
      </c>
      <c r="J10" s="13">
        <f t="shared" si="1"/>
        <v>80</v>
      </c>
      <c r="K10" s="13" t="str">
        <f t="shared" si="2"/>
        <v>B</v>
      </c>
    </row>
    <row r="11" spans="2:11" x14ac:dyDescent="0.3">
      <c r="B11" s="14">
        <v>9</v>
      </c>
      <c r="C11" s="17" t="s">
        <v>165</v>
      </c>
      <c r="D11" s="15">
        <v>69</v>
      </c>
      <c r="E11" s="16">
        <v>69</v>
      </c>
      <c r="F11" s="15">
        <v>44</v>
      </c>
      <c r="G11" s="16">
        <v>65</v>
      </c>
      <c r="H11" s="15">
        <v>89</v>
      </c>
      <c r="I11" s="13">
        <f t="shared" si="0"/>
        <v>336</v>
      </c>
      <c r="J11" s="13">
        <f t="shared" si="1"/>
        <v>67.2</v>
      </c>
      <c r="K11" s="13" t="str">
        <f t="shared" si="2"/>
        <v>B</v>
      </c>
    </row>
    <row r="12" spans="2:11" x14ac:dyDescent="0.3">
      <c r="B12" s="14">
        <v>10</v>
      </c>
      <c r="C12" s="17" t="s">
        <v>166</v>
      </c>
      <c r="D12" s="15">
        <v>65</v>
      </c>
      <c r="E12" s="16">
        <v>81</v>
      </c>
      <c r="F12" s="15">
        <v>40</v>
      </c>
      <c r="G12" s="16">
        <v>49</v>
      </c>
      <c r="H12" s="15">
        <v>88</v>
      </c>
      <c r="I12" s="13">
        <f t="shared" si="0"/>
        <v>323</v>
      </c>
      <c r="J12" s="13">
        <f t="shared" si="1"/>
        <v>64.599999999999994</v>
      </c>
      <c r="K12" s="13" t="str">
        <f t="shared" si="2"/>
        <v>B</v>
      </c>
    </row>
    <row r="14" spans="2:11" x14ac:dyDescent="0.3">
      <c r="B14" s="9" t="s">
        <v>167</v>
      </c>
      <c r="C14" s="243" t="s">
        <v>168</v>
      </c>
      <c r="D14" s="243"/>
      <c r="E14" s="243"/>
      <c r="F14" s="243"/>
      <c r="G14" s="243"/>
    </row>
    <row r="16" spans="2:11" x14ac:dyDescent="0.3">
      <c r="B16" s="9" t="s">
        <v>169</v>
      </c>
      <c r="C16" s="243" t="s">
        <v>170</v>
      </c>
      <c r="D16" s="243"/>
      <c r="E16" s="243"/>
      <c r="F16" s="243"/>
      <c r="G16" s="243"/>
    </row>
    <row r="18" spans="2:9" x14ac:dyDescent="0.3">
      <c r="B18" s="9" t="s">
        <v>171</v>
      </c>
      <c r="C18" s="243" t="s">
        <v>172</v>
      </c>
      <c r="D18" s="243"/>
      <c r="E18" s="243"/>
      <c r="F18" s="243"/>
      <c r="G18" s="243"/>
    </row>
    <row r="19" spans="2:9" x14ac:dyDescent="0.3">
      <c r="D19" s="19" t="s">
        <v>125</v>
      </c>
      <c r="E19" s="244" t="s">
        <v>173</v>
      </c>
      <c r="F19" s="244"/>
    </row>
    <row r="20" spans="2:9" x14ac:dyDescent="0.3">
      <c r="D20" s="23" t="s">
        <v>126</v>
      </c>
      <c r="E20" s="245">
        <f>COUNTIF(K3:K12,"A")</f>
        <v>2</v>
      </c>
      <c r="F20" s="245"/>
    </row>
    <row r="21" spans="2:9" x14ac:dyDescent="0.3">
      <c r="D21" s="23" t="s">
        <v>129</v>
      </c>
      <c r="E21" s="245">
        <f>COUNTIF(K3:K12,"B")</f>
        <v>8</v>
      </c>
      <c r="F21" s="245"/>
    </row>
    <row r="23" spans="2:9" x14ac:dyDescent="0.3">
      <c r="B23" s="9" t="s">
        <v>174</v>
      </c>
      <c r="C23" s="243" t="s">
        <v>175</v>
      </c>
      <c r="D23" s="243"/>
      <c r="E23" s="243"/>
      <c r="F23" s="243"/>
      <c r="G23" s="243"/>
    </row>
    <row r="24" spans="2:9" x14ac:dyDescent="0.3">
      <c r="E24" s="19" t="s">
        <v>176</v>
      </c>
      <c r="F24" s="19" t="s">
        <v>156</v>
      </c>
    </row>
    <row r="25" spans="2:9" x14ac:dyDescent="0.3">
      <c r="D25" s="22" t="s">
        <v>158</v>
      </c>
      <c r="E25" s="13">
        <f>SUM(D4:H4)</f>
        <v>406</v>
      </c>
      <c r="F25" s="13">
        <f>AVERAGE(D4:H4)</f>
        <v>81.2</v>
      </c>
    </row>
    <row r="26" spans="2:9" x14ac:dyDescent="0.3">
      <c r="D26" s="22" t="s">
        <v>159</v>
      </c>
      <c r="E26" s="13">
        <f>SUM(D5:H5)</f>
        <v>323</v>
      </c>
      <c r="F26" s="13">
        <f>AVERAGE(D5:H5)</f>
        <v>64.599999999999994</v>
      </c>
    </row>
    <row r="28" spans="2:9" x14ac:dyDescent="0.3">
      <c r="B28" s="9" t="s">
        <v>177</v>
      </c>
      <c r="C28" s="243" t="s">
        <v>178</v>
      </c>
      <c r="D28" s="243"/>
      <c r="E28" s="243"/>
      <c r="F28" s="243"/>
      <c r="G28" s="243"/>
    </row>
    <row r="29" spans="2:9" x14ac:dyDescent="0.3">
      <c r="D29" s="9" t="s">
        <v>183</v>
      </c>
      <c r="E29" s="13">
        <f>COUNTA(C3:C12)</f>
        <v>10</v>
      </c>
    </row>
    <row r="31" spans="2:9" x14ac:dyDescent="0.3">
      <c r="B31" s="9" t="s">
        <v>179</v>
      </c>
      <c r="C31" s="243" t="s">
        <v>180</v>
      </c>
      <c r="D31" s="243"/>
      <c r="E31" s="243"/>
      <c r="F31" s="243"/>
      <c r="G31" s="243"/>
      <c r="H31" s="243"/>
      <c r="I31" s="243"/>
    </row>
    <row r="32" spans="2:9" x14ac:dyDescent="0.3">
      <c r="E32" s="19" t="s">
        <v>181</v>
      </c>
      <c r="F32" s="19" t="s">
        <v>182</v>
      </c>
    </row>
    <row r="33" spans="4:6" x14ac:dyDescent="0.3">
      <c r="D33" s="20" t="s">
        <v>150</v>
      </c>
      <c r="E33" s="13">
        <f>COUNTIF(D3:D12,"&gt;65")</f>
        <v>9</v>
      </c>
      <c r="F33" s="13">
        <f>COUNTIF(D3:D12,"&lt;80")</f>
        <v>4</v>
      </c>
    </row>
    <row r="34" spans="4:6" x14ac:dyDescent="0.3">
      <c r="D34" s="20" t="s">
        <v>151</v>
      </c>
      <c r="E34" s="13">
        <f>COUNTIF(E3:E12,"&gt;65")</f>
        <v>6</v>
      </c>
      <c r="F34" s="13">
        <f>COUNTIF(E3:E12,"&gt;80")</f>
        <v>5</v>
      </c>
    </row>
  </sheetData>
  <mergeCells count="9">
    <mergeCell ref="C31:I31"/>
    <mergeCell ref="E19:F19"/>
    <mergeCell ref="E20:F20"/>
    <mergeCell ref="E21:F21"/>
    <mergeCell ref="C14:G14"/>
    <mergeCell ref="C16:G16"/>
    <mergeCell ref="C18:G18"/>
    <mergeCell ref="C23:G23"/>
    <mergeCell ref="C28:G28"/>
  </mergeCells>
  <conditionalFormatting sqref="I3:I12">
    <cfRule type="cellIs" dxfId="13" priority="1" operator="lessThan">
      <formula>400</formula>
    </cfRule>
    <cfRule type="cellIs" dxfId="12" priority="2" operator="greaterThan">
      <formula>400</formula>
    </cfRule>
  </conditionalFormatting>
  <conditionalFormatting sqref="J3:J12">
    <cfRule type="cellIs" dxfId="11" priority="4" operator="greaterThan">
      <formula>70</formula>
    </cfRule>
    <cfRule type="cellIs" dxfId="10" priority="5" operator="lessThan">
      <formula>70</formula>
    </cfRule>
  </conditionalFormatting>
  <conditionalFormatting sqref="K3:K12">
    <cfRule type="cellIs" dxfId="9" priority="3" operator="equal">
      <formula>"B"</formula>
    </cfRule>
    <cfRule type="cellIs" dxfId="8" priority="6" operator="equal">
      <formula>"A"</formula>
    </cfRule>
    <cfRule type="cellIs" dxfId="7" priority="7" operator="equal">
      <formula>"B"</formula>
    </cfRule>
    <cfRule type="cellIs" dxfId="6" priority="8" operator="equal">
      <formula>"A"</formula>
    </cfRule>
    <cfRule type="cellIs" dxfId="5" priority="9" operator="equal">
      <formula>"""A"""</formula>
    </cfRule>
  </conditionalFormatting>
  <dataValidations disablePrompts="1" count="1">
    <dataValidation type="whole" allowBlank="1" showInputMessage="1" showErrorMessage="1" errorTitle="error" error="exceeded limit_x000a_" sqref="H3:H12" xr:uid="{16DD4DA5-1FE9-4ECB-B733-BD05F7E2B3C7}">
      <formula1>0</formula1>
      <formula2>100</formula2>
    </dataValidation>
  </dataValidation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321B-3DC6-4AAC-93BC-F9B613E9A917}">
  <dimension ref="C3:G46"/>
  <sheetViews>
    <sheetView topLeftCell="A16" zoomScale="103" zoomScaleNormal="133" workbookViewId="0">
      <selection activeCell="E21" sqref="E21"/>
    </sheetView>
  </sheetViews>
  <sheetFormatPr defaultRowHeight="14.4" x14ac:dyDescent="0.3"/>
  <cols>
    <col min="4" max="4" width="61.77734375" bestFit="1" customWidth="1"/>
    <col min="5" max="5" width="13.88671875" bestFit="1" customWidth="1"/>
    <col min="7" max="7" width="10.88671875" customWidth="1"/>
  </cols>
  <sheetData>
    <row r="3" spans="3:7" x14ac:dyDescent="0.3">
      <c r="C3" s="9" t="s">
        <v>213</v>
      </c>
      <c r="D3" s="9" t="s">
        <v>202</v>
      </c>
      <c r="E3" s="9" t="s">
        <v>212</v>
      </c>
      <c r="F3" s="9" t="s">
        <v>211</v>
      </c>
      <c r="G3" s="9" t="s">
        <v>201</v>
      </c>
    </row>
    <row r="4" spans="3:7" x14ac:dyDescent="0.3">
      <c r="C4" s="9">
        <v>1</v>
      </c>
      <c r="D4" s="11" t="s">
        <v>199</v>
      </c>
      <c r="E4" s="11">
        <v>20</v>
      </c>
      <c r="F4" s="11">
        <v>40000</v>
      </c>
      <c r="G4" s="11">
        <f t="shared" ref="G4:G13" si="0">E4*F4</f>
        <v>800000</v>
      </c>
    </row>
    <row r="5" spans="3:7" x14ac:dyDescent="0.3">
      <c r="C5" s="9">
        <v>2</v>
      </c>
      <c r="D5" s="11" t="s">
        <v>198</v>
      </c>
      <c r="E5" s="11">
        <v>30</v>
      </c>
      <c r="F5" s="11">
        <v>20000</v>
      </c>
      <c r="G5" s="11">
        <f t="shared" si="0"/>
        <v>600000</v>
      </c>
    </row>
    <row r="6" spans="3:7" x14ac:dyDescent="0.3">
      <c r="C6" s="9">
        <v>3</v>
      </c>
      <c r="D6" s="11" t="s">
        <v>195</v>
      </c>
      <c r="E6" s="11">
        <v>15</v>
      </c>
      <c r="F6" s="11">
        <v>10000</v>
      </c>
      <c r="G6" s="11">
        <f t="shared" si="0"/>
        <v>150000</v>
      </c>
    </row>
    <row r="7" spans="3:7" x14ac:dyDescent="0.3">
      <c r="C7" s="9">
        <v>4</v>
      </c>
      <c r="D7" s="11" t="s">
        <v>197</v>
      </c>
      <c r="E7" s="11">
        <v>14</v>
      </c>
      <c r="F7" s="11">
        <v>15000</v>
      </c>
      <c r="G7" s="11">
        <f t="shared" si="0"/>
        <v>210000</v>
      </c>
    </row>
    <row r="8" spans="3:7" x14ac:dyDescent="0.3">
      <c r="C8" s="9">
        <v>5</v>
      </c>
      <c r="D8" s="11" t="s">
        <v>196</v>
      </c>
      <c r="E8" s="11">
        <v>18</v>
      </c>
      <c r="F8" s="11">
        <v>20000</v>
      </c>
      <c r="G8" s="11">
        <f t="shared" si="0"/>
        <v>360000</v>
      </c>
    </row>
    <row r="9" spans="3:7" x14ac:dyDescent="0.3">
      <c r="C9" s="9">
        <v>6</v>
      </c>
      <c r="D9" s="11" t="s">
        <v>195</v>
      </c>
      <c r="E9" s="11">
        <v>17</v>
      </c>
      <c r="F9" s="11">
        <v>2000</v>
      </c>
      <c r="G9" s="11">
        <f t="shared" si="0"/>
        <v>34000</v>
      </c>
    </row>
    <row r="10" spans="3:7" x14ac:dyDescent="0.3">
      <c r="C10" s="9">
        <v>7</v>
      </c>
      <c r="D10" s="11" t="s">
        <v>194</v>
      </c>
      <c r="E10" s="11">
        <v>10</v>
      </c>
      <c r="F10" s="11">
        <v>25000</v>
      </c>
      <c r="G10" s="11">
        <f t="shared" si="0"/>
        <v>250000</v>
      </c>
    </row>
    <row r="11" spans="3:7" x14ac:dyDescent="0.3">
      <c r="C11" s="9">
        <v>8</v>
      </c>
      <c r="D11" s="11" t="s">
        <v>193</v>
      </c>
      <c r="E11" s="11">
        <v>5</v>
      </c>
      <c r="F11" s="11">
        <v>250</v>
      </c>
      <c r="G11" s="11">
        <f t="shared" si="0"/>
        <v>1250</v>
      </c>
    </row>
    <row r="12" spans="3:7" x14ac:dyDescent="0.3">
      <c r="C12" s="9">
        <v>9</v>
      </c>
      <c r="D12" s="11" t="s">
        <v>192</v>
      </c>
      <c r="E12" s="11">
        <v>25</v>
      </c>
      <c r="F12" s="11">
        <v>100</v>
      </c>
      <c r="G12" s="11">
        <f t="shared" si="0"/>
        <v>2500</v>
      </c>
    </row>
    <row r="13" spans="3:7" x14ac:dyDescent="0.3">
      <c r="C13" s="9">
        <v>10</v>
      </c>
      <c r="D13" s="11" t="s">
        <v>191</v>
      </c>
      <c r="E13" s="11">
        <v>30</v>
      </c>
      <c r="F13" s="11">
        <v>12000</v>
      </c>
      <c r="G13" s="11">
        <f t="shared" si="0"/>
        <v>360000</v>
      </c>
    </row>
    <row r="15" spans="3:7" x14ac:dyDescent="0.3">
      <c r="C15" s="28" t="s">
        <v>167</v>
      </c>
      <c r="D15" s="30" t="s">
        <v>214</v>
      </c>
    </row>
    <row r="17" spans="3:7" x14ac:dyDescent="0.3">
      <c r="C17" s="28" t="s">
        <v>169</v>
      </c>
      <c r="D17" s="30" t="s">
        <v>215</v>
      </c>
      <c r="E17" s="27">
        <f>COUNTA(D4:D13)</f>
        <v>10</v>
      </c>
    </row>
    <row r="19" spans="3:7" x14ac:dyDescent="0.3">
      <c r="C19" s="28" t="s">
        <v>210</v>
      </c>
      <c r="D19" s="29" t="s">
        <v>209</v>
      </c>
    </row>
    <row r="20" spans="3:7" x14ac:dyDescent="0.3">
      <c r="D20" s="24" t="s">
        <v>208</v>
      </c>
      <c r="E20" s="13">
        <f>COUNTIF(E4:E13,"&gt;20")</f>
        <v>3</v>
      </c>
    </row>
    <row r="21" spans="3:7" x14ac:dyDescent="0.3">
      <c r="D21" s="24" t="s">
        <v>207</v>
      </c>
      <c r="E21" s="13">
        <f>COUNTIF(E4:E13,"&lt;20")</f>
        <v>6</v>
      </c>
    </row>
    <row r="23" spans="3:7" x14ac:dyDescent="0.3">
      <c r="C23" s="28" t="s">
        <v>174</v>
      </c>
      <c r="D23" s="29" t="s">
        <v>206</v>
      </c>
    </row>
    <row r="24" spans="3:7" x14ac:dyDescent="0.3">
      <c r="E24" s="28" t="s">
        <v>212</v>
      </c>
      <c r="F24" s="28" t="s">
        <v>205</v>
      </c>
      <c r="G24" s="28" t="s">
        <v>204</v>
      </c>
    </row>
    <row r="25" spans="3:7" x14ac:dyDescent="0.3">
      <c r="D25" s="19" t="s">
        <v>194</v>
      </c>
      <c r="E25" s="13">
        <f>SUMIF(D4:D13,"COMPUTER",E4:E13)</f>
        <v>10</v>
      </c>
      <c r="F25" s="13">
        <f>SUMIF(D4:D13,"COMPUTER",F4:F13)</f>
        <v>25000</v>
      </c>
      <c r="G25" s="13">
        <f>SUMIF(D4:D13,"COMPUTER",G4:G13)</f>
        <v>250000</v>
      </c>
    </row>
    <row r="27" spans="3:7" x14ac:dyDescent="0.3">
      <c r="C27" s="28" t="s">
        <v>177</v>
      </c>
      <c r="D27" s="29" t="s">
        <v>203</v>
      </c>
    </row>
    <row r="28" spans="3:7" x14ac:dyDescent="0.3">
      <c r="D28" s="21" t="s">
        <v>202</v>
      </c>
      <c r="E28" s="19" t="s">
        <v>201</v>
      </c>
      <c r="F28" s="19" t="s">
        <v>200</v>
      </c>
    </row>
    <row r="29" spans="3:7" x14ac:dyDescent="0.3">
      <c r="D29" s="24" t="s">
        <v>199</v>
      </c>
      <c r="E29" s="31">
        <f t="shared" ref="E29:E38" si="1">E4*F4</f>
        <v>800000</v>
      </c>
      <c r="F29" s="25" t="str">
        <f t="shared" ref="F29:F38" si="2">IF(E29&gt;50000,"Expensive","lets buy it")</f>
        <v>Expensive</v>
      </c>
    </row>
    <row r="30" spans="3:7" x14ac:dyDescent="0.3">
      <c r="D30" s="24" t="s">
        <v>198</v>
      </c>
      <c r="E30" s="31">
        <f t="shared" si="1"/>
        <v>600000</v>
      </c>
      <c r="F30" s="25" t="str">
        <f t="shared" si="2"/>
        <v>Expensive</v>
      </c>
    </row>
    <row r="31" spans="3:7" x14ac:dyDescent="0.3">
      <c r="D31" s="24" t="s">
        <v>195</v>
      </c>
      <c r="E31" s="31">
        <f t="shared" si="1"/>
        <v>150000</v>
      </c>
      <c r="F31" s="25" t="str">
        <f t="shared" si="2"/>
        <v>Expensive</v>
      </c>
    </row>
    <row r="32" spans="3:7" x14ac:dyDescent="0.3">
      <c r="D32" s="24" t="s">
        <v>197</v>
      </c>
      <c r="E32" s="31">
        <f t="shared" si="1"/>
        <v>210000</v>
      </c>
      <c r="F32" s="25" t="str">
        <f t="shared" si="2"/>
        <v>Expensive</v>
      </c>
    </row>
    <row r="33" spans="3:6" x14ac:dyDescent="0.3">
      <c r="D33" s="24" t="s">
        <v>196</v>
      </c>
      <c r="E33" s="31">
        <f t="shared" si="1"/>
        <v>360000</v>
      </c>
      <c r="F33" s="25" t="str">
        <f t="shared" si="2"/>
        <v>Expensive</v>
      </c>
    </row>
    <row r="34" spans="3:6" x14ac:dyDescent="0.3">
      <c r="D34" s="24" t="s">
        <v>195</v>
      </c>
      <c r="E34" s="31">
        <f t="shared" si="1"/>
        <v>34000</v>
      </c>
      <c r="F34" s="26" t="str">
        <f t="shared" si="2"/>
        <v>lets buy it</v>
      </c>
    </row>
    <row r="35" spans="3:6" x14ac:dyDescent="0.3">
      <c r="D35" s="24" t="s">
        <v>194</v>
      </c>
      <c r="E35" s="31">
        <f t="shared" si="1"/>
        <v>250000</v>
      </c>
      <c r="F35" s="25" t="str">
        <f t="shared" si="2"/>
        <v>Expensive</v>
      </c>
    </row>
    <row r="36" spans="3:6" x14ac:dyDescent="0.3">
      <c r="D36" s="24" t="s">
        <v>193</v>
      </c>
      <c r="E36" s="31">
        <f t="shared" si="1"/>
        <v>1250</v>
      </c>
      <c r="F36" s="26" t="str">
        <f t="shared" si="2"/>
        <v>lets buy it</v>
      </c>
    </row>
    <row r="37" spans="3:6" x14ac:dyDescent="0.3">
      <c r="D37" s="24" t="s">
        <v>192</v>
      </c>
      <c r="E37" s="31">
        <f t="shared" si="1"/>
        <v>2500</v>
      </c>
      <c r="F37" s="26" t="str">
        <f t="shared" si="2"/>
        <v>lets buy it</v>
      </c>
    </row>
    <row r="38" spans="3:6" x14ac:dyDescent="0.3">
      <c r="D38" s="24" t="s">
        <v>191</v>
      </c>
      <c r="E38" s="31">
        <f t="shared" si="1"/>
        <v>360000</v>
      </c>
      <c r="F38" s="25" t="str">
        <f t="shared" si="2"/>
        <v>Expensive</v>
      </c>
    </row>
    <row r="40" spans="3:6" x14ac:dyDescent="0.3">
      <c r="C40" s="28" t="s">
        <v>179</v>
      </c>
      <c r="D40" s="29" t="s">
        <v>190</v>
      </c>
      <c r="E40" s="13">
        <f>COUNTIF(D4:D13,"COOLER")</f>
        <v>2</v>
      </c>
    </row>
    <row r="42" spans="3:6" x14ac:dyDescent="0.3">
      <c r="C42" s="28" t="s">
        <v>189</v>
      </c>
      <c r="D42" s="29" t="s">
        <v>188</v>
      </c>
      <c r="E42" s="13">
        <f>SUMIF(D4:D13,"COOLER",E4:E13)</f>
        <v>32</v>
      </c>
    </row>
    <row r="44" spans="3:6" x14ac:dyDescent="0.3">
      <c r="C44" s="28" t="s">
        <v>187</v>
      </c>
      <c r="D44" s="29" t="s">
        <v>186</v>
      </c>
      <c r="E44" s="13">
        <f>COUNTIF(D4:D13,"COOLER")</f>
        <v>2</v>
      </c>
    </row>
    <row r="46" spans="3:6" x14ac:dyDescent="0.3">
      <c r="C46" s="28" t="s">
        <v>185</v>
      </c>
      <c r="D46" s="29" t="s">
        <v>184</v>
      </c>
      <c r="E46" s="13">
        <f>COUNTIFS(D4:D13,"COOLER",F4:F13,"&lt;10000")</f>
        <v>1</v>
      </c>
    </row>
  </sheetData>
  <phoneticPr fontId="20" type="noConversion"/>
  <conditionalFormatting sqref="F29:F38">
    <cfRule type="cellIs" dxfId="4" priority="1" operator="equal">
      <formula>"lets buy it"</formula>
    </cfRule>
    <cfRule type="cellIs" dxfId="3" priority="2" operator="equal">
      <formula>"Expensive"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8E6A-211E-41DE-9543-FB0738C3EE8D}">
  <dimension ref="B2:D29"/>
  <sheetViews>
    <sheetView zoomScale="91" workbookViewId="0">
      <selection activeCell="C11" sqref="C11"/>
    </sheetView>
  </sheetViews>
  <sheetFormatPr defaultRowHeight="14.4" x14ac:dyDescent="0.3"/>
  <cols>
    <col min="2" max="2" width="54.6640625" bestFit="1" customWidth="1"/>
    <col min="3" max="3" width="20.109375" bestFit="1" customWidth="1"/>
  </cols>
  <sheetData>
    <row r="2" spans="2:4" x14ac:dyDescent="0.3">
      <c r="B2" t="s">
        <v>238</v>
      </c>
      <c r="C2" t="s">
        <v>239</v>
      </c>
      <c r="D2" t="s">
        <v>240</v>
      </c>
    </row>
    <row r="3" spans="2:4" x14ac:dyDescent="0.3">
      <c r="B3" s="11" t="s">
        <v>241</v>
      </c>
      <c r="C3" s="32">
        <v>42370</v>
      </c>
      <c r="D3" s="33">
        <v>800</v>
      </c>
    </row>
    <row r="4" spans="2:4" x14ac:dyDescent="0.3">
      <c r="B4" s="11" t="s">
        <v>242</v>
      </c>
      <c r="C4" s="32">
        <v>42502</v>
      </c>
      <c r="D4" s="33">
        <v>2000</v>
      </c>
    </row>
    <row r="5" spans="2:4" x14ac:dyDescent="0.3">
      <c r="B5" s="11" t="s">
        <v>241</v>
      </c>
      <c r="C5" s="32">
        <v>42508</v>
      </c>
      <c r="D5" s="33">
        <v>500</v>
      </c>
    </row>
    <row r="6" spans="2:4" x14ac:dyDescent="0.3">
      <c r="B6" s="11" t="s">
        <v>243</v>
      </c>
      <c r="C6" s="32">
        <v>42510</v>
      </c>
      <c r="D6" s="33">
        <v>800</v>
      </c>
    </row>
    <row r="7" spans="2:4" x14ac:dyDescent="0.3">
      <c r="B7" s="11" t="s">
        <v>243</v>
      </c>
      <c r="C7" s="32">
        <v>42410</v>
      </c>
      <c r="D7" s="33">
        <v>1000</v>
      </c>
    </row>
    <row r="8" spans="2:4" x14ac:dyDescent="0.3">
      <c r="B8" s="11" t="s">
        <v>244</v>
      </c>
      <c r="C8" s="32">
        <v>42498</v>
      </c>
      <c r="D8" s="33">
        <v>1200</v>
      </c>
    </row>
    <row r="9" spans="2:4" x14ac:dyDescent="0.3">
      <c r="B9" s="11" t="s">
        <v>242</v>
      </c>
      <c r="C9" s="32">
        <v>42500</v>
      </c>
      <c r="D9" s="33">
        <v>1200</v>
      </c>
    </row>
    <row r="10" spans="2:4" x14ac:dyDescent="0.3">
      <c r="B10" s="11" t="s">
        <v>242</v>
      </c>
      <c r="C10" s="32">
        <v>42515</v>
      </c>
      <c r="D10" s="33">
        <v>1500</v>
      </c>
    </row>
    <row r="11" spans="2:4" x14ac:dyDescent="0.3">
      <c r="B11" s="11" t="s">
        <v>245</v>
      </c>
      <c r="C11" s="32">
        <v>42581</v>
      </c>
      <c r="D11" s="33">
        <v>1800</v>
      </c>
    </row>
    <row r="12" spans="2:4" x14ac:dyDescent="0.3">
      <c r="B12" s="11" t="s">
        <v>242</v>
      </c>
      <c r="C12" s="32">
        <v>42561</v>
      </c>
      <c r="D12" s="33">
        <v>2000</v>
      </c>
    </row>
    <row r="13" spans="2:4" x14ac:dyDescent="0.3">
      <c r="B13" s="11" t="s">
        <v>245</v>
      </c>
      <c r="C13" s="32">
        <v>42536</v>
      </c>
      <c r="D13" s="33">
        <v>1500</v>
      </c>
    </row>
    <row r="14" spans="2:4" x14ac:dyDescent="0.3">
      <c r="B14" s="11" t="s">
        <v>245</v>
      </c>
      <c r="C14" s="32">
        <v>42381</v>
      </c>
      <c r="D14" s="33">
        <v>1000</v>
      </c>
    </row>
    <row r="15" spans="2:4" x14ac:dyDescent="0.3">
      <c r="B15" s="11" t="s">
        <v>244</v>
      </c>
      <c r="C15" s="32">
        <v>42401</v>
      </c>
      <c r="D15" s="33">
        <v>1200</v>
      </c>
    </row>
    <row r="16" spans="2:4" x14ac:dyDescent="0.3">
      <c r="B16" s="11" t="s">
        <v>244</v>
      </c>
      <c r="C16" s="32">
        <v>42500</v>
      </c>
      <c r="D16" s="33">
        <v>1500</v>
      </c>
    </row>
    <row r="17" spans="2:4" x14ac:dyDescent="0.3">
      <c r="B17" s="11" t="s">
        <v>244</v>
      </c>
      <c r="C17" s="32">
        <v>42663</v>
      </c>
      <c r="D17" s="33">
        <v>1800</v>
      </c>
    </row>
    <row r="18" spans="2:4" x14ac:dyDescent="0.3">
      <c r="B18" s="11" t="s">
        <v>241</v>
      </c>
      <c r="C18" s="32">
        <v>42500</v>
      </c>
      <c r="D18" s="33">
        <v>1000</v>
      </c>
    </row>
    <row r="19" spans="2:4" x14ac:dyDescent="0.3">
      <c r="B19" s="11" t="s">
        <v>241</v>
      </c>
      <c r="C19" s="32">
        <v>42508</v>
      </c>
      <c r="D19" s="33">
        <v>1200</v>
      </c>
    </row>
    <row r="20" spans="2:4" x14ac:dyDescent="0.3">
      <c r="B20" s="11" t="s">
        <v>242</v>
      </c>
      <c r="C20" s="32">
        <v>42596</v>
      </c>
      <c r="D20" s="33">
        <v>1500</v>
      </c>
    </row>
    <row r="21" spans="2:4" x14ac:dyDescent="0.3">
      <c r="B21" s="11" t="s">
        <v>244</v>
      </c>
      <c r="C21" s="32">
        <v>42602</v>
      </c>
      <c r="D21" s="33">
        <v>1800</v>
      </c>
    </row>
    <row r="23" spans="2:4" x14ac:dyDescent="0.3">
      <c r="B23" s="9" t="s">
        <v>246</v>
      </c>
      <c r="C23" s="9" t="s">
        <v>247</v>
      </c>
    </row>
    <row r="24" spans="2:4" x14ac:dyDescent="0.3">
      <c r="B24" s="9" t="s">
        <v>248</v>
      </c>
      <c r="C24" s="11">
        <f>COUNTA(Table7[Items])</f>
        <v>19</v>
      </c>
    </row>
    <row r="25" spans="2:4" x14ac:dyDescent="0.3">
      <c r="B25" s="9" t="s">
        <v>249</v>
      </c>
      <c r="C25">
        <f>COUNTIF(Table7[Items],"BRAKES")+COUNTIF(Table7[Items],"WINDOWS")+COUNTIF(Table7[Items],"TYRES")</f>
        <v>9</v>
      </c>
    </row>
    <row r="26" spans="2:4" x14ac:dyDescent="0.3">
      <c r="B26" s="9" t="s">
        <v>250</v>
      </c>
      <c r="C26" s="11">
        <f>COUNTIF(Table7[Cost],"&gt;1000")</f>
        <v>13</v>
      </c>
      <c r="D26">
        <f>COUNTIF(Table7[Cost],"&lt;1000")</f>
        <v>3</v>
      </c>
    </row>
    <row r="27" spans="2:4" x14ac:dyDescent="0.3">
      <c r="B27" s="9" t="s">
        <v>251</v>
      </c>
      <c r="C27" s="11">
        <f>COUNTIFS(Table7[Items],"TYRES", Table7[Cost], "&gt;500", Table7[Cost], "&lt;2000")</f>
        <v>3</v>
      </c>
    </row>
    <row r="28" spans="2:4" x14ac:dyDescent="0.3">
      <c r="B28" s="9" t="s">
        <v>252</v>
      </c>
      <c r="C28" s="9" t="s">
        <v>373</v>
      </c>
    </row>
    <row r="29" spans="2:4" x14ac:dyDescent="0.3">
      <c r="B29" s="9" t="s">
        <v>253</v>
      </c>
      <c r="C29" s="11">
        <f>SUM(SUMIF(Table7[Items],"BRAKES",Table7[Cost]), SUMIF(Table7[Items],"WINDOW", Table7[Cost]))</f>
        <v>11000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C9E7-5D9E-4D6F-8817-865D4674DD13}">
  <dimension ref="A1:I17"/>
  <sheetViews>
    <sheetView zoomScale="115" workbookViewId="0">
      <selection activeCell="J21" sqref="J21"/>
    </sheetView>
  </sheetViews>
  <sheetFormatPr defaultRowHeight="14.4" x14ac:dyDescent="0.3"/>
  <cols>
    <col min="9" max="9" width="16.44140625" bestFit="1" customWidth="1"/>
  </cols>
  <sheetData>
    <row r="1" spans="1:9" ht="15" thickBot="1" x14ac:dyDescent="0.35">
      <c r="A1" s="48"/>
    </row>
    <row r="2" spans="1:9" x14ac:dyDescent="0.3">
      <c r="B2" s="36" t="s">
        <v>355</v>
      </c>
      <c r="C2" s="37" t="s">
        <v>356</v>
      </c>
      <c r="D2" s="37" t="s">
        <v>357</v>
      </c>
      <c r="E2" s="37" t="s">
        <v>358</v>
      </c>
      <c r="F2" s="37" t="s">
        <v>304</v>
      </c>
      <c r="G2" s="37" t="s">
        <v>359</v>
      </c>
      <c r="H2" s="38" t="s">
        <v>200</v>
      </c>
    </row>
    <row r="3" spans="1:9" x14ac:dyDescent="0.3">
      <c r="B3" s="39" t="s">
        <v>360</v>
      </c>
      <c r="C3" s="11">
        <v>25</v>
      </c>
      <c r="D3" s="11">
        <v>25</v>
      </c>
      <c r="E3" s="11">
        <v>20</v>
      </c>
      <c r="F3" s="11">
        <f>SUM(C3:E3)</f>
        <v>70</v>
      </c>
      <c r="G3" s="11">
        <f>AVERAGE(C3:E3)</f>
        <v>23.333333333333332</v>
      </c>
      <c r="H3" s="40" t="str">
        <f>IF(G3&gt;20,"A",IF(G3&gt;15,"B","C"))</f>
        <v>A</v>
      </c>
    </row>
    <row r="4" spans="1:9" x14ac:dyDescent="0.3">
      <c r="B4" s="39" t="s">
        <v>301</v>
      </c>
      <c r="C4" s="11">
        <v>30</v>
      </c>
      <c r="D4" s="11">
        <v>12</v>
      </c>
      <c r="E4" s="11">
        <v>15</v>
      </c>
      <c r="F4" s="11">
        <f t="shared" ref="F4:F11" si="0">SUM(C4:E4)</f>
        <v>57</v>
      </c>
      <c r="G4" s="11">
        <f t="shared" ref="G4:G11" si="1">AVERAGE(C4:E4)</f>
        <v>19</v>
      </c>
      <c r="H4" s="40" t="str">
        <f t="shared" ref="H4:H11" si="2">IF(G4&gt;20,"A",IF(G4&gt;15,"B","C"))</f>
        <v>B</v>
      </c>
    </row>
    <row r="5" spans="1:9" x14ac:dyDescent="0.3">
      <c r="B5" s="39" t="s">
        <v>302</v>
      </c>
      <c r="C5" s="11">
        <v>15</v>
      </c>
      <c r="D5" s="11">
        <v>14</v>
      </c>
      <c r="E5" s="11">
        <v>14</v>
      </c>
      <c r="F5" s="11">
        <f t="shared" si="0"/>
        <v>43</v>
      </c>
      <c r="G5" s="11">
        <f t="shared" si="1"/>
        <v>14.333333333333334</v>
      </c>
      <c r="H5" s="40" t="str">
        <f t="shared" si="2"/>
        <v>C</v>
      </c>
    </row>
    <row r="6" spans="1:9" x14ac:dyDescent="0.3">
      <c r="B6" s="39" t="s">
        <v>361</v>
      </c>
      <c r="C6" s="11">
        <v>12</v>
      </c>
      <c r="D6" s="11">
        <v>17</v>
      </c>
      <c r="E6" s="11">
        <v>17</v>
      </c>
      <c r="F6" s="11">
        <f t="shared" si="0"/>
        <v>46</v>
      </c>
      <c r="G6" s="11">
        <f t="shared" si="1"/>
        <v>15.333333333333334</v>
      </c>
      <c r="H6" s="40" t="str">
        <f t="shared" si="2"/>
        <v>B</v>
      </c>
    </row>
    <row r="7" spans="1:9" x14ac:dyDescent="0.3">
      <c r="B7" s="39" t="s">
        <v>362</v>
      </c>
      <c r="C7" s="11">
        <v>14</v>
      </c>
      <c r="D7" s="11">
        <v>18</v>
      </c>
      <c r="E7" s="11">
        <v>18</v>
      </c>
      <c r="F7" s="11">
        <f t="shared" si="0"/>
        <v>50</v>
      </c>
      <c r="G7" s="11">
        <f t="shared" si="1"/>
        <v>16.666666666666668</v>
      </c>
      <c r="H7" s="40" t="str">
        <f t="shared" si="2"/>
        <v>B</v>
      </c>
    </row>
    <row r="8" spans="1:9" x14ac:dyDescent="0.3">
      <c r="B8" s="39" t="s">
        <v>363</v>
      </c>
      <c r="C8" s="11">
        <v>16</v>
      </c>
      <c r="D8" s="11">
        <v>25</v>
      </c>
      <c r="E8" s="11">
        <v>20</v>
      </c>
      <c r="F8" s="11">
        <f t="shared" si="0"/>
        <v>61</v>
      </c>
      <c r="G8" s="11">
        <f t="shared" si="1"/>
        <v>20.333333333333332</v>
      </c>
      <c r="H8" s="40" t="str">
        <f t="shared" si="2"/>
        <v>A</v>
      </c>
    </row>
    <row r="9" spans="1:9" x14ac:dyDescent="0.3">
      <c r="B9" s="39" t="s">
        <v>364</v>
      </c>
      <c r="C9" s="11">
        <v>18</v>
      </c>
      <c r="D9" s="11">
        <v>21</v>
      </c>
      <c r="E9" s="11">
        <v>22</v>
      </c>
      <c r="F9" s="11">
        <f t="shared" si="0"/>
        <v>61</v>
      </c>
      <c r="G9" s="11">
        <f t="shared" si="1"/>
        <v>20.333333333333332</v>
      </c>
      <c r="H9" s="40" t="str">
        <f t="shared" si="2"/>
        <v>A</v>
      </c>
    </row>
    <row r="10" spans="1:9" x14ac:dyDescent="0.3">
      <c r="B10" s="39" t="s">
        <v>365</v>
      </c>
      <c r="C10" s="11">
        <v>17</v>
      </c>
      <c r="D10" s="11">
        <v>23</v>
      </c>
      <c r="E10" s="11">
        <v>21</v>
      </c>
      <c r="F10" s="11">
        <f t="shared" si="0"/>
        <v>61</v>
      </c>
      <c r="G10" s="11">
        <f t="shared" si="1"/>
        <v>20.333333333333332</v>
      </c>
      <c r="H10" s="40" t="str">
        <f t="shared" si="2"/>
        <v>A</v>
      </c>
    </row>
    <row r="11" spans="1:9" ht="15" thickBot="1" x14ac:dyDescent="0.35">
      <c r="B11" s="41" t="s">
        <v>366</v>
      </c>
      <c r="C11" s="42">
        <v>20</v>
      </c>
      <c r="D11" s="42">
        <v>25</v>
      </c>
      <c r="E11" s="42">
        <v>25</v>
      </c>
      <c r="F11" s="42">
        <f t="shared" si="0"/>
        <v>70</v>
      </c>
      <c r="G11" s="42">
        <f t="shared" si="1"/>
        <v>23.333333333333332</v>
      </c>
      <c r="H11" s="40" t="str">
        <f t="shared" si="2"/>
        <v>A</v>
      </c>
    </row>
    <row r="12" spans="1:9" ht="15" thickBot="1" x14ac:dyDescent="0.35"/>
    <row r="13" spans="1:9" x14ac:dyDescent="0.3">
      <c r="B13" s="36" t="s">
        <v>367</v>
      </c>
      <c r="C13" s="218" t="s">
        <v>246</v>
      </c>
      <c r="D13" s="218"/>
      <c r="E13" s="218"/>
      <c r="F13" s="218"/>
      <c r="G13" s="218"/>
      <c r="H13" s="218"/>
      <c r="I13" s="38" t="s">
        <v>55</v>
      </c>
    </row>
    <row r="14" spans="1:9" x14ac:dyDescent="0.3">
      <c r="B14" s="39" t="s">
        <v>167</v>
      </c>
      <c r="C14" s="212" t="s">
        <v>368</v>
      </c>
      <c r="D14" s="212"/>
      <c r="E14" s="212"/>
      <c r="F14" s="212"/>
      <c r="G14" s="212"/>
      <c r="H14" s="212"/>
      <c r="I14" s="40">
        <f>COUNTA(B3:B11)</f>
        <v>9</v>
      </c>
    </row>
    <row r="15" spans="1:9" x14ac:dyDescent="0.3">
      <c r="B15" s="39" t="s">
        <v>169</v>
      </c>
      <c r="C15" s="212" t="s">
        <v>369</v>
      </c>
      <c r="D15" s="212"/>
      <c r="E15" s="212"/>
      <c r="F15" s="212"/>
      <c r="G15" s="212"/>
      <c r="H15" s="212"/>
      <c r="I15" s="40">
        <f>COUNTIF(C3:C11,"&gt;20")</f>
        <v>2</v>
      </c>
    </row>
    <row r="16" spans="1:9" x14ac:dyDescent="0.3">
      <c r="B16" s="39" t="s">
        <v>171</v>
      </c>
      <c r="C16" s="212" t="s">
        <v>370</v>
      </c>
      <c r="D16" s="212"/>
      <c r="E16" s="212"/>
      <c r="F16" s="212"/>
      <c r="G16" s="212"/>
      <c r="H16" s="212"/>
      <c r="I16" s="49" t="s">
        <v>374</v>
      </c>
    </row>
    <row r="17" spans="2:9" ht="15" thickBot="1" x14ac:dyDescent="0.35">
      <c r="B17" s="41" t="s">
        <v>174</v>
      </c>
      <c r="C17" s="214" t="s">
        <v>371</v>
      </c>
      <c r="D17" s="214"/>
      <c r="E17" s="214"/>
      <c r="F17" s="214"/>
      <c r="G17" s="214"/>
      <c r="H17" s="214"/>
      <c r="I17" s="50" t="s">
        <v>372</v>
      </c>
    </row>
  </sheetData>
  <mergeCells count="5">
    <mergeCell ref="C13:H13"/>
    <mergeCell ref="C14:H14"/>
    <mergeCell ref="C15:H15"/>
    <mergeCell ref="C16:H16"/>
    <mergeCell ref="C17:H17"/>
  </mergeCells>
  <conditionalFormatting sqref="H3:H11">
    <cfRule type="cellIs" dxfId="2" priority="1" operator="equal">
      <formula>"C"</formula>
    </cfRule>
    <cfRule type="cellIs" dxfId="1" priority="2" operator="equal">
      <formula>"B"</formula>
    </cfRule>
    <cfRule type="cellIs" dxfId="0" priority="3" operator="equal">
      <formula>"A"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38C3-4807-4D4B-A490-0A02FDE12495}">
  <dimension ref="B1:J19"/>
  <sheetViews>
    <sheetView zoomScale="72" workbookViewId="0">
      <selection activeCell="K2" sqref="K2"/>
    </sheetView>
  </sheetViews>
  <sheetFormatPr defaultRowHeight="14.4" x14ac:dyDescent="0.3"/>
  <cols>
    <col min="2" max="2" width="12.5546875" bestFit="1" customWidth="1"/>
    <col min="7" max="7" width="11.88671875" bestFit="1" customWidth="1"/>
  </cols>
  <sheetData>
    <row r="1" spans="2:9" ht="15" thickBot="1" x14ac:dyDescent="0.35"/>
    <row r="2" spans="2:9" x14ac:dyDescent="0.3">
      <c r="B2" s="36" t="s">
        <v>384</v>
      </c>
      <c r="C2" s="37" t="s">
        <v>385</v>
      </c>
      <c r="D2" s="37" t="s">
        <v>301</v>
      </c>
      <c r="E2" s="37" t="s">
        <v>361</v>
      </c>
      <c r="F2" s="37" t="s">
        <v>386</v>
      </c>
      <c r="G2" s="37" t="s">
        <v>387</v>
      </c>
      <c r="H2" s="38" t="s">
        <v>388</v>
      </c>
    </row>
    <row r="3" spans="2:9" x14ac:dyDescent="0.3">
      <c r="B3" s="39" t="s">
        <v>389</v>
      </c>
      <c r="C3" s="11">
        <v>80</v>
      </c>
      <c r="D3" s="11">
        <v>75</v>
      </c>
      <c r="E3" s="11">
        <v>85</v>
      </c>
      <c r="F3" s="11">
        <f>SUM(C3:E3)</f>
        <v>240</v>
      </c>
      <c r="G3" s="62">
        <f>F3/300</f>
        <v>0.8</v>
      </c>
      <c r="H3" s="40" t="str">
        <f>IF(G3&gt;70/100,"Excellent",IF(G3&gt;50/100,"Good", "Bad"))</f>
        <v>Excellent</v>
      </c>
    </row>
    <row r="4" spans="2:9" x14ac:dyDescent="0.3">
      <c r="B4" s="39" t="s">
        <v>92</v>
      </c>
      <c r="C4" s="11">
        <v>50</v>
      </c>
      <c r="D4" s="11">
        <v>30</v>
      </c>
      <c r="E4" s="11">
        <v>40</v>
      </c>
      <c r="F4" s="11">
        <f t="shared" ref="F4:F11" si="0">SUM(C4:E4)</f>
        <v>120</v>
      </c>
      <c r="G4" s="62">
        <f t="shared" ref="G4:G11" si="1">F4/300</f>
        <v>0.4</v>
      </c>
      <c r="H4" s="40" t="str">
        <f t="shared" ref="H4:H11" si="2">IF(G4&gt;70/100,"Excellent",IF(G4&gt;50/100,"Good", "Bad"))</f>
        <v>Bad</v>
      </c>
    </row>
    <row r="5" spans="2:9" x14ac:dyDescent="0.3">
      <c r="B5" s="39" t="s">
        <v>218</v>
      </c>
      <c r="C5" s="11">
        <v>60</v>
      </c>
      <c r="D5" s="11">
        <v>70</v>
      </c>
      <c r="E5" s="61" t="s">
        <v>402</v>
      </c>
      <c r="F5" s="11">
        <f t="shared" si="0"/>
        <v>130</v>
      </c>
      <c r="G5" s="62">
        <f t="shared" si="1"/>
        <v>0.43333333333333335</v>
      </c>
      <c r="H5" s="40" t="str">
        <f t="shared" si="2"/>
        <v>Bad</v>
      </c>
    </row>
    <row r="6" spans="2:9" x14ac:dyDescent="0.3">
      <c r="B6" s="39" t="s">
        <v>36</v>
      </c>
      <c r="C6" s="11">
        <v>90</v>
      </c>
      <c r="D6" s="11">
        <v>85</v>
      </c>
      <c r="E6" s="11">
        <v>95</v>
      </c>
      <c r="F6" s="11">
        <f t="shared" si="0"/>
        <v>270</v>
      </c>
      <c r="G6" s="62">
        <f t="shared" si="1"/>
        <v>0.9</v>
      </c>
      <c r="H6" s="40" t="str">
        <f t="shared" si="2"/>
        <v>Excellent</v>
      </c>
    </row>
    <row r="7" spans="2:9" x14ac:dyDescent="0.3">
      <c r="B7" s="39" t="s">
        <v>390</v>
      </c>
      <c r="C7" s="11">
        <v>20</v>
      </c>
      <c r="D7" s="11">
        <v>30</v>
      </c>
      <c r="E7" s="61" t="s">
        <v>402</v>
      </c>
      <c r="F7" s="11">
        <f t="shared" si="0"/>
        <v>50</v>
      </c>
      <c r="G7" s="62">
        <f t="shared" si="1"/>
        <v>0.16666666666666666</v>
      </c>
      <c r="H7" s="40" t="str">
        <f t="shared" si="2"/>
        <v>Bad</v>
      </c>
    </row>
    <row r="8" spans="2:9" x14ac:dyDescent="0.3">
      <c r="B8" s="39" t="s">
        <v>391</v>
      </c>
      <c r="C8" s="11">
        <v>10</v>
      </c>
      <c r="D8" s="11">
        <v>90</v>
      </c>
      <c r="E8" s="11">
        <v>80</v>
      </c>
      <c r="F8" s="11">
        <f t="shared" si="0"/>
        <v>180</v>
      </c>
      <c r="G8" s="62">
        <f t="shared" si="1"/>
        <v>0.6</v>
      </c>
      <c r="H8" s="40" t="str">
        <f t="shared" si="2"/>
        <v>Good</v>
      </c>
    </row>
    <row r="9" spans="2:9" x14ac:dyDescent="0.3">
      <c r="B9" s="39" t="s">
        <v>392</v>
      </c>
      <c r="C9" s="11">
        <v>80</v>
      </c>
      <c r="D9" s="11">
        <v>60</v>
      </c>
      <c r="E9" s="11">
        <v>80</v>
      </c>
      <c r="F9" s="11">
        <f t="shared" si="0"/>
        <v>220</v>
      </c>
      <c r="G9" s="62">
        <f t="shared" si="1"/>
        <v>0.73333333333333328</v>
      </c>
      <c r="H9" s="40" t="str">
        <f t="shared" si="2"/>
        <v>Excellent</v>
      </c>
    </row>
    <row r="10" spans="2:9" x14ac:dyDescent="0.3">
      <c r="B10" s="39" t="s">
        <v>393</v>
      </c>
      <c r="C10" s="11">
        <v>30</v>
      </c>
      <c r="D10" s="11">
        <v>10</v>
      </c>
      <c r="E10" s="11">
        <v>20</v>
      </c>
      <c r="F10" s="11">
        <f t="shared" si="0"/>
        <v>60</v>
      </c>
      <c r="G10" s="62">
        <f t="shared" si="1"/>
        <v>0.2</v>
      </c>
      <c r="H10" s="40" t="str">
        <f t="shared" si="2"/>
        <v>Bad</v>
      </c>
    </row>
    <row r="11" spans="2:9" ht="15" thickBot="1" x14ac:dyDescent="0.35">
      <c r="B11" s="41" t="s">
        <v>394</v>
      </c>
      <c r="C11" s="42">
        <v>10</v>
      </c>
      <c r="D11" s="42">
        <v>20</v>
      </c>
      <c r="E11" s="42">
        <v>30</v>
      </c>
      <c r="F11" s="11">
        <f t="shared" si="0"/>
        <v>60</v>
      </c>
      <c r="G11" s="62">
        <f t="shared" si="1"/>
        <v>0.2</v>
      </c>
      <c r="H11" s="40" t="str">
        <f t="shared" si="2"/>
        <v>Bad</v>
      </c>
    </row>
    <row r="12" spans="2:9" ht="15" thickBot="1" x14ac:dyDescent="0.35"/>
    <row r="13" spans="2:9" x14ac:dyDescent="0.3">
      <c r="B13" s="36" t="s">
        <v>395</v>
      </c>
      <c r="C13" s="218" t="s">
        <v>246</v>
      </c>
      <c r="D13" s="218"/>
      <c r="E13" s="218"/>
      <c r="F13" s="218"/>
      <c r="G13" s="218"/>
      <c r="H13" s="218"/>
      <c r="I13" s="38" t="s">
        <v>55</v>
      </c>
    </row>
    <row r="14" spans="2:9" x14ac:dyDescent="0.3">
      <c r="B14" s="39" t="s">
        <v>167</v>
      </c>
      <c r="C14" s="212" t="s">
        <v>396</v>
      </c>
      <c r="D14" s="212"/>
      <c r="E14" s="212"/>
      <c r="F14" s="212"/>
      <c r="G14" s="212"/>
      <c r="H14" s="212"/>
      <c r="I14" s="40">
        <f>COUNTA(B3:B11)</f>
        <v>9</v>
      </c>
    </row>
    <row r="15" spans="2:9" x14ac:dyDescent="0.3">
      <c r="B15" s="39" t="s">
        <v>169</v>
      </c>
      <c r="C15" s="212" t="s">
        <v>397</v>
      </c>
      <c r="D15" s="212"/>
      <c r="E15" s="212"/>
      <c r="F15" s="212"/>
      <c r="G15" s="212"/>
      <c r="H15" s="212"/>
      <c r="I15" s="40">
        <f>COUNTIF(G3:G11,"&gt;0.5")</f>
        <v>4</v>
      </c>
    </row>
    <row r="16" spans="2:9" x14ac:dyDescent="0.3">
      <c r="B16" s="39" t="s">
        <v>171</v>
      </c>
      <c r="C16" s="212" t="s">
        <v>398</v>
      </c>
      <c r="D16" s="212"/>
      <c r="E16" s="212"/>
      <c r="F16" s="212"/>
      <c r="G16" s="212"/>
      <c r="H16" s="212"/>
      <c r="I16" s="40">
        <f>SUM(SUMIF(B3:B11,"BOB",F3:F11),SUMIF(B3:B11,"Eric",F3:F11))</f>
        <v>170</v>
      </c>
    </row>
    <row r="17" spans="2:10" ht="15" thickBot="1" x14ac:dyDescent="0.35">
      <c r="B17" s="39" t="s">
        <v>174</v>
      </c>
      <c r="C17" s="212" t="s">
        <v>399</v>
      </c>
      <c r="D17" s="212"/>
      <c r="E17" s="212"/>
      <c r="F17" s="212"/>
      <c r="G17" s="212"/>
      <c r="H17" s="212"/>
      <c r="I17" s="63" t="s">
        <v>403</v>
      </c>
    </row>
    <row r="18" spans="2:10" ht="15" thickBot="1" x14ac:dyDescent="0.35">
      <c r="B18" s="39" t="s">
        <v>177</v>
      </c>
      <c r="C18" s="212" t="s">
        <v>400</v>
      </c>
      <c r="D18" s="212"/>
      <c r="E18" s="212"/>
      <c r="F18" s="212"/>
      <c r="G18" s="212"/>
      <c r="H18" s="212"/>
      <c r="I18" s="11">
        <f>COUNTIF(H3:H11,"Good")</f>
        <v>1</v>
      </c>
      <c r="J18" s="65">
        <f>COUNTIF(H3:H11,"Bad")</f>
        <v>5</v>
      </c>
    </row>
    <row r="19" spans="2:10" ht="15" thickBot="1" x14ac:dyDescent="0.35">
      <c r="B19" s="41" t="s">
        <v>179</v>
      </c>
      <c r="C19" s="214" t="s">
        <v>401</v>
      </c>
      <c r="D19" s="214"/>
      <c r="E19" s="214"/>
      <c r="F19" s="214"/>
      <c r="G19" s="214"/>
      <c r="H19" s="214"/>
      <c r="I19" s="64">
        <f>COUNT(E3:E11)</f>
        <v>7</v>
      </c>
    </row>
  </sheetData>
  <mergeCells count="7">
    <mergeCell ref="C19:H19"/>
    <mergeCell ref="C13:H13"/>
    <mergeCell ref="C14:H14"/>
    <mergeCell ref="C15:H15"/>
    <mergeCell ref="C16:H16"/>
    <mergeCell ref="C17:H17"/>
    <mergeCell ref="C18:H18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E108-18F0-4BC6-8121-CDE4D69E6DB7}">
  <dimension ref="B1:H20"/>
  <sheetViews>
    <sheetView workbookViewId="0">
      <selection activeCell="H3" sqref="H3"/>
    </sheetView>
  </sheetViews>
  <sheetFormatPr defaultRowHeight="14.4" x14ac:dyDescent="0.3"/>
  <cols>
    <col min="2" max="2" width="11.21875" bestFit="1" customWidth="1"/>
    <col min="3" max="3" width="11.5546875" bestFit="1" customWidth="1"/>
    <col min="7" max="7" width="12.6640625" bestFit="1" customWidth="1"/>
    <col min="8" max="8" width="19.21875" bestFit="1" customWidth="1"/>
  </cols>
  <sheetData>
    <row r="1" spans="2:8" ht="15" thickBot="1" x14ac:dyDescent="0.35"/>
    <row r="2" spans="2:8" x14ac:dyDescent="0.3">
      <c r="B2" s="36" t="s">
        <v>216</v>
      </c>
      <c r="C2" s="37" t="s">
        <v>444</v>
      </c>
      <c r="D2" s="37" t="s">
        <v>445</v>
      </c>
      <c r="E2" s="37" t="s">
        <v>446</v>
      </c>
      <c r="F2" s="37" t="s">
        <v>447</v>
      </c>
      <c r="G2" s="37" t="s">
        <v>448</v>
      </c>
      <c r="H2" s="38" t="s">
        <v>449</v>
      </c>
    </row>
    <row r="3" spans="2:8" x14ac:dyDescent="0.3">
      <c r="B3" s="39" t="s">
        <v>450</v>
      </c>
      <c r="C3" s="32">
        <v>29356</v>
      </c>
      <c r="D3" s="11">
        <f>DAY(C3)</f>
        <v>15</v>
      </c>
      <c r="E3" s="11">
        <f>MONTH(C3)</f>
        <v>5</v>
      </c>
      <c r="F3" s="11">
        <f>YEAR(C3)</f>
        <v>1980</v>
      </c>
      <c r="G3" s="11">
        <f ca="1">YEAR(TODAY()) - F3</f>
        <v>45</v>
      </c>
      <c r="H3" s="40" t="str">
        <f ca="1">IF(G3&gt;20,"Adult","Child")</f>
        <v>Adult</v>
      </c>
    </row>
    <row r="4" spans="2:8" x14ac:dyDescent="0.3">
      <c r="B4" s="39" t="s">
        <v>451</v>
      </c>
      <c r="C4" s="32">
        <v>29818</v>
      </c>
      <c r="D4" s="11">
        <f t="shared" ref="D4:D13" si="0">DAY(C4)</f>
        <v>20</v>
      </c>
      <c r="E4" s="11">
        <f t="shared" ref="E4:E13" si="1">MONTH(C4)</f>
        <v>8</v>
      </c>
      <c r="F4" s="11">
        <f t="shared" ref="F4:F13" si="2">YEAR(C4)</f>
        <v>1981</v>
      </c>
      <c r="G4" s="11">
        <f t="shared" ref="G4:G13" ca="1" si="3">YEAR(TODAY()) - F4</f>
        <v>44</v>
      </c>
      <c r="H4" s="40" t="str">
        <f t="shared" ref="H4:H13" ca="1" si="4">IF(G4&gt;20,"Adult","Child")</f>
        <v>Adult</v>
      </c>
    </row>
    <row r="5" spans="2:8" x14ac:dyDescent="0.3">
      <c r="B5" s="39" t="s">
        <v>452</v>
      </c>
      <c r="C5" s="32">
        <v>37909</v>
      </c>
      <c r="D5" s="11">
        <f t="shared" si="0"/>
        <v>15</v>
      </c>
      <c r="E5" s="11">
        <f t="shared" si="1"/>
        <v>10</v>
      </c>
      <c r="F5" s="11">
        <f t="shared" si="2"/>
        <v>2003</v>
      </c>
      <c r="G5" s="11">
        <f t="shared" ca="1" si="3"/>
        <v>22</v>
      </c>
      <c r="H5" s="40" t="str">
        <f t="shared" ca="1" si="4"/>
        <v>Adult</v>
      </c>
    </row>
    <row r="6" spans="2:8" x14ac:dyDescent="0.3">
      <c r="B6" s="39" t="s">
        <v>162</v>
      </c>
      <c r="C6" s="32">
        <v>33018</v>
      </c>
      <c r="D6" s="11">
        <f t="shared" si="0"/>
        <v>25</v>
      </c>
      <c r="E6" s="11">
        <f t="shared" si="1"/>
        <v>5</v>
      </c>
      <c r="F6" s="11">
        <f t="shared" si="2"/>
        <v>1990</v>
      </c>
      <c r="G6" s="11">
        <f t="shared" ca="1" si="3"/>
        <v>35</v>
      </c>
      <c r="H6" s="40" t="str">
        <f t="shared" ca="1" si="4"/>
        <v>Adult</v>
      </c>
    </row>
    <row r="7" spans="2:8" x14ac:dyDescent="0.3">
      <c r="B7" s="39" t="s">
        <v>159</v>
      </c>
      <c r="C7" s="32">
        <v>33840</v>
      </c>
      <c r="D7" s="11">
        <f t="shared" si="0"/>
        <v>24</v>
      </c>
      <c r="E7" s="11">
        <f t="shared" si="1"/>
        <v>8</v>
      </c>
      <c r="F7" s="11">
        <f t="shared" si="2"/>
        <v>1992</v>
      </c>
      <c r="G7" s="11">
        <f t="shared" ca="1" si="3"/>
        <v>33</v>
      </c>
      <c r="H7" s="40" t="str">
        <f t="shared" ca="1" si="4"/>
        <v>Adult</v>
      </c>
    </row>
    <row r="8" spans="2:8" x14ac:dyDescent="0.3">
      <c r="B8" s="39" t="s">
        <v>158</v>
      </c>
      <c r="C8" s="32">
        <v>36030</v>
      </c>
      <c r="D8" s="11">
        <f t="shared" si="0"/>
        <v>23</v>
      </c>
      <c r="E8" s="11">
        <f t="shared" si="1"/>
        <v>8</v>
      </c>
      <c r="F8" s="11">
        <f t="shared" si="2"/>
        <v>1998</v>
      </c>
      <c r="G8" s="11">
        <f t="shared" ca="1" si="3"/>
        <v>27</v>
      </c>
      <c r="H8" s="40" t="str">
        <f t="shared" ca="1" si="4"/>
        <v>Adult</v>
      </c>
    </row>
    <row r="9" spans="2:8" x14ac:dyDescent="0.3">
      <c r="B9" s="39" t="s">
        <v>453</v>
      </c>
      <c r="C9" s="32">
        <v>29353</v>
      </c>
      <c r="D9" s="11">
        <f t="shared" si="0"/>
        <v>12</v>
      </c>
      <c r="E9" s="11">
        <f t="shared" si="1"/>
        <v>5</v>
      </c>
      <c r="F9" s="11">
        <f t="shared" si="2"/>
        <v>1980</v>
      </c>
      <c r="G9" s="11">
        <f t="shared" ca="1" si="3"/>
        <v>45</v>
      </c>
      <c r="H9" s="40" t="str">
        <f t="shared" ca="1" si="4"/>
        <v>Adult</v>
      </c>
    </row>
    <row r="10" spans="2:8" x14ac:dyDescent="0.3">
      <c r="B10" s="39" t="s">
        <v>454</v>
      </c>
      <c r="C10" s="32">
        <v>38429</v>
      </c>
      <c r="D10" s="11">
        <f t="shared" si="0"/>
        <v>18</v>
      </c>
      <c r="E10" s="11">
        <f t="shared" si="1"/>
        <v>3</v>
      </c>
      <c r="F10" s="11">
        <f t="shared" si="2"/>
        <v>2005</v>
      </c>
      <c r="G10" s="11">
        <f t="shared" ca="1" si="3"/>
        <v>20</v>
      </c>
      <c r="H10" s="40" t="str">
        <f t="shared" ca="1" si="4"/>
        <v>Child</v>
      </c>
    </row>
    <row r="11" spans="2:8" x14ac:dyDescent="0.3">
      <c r="B11" s="39" t="s">
        <v>455</v>
      </c>
      <c r="C11" s="32">
        <v>39309</v>
      </c>
      <c r="D11" s="11">
        <f t="shared" si="0"/>
        <v>15</v>
      </c>
      <c r="E11" s="11">
        <f t="shared" si="1"/>
        <v>8</v>
      </c>
      <c r="F11" s="11">
        <f t="shared" si="2"/>
        <v>2007</v>
      </c>
      <c r="G11" s="11">
        <f t="shared" ca="1" si="3"/>
        <v>18</v>
      </c>
      <c r="H11" s="40" t="str">
        <f t="shared" ca="1" si="4"/>
        <v>Child</v>
      </c>
    </row>
    <row r="12" spans="2:8" x14ac:dyDescent="0.3">
      <c r="B12" s="39" t="s">
        <v>456</v>
      </c>
      <c r="C12" s="32">
        <v>40323</v>
      </c>
      <c r="D12" s="11">
        <f t="shared" si="0"/>
        <v>25</v>
      </c>
      <c r="E12" s="11">
        <f t="shared" si="1"/>
        <v>5</v>
      </c>
      <c r="F12" s="11">
        <f t="shared" si="2"/>
        <v>2010</v>
      </c>
      <c r="G12" s="11">
        <f t="shared" ca="1" si="3"/>
        <v>15</v>
      </c>
      <c r="H12" s="40" t="str">
        <f t="shared" ca="1" si="4"/>
        <v>Child</v>
      </c>
    </row>
    <row r="13" spans="2:8" ht="15" thickBot="1" x14ac:dyDescent="0.35">
      <c r="B13" s="41" t="s">
        <v>457</v>
      </c>
      <c r="C13" s="68">
        <v>34206</v>
      </c>
      <c r="D13" s="11">
        <f t="shared" si="0"/>
        <v>25</v>
      </c>
      <c r="E13" s="11">
        <f t="shared" si="1"/>
        <v>8</v>
      </c>
      <c r="F13" s="11">
        <f t="shared" si="2"/>
        <v>1993</v>
      </c>
      <c r="G13" s="11">
        <f t="shared" ca="1" si="3"/>
        <v>32</v>
      </c>
      <c r="H13" s="40" t="str">
        <f t="shared" ca="1" si="4"/>
        <v>Adult</v>
      </c>
    </row>
    <row r="14" spans="2:8" ht="15" thickBot="1" x14ac:dyDescent="0.35"/>
    <row r="15" spans="2:8" x14ac:dyDescent="0.3">
      <c r="B15" s="36" t="s">
        <v>395</v>
      </c>
      <c r="C15" s="218" t="s">
        <v>246</v>
      </c>
      <c r="D15" s="218"/>
      <c r="E15" s="218"/>
      <c r="F15" s="218"/>
      <c r="G15" s="218"/>
      <c r="H15" s="38" t="s">
        <v>55</v>
      </c>
    </row>
    <row r="16" spans="2:8" x14ac:dyDescent="0.3">
      <c r="B16" s="39" t="s">
        <v>167</v>
      </c>
      <c r="C16" s="212" t="s">
        <v>396</v>
      </c>
      <c r="D16" s="212"/>
      <c r="E16" s="212"/>
      <c r="F16" s="212"/>
      <c r="G16" s="212"/>
      <c r="H16" s="40">
        <f>COUNTA(B3:B13)</f>
        <v>11</v>
      </c>
    </row>
    <row r="17" spans="2:8" x14ac:dyDescent="0.3">
      <c r="B17" s="39" t="s">
        <v>169</v>
      </c>
      <c r="C17" s="212" t="s">
        <v>458</v>
      </c>
      <c r="D17" s="212"/>
      <c r="E17" s="212"/>
      <c r="F17" s="212"/>
      <c r="G17" s="212"/>
      <c r="H17" s="40">
        <f ca="1">G12</f>
        <v>15</v>
      </c>
    </row>
    <row r="18" spans="2:8" x14ac:dyDescent="0.3">
      <c r="B18" s="39" t="s">
        <v>171</v>
      </c>
      <c r="C18" s="212" t="s">
        <v>459</v>
      </c>
      <c r="D18" s="212"/>
      <c r="E18" s="212"/>
      <c r="F18" s="212"/>
      <c r="G18" s="212"/>
      <c r="H18" s="40">
        <f ca="1">COUNTIF(G3:G13,"&gt;20")</f>
        <v>8</v>
      </c>
    </row>
    <row r="19" spans="2:8" x14ac:dyDescent="0.3">
      <c r="B19" s="39" t="s">
        <v>174</v>
      </c>
      <c r="C19" s="212" t="s">
        <v>460</v>
      </c>
      <c r="D19" s="212"/>
      <c r="E19" s="212"/>
      <c r="F19" s="212"/>
      <c r="G19" s="212"/>
      <c r="H19" s="49" t="s">
        <v>374</v>
      </c>
    </row>
    <row r="20" spans="2:8" ht="15" thickBot="1" x14ac:dyDescent="0.35">
      <c r="B20" s="41" t="s">
        <v>177</v>
      </c>
      <c r="C20" s="214" t="s">
        <v>461</v>
      </c>
      <c r="D20" s="214"/>
      <c r="E20" s="214"/>
      <c r="F20" s="214"/>
      <c r="G20" s="214"/>
      <c r="H20" s="43">
        <f ca="1">COUNTIF(G3:G13,"&gt;=25")</f>
        <v>7</v>
      </c>
    </row>
  </sheetData>
  <mergeCells count="6">
    <mergeCell ref="C20:G20"/>
    <mergeCell ref="C15:G15"/>
    <mergeCell ref="C16:G16"/>
    <mergeCell ref="C17:G17"/>
    <mergeCell ref="C18:G18"/>
    <mergeCell ref="C19:G1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D505-7636-47E6-9F36-33F1C9D22E3A}">
  <dimension ref="B1:H11"/>
  <sheetViews>
    <sheetView workbookViewId="0">
      <selection activeCell="I16" sqref="I16"/>
    </sheetView>
  </sheetViews>
  <sheetFormatPr defaultRowHeight="14.4" x14ac:dyDescent="0.3"/>
  <cols>
    <col min="4" max="4" width="10.5546875" bestFit="1" customWidth="1"/>
  </cols>
  <sheetData>
    <row r="1" spans="2:8" ht="15" thickBot="1" x14ac:dyDescent="0.35"/>
    <row r="2" spans="2:8" x14ac:dyDescent="0.3">
      <c r="B2" s="36" t="s">
        <v>463</v>
      </c>
      <c r="C2" s="37" t="s">
        <v>483</v>
      </c>
      <c r="D2" s="37" t="s">
        <v>484</v>
      </c>
      <c r="E2" s="37" t="s">
        <v>485</v>
      </c>
      <c r="F2" s="37" t="s">
        <v>486</v>
      </c>
      <c r="G2" s="218" t="s">
        <v>487</v>
      </c>
      <c r="H2" s="250"/>
    </row>
    <row r="3" spans="2:8" x14ac:dyDescent="0.3">
      <c r="B3" s="39" t="s">
        <v>488</v>
      </c>
      <c r="C3" s="11" t="s">
        <v>489</v>
      </c>
      <c r="D3" s="11" t="s">
        <v>489</v>
      </c>
      <c r="E3" s="11" t="s">
        <v>490</v>
      </c>
      <c r="F3" s="11" t="s">
        <v>489</v>
      </c>
      <c r="G3" s="246" t="str">
        <f>IF(AND(C3 = "PASS", D3 = "PASS", E3 = "PASS", F3 = "PASS"), "YES", "NO")</f>
        <v>NO</v>
      </c>
      <c r="H3" s="247"/>
    </row>
    <row r="4" spans="2:8" x14ac:dyDescent="0.3">
      <c r="B4" s="39" t="s">
        <v>491</v>
      </c>
      <c r="C4" s="11" t="s">
        <v>489</v>
      </c>
      <c r="D4" s="11" t="s">
        <v>489</v>
      </c>
      <c r="E4" s="11" t="s">
        <v>489</v>
      </c>
      <c r="F4" s="11" t="s">
        <v>489</v>
      </c>
      <c r="G4" s="246" t="str">
        <f t="shared" ref="G4:G11" si="0">IF(AND(C4 = "PASS", D4 = "PASS", E4 = "PASS", F4 = "PASS"), "YES", "NO")</f>
        <v>YES</v>
      </c>
      <c r="H4" s="247"/>
    </row>
    <row r="5" spans="2:8" x14ac:dyDescent="0.3">
      <c r="B5" s="39" t="s">
        <v>492</v>
      </c>
      <c r="C5" s="11" t="s">
        <v>489</v>
      </c>
      <c r="D5" s="11" t="s">
        <v>490</v>
      </c>
      <c r="E5" s="11" t="s">
        <v>489</v>
      </c>
      <c r="F5" s="11" t="s">
        <v>489</v>
      </c>
      <c r="G5" s="246" t="str">
        <f t="shared" si="0"/>
        <v>NO</v>
      </c>
      <c r="H5" s="247"/>
    </row>
    <row r="6" spans="2:8" x14ac:dyDescent="0.3">
      <c r="B6" s="39" t="s">
        <v>493</v>
      </c>
      <c r="C6" s="11" t="s">
        <v>489</v>
      </c>
      <c r="D6" s="11" t="s">
        <v>489</v>
      </c>
      <c r="E6" s="11" t="s">
        <v>489</v>
      </c>
      <c r="F6" s="11" t="s">
        <v>489</v>
      </c>
      <c r="G6" s="246" t="str">
        <f t="shared" si="0"/>
        <v>YES</v>
      </c>
      <c r="H6" s="247"/>
    </row>
    <row r="7" spans="2:8" x14ac:dyDescent="0.3">
      <c r="B7" s="39" t="s">
        <v>494</v>
      </c>
      <c r="C7" s="11" t="s">
        <v>489</v>
      </c>
      <c r="D7" s="11" t="s">
        <v>490</v>
      </c>
      <c r="E7" s="11" t="s">
        <v>489</v>
      </c>
      <c r="F7" s="11" t="s">
        <v>489</v>
      </c>
      <c r="G7" s="246" t="str">
        <f t="shared" si="0"/>
        <v>NO</v>
      </c>
      <c r="H7" s="247"/>
    </row>
    <row r="8" spans="2:8" x14ac:dyDescent="0.3">
      <c r="B8" s="39" t="s">
        <v>495</v>
      </c>
      <c r="C8" s="11" t="s">
        <v>490</v>
      </c>
      <c r="D8" s="11" t="s">
        <v>489</v>
      </c>
      <c r="E8" s="11" t="s">
        <v>489</v>
      </c>
      <c r="F8" s="11" t="s">
        <v>489</v>
      </c>
      <c r="G8" s="246" t="str">
        <f t="shared" si="0"/>
        <v>NO</v>
      </c>
      <c r="H8" s="247"/>
    </row>
    <row r="9" spans="2:8" x14ac:dyDescent="0.3">
      <c r="B9" s="39" t="s">
        <v>496</v>
      </c>
      <c r="C9" s="11" t="s">
        <v>489</v>
      </c>
      <c r="D9" s="11" t="s">
        <v>489</v>
      </c>
      <c r="E9" s="11" t="s">
        <v>489</v>
      </c>
      <c r="F9" s="11" t="s">
        <v>490</v>
      </c>
      <c r="G9" s="246" t="str">
        <f t="shared" si="0"/>
        <v>NO</v>
      </c>
      <c r="H9" s="247"/>
    </row>
    <row r="10" spans="2:8" x14ac:dyDescent="0.3">
      <c r="B10" s="39" t="s">
        <v>497</v>
      </c>
      <c r="C10" s="11" t="s">
        <v>489</v>
      </c>
      <c r="D10" s="11" t="s">
        <v>489</v>
      </c>
      <c r="E10" s="11" t="s">
        <v>489</v>
      </c>
      <c r="F10" s="11" t="s">
        <v>490</v>
      </c>
      <c r="G10" s="246" t="str">
        <f t="shared" si="0"/>
        <v>NO</v>
      </c>
      <c r="H10" s="247"/>
    </row>
    <row r="11" spans="2:8" ht="15" thickBot="1" x14ac:dyDescent="0.35">
      <c r="B11" s="41" t="s">
        <v>498</v>
      </c>
      <c r="C11" s="42" t="s">
        <v>489</v>
      </c>
      <c r="D11" s="42" t="s">
        <v>489</v>
      </c>
      <c r="E11" s="42" t="s">
        <v>489</v>
      </c>
      <c r="F11" s="42" t="s">
        <v>489</v>
      </c>
      <c r="G11" s="248" t="str">
        <f t="shared" si="0"/>
        <v>YES</v>
      </c>
      <c r="H11" s="249"/>
    </row>
  </sheetData>
  <mergeCells count="10">
    <mergeCell ref="G8:H8"/>
    <mergeCell ref="G9:H9"/>
    <mergeCell ref="G10:H10"/>
    <mergeCell ref="G11:H11"/>
    <mergeCell ref="G2:H2"/>
    <mergeCell ref="G3:H3"/>
    <mergeCell ref="G4:H4"/>
    <mergeCell ref="G5:H5"/>
    <mergeCell ref="G6:H6"/>
    <mergeCell ref="G7:H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B0A7-5413-4F7D-B3B3-41C9230BBAC0}">
  <dimension ref="B1:P24"/>
  <sheetViews>
    <sheetView zoomScale="78" workbookViewId="0">
      <selection activeCell="G11" sqref="G11"/>
    </sheetView>
  </sheetViews>
  <sheetFormatPr defaultRowHeight="14.4" x14ac:dyDescent="0.3"/>
  <cols>
    <col min="2" max="2" width="13.21875" bestFit="1" customWidth="1"/>
    <col min="3" max="3" width="11.21875" bestFit="1" customWidth="1"/>
    <col min="6" max="6" width="11" customWidth="1"/>
    <col min="7" max="7" width="11.6640625" customWidth="1"/>
    <col min="10" max="10" width="8.88671875" customWidth="1"/>
    <col min="11" max="11" width="13.5546875" bestFit="1" customWidth="1"/>
  </cols>
  <sheetData>
    <row r="1" spans="2:16" ht="15" thickBot="1" x14ac:dyDescent="0.35"/>
    <row r="2" spans="2:16" ht="15" thickBot="1" x14ac:dyDescent="0.35">
      <c r="B2" s="202" t="s">
        <v>501</v>
      </c>
      <c r="C2" s="208"/>
      <c r="J2" s="202" t="s">
        <v>534</v>
      </c>
      <c r="K2" s="207"/>
      <c r="L2" s="208"/>
    </row>
    <row r="3" spans="2:16" x14ac:dyDescent="0.3">
      <c r="B3" s="79" t="s">
        <v>473</v>
      </c>
      <c r="C3" s="80" t="s">
        <v>499</v>
      </c>
      <c r="E3" s="217" t="s">
        <v>246</v>
      </c>
      <c r="F3" s="218"/>
      <c r="G3" s="38" t="s">
        <v>55</v>
      </c>
      <c r="J3" s="44" t="s">
        <v>516</v>
      </c>
      <c r="K3" s="35" t="s">
        <v>517</v>
      </c>
      <c r="L3" s="45" t="s">
        <v>27</v>
      </c>
      <c r="N3" s="217" t="s">
        <v>246</v>
      </c>
      <c r="O3" s="218"/>
      <c r="P3" s="38" t="s">
        <v>55</v>
      </c>
    </row>
    <row r="4" spans="2:16" ht="15" thickBot="1" x14ac:dyDescent="0.35">
      <c r="B4" s="39" t="s">
        <v>126</v>
      </c>
      <c r="C4" s="40">
        <v>250</v>
      </c>
      <c r="E4" s="252" t="s">
        <v>502</v>
      </c>
      <c r="F4" s="246"/>
      <c r="G4" s="40">
        <f>AVERAGEIF(B4:B15, "B", C4:C15)</f>
        <v>37.5</v>
      </c>
      <c r="J4" s="39" t="s">
        <v>518</v>
      </c>
      <c r="K4" s="11" t="s">
        <v>519</v>
      </c>
      <c r="L4" s="40">
        <v>25000</v>
      </c>
      <c r="N4" s="251" t="s">
        <v>535</v>
      </c>
      <c r="O4" s="248"/>
      <c r="P4" s="43">
        <f>AVERAGEIF(J3:J15, "West", L3:L15)</f>
        <v>8233.3333333333339</v>
      </c>
    </row>
    <row r="5" spans="2:16" x14ac:dyDescent="0.3">
      <c r="B5" s="39" t="s">
        <v>128</v>
      </c>
      <c r="C5" s="40">
        <v>110</v>
      </c>
      <c r="E5" s="252" t="s">
        <v>503</v>
      </c>
      <c r="F5" s="246"/>
      <c r="G5" s="81">
        <f>AVERAGEIF(B4:B15, "D", C4:C15)</f>
        <v>194.33333333333334</v>
      </c>
      <c r="J5" s="39" t="s">
        <v>520</v>
      </c>
      <c r="K5" s="11" t="s">
        <v>521</v>
      </c>
      <c r="L5" s="40">
        <v>12000</v>
      </c>
    </row>
    <row r="6" spans="2:16" x14ac:dyDescent="0.3">
      <c r="B6" s="39" t="s">
        <v>500</v>
      </c>
      <c r="C6" s="40">
        <v>300</v>
      </c>
      <c r="E6" s="77" t="s">
        <v>536</v>
      </c>
      <c r="F6" s="11"/>
      <c r="G6" s="40">
        <f>AVERAGEIF(C3:C15, "&lt;250", C3:C15)</f>
        <v>46.375</v>
      </c>
      <c r="J6" s="39" t="s">
        <v>522</v>
      </c>
      <c r="K6" s="11" t="s">
        <v>523</v>
      </c>
      <c r="L6" s="40">
        <v>4200</v>
      </c>
    </row>
    <row r="7" spans="2:16" ht="15" thickBot="1" x14ac:dyDescent="0.35">
      <c r="B7" s="39" t="s">
        <v>129</v>
      </c>
      <c r="C7" s="40">
        <v>50</v>
      </c>
      <c r="E7" s="78" t="s">
        <v>537</v>
      </c>
      <c r="F7" s="42"/>
      <c r="G7" s="43">
        <f>AVERAGEIF(C3:C15, "&lt;100", C3:C15)</f>
        <v>37.285714285714285</v>
      </c>
      <c r="J7" s="39" t="s">
        <v>522</v>
      </c>
      <c r="K7" s="11" t="s">
        <v>524</v>
      </c>
      <c r="L7" s="40">
        <v>5600</v>
      </c>
    </row>
    <row r="8" spans="2:16" x14ac:dyDescent="0.3">
      <c r="B8" s="39" t="s">
        <v>127</v>
      </c>
      <c r="C8" s="40">
        <v>25</v>
      </c>
      <c r="J8" s="39" t="s">
        <v>525</v>
      </c>
      <c r="K8" s="11" t="s">
        <v>526</v>
      </c>
      <c r="L8" s="40">
        <v>15000</v>
      </c>
    </row>
    <row r="9" spans="2:16" x14ac:dyDescent="0.3">
      <c r="B9" s="39" t="s">
        <v>128</v>
      </c>
      <c r="C9" s="40">
        <v>23</v>
      </c>
      <c r="J9" s="39" t="s">
        <v>520</v>
      </c>
      <c r="K9" s="11" t="s">
        <v>527</v>
      </c>
      <c r="L9" s="40">
        <v>7000</v>
      </c>
    </row>
    <row r="10" spans="2:16" x14ac:dyDescent="0.3">
      <c r="B10" s="39" t="s">
        <v>91</v>
      </c>
      <c r="C10" s="40">
        <v>25</v>
      </c>
      <c r="J10" s="39" t="s">
        <v>518</v>
      </c>
      <c r="K10" s="11" t="s">
        <v>528</v>
      </c>
      <c r="L10" s="40">
        <v>5200</v>
      </c>
    </row>
    <row r="11" spans="2:16" x14ac:dyDescent="0.3">
      <c r="B11" s="39" t="s">
        <v>126</v>
      </c>
      <c r="C11" s="40">
        <v>90</v>
      </c>
      <c r="J11" s="39" t="s">
        <v>522</v>
      </c>
      <c r="K11" s="11" t="s">
        <v>529</v>
      </c>
      <c r="L11" s="40">
        <v>6000</v>
      </c>
    </row>
    <row r="12" spans="2:16" x14ac:dyDescent="0.3">
      <c r="B12" s="39" t="s">
        <v>128</v>
      </c>
      <c r="C12" s="40">
        <v>450</v>
      </c>
      <c r="J12" s="39" t="s">
        <v>525</v>
      </c>
      <c r="K12" s="11" t="s">
        <v>530</v>
      </c>
      <c r="L12" s="40">
        <v>8500</v>
      </c>
    </row>
    <row r="13" spans="2:16" x14ac:dyDescent="0.3">
      <c r="B13" s="39" t="s">
        <v>127</v>
      </c>
      <c r="C13" s="40">
        <v>23</v>
      </c>
      <c r="J13" s="39" t="s">
        <v>518</v>
      </c>
      <c r="K13" s="11" t="s">
        <v>531</v>
      </c>
      <c r="L13" s="40">
        <v>12000</v>
      </c>
    </row>
    <row r="14" spans="2:16" x14ac:dyDescent="0.3">
      <c r="B14" s="39" t="s">
        <v>126</v>
      </c>
      <c r="C14" s="40">
        <v>250</v>
      </c>
      <c r="J14" s="39" t="s">
        <v>522</v>
      </c>
      <c r="K14" s="11" t="s">
        <v>532</v>
      </c>
      <c r="L14" s="40">
        <v>4300</v>
      </c>
    </row>
    <row r="15" spans="2:16" ht="15" thickBot="1" x14ac:dyDescent="0.35">
      <c r="B15" s="41" t="s">
        <v>129</v>
      </c>
      <c r="C15" s="43">
        <v>25</v>
      </c>
      <c r="J15" s="41" t="s">
        <v>525</v>
      </c>
      <c r="K15" s="42" t="s">
        <v>533</v>
      </c>
      <c r="L15" s="43">
        <v>1200</v>
      </c>
    </row>
    <row r="16" spans="2:16" ht="15" thickBot="1" x14ac:dyDescent="0.35"/>
    <row r="17" spans="2:8" ht="15" thickBot="1" x14ac:dyDescent="0.35">
      <c r="B17" s="202" t="s">
        <v>515</v>
      </c>
      <c r="C17" s="207"/>
      <c r="D17" s="208"/>
    </row>
    <row r="18" spans="2:8" x14ac:dyDescent="0.3">
      <c r="B18" s="44" t="s">
        <v>149</v>
      </c>
      <c r="C18" s="35" t="s">
        <v>504</v>
      </c>
      <c r="D18" s="45" t="s">
        <v>505</v>
      </c>
      <c r="F18" s="217" t="s">
        <v>246</v>
      </c>
      <c r="G18" s="218"/>
      <c r="H18" s="38" t="s">
        <v>55</v>
      </c>
    </row>
    <row r="19" spans="2:8" x14ac:dyDescent="0.3">
      <c r="B19" s="39" t="s">
        <v>26</v>
      </c>
      <c r="C19" s="11" t="s">
        <v>506</v>
      </c>
      <c r="D19" s="40">
        <v>90</v>
      </c>
      <c r="F19" s="252" t="s">
        <v>513</v>
      </c>
      <c r="G19" s="246"/>
      <c r="H19" s="40">
        <f>AVERAGEIF(C18:C24, "Second", D18:D24)</f>
        <v>80</v>
      </c>
    </row>
    <row r="20" spans="2:8" ht="15" thickBot="1" x14ac:dyDescent="0.35">
      <c r="B20" s="39" t="s">
        <v>507</v>
      </c>
      <c r="C20" s="11" t="s">
        <v>508</v>
      </c>
      <c r="D20" s="40">
        <v>70</v>
      </c>
      <c r="F20" s="251" t="s">
        <v>514</v>
      </c>
      <c r="G20" s="248"/>
      <c r="H20" s="43">
        <f>AVERAGEIF(C18:C24, "Third", D18:D24)</f>
        <v>61.666666666666664</v>
      </c>
    </row>
    <row r="21" spans="2:8" x14ac:dyDescent="0.3">
      <c r="B21" s="39" t="s">
        <v>509</v>
      </c>
      <c r="C21" s="11" t="s">
        <v>506</v>
      </c>
      <c r="D21" s="40">
        <v>85</v>
      </c>
    </row>
    <row r="22" spans="2:8" x14ac:dyDescent="0.3">
      <c r="B22" s="39" t="s">
        <v>510</v>
      </c>
      <c r="C22" s="11" t="s">
        <v>506</v>
      </c>
      <c r="D22" s="40">
        <v>65</v>
      </c>
    </row>
    <row r="23" spans="2:8" x14ac:dyDescent="0.3">
      <c r="B23" s="39" t="s">
        <v>511</v>
      </c>
      <c r="C23" s="11" t="s">
        <v>508</v>
      </c>
      <c r="D23" s="40">
        <v>60</v>
      </c>
    </row>
    <row r="24" spans="2:8" ht="15" thickBot="1" x14ac:dyDescent="0.35">
      <c r="B24" s="41" t="s">
        <v>512</v>
      </c>
      <c r="C24" s="42" t="s">
        <v>508</v>
      </c>
      <c r="D24" s="43">
        <v>55</v>
      </c>
    </row>
  </sheetData>
  <mergeCells count="11">
    <mergeCell ref="F20:G20"/>
    <mergeCell ref="B17:D17"/>
    <mergeCell ref="J2:L2"/>
    <mergeCell ref="N3:O3"/>
    <mergeCell ref="N4:O4"/>
    <mergeCell ref="B2:C2"/>
    <mergeCell ref="E3:F3"/>
    <mergeCell ref="E4:F4"/>
    <mergeCell ref="E5:F5"/>
    <mergeCell ref="F18:G18"/>
    <mergeCell ref="F19:G1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BEE5-CF97-4E42-B97E-66B1FFF2EE7C}">
  <dimension ref="B1:E9"/>
  <sheetViews>
    <sheetView workbookViewId="0">
      <selection activeCell="H8" sqref="H8"/>
    </sheetView>
  </sheetViews>
  <sheetFormatPr defaultRowHeight="14.4" x14ac:dyDescent="0.3"/>
  <cols>
    <col min="3" max="3" width="9.88671875" bestFit="1" customWidth="1"/>
    <col min="4" max="4" width="9.77734375" bestFit="1" customWidth="1"/>
    <col min="5" max="5" width="17.33203125" bestFit="1" customWidth="1"/>
  </cols>
  <sheetData>
    <row r="1" spans="2:5" ht="15" thickBot="1" x14ac:dyDescent="0.35"/>
    <row r="2" spans="2:5" x14ac:dyDescent="0.3">
      <c r="B2" s="202" t="s">
        <v>558</v>
      </c>
      <c r="C2" s="207"/>
      <c r="D2" s="207"/>
      <c r="E2" s="208"/>
    </row>
    <row r="3" spans="2:5" x14ac:dyDescent="0.3">
      <c r="B3" s="44" t="s">
        <v>538</v>
      </c>
      <c r="C3" s="35" t="s">
        <v>23</v>
      </c>
      <c r="D3" s="35" t="s">
        <v>539</v>
      </c>
      <c r="E3" s="45" t="s">
        <v>540</v>
      </c>
    </row>
    <row r="4" spans="2:5" x14ac:dyDescent="0.3">
      <c r="B4" s="39" t="s">
        <v>541</v>
      </c>
      <c r="C4" s="11" t="s">
        <v>542</v>
      </c>
      <c r="D4" s="11" t="s">
        <v>543</v>
      </c>
      <c r="E4" s="40" t="str">
        <f>_xlfn.CONCAT(C4, " ", D4)</f>
        <v>Vishal Mohan</v>
      </c>
    </row>
    <row r="5" spans="2:5" x14ac:dyDescent="0.3">
      <c r="B5" s="39" t="s">
        <v>544</v>
      </c>
      <c r="C5" s="11" t="s">
        <v>26</v>
      </c>
      <c r="D5" s="11" t="s">
        <v>545</v>
      </c>
      <c r="E5" s="40" t="str">
        <f t="shared" ref="E5:E9" si="0">_xlfn.CONCAT(C5, " ", D5)</f>
        <v>John Mathew</v>
      </c>
    </row>
    <row r="6" spans="2:5" x14ac:dyDescent="0.3">
      <c r="B6" s="39" t="s">
        <v>546</v>
      </c>
      <c r="C6" s="11" t="s">
        <v>547</v>
      </c>
      <c r="D6" s="11" t="s">
        <v>548</v>
      </c>
      <c r="E6" s="40" t="str">
        <f t="shared" si="0"/>
        <v>Jameenah Powel</v>
      </c>
    </row>
    <row r="7" spans="2:5" x14ac:dyDescent="0.3">
      <c r="B7" s="39" t="s">
        <v>549</v>
      </c>
      <c r="C7" s="11" t="s">
        <v>550</v>
      </c>
      <c r="D7" s="11" t="s">
        <v>551</v>
      </c>
      <c r="E7" s="40" t="str">
        <f t="shared" si="0"/>
        <v>Arundhati Savannah</v>
      </c>
    </row>
    <row r="8" spans="2:5" x14ac:dyDescent="0.3">
      <c r="B8" s="39" t="s">
        <v>552</v>
      </c>
      <c r="C8" s="11" t="s">
        <v>553</v>
      </c>
      <c r="D8" s="11" t="s">
        <v>554</v>
      </c>
      <c r="E8" s="40" t="str">
        <f t="shared" si="0"/>
        <v>Peter Potter</v>
      </c>
    </row>
    <row r="9" spans="2:5" ht="15" thickBot="1" x14ac:dyDescent="0.35">
      <c r="B9" s="41" t="s">
        <v>555</v>
      </c>
      <c r="C9" s="42" t="s">
        <v>556</v>
      </c>
      <c r="D9" s="42" t="s">
        <v>557</v>
      </c>
      <c r="E9" s="43" t="str">
        <f t="shared" si="0"/>
        <v>Roger Williams</v>
      </c>
    </row>
  </sheetData>
  <mergeCells count="1">
    <mergeCell ref="B2: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A1E6-B3E0-4C41-8419-AD22EC4A0DAE}">
  <dimension ref="B1:S27"/>
  <sheetViews>
    <sheetView zoomScale="95" workbookViewId="0">
      <selection activeCell="W11" sqref="W11"/>
    </sheetView>
  </sheetViews>
  <sheetFormatPr defaultRowHeight="14.4" x14ac:dyDescent="0.3"/>
  <cols>
    <col min="3" max="3" width="9.88671875" bestFit="1" customWidth="1"/>
    <col min="5" max="5" width="10.77734375" bestFit="1" customWidth="1"/>
    <col min="13" max="14" width="10.21875" bestFit="1" customWidth="1"/>
    <col min="15" max="15" width="11.21875" bestFit="1" customWidth="1"/>
    <col min="16" max="16" width="9.21875" customWidth="1"/>
  </cols>
  <sheetData>
    <row r="1" spans="2:19" ht="15" thickBot="1" x14ac:dyDescent="0.35"/>
    <row r="2" spans="2:19" x14ac:dyDescent="0.3">
      <c r="B2" s="202" t="s">
        <v>619</v>
      </c>
      <c r="C2" s="207"/>
      <c r="D2" s="207"/>
      <c r="E2" s="208"/>
      <c r="G2" s="202" t="s">
        <v>471</v>
      </c>
      <c r="H2" s="208"/>
      <c r="K2" s="85"/>
      <c r="M2" s="202" t="s">
        <v>619</v>
      </c>
      <c r="N2" s="207"/>
      <c r="O2" s="207"/>
      <c r="P2" s="208"/>
      <c r="R2" s="202" t="s">
        <v>635</v>
      </c>
      <c r="S2" s="208"/>
    </row>
    <row r="3" spans="2:19" x14ac:dyDescent="0.3">
      <c r="B3" s="44" t="s">
        <v>538</v>
      </c>
      <c r="C3" s="35" t="s">
        <v>582</v>
      </c>
      <c r="D3" s="35" t="s">
        <v>87</v>
      </c>
      <c r="E3" s="45" t="s">
        <v>24</v>
      </c>
      <c r="G3" s="44" t="s">
        <v>538</v>
      </c>
      <c r="H3" s="45" t="s">
        <v>87</v>
      </c>
      <c r="K3" s="85"/>
      <c r="M3" s="44" t="s">
        <v>582</v>
      </c>
      <c r="N3" s="35" t="s">
        <v>87</v>
      </c>
      <c r="O3" s="35" t="s">
        <v>24</v>
      </c>
      <c r="P3" s="45" t="s">
        <v>538</v>
      </c>
      <c r="R3" s="44" t="s">
        <v>538</v>
      </c>
      <c r="S3" s="45" t="s">
        <v>87</v>
      </c>
    </row>
    <row r="4" spans="2:19" x14ac:dyDescent="0.3">
      <c r="B4" s="39" t="s">
        <v>584</v>
      </c>
      <c r="C4" s="11" t="s">
        <v>583</v>
      </c>
      <c r="D4" s="89">
        <v>92671</v>
      </c>
      <c r="E4" s="40" t="s">
        <v>27</v>
      </c>
      <c r="G4" s="86" t="s">
        <v>584</v>
      </c>
      <c r="H4" s="91">
        <f>VLOOKUP(G4, $B$3:$E$22, 3, 0)</f>
        <v>92671</v>
      </c>
      <c r="K4" s="85"/>
      <c r="M4" s="39" t="s">
        <v>583</v>
      </c>
      <c r="N4" s="89">
        <v>92671</v>
      </c>
      <c r="O4" s="11" t="s">
        <v>27</v>
      </c>
      <c r="P4" s="40" t="s">
        <v>584</v>
      </c>
      <c r="R4" s="86" t="s">
        <v>584</v>
      </c>
      <c r="S4" s="91">
        <f>INDEX($M$4:$P$22, MATCH(R4, $P$4:$P$22, 0), MATCH("Salary", $M$3:$P$3, 0))</f>
        <v>92671</v>
      </c>
    </row>
    <row r="5" spans="2:19" x14ac:dyDescent="0.3">
      <c r="B5" s="39" t="s">
        <v>586</v>
      </c>
      <c r="C5" s="11" t="s">
        <v>585</v>
      </c>
      <c r="D5" s="89">
        <v>84120</v>
      </c>
      <c r="E5" s="40" t="s">
        <v>415</v>
      </c>
      <c r="G5" s="39" t="s">
        <v>586</v>
      </c>
      <c r="H5" s="91">
        <f t="shared" ref="H5:H22" si="0">VLOOKUP(G5, $B$3:$E$22, 3, 0)</f>
        <v>84120</v>
      </c>
      <c r="K5" s="85"/>
      <c r="M5" s="39" t="s">
        <v>585</v>
      </c>
      <c r="N5" s="89">
        <v>84120</v>
      </c>
      <c r="O5" s="11" t="s">
        <v>415</v>
      </c>
      <c r="P5" s="40" t="s">
        <v>586</v>
      </c>
      <c r="R5" s="39" t="s">
        <v>586</v>
      </c>
      <c r="S5" s="91">
        <f t="shared" ref="S5:S22" si="1">INDEX($M$4:$P$22, MATCH(R5, $P$4:$P$22, 0), MATCH("Salary", $M$3:$P$3, 0))</f>
        <v>84120</v>
      </c>
    </row>
    <row r="6" spans="2:19" x14ac:dyDescent="0.3">
      <c r="B6" s="39" t="s">
        <v>588</v>
      </c>
      <c r="C6" s="11" t="s">
        <v>587</v>
      </c>
      <c r="D6" s="89">
        <v>50793</v>
      </c>
      <c r="E6" s="40" t="s">
        <v>29</v>
      </c>
      <c r="G6" s="39" t="s">
        <v>588</v>
      </c>
      <c r="H6" s="91">
        <f t="shared" si="0"/>
        <v>50793</v>
      </c>
      <c r="K6" s="85"/>
      <c r="M6" s="39" t="s">
        <v>587</v>
      </c>
      <c r="N6" s="89">
        <v>50793</v>
      </c>
      <c r="O6" s="11" t="s">
        <v>29</v>
      </c>
      <c r="P6" s="40" t="s">
        <v>588</v>
      </c>
      <c r="R6" s="39" t="s">
        <v>588</v>
      </c>
      <c r="S6" s="91">
        <f t="shared" si="1"/>
        <v>50793</v>
      </c>
    </row>
    <row r="7" spans="2:19" x14ac:dyDescent="0.3">
      <c r="B7" s="39" t="s">
        <v>590</v>
      </c>
      <c r="C7" s="11" t="s">
        <v>589</v>
      </c>
      <c r="D7" s="89">
        <v>77833</v>
      </c>
      <c r="E7" s="40" t="s">
        <v>33</v>
      </c>
      <c r="G7" s="39" t="s">
        <v>590</v>
      </c>
      <c r="H7" s="91">
        <f t="shared" si="0"/>
        <v>77833</v>
      </c>
      <c r="K7" s="85"/>
      <c r="M7" s="39" t="s">
        <v>589</v>
      </c>
      <c r="N7" s="89">
        <v>77833</v>
      </c>
      <c r="O7" s="11" t="s">
        <v>33</v>
      </c>
      <c r="P7" s="40" t="s">
        <v>590</v>
      </c>
      <c r="R7" s="39" t="s">
        <v>590</v>
      </c>
      <c r="S7" s="91">
        <f t="shared" si="1"/>
        <v>77833</v>
      </c>
    </row>
    <row r="8" spans="2:19" x14ac:dyDescent="0.3">
      <c r="B8" s="39" t="s">
        <v>592</v>
      </c>
      <c r="C8" s="11" t="s">
        <v>591</v>
      </c>
      <c r="D8" s="89">
        <v>58914</v>
      </c>
      <c r="E8" s="40" t="s">
        <v>37</v>
      </c>
      <c r="G8" s="39" t="s">
        <v>592</v>
      </c>
      <c r="H8" s="91">
        <f t="shared" si="0"/>
        <v>58914</v>
      </c>
      <c r="K8" s="85"/>
      <c r="M8" s="39" t="s">
        <v>591</v>
      </c>
      <c r="N8" s="89">
        <v>58914</v>
      </c>
      <c r="O8" s="11" t="s">
        <v>37</v>
      </c>
      <c r="P8" s="40" t="s">
        <v>592</v>
      </c>
      <c r="R8" s="39" t="s">
        <v>592</v>
      </c>
      <c r="S8" s="91">
        <f t="shared" si="1"/>
        <v>58914</v>
      </c>
    </row>
    <row r="9" spans="2:19" x14ac:dyDescent="0.3">
      <c r="B9" s="39" t="s">
        <v>594</v>
      </c>
      <c r="C9" s="11" t="s">
        <v>593</v>
      </c>
      <c r="D9" s="89">
        <v>51096</v>
      </c>
      <c r="E9" s="40" t="s">
        <v>31</v>
      </c>
      <c r="G9" s="39" t="s">
        <v>594</v>
      </c>
      <c r="H9" s="91">
        <f t="shared" si="0"/>
        <v>51096</v>
      </c>
      <c r="K9" s="85"/>
      <c r="M9" s="39" t="s">
        <v>593</v>
      </c>
      <c r="N9" s="89">
        <v>51096</v>
      </c>
      <c r="O9" s="11" t="s">
        <v>31</v>
      </c>
      <c r="P9" s="40" t="s">
        <v>594</v>
      </c>
      <c r="R9" s="39" t="s">
        <v>594</v>
      </c>
      <c r="S9" s="91">
        <f t="shared" si="1"/>
        <v>51096</v>
      </c>
    </row>
    <row r="10" spans="2:19" x14ac:dyDescent="0.3">
      <c r="B10" s="39" t="s">
        <v>596</v>
      </c>
      <c r="C10" s="11" t="s">
        <v>595</v>
      </c>
      <c r="D10" s="89">
        <v>74418</v>
      </c>
      <c r="E10" s="40" t="s">
        <v>31</v>
      </c>
      <c r="G10" s="39" t="s">
        <v>596</v>
      </c>
      <c r="H10" s="91">
        <f t="shared" si="0"/>
        <v>74418</v>
      </c>
      <c r="K10" s="85"/>
      <c r="M10" s="39" t="s">
        <v>595</v>
      </c>
      <c r="N10" s="89">
        <v>74418</v>
      </c>
      <c r="O10" s="11" t="s">
        <v>31</v>
      </c>
      <c r="P10" s="40" t="s">
        <v>596</v>
      </c>
      <c r="R10" s="39" t="s">
        <v>596</v>
      </c>
      <c r="S10" s="91">
        <f t="shared" si="1"/>
        <v>74418</v>
      </c>
    </row>
    <row r="11" spans="2:19" x14ac:dyDescent="0.3">
      <c r="B11" s="39" t="s">
        <v>598</v>
      </c>
      <c r="C11" s="11" t="s">
        <v>597</v>
      </c>
      <c r="D11" s="89">
        <v>51366</v>
      </c>
      <c r="E11" s="40" t="s">
        <v>27</v>
      </c>
      <c r="G11" s="39" t="s">
        <v>598</v>
      </c>
      <c r="H11" s="91">
        <f t="shared" si="0"/>
        <v>51366</v>
      </c>
      <c r="K11" s="85"/>
      <c r="M11" s="39" t="s">
        <v>597</v>
      </c>
      <c r="N11" s="89">
        <v>51366</v>
      </c>
      <c r="O11" s="11" t="s">
        <v>27</v>
      </c>
      <c r="P11" s="40" t="s">
        <v>598</v>
      </c>
      <c r="R11" s="39" t="s">
        <v>598</v>
      </c>
      <c r="S11" s="91">
        <f t="shared" si="1"/>
        <v>51366</v>
      </c>
    </row>
    <row r="12" spans="2:19" x14ac:dyDescent="0.3">
      <c r="B12" s="39" t="s">
        <v>600</v>
      </c>
      <c r="C12" s="11" t="s">
        <v>599</v>
      </c>
      <c r="D12" s="89">
        <v>54600</v>
      </c>
      <c r="E12" s="40" t="s">
        <v>37</v>
      </c>
      <c r="G12" s="39" t="s">
        <v>600</v>
      </c>
      <c r="H12" s="91">
        <f t="shared" si="0"/>
        <v>54600</v>
      </c>
      <c r="K12" s="85"/>
      <c r="M12" s="39" t="s">
        <v>599</v>
      </c>
      <c r="N12" s="89">
        <v>54600</v>
      </c>
      <c r="O12" s="11" t="s">
        <v>37</v>
      </c>
      <c r="P12" s="40" t="s">
        <v>600</v>
      </c>
      <c r="R12" s="39" t="s">
        <v>600</v>
      </c>
      <c r="S12" s="91">
        <f t="shared" si="1"/>
        <v>54600</v>
      </c>
    </row>
    <row r="13" spans="2:19" x14ac:dyDescent="0.3">
      <c r="B13" s="39" t="s">
        <v>602</v>
      </c>
      <c r="C13" s="11" t="s">
        <v>601</v>
      </c>
      <c r="D13" s="89">
        <v>93509</v>
      </c>
      <c r="E13" s="40" t="s">
        <v>415</v>
      </c>
      <c r="G13" s="39" t="s">
        <v>602</v>
      </c>
      <c r="H13" s="91">
        <f t="shared" si="0"/>
        <v>93509</v>
      </c>
      <c r="K13" s="85"/>
      <c r="M13" s="39" t="s">
        <v>601</v>
      </c>
      <c r="N13" s="89">
        <v>93509</v>
      </c>
      <c r="O13" s="11" t="s">
        <v>415</v>
      </c>
      <c r="P13" s="40" t="s">
        <v>602</v>
      </c>
      <c r="R13" s="39" t="s">
        <v>602</v>
      </c>
      <c r="S13" s="91">
        <f t="shared" si="1"/>
        <v>93509</v>
      </c>
    </row>
    <row r="14" spans="2:19" x14ac:dyDescent="0.3">
      <c r="B14" s="39" t="s">
        <v>604</v>
      </c>
      <c r="C14" s="11" t="s">
        <v>603</v>
      </c>
      <c r="D14" s="89">
        <v>82105</v>
      </c>
      <c r="E14" s="40" t="s">
        <v>37</v>
      </c>
      <c r="G14" s="39" t="s">
        <v>604</v>
      </c>
      <c r="H14" s="91">
        <f t="shared" si="0"/>
        <v>82105</v>
      </c>
      <c r="K14" s="85"/>
      <c r="M14" s="39" t="s">
        <v>603</v>
      </c>
      <c r="N14" s="89">
        <v>82105</v>
      </c>
      <c r="O14" s="11" t="s">
        <v>37</v>
      </c>
      <c r="P14" s="40" t="s">
        <v>604</v>
      </c>
      <c r="R14" s="39" t="s">
        <v>604</v>
      </c>
      <c r="S14" s="91">
        <f t="shared" si="1"/>
        <v>82105</v>
      </c>
    </row>
    <row r="15" spans="2:19" x14ac:dyDescent="0.3">
      <c r="B15" s="39" t="s">
        <v>606</v>
      </c>
      <c r="C15" s="11" t="s">
        <v>605</v>
      </c>
      <c r="D15" s="89">
        <v>64306</v>
      </c>
      <c r="E15" s="40" t="s">
        <v>29</v>
      </c>
      <c r="G15" s="39" t="s">
        <v>606</v>
      </c>
      <c r="H15" s="91">
        <f t="shared" si="0"/>
        <v>64306</v>
      </c>
      <c r="K15" s="85"/>
      <c r="M15" s="39" t="s">
        <v>605</v>
      </c>
      <c r="N15" s="89">
        <v>64306</v>
      </c>
      <c r="O15" s="11" t="s">
        <v>29</v>
      </c>
      <c r="P15" s="40" t="s">
        <v>606</v>
      </c>
      <c r="R15" s="39" t="s">
        <v>606</v>
      </c>
      <c r="S15" s="91">
        <f t="shared" si="1"/>
        <v>64306</v>
      </c>
    </row>
    <row r="16" spans="2:19" x14ac:dyDescent="0.3">
      <c r="B16" s="39" t="s">
        <v>608</v>
      </c>
      <c r="C16" s="11" t="s">
        <v>607</v>
      </c>
      <c r="D16" s="89">
        <v>76260</v>
      </c>
      <c r="E16" s="40" t="s">
        <v>27</v>
      </c>
      <c r="G16" s="39" t="s">
        <v>608</v>
      </c>
      <c r="H16" s="91">
        <f t="shared" si="0"/>
        <v>76260</v>
      </c>
      <c r="K16" s="85"/>
      <c r="M16" s="39" t="s">
        <v>607</v>
      </c>
      <c r="N16" s="89">
        <v>76260</v>
      </c>
      <c r="O16" s="11" t="s">
        <v>27</v>
      </c>
      <c r="P16" s="40" t="s">
        <v>608</v>
      </c>
      <c r="R16" s="39" t="s">
        <v>608</v>
      </c>
      <c r="S16" s="91">
        <f t="shared" si="1"/>
        <v>76260</v>
      </c>
    </row>
    <row r="17" spans="2:19" x14ac:dyDescent="0.3">
      <c r="B17" s="39" t="s">
        <v>610</v>
      </c>
      <c r="C17" s="11" t="s">
        <v>609</v>
      </c>
      <c r="D17" s="89">
        <v>88965</v>
      </c>
      <c r="E17" s="40" t="s">
        <v>31</v>
      </c>
      <c r="G17" s="39" t="s">
        <v>610</v>
      </c>
      <c r="H17" s="91">
        <f t="shared" si="0"/>
        <v>88965</v>
      </c>
      <c r="K17" s="85"/>
      <c r="M17" s="39" t="s">
        <v>609</v>
      </c>
      <c r="N17" s="89">
        <v>88965</v>
      </c>
      <c r="O17" s="11" t="s">
        <v>31</v>
      </c>
      <c r="P17" s="40" t="s">
        <v>610</v>
      </c>
      <c r="R17" s="39" t="s">
        <v>610</v>
      </c>
      <c r="S17" s="91">
        <f t="shared" si="1"/>
        <v>88965</v>
      </c>
    </row>
    <row r="18" spans="2:19" x14ac:dyDescent="0.3">
      <c r="B18" s="39" t="s">
        <v>612</v>
      </c>
      <c r="C18" s="11" t="s">
        <v>611</v>
      </c>
      <c r="D18" s="89">
        <v>68283</v>
      </c>
      <c r="E18" s="40" t="s">
        <v>415</v>
      </c>
      <c r="G18" s="39" t="s">
        <v>612</v>
      </c>
      <c r="H18" s="91">
        <f t="shared" si="0"/>
        <v>68283</v>
      </c>
      <c r="K18" s="85"/>
      <c r="M18" s="39" t="s">
        <v>611</v>
      </c>
      <c r="N18" s="89">
        <v>68283</v>
      </c>
      <c r="O18" s="11" t="s">
        <v>415</v>
      </c>
      <c r="P18" s="40" t="s">
        <v>612</v>
      </c>
      <c r="R18" s="39" t="s">
        <v>612</v>
      </c>
      <c r="S18" s="91">
        <f t="shared" si="1"/>
        <v>68283</v>
      </c>
    </row>
    <row r="19" spans="2:19" x14ac:dyDescent="0.3">
      <c r="B19" s="39" t="s">
        <v>614</v>
      </c>
      <c r="C19" s="11" t="s">
        <v>613</v>
      </c>
      <c r="D19" s="89">
        <v>45742</v>
      </c>
      <c r="E19" s="40" t="s">
        <v>27</v>
      </c>
      <c r="G19" s="39" t="s">
        <v>614</v>
      </c>
      <c r="H19" s="91">
        <f t="shared" si="0"/>
        <v>45742</v>
      </c>
      <c r="K19" s="85"/>
      <c r="M19" s="39" t="s">
        <v>613</v>
      </c>
      <c r="N19" s="89">
        <v>45742</v>
      </c>
      <c r="O19" s="11" t="s">
        <v>27</v>
      </c>
      <c r="P19" s="40" t="s">
        <v>614</v>
      </c>
      <c r="R19" s="39" t="s">
        <v>614</v>
      </c>
      <c r="S19" s="91">
        <f t="shared" si="1"/>
        <v>45742</v>
      </c>
    </row>
    <row r="20" spans="2:19" x14ac:dyDescent="0.3">
      <c r="B20" s="39" t="s">
        <v>615</v>
      </c>
      <c r="C20" s="11" t="s">
        <v>36</v>
      </c>
      <c r="D20" s="89">
        <v>88354</v>
      </c>
      <c r="E20" s="40" t="s">
        <v>29</v>
      </c>
      <c r="G20" s="39" t="s">
        <v>615</v>
      </c>
      <c r="H20" s="91">
        <f t="shared" si="0"/>
        <v>88354</v>
      </c>
      <c r="K20" s="85"/>
      <c r="M20" s="39" t="s">
        <v>36</v>
      </c>
      <c r="N20" s="89">
        <v>88354</v>
      </c>
      <c r="O20" s="11" t="s">
        <v>29</v>
      </c>
      <c r="P20" s="40" t="s">
        <v>615</v>
      </c>
      <c r="R20" s="39" t="s">
        <v>615</v>
      </c>
      <c r="S20" s="91">
        <f t="shared" si="1"/>
        <v>88354</v>
      </c>
    </row>
    <row r="21" spans="2:19" x14ac:dyDescent="0.3">
      <c r="B21" s="39" t="s">
        <v>617</v>
      </c>
      <c r="C21" s="11" t="s">
        <v>616</v>
      </c>
      <c r="D21" s="89">
        <v>76641</v>
      </c>
      <c r="E21" s="40" t="s">
        <v>33</v>
      </c>
      <c r="G21" s="39" t="s">
        <v>617</v>
      </c>
      <c r="H21" s="91">
        <f t="shared" si="0"/>
        <v>76641</v>
      </c>
      <c r="K21" s="85"/>
      <c r="M21" s="39" t="s">
        <v>616</v>
      </c>
      <c r="N21" s="89">
        <v>76641</v>
      </c>
      <c r="O21" s="11" t="s">
        <v>33</v>
      </c>
      <c r="P21" s="40" t="s">
        <v>617</v>
      </c>
      <c r="R21" s="39" t="s">
        <v>617</v>
      </c>
      <c r="S21" s="91">
        <f t="shared" si="1"/>
        <v>76641</v>
      </c>
    </row>
    <row r="22" spans="2:19" ht="15" thickBot="1" x14ac:dyDescent="0.35">
      <c r="B22" s="41" t="s">
        <v>618</v>
      </c>
      <c r="C22" s="42" t="s">
        <v>553</v>
      </c>
      <c r="D22" s="90">
        <v>61678</v>
      </c>
      <c r="E22" s="43" t="s">
        <v>27</v>
      </c>
      <c r="G22" s="41" t="s">
        <v>618</v>
      </c>
      <c r="H22" s="92">
        <f t="shared" si="0"/>
        <v>61678</v>
      </c>
      <c r="K22" s="85"/>
      <c r="M22" s="41" t="s">
        <v>553</v>
      </c>
      <c r="N22" s="90">
        <v>61678</v>
      </c>
      <c r="O22" s="42" t="s">
        <v>27</v>
      </c>
      <c r="P22" s="43" t="s">
        <v>618</v>
      </c>
      <c r="R22" s="41" t="s">
        <v>618</v>
      </c>
      <c r="S22" s="92">
        <f t="shared" si="1"/>
        <v>61678</v>
      </c>
    </row>
    <row r="23" spans="2:19" ht="15" thickBot="1" x14ac:dyDescent="0.35">
      <c r="K23" s="85"/>
    </row>
    <row r="24" spans="2:19" x14ac:dyDescent="0.3">
      <c r="B24" s="217" t="s">
        <v>246</v>
      </c>
      <c r="C24" s="218"/>
      <c r="D24" s="218"/>
      <c r="E24" s="218"/>
      <c r="F24" s="218"/>
      <c r="G24" s="218"/>
      <c r="H24" s="218"/>
      <c r="I24" s="218"/>
      <c r="J24" s="38" t="s">
        <v>55</v>
      </c>
      <c r="K24" s="85"/>
    </row>
    <row r="25" spans="2:19" x14ac:dyDescent="0.3">
      <c r="B25" s="215" t="s">
        <v>620</v>
      </c>
      <c r="C25" s="212"/>
      <c r="D25" s="212"/>
      <c r="E25" s="212"/>
      <c r="F25" s="212"/>
      <c r="G25" s="212"/>
      <c r="H25" s="212"/>
      <c r="I25" s="212"/>
      <c r="J25" s="40" cm="1">
        <f t="array" ref="J25">SUM(COUNTIF(E3:E22, {"HR","IT","Marketing"}))</f>
        <v>8</v>
      </c>
      <c r="K25" s="85"/>
    </row>
    <row r="26" spans="2:19" x14ac:dyDescent="0.3">
      <c r="B26" s="215" t="s">
        <v>621</v>
      </c>
      <c r="C26" s="212"/>
      <c r="D26" s="212"/>
      <c r="E26" s="212"/>
      <c r="F26" s="212"/>
      <c r="G26" s="212"/>
      <c r="H26" s="212"/>
      <c r="I26" s="212"/>
      <c r="J26" s="40">
        <f>VLOOKUP("Santosh", C3:E22, 2, 0)</f>
        <v>93509</v>
      </c>
      <c r="K26" s="85"/>
    </row>
    <row r="27" spans="2:19" ht="15" thickBot="1" x14ac:dyDescent="0.35">
      <c r="B27" s="216" t="s">
        <v>622</v>
      </c>
      <c r="C27" s="214"/>
      <c r="D27" s="214"/>
      <c r="E27" s="214"/>
      <c r="F27" s="214"/>
      <c r="G27" s="214"/>
      <c r="H27" s="214"/>
      <c r="I27" s="214"/>
      <c r="J27" s="43" cm="1">
        <f t="array" ref="J27">SUM(SUMIF(E3:E22,{"IT","Marketing"},D3:D22))</f>
        <v>417932</v>
      </c>
      <c r="K27" s="85"/>
    </row>
  </sheetData>
  <mergeCells count="8">
    <mergeCell ref="B27:I27"/>
    <mergeCell ref="M2:P2"/>
    <mergeCell ref="R2:S2"/>
    <mergeCell ref="B2:E2"/>
    <mergeCell ref="G2:H2"/>
    <mergeCell ref="B24:I24"/>
    <mergeCell ref="B25:I25"/>
    <mergeCell ref="B26:I26"/>
  </mergeCells>
  <phoneticPr fontId="20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EE24-BF67-44A0-AB5B-A47394095FB4}">
  <dimension ref="B1:E19"/>
  <sheetViews>
    <sheetView workbookViewId="0">
      <selection activeCell="E19" sqref="E19"/>
    </sheetView>
  </sheetViews>
  <sheetFormatPr defaultRowHeight="14.4" x14ac:dyDescent="0.3"/>
  <sheetData>
    <row r="1" spans="2:5" ht="15" thickBot="1" x14ac:dyDescent="0.35"/>
    <row r="2" spans="2:5" x14ac:dyDescent="0.3">
      <c r="B2" s="202" t="s">
        <v>630</v>
      </c>
      <c r="C2" s="207"/>
      <c r="D2" s="207"/>
      <c r="E2" s="208"/>
    </row>
    <row r="3" spans="2:5" x14ac:dyDescent="0.3">
      <c r="B3" s="44" t="s">
        <v>624</v>
      </c>
      <c r="C3" s="35" t="s">
        <v>625</v>
      </c>
      <c r="D3" s="35" t="s">
        <v>626</v>
      </c>
      <c r="E3" s="45" t="s">
        <v>627</v>
      </c>
    </row>
    <row r="4" spans="2:5" x14ac:dyDescent="0.3">
      <c r="B4" s="39" t="s">
        <v>522</v>
      </c>
      <c r="C4" s="89">
        <v>5535</v>
      </c>
      <c r="D4" s="89">
        <v>5414</v>
      </c>
      <c r="E4" s="93">
        <v>9027</v>
      </c>
    </row>
    <row r="5" spans="2:5" x14ac:dyDescent="0.3">
      <c r="B5" s="39" t="s">
        <v>518</v>
      </c>
      <c r="C5" s="89">
        <v>5013</v>
      </c>
      <c r="D5" s="89">
        <v>5107</v>
      </c>
      <c r="E5" s="93">
        <v>11667</v>
      </c>
    </row>
    <row r="6" spans="2:5" x14ac:dyDescent="0.3">
      <c r="B6" s="39" t="s">
        <v>520</v>
      </c>
      <c r="C6" s="89">
        <v>6597</v>
      </c>
      <c r="D6" s="89">
        <v>3858</v>
      </c>
      <c r="E6" s="93">
        <v>1507</v>
      </c>
    </row>
    <row r="7" spans="2:5" ht="15" thickBot="1" x14ac:dyDescent="0.35">
      <c r="B7" s="41" t="s">
        <v>525</v>
      </c>
      <c r="C7" s="90">
        <v>3195</v>
      </c>
      <c r="D7" s="90">
        <v>3654</v>
      </c>
      <c r="E7" s="94">
        <v>7225</v>
      </c>
    </row>
    <row r="8" spans="2:5" ht="15" thickBot="1" x14ac:dyDescent="0.35"/>
    <row r="9" spans="2:5" x14ac:dyDescent="0.3">
      <c r="B9" s="202" t="s">
        <v>631</v>
      </c>
      <c r="C9" s="207"/>
      <c r="D9" s="208"/>
    </row>
    <row r="10" spans="2:5" x14ac:dyDescent="0.3">
      <c r="B10" s="44" t="s">
        <v>624</v>
      </c>
      <c r="C10" s="35" t="s">
        <v>628</v>
      </c>
      <c r="D10" s="45" t="s">
        <v>629</v>
      </c>
    </row>
    <row r="11" spans="2:5" x14ac:dyDescent="0.3">
      <c r="B11" s="39" t="s">
        <v>520</v>
      </c>
      <c r="C11" s="11" t="s">
        <v>627</v>
      </c>
      <c r="D11" s="93">
        <f>INDEX($B$4:$E$7, MATCH(B11, $B$4:$B$7, 0), MATCH(C11, $B$3:$E$3, 0))</f>
        <v>1507</v>
      </c>
    </row>
    <row r="12" spans="2:5" x14ac:dyDescent="0.3">
      <c r="B12" s="39" t="s">
        <v>525</v>
      </c>
      <c r="C12" s="11" t="s">
        <v>626</v>
      </c>
      <c r="D12" s="93">
        <f t="shared" ref="D12:D14" si="0">INDEX($B$4:$E$7, MATCH(B12, $B$4:$B$7, 0), MATCH(C12, $B$3:$E$3, 0))</f>
        <v>3654</v>
      </c>
    </row>
    <row r="13" spans="2:5" x14ac:dyDescent="0.3">
      <c r="B13" s="39" t="s">
        <v>518</v>
      </c>
      <c r="C13" s="11" t="s">
        <v>625</v>
      </c>
      <c r="D13" s="93">
        <f t="shared" si="0"/>
        <v>5013</v>
      </c>
    </row>
    <row r="14" spans="2:5" ht="15" thickBot="1" x14ac:dyDescent="0.35">
      <c r="B14" s="41" t="s">
        <v>522</v>
      </c>
      <c r="C14" s="42" t="s">
        <v>627</v>
      </c>
      <c r="D14" s="94">
        <f t="shared" si="0"/>
        <v>9027</v>
      </c>
    </row>
    <row r="19" spans="5:5" x14ac:dyDescent="0.3">
      <c r="E19" s="100" t="s">
        <v>633</v>
      </c>
    </row>
  </sheetData>
  <mergeCells count="2">
    <mergeCell ref="B2:E2"/>
    <mergeCell ref="B9:D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D19F89-49E5-4DED-9AB6-9344E8682E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Data Validation</vt:lpstr>
      <vt:lpstr>Text Functions</vt:lpstr>
      <vt:lpstr>Text Functions 2</vt:lpstr>
      <vt:lpstr>Conditionals</vt:lpstr>
      <vt:lpstr>Random-Round</vt:lpstr>
      <vt:lpstr>Minifs-Maxifs</vt:lpstr>
      <vt:lpstr>Database Functions</vt:lpstr>
      <vt:lpstr>Logical Functions &amp; IF</vt:lpstr>
      <vt:lpstr>Financial Functions</vt:lpstr>
      <vt:lpstr>Date Functions</vt:lpstr>
      <vt:lpstr>Vlookup-Hlookup</vt:lpstr>
      <vt:lpstr>Index &amp; Match</vt:lpstr>
      <vt:lpstr>Power Query</vt:lpstr>
      <vt:lpstr>Pivot Table (DATA)</vt:lpstr>
      <vt:lpstr>Pivot Table &amp; Charts</vt:lpstr>
      <vt:lpstr>Scenario Summary</vt:lpstr>
      <vt:lpstr>What-If Analysis</vt:lpstr>
      <vt:lpstr>Assignment 1</vt:lpstr>
      <vt:lpstr>Assignment 2</vt:lpstr>
      <vt:lpstr>Assignment 3</vt:lpstr>
      <vt:lpstr>Assignment 4</vt:lpstr>
      <vt:lpstr>Assignment 5</vt:lpstr>
      <vt:lpstr>Assignment 6</vt:lpstr>
      <vt:lpstr>Assignment 7</vt:lpstr>
      <vt:lpstr>Assignment 8</vt:lpstr>
      <vt:lpstr>Assignment 9</vt:lpstr>
      <vt:lpstr>Assignment 10</vt:lpstr>
      <vt:lpstr>Assignment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Quastech</dc:creator>
  <cp:lastModifiedBy>Deepak Chavda</cp:lastModifiedBy>
  <dcterms:created xsi:type="dcterms:W3CDTF">2015-06-05T18:17:20Z</dcterms:created>
  <dcterms:modified xsi:type="dcterms:W3CDTF">2025-09-30T08:17:48Z</dcterms:modified>
</cp:coreProperties>
</file>