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351CCC1-205B-4318-A0B0-4B8B735EC20B}" xr6:coauthVersionLast="47" xr6:coauthVersionMax="47" xr10:uidLastSave="{00000000-0000-0000-0000-000000000000}"/>
  <bookViews>
    <workbookView xWindow="-108" yWindow="-108" windowWidth="23256" windowHeight="12456" firstSheet="10" activeTab="13" xr2:uid="{00000000-000D-0000-FFFF-FFFF00000000}"/>
  </bookViews>
  <sheets>
    <sheet name="Data Validation" sheetId="1" r:id="rId1"/>
    <sheet name="Text Functions" sheetId="2" r:id="rId2"/>
    <sheet name="Text Functions 2" sheetId="3" r:id="rId3"/>
    <sheet name="Conditionals" sheetId="4" r:id="rId4"/>
    <sheet name="Random-Round" sheetId="5" r:id="rId5"/>
    <sheet name="Minifs-Maxifs" sheetId="10" r:id="rId6"/>
    <sheet name="Database Functions" sheetId="12" r:id="rId7"/>
    <sheet name="Logical Functions &amp; IF" sheetId="13" r:id="rId8"/>
    <sheet name="Financial Functions" sheetId="15" r:id="rId9"/>
    <sheet name="Date Functions" sheetId="17" r:id="rId10"/>
    <sheet name="Vlookup-Hlookup" sheetId="19" r:id="rId11"/>
    <sheet name="Index &amp; Match" sheetId="25" r:id="rId12"/>
    <sheet name="Power Query" sheetId="28" r:id="rId13"/>
    <sheet name="Power Query (Messy Data)" sheetId="29" r:id="rId14"/>
    <sheet name="Assignment 1" sheetId="8" r:id="rId15"/>
    <sheet name="Assignment 2" sheetId="9" r:id="rId16"/>
    <sheet name="Assignment 3" sheetId="11" r:id="rId17"/>
    <sheet name="Assignment 4" sheetId="14" r:id="rId18"/>
    <sheet name="Assignment 5" sheetId="16" r:id="rId19"/>
    <sheet name="Assignment 6" sheetId="18" r:id="rId20"/>
    <sheet name="Assignment 7" sheetId="21" r:id="rId21"/>
    <sheet name="Assignment 8" sheetId="23" r:id="rId22"/>
    <sheet name="Assignment 9" sheetId="24" r:id="rId23"/>
    <sheet name="Assignment 10" sheetId="26" r:id="rId24"/>
    <sheet name="Assignment 11" sheetId="27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6" roundtripDataChecksum="sCUOYFUx2qqVf1bTUVZaBaIU3nh63l0w2d6KssZuSMs="/>
    </ext>
  </extLst>
</workbook>
</file>

<file path=xl/calcChain.xml><?xml version="1.0" encoding="utf-8"?>
<calcChain xmlns="http://schemas.openxmlformats.org/spreadsheetml/2006/main">
  <c r="S5" i="26" l="1"/>
  <c r="S6" i="26"/>
  <c r="S7" i="26"/>
  <c r="S8" i="26"/>
  <c r="S9" i="26"/>
  <c r="S10" i="26"/>
  <c r="S11" i="26"/>
  <c r="S12" i="26"/>
  <c r="S13" i="26"/>
  <c r="S14" i="26"/>
  <c r="S15" i="26"/>
  <c r="S16" i="26"/>
  <c r="S17" i="26"/>
  <c r="S18" i="26"/>
  <c r="S19" i="26"/>
  <c r="S20" i="26"/>
  <c r="S21" i="26"/>
  <c r="S22" i="26"/>
  <c r="S4" i="26"/>
  <c r="F9" i="3"/>
  <c r="D12" i="27"/>
  <c r="D13" i="27"/>
  <c r="D14" i="27"/>
  <c r="D11" i="27"/>
  <c r="N9" i="25"/>
  <c r="N8" i="25"/>
  <c r="N6" i="25"/>
  <c r="N7" i="25"/>
  <c r="N4" i="25"/>
  <c r="N5" i="25"/>
  <c r="J27" i="26" a="1"/>
  <c r="J27" i="26" s="1"/>
  <c r="J25" i="26" a="1"/>
  <c r="J25" i="26" s="1"/>
  <c r="H4" i="26"/>
  <c r="J26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P22" i="19"/>
  <c r="Q22" i="19"/>
  <c r="R22" i="19"/>
  <c r="S22" i="19"/>
  <c r="T22" i="19"/>
  <c r="U22" i="19"/>
  <c r="V22" i="19"/>
  <c r="W22" i="19"/>
  <c r="P23" i="19"/>
  <c r="Q23" i="19"/>
  <c r="R23" i="19"/>
  <c r="S23" i="19"/>
  <c r="T23" i="19"/>
  <c r="U23" i="19"/>
  <c r="V23" i="19"/>
  <c r="W23" i="19"/>
  <c r="O23" i="19"/>
  <c r="O22" i="19"/>
  <c r="S5" i="19"/>
  <c r="T5" i="19"/>
  <c r="S6" i="19"/>
  <c r="T6" i="19"/>
  <c r="S7" i="19"/>
  <c r="T7" i="19"/>
  <c r="S8" i="19"/>
  <c r="T8" i="19"/>
  <c r="S9" i="19"/>
  <c r="T9" i="19"/>
  <c r="S10" i="19"/>
  <c r="T10" i="19"/>
  <c r="S11" i="19"/>
  <c r="T11" i="19"/>
  <c r="S12" i="19"/>
  <c r="T12" i="19"/>
  <c r="T4" i="19"/>
  <c r="S4" i="19"/>
  <c r="E5" i="24"/>
  <c r="E6" i="24"/>
  <c r="E7" i="24"/>
  <c r="E8" i="24"/>
  <c r="E9" i="24"/>
  <c r="E4" i="24"/>
  <c r="G7" i="23"/>
  <c r="G6" i="23"/>
  <c r="P4" i="23"/>
  <c r="H20" i="23"/>
  <c r="H19" i="23"/>
  <c r="G5" i="23"/>
  <c r="G4" i="23"/>
  <c r="G4" i="21"/>
  <c r="G5" i="21"/>
  <c r="G6" i="21"/>
  <c r="G7" i="21"/>
  <c r="G8" i="21"/>
  <c r="G9" i="21"/>
  <c r="G10" i="21"/>
  <c r="G11" i="21"/>
  <c r="G3" i="21"/>
  <c r="K20" i="19"/>
  <c r="K19" i="19"/>
  <c r="K17" i="19"/>
  <c r="K16" i="19"/>
  <c r="K12" i="19"/>
  <c r="K11" i="19"/>
  <c r="K10" i="19"/>
  <c r="K6" i="19"/>
  <c r="K5" i="19"/>
  <c r="K4" i="19"/>
  <c r="H16" i="18"/>
  <c r="D4" i="18"/>
  <c r="E4" i="18"/>
  <c r="F4" i="18"/>
  <c r="G4" i="18"/>
  <c r="H4" i="18" s="1"/>
  <c r="D5" i="18"/>
  <c r="E5" i="18"/>
  <c r="F5" i="18"/>
  <c r="G5" i="18"/>
  <c r="H5" i="18" s="1"/>
  <c r="D6" i="18"/>
  <c r="E6" i="18"/>
  <c r="F6" i="18"/>
  <c r="G6" i="18"/>
  <c r="H6" i="18" s="1"/>
  <c r="D7" i="18"/>
  <c r="E7" i="18"/>
  <c r="F7" i="18"/>
  <c r="G7" i="18"/>
  <c r="H7" i="18" s="1"/>
  <c r="D8" i="18"/>
  <c r="E8" i="18"/>
  <c r="F8" i="18"/>
  <c r="G8" i="18"/>
  <c r="H8" i="18" s="1"/>
  <c r="D9" i="18"/>
  <c r="E9" i="18"/>
  <c r="F9" i="18"/>
  <c r="G9" i="18"/>
  <c r="H9" i="18" s="1"/>
  <c r="D10" i="18"/>
  <c r="E10" i="18"/>
  <c r="F10" i="18"/>
  <c r="G10" i="18"/>
  <c r="H10" i="18" s="1"/>
  <c r="D11" i="18"/>
  <c r="E11" i="18"/>
  <c r="F11" i="18"/>
  <c r="G11" i="18"/>
  <c r="H11" i="18" s="1"/>
  <c r="D12" i="18"/>
  <c r="E12" i="18"/>
  <c r="F12" i="18"/>
  <c r="G12" i="18"/>
  <c r="H12" i="18" s="1"/>
  <c r="D13" i="18"/>
  <c r="E13" i="18"/>
  <c r="F13" i="18"/>
  <c r="G13" i="18" s="1"/>
  <c r="H13" i="18" s="1"/>
  <c r="G3" i="18"/>
  <c r="H3" i="18" s="1"/>
  <c r="F3" i="18"/>
  <c r="E3" i="18"/>
  <c r="D3" i="18"/>
  <c r="I12" i="17" a="1"/>
  <c r="I12" i="17" s="1"/>
  <c r="D23" i="17"/>
  <c r="D22" i="17"/>
  <c r="D18" i="17"/>
  <c r="D17" i="17"/>
  <c r="D13" i="17"/>
  <c r="D12" i="17"/>
  <c r="D5" i="17"/>
  <c r="D4" i="17"/>
  <c r="D7" i="17" s="1"/>
  <c r="I19" i="16"/>
  <c r="J18" i="16"/>
  <c r="I18" i="16"/>
  <c r="I16" i="16"/>
  <c r="I14" i="16"/>
  <c r="H4" i="16"/>
  <c r="H6" i="16"/>
  <c r="H8" i="16"/>
  <c r="H9" i="16"/>
  <c r="H10" i="16"/>
  <c r="H11" i="16"/>
  <c r="H3" i="16"/>
  <c r="F4" i="16"/>
  <c r="G4" i="16" s="1"/>
  <c r="F5" i="16"/>
  <c r="G5" i="16"/>
  <c r="I15" i="16" s="1"/>
  <c r="F6" i="16"/>
  <c r="G6" i="16"/>
  <c r="F7" i="16"/>
  <c r="G7" i="16"/>
  <c r="H7" i="16" s="1"/>
  <c r="F8" i="16"/>
  <c r="G8" i="16" s="1"/>
  <c r="F9" i="16"/>
  <c r="G9" i="16"/>
  <c r="F10" i="16"/>
  <c r="G10" i="16"/>
  <c r="F11" i="16"/>
  <c r="G11" i="16"/>
  <c r="G3" i="16"/>
  <c r="F3" i="16"/>
  <c r="J3" i="15"/>
  <c r="J4" i="15"/>
  <c r="J5" i="15"/>
  <c r="J6" i="15"/>
  <c r="J7" i="15"/>
  <c r="J8" i="15"/>
  <c r="J9" i="15"/>
  <c r="J10" i="15"/>
  <c r="K3" i="15"/>
  <c r="L3" i="15"/>
  <c r="K4" i="15"/>
  <c r="L4" i="15"/>
  <c r="K5" i="15"/>
  <c r="L5" i="15"/>
  <c r="K6" i="15"/>
  <c r="L6" i="15"/>
  <c r="K7" i="15"/>
  <c r="L7" i="15"/>
  <c r="K8" i="15"/>
  <c r="L8" i="15"/>
  <c r="K9" i="15"/>
  <c r="L9" i="15"/>
  <c r="K10" i="15"/>
  <c r="L10" i="15"/>
  <c r="I15" i="14"/>
  <c r="H4" i="14"/>
  <c r="H5" i="14"/>
  <c r="H6" i="14"/>
  <c r="H7" i="14"/>
  <c r="H8" i="14"/>
  <c r="H9" i="14"/>
  <c r="H10" i="14"/>
  <c r="H11" i="14"/>
  <c r="H3" i="14"/>
  <c r="I14" i="14"/>
  <c r="G4" i="14"/>
  <c r="G5" i="14"/>
  <c r="G6" i="14"/>
  <c r="G7" i="14"/>
  <c r="G8" i="14"/>
  <c r="G9" i="14"/>
  <c r="G10" i="14"/>
  <c r="G11" i="14"/>
  <c r="G3" i="14"/>
  <c r="F4" i="14"/>
  <c r="F5" i="14"/>
  <c r="F6" i="14"/>
  <c r="F7" i="14"/>
  <c r="F8" i="14"/>
  <c r="F9" i="14"/>
  <c r="F10" i="14"/>
  <c r="F11" i="14"/>
  <c r="F3" i="14"/>
  <c r="P8" i="13"/>
  <c r="P7" i="13"/>
  <c r="P6" i="13"/>
  <c r="P5" i="13"/>
  <c r="P4" i="13"/>
  <c r="P3" i="13"/>
  <c r="P12" i="13"/>
  <c r="P14" i="13"/>
  <c r="P13" i="13"/>
  <c r="P11" i="13"/>
  <c r="P19" i="13"/>
  <c r="P18" i="13"/>
  <c r="P23" i="13"/>
  <c r="P29" i="13"/>
  <c r="P28" i="13"/>
  <c r="P24" i="13"/>
  <c r="H28" i="13"/>
  <c r="H27" i="13"/>
  <c r="H26" i="13"/>
  <c r="H25" i="13"/>
  <c r="H21" i="13"/>
  <c r="H20" i="13"/>
  <c r="H19" i="13"/>
  <c r="H18" i="13"/>
  <c r="H14" i="13"/>
  <c r="H13" i="13"/>
  <c r="H12" i="13"/>
  <c r="H11" i="13"/>
  <c r="K78" i="12"/>
  <c r="K74" i="12"/>
  <c r="K70" i="12"/>
  <c r="K66" i="12"/>
  <c r="K62" i="12"/>
  <c r="K58" i="12"/>
  <c r="K54" i="12"/>
  <c r="K50" i="12"/>
  <c r="K46" i="12"/>
  <c r="K42" i="12"/>
  <c r="K38" i="12"/>
  <c r="K34" i="12"/>
  <c r="K30" i="12"/>
  <c r="K24" i="12"/>
  <c r="K20" i="12"/>
  <c r="K16" i="12"/>
  <c r="K12" i="12"/>
  <c r="K7" i="12"/>
  <c r="K6" i="12"/>
  <c r="K5" i="12"/>
  <c r="K4" i="12"/>
  <c r="K3" i="12"/>
  <c r="G32" i="10"/>
  <c r="G30" i="10"/>
  <c r="C29" i="11"/>
  <c r="C27" i="11"/>
  <c r="D26" i="11"/>
  <c r="C26" i="11"/>
  <c r="C25" i="11"/>
  <c r="C24" i="11"/>
  <c r="G31" i="10"/>
  <c r="G29" i="10"/>
  <c r="G28" i="10"/>
  <c r="G27" i="10"/>
  <c r="G26" i="10"/>
  <c r="G25" i="10"/>
  <c r="G24" i="10"/>
  <c r="G23" i="10"/>
  <c r="G22" i="10"/>
  <c r="G21" i="10"/>
  <c r="G15" i="10"/>
  <c r="G14" i="10"/>
  <c r="G13" i="10"/>
  <c r="G12" i="10"/>
  <c r="G11" i="10"/>
  <c r="G7" i="10"/>
  <c r="G6" i="10"/>
  <c r="G5" i="10"/>
  <c r="G4" i="10"/>
  <c r="G3" i="10"/>
  <c r="G2" i="10"/>
  <c r="E46" i="9"/>
  <c r="E44" i="9"/>
  <c r="E42" i="9"/>
  <c r="E40" i="9"/>
  <c r="F25" i="9"/>
  <c r="E25" i="9"/>
  <c r="E21" i="9"/>
  <c r="E20" i="9"/>
  <c r="E17" i="9"/>
  <c r="E38" i="9"/>
  <c r="F38" i="9" s="1"/>
  <c r="E37" i="9"/>
  <c r="F37" i="9" s="1"/>
  <c r="E36" i="9"/>
  <c r="F36" i="9" s="1"/>
  <c r="E35" i="9"/>
  <c r="F35" i="9" s="1"/>
  <c r="E34" i="9"/>
  <c r="F34" i="9" s="1"/>
  <c r="E33" i="9"/>
  <c r="F33" i="9" s="1"/>
  <c r="E32" i="9"/>
  <c r="F32" i="9" s="1"/>
  <c r="E31" i="9"/>
  <c r="F31" i="9" s="1"/>
  <c r="E30" i="9"/>
  <c r="F30" i="9" s="1"/>
  <c r="E29" i="9"/>
  <c r="F29" i="9" s="1"/>
  <c r="G13" i="9"/>
  <c r="G12" i="9"/>
  <c r="G11" i="9"/>
  <c r="G10" i="9"/>
  <c r="G25" i="9" s="1"/>
  <c r="G9" i="9"/>
  <c r="G8" i="9"/>
  <c r="G7" i="9"/>
  <c r="G6" i="9"/>
  <c r="G5" i="9"/>
  <c r="G4" i="9"/>
  <c r="F34" i="8"/>
  <c r="E34" i="8"/>
  <c r="F33" i="8"/>
  <c r="E33" i="8"/>
  <c r="E29" i="8"/>
  <c r="F26" i="8"/>
  <c r="E26" i="8"/>
  <c r="F25" i="8"/>
  <c r="E25" i="8"/>
  <c r="K12" i="8"/>
  <c r="J12" i="8"/>
  <c r="I12" i="8"/>
  <c r="J11" i="8"/>
  <c r="K11" i="8" s="1"/>
  <c r="I11" i="8"/>
  <c r="J10" i="8"/>
  <c r="K10" i="8" s="1"/>
  <c r="I10" i="8"/>
  <c r="J9" i="8"/>
  <c r="K9" i="8" s="1"/>
  <c r="I9" i="8"/>
  <c r="K8" i="8"/>
  <c r="J8" i="8"/>
  <c r="I8" i="8"/>
  <c r="J7" i="8"/>
  <c r="K7" i="8" s="1"/>
  <c r="I7" i="8"/>
  <c r="J6" i="8"/>
  <c r="K6" i="8" s="1"/>
  <c r="I6" i="8"/>
  <c r="J5" i="8"/>
  <c r="K5" i="8" s="1"/>
  <c r="I5" i="8"/>
  <c r="K4" i="8"/>
  <c r="J4" i="8"/>
  <c r="I4" i="8"/>
  <c r="J3" i="8"/>
  <c r="K3" i="8" s="1"/>
  <c r="I3" i="8"/>
  <c r="H20" i="18" l="1"/>
  <c r="H18" i="18"/>
  <c r="H17" i="18"/>
  <c r="J10" i="17"/>
  <c r="J8" i="17"/>
  <c r="J9" i="17"/>
  <c r="J7" i="17"/>
  <c r="J6" i="17"/>
  <c r="J5" i="17"/>
  <c r="J4" i="17"/>
  <c r="D8" i="17"/>
  <c r="D6" i="17"/>
  <c r="H5" i="16"/>
  <c r="E21" i="8"/>
  <c r="E20" i="8"/>
  <c r="E17" i="2" l="1"/>
  <c r="E16" i="2"/>
  <c r="E15" i="2"/>
  <c r="E14" i="2"/>
  <c r="E13" i="2"/>
  <c r="D5" i="5"/>
  <c r="D4" i="5"/>
  <c r="D3" i="5"/>
  <c r="F23" i="4"/>
  <c r="F22" i="4"/>
  <c r="F21" i="4"/>
  <c r="F19" i="4"/>
  <c r="F18" i="4"/>
  <c r="F17" i="4"/>
  <c r="F15" i="4"/>
  <c r="F14" i="4"/>
  <c r="F13" i="4"/>
  <c r="F15" i="3"/>
  <c r="F14" i="3"/>
  <c r="F13" i="3"/>
  <c r="F12" i="3"/>
  <c r="F11" i="3"/>
  <c r="F10" i="3"/>
  <c r="F8" i="3"/>
  <c r="F7" i="3"/>
  <c r="F6" i="3"/>
  <c r="F5" i="3"/>
  <c r="F4" i="3"/>
  <c r="F3" i="3"/>
  <c r="K17" i="2"/>
  <c r="J17" i="2"/>
  <c r="I17" i="2"/>
  <c r="H17" i="2"/>
  <c r="G17" i="2"/>
  <c r="F17" i="2"/>
  <c r="K16" i="2"/>
  <c r="J16" i="2"/>
  <c r="I16" i="2"/>
  <c r="H16" i="2"/>
  <c r="G16" i="2"/>
  <c r="F16" i="2"/>
  <c r="K15" i="2"/>
  <c r="J15" i="2"/>
  <c r="I15" i="2"/>
  <c r="H15" i="2"/>
  <c r="G15" i="2"/>
  <c r="F15" i="2"/>
  <c r="K14" i="2"/>
  <c r="J14" i="2"/>
  <c r="I14" i="2"/>
  <c r="H14" i="2"/>
  <c r="G14" i="2"/>
  <c r="F14" i="2"/>
  <c r="K13" i="2"/>
  <c r="J13" i="2"/>
  <c r="I13" i="2"/>
  <c r="H13" i="2"/>
  <c r="G13" i="2"/>
  <c r="F13" i="2"/>
  <c r="H10" i="2"/>
  <c r="H9" i="2"/>
  <c r="H8" i="2"/>
  <c r="H7" i="2"/>
  <c r="H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<sst xmlns="http://schemas.openxmlformats.org/spreadsheetml/2006/main" count="1927" uniqueCount="1296">
  <si>
    <t>validation  rules</t>
  </si>
  <si>
    <t>list source</t>
  </si>
  <si>
    <t>1. text</t>
  </si>
  <si>
    <t>borivali</t>
  </si>
  <si>
    <t>2. whole number</t>
  </si>
  <si>
    <t>nala sopara</t>
  </si>
  <si>
    <t>3. decimal</t>
  </si>
  <si>
    <t>thane</t>
  </si>
  <si>
    <t>4. date</t>
  </si>
  <si>
    <t>dadar</t>
  </si>
  <si>
    <t>5. list</t>
  </si>
  <si>
    <t>vasai</t>
  </si>
  <si>
    <t>text</t>
  </si>
  <si>
    <t>whole number</t>
  </si>
  <si>
    <t>decimal</t>
  </si>
  <si>
    <t>date</t>
  </si>
  <si>
    <t>list</t>
  </si>
  <si>
    <t>time</t>
  </si>
  <si>
    <t>rohit</t>
  </si>
  <si>
    <t>yash</t>
  </si>
  <si>
    <t>aakash</t>
  </si>
  <si>
    <t>karamchand</t>
  </si>
  <si>
    <t>yowai mo</t>
  </si>
  <si>
    <t>First Name</t>
  </si>
  <si>
    <t>Department</t>
  </si>
  <si>
    <t>TEXT FUNCTIONS</t>
  </si>
  <si>
    <t>John</t>
  </si>
  <si>
    <t>Sales</t>
  </si>
  <si>
    <t>Emily</t>
  </si>
  <si>
    <t>Marketing</t>
  </si>
  <si>
    <t>Michael</t>
  </si>
  <si>
    <t>IT</t>
  </si>
  <si>
    <t>Sarah</t>
  </si>
  <si>
    <t>HR</t>
  </si>
  <si>
    <t>1. search 'ly' in B4</t>
  </si>
  <si>
    <t>search</t>
  </si>
  <si>
    <t>David</t>
  </si>
  <si>
    <t>Finance</t>
  </si>
  <si>
    <t>2. find 'ch' in B5</t>
  </si>
  <si>
    <t>find</t>
  </si>
  <si>
    <t>3. 3 char from left of B3</t>
  </si>
  <si>
    <t>left</t>
  </si>
  <si>
    <t>4. 3 char from right of B3</t>
  </si>
  <si>
    <t>right</t>
  </si>
  <si>
    <t>3. 3 char from 4th char of B5</t>
  </si>
  <si>
    <t>mid</t>
  </si>
  <si>
    <t>concat</t>
  </si>
  <si>
    <t>trim</t>
  </si>
  <si>
    <t>length</t>
  </si>
  <si>
    <t>lower</t>
  </si>
  <si>
    <t>upper</t>
  </si>
  <si>
    <t>proper</t>
  </si>
  <si>
    <t>Text Data</t>
  </si>
  <si>
    <t>Function</t>
  </si>
  <si>
    <t>Description</t>
  </si>
  <si>
    <t>Answer</t>
  </si>
  <si>
    <t>Namrta -HR</t>
  </si>
  <si>
    <t>SEARCH</t>
  </si>
  <si>
    <t>1) Position of HR in B2</t>
  </si>
  <si>
    <t>Rahul -Finance Department</t>
  </si>
  <si>
    <t>2) Find position of "-" from B3</t>
  </si>
  <si>
    <t>Nidhi - IT Support</t>
  </si>
  <si>
    <t>FIND</t>
  </si>
  <si>
    <t>3) Find "Finance" in B6</t>
  </si>
  <si>
    <t>Akruti - HR Manager</t>
  </si>
  <si>
    <t>LEFT</t>
  </si>
  <si>
    <t>4) First 5 characters in B2</t>
  </si>
  <si>
    <t>Arush - Finance Lead</t>
  </si>
  <si>
    <t>RIGHT</t>
  </si>
  <si>
    <t>5) Last 4 characters in B2</t>
  </si>
  <si>
    <t>MID</t>
  </si>
  <si>
    <t>Extract the 2 characters from B3</t>
  </si>
  <si>
    <t>CONCATENATE</t>
  </si>
  <si>
    <t>6) Concatenate two strings</t>
  </si>
  <si>
    <t>TRIM</t>
  </si>
  <si>
    <t>7) Remove extra spaces</t>
  </si>
  <si>
    <t>LEN</t>
  </si>
  <si>
    <t>8) Return length of string</t>
  </si>
  <si>
    <t>LOWER</t>
  </si>
  <si>
    <t>9) Convert text into lowercase</t>
  </si>
  <si>
    <t>UPPER</t>
  </si>
  <si>
    <t>10) Convert text into uppercase</t>
  </si>
  <si>
    <t>PROPER</t>
  </si>
  <si>
    <t>11) Capitalize the first letter of each word</t>
  </si>
  <si>
    <t>EXACT</t>
  </si>
  <si>
    <t>12) Exact match of the text</t>
  </si>
  <si>
    <t>Employee</t>
  </si>
  <si>
    <t>Salary</t>
  </si>
  <si>
    <t>Gender</t>
  </si>
  <si>
    <t>Performance rating</t>
  </si>
  <si>
    <t>Alice</t>
  </si>
  <si>
    <t>F</t>
  </si>
  <si>
    <t>Bob</t>
  </si>
  <si>
    <t>M</t>
  </si>
  <si>
    <t>Charlie</t>
  </si>
  <si>
    <t>Diana</t>
  </si>
  <si>
    <t>Eva</t>
  </si>
  <si>
    <t>Fiona</t>
  </si>
  <si>
    <t>George</t>
  </si>
  <si>
    <t>1) Sum</t>
  </si>
  <si>
    <t>1) Total salary of employee</t>
  </si>
  <si>
    <t>2) Sumif</t>
  </si>
  <si>
    <t>2) Total salary of HR department</t>
  </si>
  <si>
    <t>3) Sumifs</t>
  </si>
  <si>
    <t>3) Total salary of male employee in HR department</t>
  </si>
  <si>
    <t>4) Avg</t>
  </si>
  <si>
    <t>1) Avg salary of employee</t>
  </si>
  <si>
    <t>5) Avgif</t>
  </si>
  <si>
    <t>2) Avg salary of Finance department</t>
  </si>
  <si>
    <t>6) Avgifs</t>
  </si>
  <si>
    <t>3) Avg salary of male employee in HR department</t>
  </si>
  <si>
    <t>7) Count</t>
  </si>
  <si>
    <t>1) Count salary of department</t>
  </si>
  <si>
    <t>8) Countif</t>
  </si>
  <si>
    <t>2) Count of Finance department employee</t>
  </si>
  <si>
    <t>9) Countifs</t>
  </si>
  <si>
    <t>3) Count of females in IT</t>
  </si>
  <si>
    <t>Functions</t>
  </si>
  <si>
    <t>Result</t>
  </si>
  <si>
    <t>1) Rand()</t>
  </si>
  <si>
    <t>1) Return random decimal number between 0 to 1</t>
  </si>
  <si>
    <t xml:space="preserve">2) Randbetween()  </t>
  </si>
  <si>
    <t>2) Return random whole number between given range (top to bottom)</t>
  </si>
  <si>
    <t>3) Round()</t>
  </si>
  <si>
    <t>3) Rounds a number to a specified number of decimals</t>
  </si>
  <si>
    <t>grade</t>
  </si>
  <si>
    <t>A</t>
  </si>
  <si>
    <t>C</t>
  </si>
  <si>
    <t>D</t>
  </si>
  <si>
    <t>B</t>
  </si>
  <si>
    <t>Category</t>
  </si>
  <si>
    <t>Supplier</t>
  </si>
  <si>
    <t>Price</t>
  </si>
  <si>
    <t>Stock</t>
  </si>
  <si>
    <t>Query</t>
  </si>
  <si>
    <t>Electronics</t>
  </si>
  <si>
    <t>TechCorp</t>
  </si>
  <si>
    <t>1) Find the highest salary of a female employee in Sales</t>
  </si>
  <si>
    <t>Accessories</t>
  </si>
  <si>
    <t>GearHouse</t>
  </si>
  <si>
    <t>ViewWorld</t>
  </si>
  <si>
    <t>3) Find the maximum salary in IT department with performance above 4.0</t>
  </si>
  <si>
    <t>4) Find the minimum salary of any employee with performance below 4.0</t>
  </si>
  <si>
    <t>Furniture</t>
  </si>
  <si>
    <t>HomeFurnish</t>
  </si>
  <si>
    <t>5) Find the highest salary of a female with performance ≥ 4.0 in any department</t>
  </si>
  <si>
    <t>1) Find the lowest price of an Electronics product</t>
  </si>
  <si>
    <t>5) Find the minimum price of any product with stock greater than 100</t>
  </si>
  <si>
    <t>Roll no</t>
  </si>
  <si>
    <t>Student</t>
  </si>
  <si>
    <t>hindi</t>
  </si>
  <si>
    <t>english</t>
  </si>
  <si>
    <t>maths</t>
  </si>
  <si>
    <t>physics</t>
  </si>
  <si>
    <t>chemistry</t>
  </si>
  <si>
    <t xml:space="preserve">total </t>
  </si>
  <si>
    <t>average</t>
  </si>
  <si>
    <t>RAM</t>
  </si>
  <si>
    <t>ASHOK</t>
  </si>
  <si>
    <t>MANOJ</t>
  </si>
  <si>
    <t>RAJESH</t>
  </si>
  <si>
    <t>RANJANA</t>
  </si>
  <si>
    <t>POOJA</t>
  </si>
  <si>
    <t>MAHESH</t>
  </si>
  <si>
    <t>ASHUTOSH</t>
  </si>
  <si>
    <t>ANIL</t>
  </si>
  <si>
    <t>PREM</t>
  </si>
  <si>
    <t>Q.1</t>
  </si>
  <si>
    <t>finding total and average</t>
  </si>
  <si>
    <t>Q.2</t>
  </si>
  <si>
    <t>using if to find grade , if more than 80 than A else B</t>
  </si>
  <si>
    <t>Q.3</t>
  </si>
  <si>
    <t>number of students who got A and B</t>
  </si>
  <si>
    <t>no of students</t>
  </si>
  <si>
    <t>Q.4</t>
  </si>
  <si>
    <t>ASHOK and MANOJ total marks and average</t>
  </si>
  <si>
    <t>Total marks</t>
  </si>
  <si>
    <t>Q.5</t>
  </si>
  <si>
    <t>count how many students</t>
  </si>
  <si>
    <t>Q.6</t>
  </si>
  <si>
    <t>how many students in hindi and english got marks greater than 80 less tha 65</t>
  </si>
  <si>
    <t>more than 65</t>
  </si>
  <si>
    <t>less than 80</t>
  </si>
  <si>
    <t>count</t>
  </si>
  <si>
    <t>Count of cooler whose rate is 10000</t>
  </si>
  <si>
    <t>Q.9</t>
  </si>
  <si>
    <t>count of cooler items</t>
  </si>
  <si>
    <t>Q.8</t>
  </si>
  <si>
    <t>Sum of Cooler items quantity</t>
  </si>
  <si>
    <t>Q.7</t>
  </si>
  <si>
    <t>Find sum of cooler item only</t>
  </si>
  <si>
    <t>PRINTER</t>
  </si>
  <si>
    <t>MOUSE</t>
  </si>
  <si>
    <t>KEYBOARD</t>
  </si>
  <si>
    <t>COMPUTER</t>
  </si>
  <si>
    <t>COOLER</t>
  </si>
  <si>
    <t>TV</t>
  </si>
  <si>
    <t>WASHING MACHINE</t>
  </si>
  <si>
    <t>FRIDGE</t>
  </si>
  <si>
    <t>AC</t>
  </si>
  <si>
    <t>Grade</t>
  </si>
  <si>
    <t>AMOUNT</t>
  </si>
  <si>
    <t>ITEMS</t>
  </si>
  <si>
    <t>if items amt is less than 50000 then "Expensive" or else "lets buy it"</t>
  </si>
  <si>
    <t>Amount</t>
  </si>
  <si>
    <t>Rate</t>
  </si>
  <si>
    <t>find QTY Rate and AMOUNT of computer using sumif</t>
  </si>
  <si>
    <t>less than 20</t>
  </si>
  <si>
    <t>greater than 20</t>
  </si>
  <si>
    <t>How many items QTY greater than 20 and less than 20</t>
  </si>
  <si>
    <t>Q,3</t>
  </si>
  <si>
    <t>RATE</t>
  </si>
  <si>
    <t>QTY</t>
  </si>
  <si>
    <t>sr no</t>
  </si>
  <si>
    <t>Find Amount</t>
  </si>
  <si>
    <t>How many items in the list?</t>
  </si>
  <si>
    <t>Name</t>
  </si>
  <si>
    <t>Emma</t>
  </si>
  <si>
    <t>Carol</t>
  </si>
  <si>
    <t>Admin</t>
  </si>
  <si>
    <t>1) Find the lowest salary in the Sales department</t>
  </si>
  <si>
    <t>2) Find the highest salary in the HR department</t>
  </si>
  <si>
    <t>3) Lowest salary in IT</t>
  </si>
  <si>
    <t>4) Highest salary in Sales</t>
  </si>
  <si>
    <t>6) Find salary out Emma salary (she works in Admin)</t>
  </si>
  <si>
    <t>5) Find Emma salary which is low</t>
  </si>
  <si>
    <t>2) Find the lowest salary of a male employee in HR with performance rating</t>
  </si>
  <si>
    <t>Performance</t>
  </si>
  <si>
    <r>
      <t xml:space="preserve">2) Find the highest price of any product from supplier </t>
    </r>
    <r>
      <rPr>
        <i/>
        <sz val="11"/>
        <color theme="1"/>
        <rFont val="Calibri"/>
        <family val="2"/>
        <scheme val="minor"/>
      </rPr>
      <t>GearHouse</t>
    </r>
  </si>
  <si>
    <t>3) Find the minimum stock among Accessories category items</t>
  </si>
  <si>
    <t>4) Find the highest price among Furniture products with stock greater than 25</t>
  </si>
  <si>
    <t>6) Find the maximum price of an Electronics product with stock less than 20</t>
  </si>
  <si>
    <t>7) Find the minimum price of a Furniture product with stock between 20 and 60</t>
  </si>
  <si>
    <t>8) Find the highest stock of an Accessories product priced below $50</t>
  </si>
  <si>
    <t>9) Find the lowest price of a product with stock above the average stock (avg = 87.6)</t>
  </si>
  <si>
    <t>10) Find the minimum stock of Electronics items priced above $500</t>
  </si>
  <si>
    <t>11) Find the maximum stock of any product priced between $100 and $800</t>
  </si>
  <si>
    <t>12) Find the minimum stock of an Accessories product (not from GearHouse) priced under $50</t>
  </si>
  <si>
    <t>Items</t>
  </si>
  <si>
    <t>Date</t>
  </si>
  <si>
    <t>Cost</t>
  </si>
  <si>
    <t>BRAKES</t>
  </si>
  <si>
    <t>TYRES</t>
  </si>
  <si>
    <t>SERVICE</t>
  </si>
  <si>
    <t>WINDOW</t>
  </si>
  <si>
    <t>CLUTCH</t>
  </si>
  <si>
    <t>Question</t>
  </si>
  <si>
    <t>Answer / Formula Used</t>
  </si>
  <si>
    <t>Q1. How many items?</t>
  </si>
  <si>
    <t>Q2. How many BRAKES, WINDOW &amp; TYRES have been bought?</t>
  </si>
  <si>
    <t>Q3. How many items cost more than 1000 and less than 1000?</t>
  </si>
  <si>
    <t>Q4. Highlight TYRES items costing between 500 and 2000</t>
  </si>
  <si>
    <t>Q5. Items in column 15, 18 &amp; 20 (find their names)</t>
  </si>
  <si>
    <t>Q6. Total cost of WINDOW and BRAKES items</t>
  </si>
  <si>
    <t>Neha</t>
  </si>
  <si>
    <t>DSUM</t>
  </si>
  <si>
    <t>Neeta</t>
  </si>
  <si>
    <t>DMIN</t>
  </si>
  <si>
    <t>Nisha</t>
  </si>
  <si>
    <t>DMAX</t>
  </si>
  <si>
    <t>Nikki</t>
  </si>
  <si>
    <t>DCOUNT</t>
  </si>
  <si>
    <t>Nikita</t>
  </si>
  <si>
    <t>DAVG</t>
  </si>
  <si>
    <t>Namra</t>
  </si>
  <si>
    <t>Nidhi</t>
  </si>
  <si>
    <t>#</t>
  </si>
  <si>
    <t>Sum of salary in IT department</t>
  </si>
  <si>
    <t>Count number of employees in IT</t>
  </si>
  <si>
    <t>Minimum salary from IT department</t>
  </si>
  <si>
    <t>Maximum salary from IT department</t>
  </si>
  <si>
    <t>Average salary in IT department</t>
  </si>
  <si>
    <t>Experience</t>
  </si>
  <si>
    <t>Nitya</t>
  </si>
  <si>
    <t>Total salary from IT employees who have more than 4 years experience</t>
  </si>
  <si>
    <t>Count IT employees with more than 4 years experience</t>
  </si>
  <si>
    <t>Minimum salary among IT employees with &gt; 4 years experience</t>
  </si>
  <si>
    <t>Maximum salary among IT employees with &gt; 4 years experience</t>
  </si>
  <si>
    <t>Criteria</t>
  </si>
  <si>
    <t>&gt;4</t>
  </si>
  <si>
    <t>Age</t>
  </si>
  <si>
    <t>Apeksha</t>
  </si>
  <si>
    <t>Amol</t>
  </si>
  <si>
    <t>Ashish</t>
  </si>
  <si>
    <t>Akshata</t>
  </si>
  <si>
    <t>What is the minimum salary of a female employee in the HR department?</t>
  </si>
  <si>
    <t>What is the maximum salary of a female employee in the HR department?</t>
  </si>
  <si>
    <t>What is the total salary paid to female employees in the HR department?</t>
  </si>
  <si>
    <t>How many male employees are in the IT department?</t>
  </si>
  <si>
    <t>What is the average salary of male employees in the IT department?</t>
  </si>
  <si>
    <t>What is the minimum age of female employees in the IT department?</t>
  </si>
  <si>
    <t>What is the minimum age of male employees in the HR department?</t>
  </si>
  <si>
    <t>What is the maximum age of female employees in the IT department?</t>
  </si>
  <si>
    <t>What is the maximum age of male employees in the HR department?</t>
  </si>
  <si>
    <t>What is the total age of female employees in the HR department?</t>
  </si>
  <si>
    <t>What is the total age of male employees in the IT department?</t>
  </si>
  <si>
    <t>How many female employees in the HR department have an age listed?</t>
  </si>
  <si>
    <t>What is the average age of females in the HR department?</t>
  </si>
  <si>
    <t>Funtion</t>
  </si>
  <si>
    <t>Arushi</t>
  </si>
  <si>
    <t>Amrut</t>
  </si>
  <si>
    <t>English</t>
  </si>
  <si>
    <t>Math</t>
  </si>
  <si>
    <t>Science</t>
  </si>
  <si>
    <t>Total</t>
  </si>
  <si>
    <t>Avg</t>
  </si>
  <si>
    <t>AND</t>
  </si>
  <si>
    <t>OR</t>
  </si>
  <si>
    <t>NOT</t>
  </si>
  <si>
    <t>Is Alice's English &gt;70 AND Math &gt;80?</t>
  </si>
  <si>
    <t>Is David's Avg &lt;60 AND Grade is "B"?</t>
  </si>
  <si>
    <t>Is Charlie's Science &gt;90 AND Grade "C"?</t>
  </si>
  <si>
    <t>Is Bob's Total 200 AND Grade is "A"?</t>
  </si>
  <si>
    <t>Is Alice's English &lt;60 OR Grade "B"?</t>
  </si>
  <si>
    <t>Is Bob's Math &gt;75 OR Avg &gt;70?</t>
  </si>
  <si>
    <t>Is Charlie’s Grade "B" OR Science &gt;90?</t>
  </si>
  <si>
    <t>Is David’s Avg &gt;80 OR Total &lt;200?</t>
  </si>
  <si>
    <t>Is Alice's Grade NOT "B"?</t>
  </si>
  <si>
    <t>Is Charlie’s Avg NOT less than 90?</t>
  </si>
  <si>
    <t>Is Bob's Science NOT greater than 65?</t>
  </si>
  <si>
    <t>Is David’s Total NOT greater than 180?</t>
  </si>
  <si>
    <t>If Alice’s average is 85 or more, does she pass?</t>
  </si>
  <si>
    <t>If Bob’s science score is less than 65, does he fail?</t>
  </si>
  <si>
    <t>If David’s total marks are more than 180, does he pass?</t>
  </si>
  <si>
    <t>If Eva’s math score is below 85, does she fail?</t>
  </si>
  <si>
    <t>If Charlie’s English &gt; 85 and Math &gt; 85, does he pass?</t>
  </si>
  <si>
    <t>If Bob’s English &gt; 70 and Science &gt; 60, does he pass?</t>
  </si>
  <si>
    <t>If Eva’s average &gt; 85 or Science &gt; 90, does she pass?</t>
  </si>
  <si>
    <t>If David’s English &lt; 50 or Math &lt; 55, does he fail?</t>
  </si>
  <si>
    <t>If Charlie’s grade is not B, does he pass?</t>
  </si>
  <si>
    <t>If Alice’s English score is not more than 80, does she fail?</t>
  </si>
  <si>
    <t>Criteria Type</t>
  </si>
  <si>
    <t>Condition</t>
  </si>
  <si>
    <t>By Average</t>
  </si>
  <si>
    <t>Average ≥ 70</t>
  </si>
  <si>
    <t>Pass</t>
  </si>
  <si>
    <t>Average &lt; 70</t>
  </si>
  <si>
    <t>Fail</t>
  </si>
  <si>
    <t>By Subject Marks</t>
  </si>
  <si>
    <t>All subjects ≥ 60</t>
  </si>
  <si>
    <t>Any subject &lt; 60</t>
  </si>
  <si>
    <t>By Total Marks</t>
  </si>
  <si>
    <t>Total ≥ 210</t>
  </si>
  <si>
    <t>Total &lt; 210</t>
  </si>
  <si>
    <t>IF-STATEMENT</t>
  </si>
  <si>
    <t>IF-AND</t>
  </si>
  <si>
    <t>IF-OR</t>
  </si>
  <si>
    <t>IF-NOT</t>
  </si>
  <si>
    <t>Alice's English = 60</t>
  </si>
  <si>
    <t>Bob's Math &gt; 50</t>
  </si>
  <si>
    <t>Charlie's Science &lt; 70</t>
  </si>
  <si>
    <t>David's Total not 60</t>
  </si>
  <si>
    <t>Eva's Avg &gt;= 60</t>
  </si>
  <si>
    <t>Alice's Science &lt;= 70</t>
  </si>
  <si>
    <t>Normal Conditions</t>
  </si>
  <si>
    <t>Subject</t>
  </si>
  <si>
    <t>1st</t>
  </si>
  <si>
    <t>2nd</t>
  </si>
  <si>
    <t>3rd</t>
  </si>
  <si>
    <t>Average</t>
  </si>
  <si>
    <t>Hindi</t>
  </si>
  <si>
    <t>Physics</t>
  </si>
  <si>
    <t>Chemistry</t>
  </si>
  <si>
    <t>History</t>
  </si>
  <si>
    <t>Geography</t>
  </si>
  <si>
    <t>Biology</t>
  </si>
  <si>
    <t>Botany</t>
  </si>
  <si>
    <t>Q.No</t>
  </si>
  <si>
    <t>How many subjects?</t>
  </si>
  <si>
    <t>How many subjects have the 1st paper greater than 20?</t>
  </si>
  <si>
    <t>Total and grade for Hindi, Math, and English</t>
  </si>
  <si>
    <t>If average &gt; 20, then "A"; if average &gt; 15, then "B"; otherwise "C"</t>
  </si>
  <si>
    <t>[GRADE COLUMN]</t>
  </si>
  <si>
    <t>HLOOKUP</t>
  </si>
  <si>
    <t>[IN TABLE]</t>
  </si>
  <si>
    <t>PMT</t>
  </si>
  <si>
    <t>IPMT</t>
  </si>
  <si>
    <t>PPMT</t>
  </si>
  <si>
    <t>Per Month Installment</t>
  </si>
  <si>
    <t>Interest Per Month Installment</t>
  </si>
  <si>
    <t>Principal Per Month Installment</t>
  </si>
  <si>
    <t>Loan Amount</t>
  </si>
  <si>
    <t>Loan Rate (per year)</t>
  </si>
  <si>
    <t>Loan Period (in years)</t>
  </si>
  <si>
    <t>Student Name</t>
  </si>
  <si>
    <t>Maths</t>
  </si>
  <si>
    <t>TOTAL</t>
  </si>
  <si>
    <t>PERCENTAGE</t>
  </si>
  <si>
    <t>GRADE</t>
  </si>
  <si>
    <t>Alan</t>
  </si>
  <si>
    <t>Eric</t>
  </si>
  <si>
    <t>Gail</t>
  </si>
  <si>
    <t>Harry</t>
  </si>
  <si>
    <t>Ian</t>
  </si>
  <si>
    <t>Janice</t>
  </si>
  <si>
    <t>Question No</t>
  </si>
  <si>
    <t>How many students?</t>
  </si>
  <si>
    <t>How many students have percentage &gt; 50?</t>
  </si>
  <si>
    <t>Bob and Eric total number? (Sum of their TOTAL)</t>
  </si>
  <si>
    <t>If % &gt;70 → "Excellent", % &gt;50 → "Good", otherwise "Bad"</t>
  </si>
  <si>
    <t>How many students are Good and Bad?</t>
  </si>
  <si>
    <t>How many students sat for Physics paper (i.e., physics ≠ 0)?</t>
  </si>
  <si>
    <t>Absent</t>
  </si>
  <si>
    <t>[TABLE]</t>
  </si>
  <si>
    <t>Today()</t>
  </si>
  <si>
    <t>Current date</t>
  </si>
  <si>
    <t>Now()</t>
  </si>
  <si>
    <t>Current date &amp; time</t>
  </si>
  <si>
    <t>Day()</t>
  </si>
  <si>
    <t>Day from a date</t>
  </si>
  <si>
    <t>Month()</t>
  </si>
  <si>
    <t>Month from a date</t>
  </si>
  <si>
    <t>Year()</t>
  </si>
  <si>
    <t>Year from a date</t>
  </si>
  <si>
    <t>Base Date</t>
  </si>
  <si>
    <t>Operation</t>
  </si>
  <si>
    <t>Formula</t>
  </si>
  <si>
    <t>Add 5 days</t>
  </si>
  <si>
    <t>Subtract 5 days</t>
  </si>
  <si>
    <t>Add 3 months</t>
  </si>
  <si>
    <t>Subtract 3 months</t>
  </si>
  <si>
    <t>Add 3 years</t>
  </si>
  <si>
    <t>Subtract 3 years</t>
  </si>
  <si>
    <t>Function Type</t>
  </si>
  <si>
    <t>TEXT() - Day</t>
  </si>
  <si>
    <t>Extract day as text from a date</t>
  </si>
  <si>
    <t>TEXT() - Month (name)</t>
  </si>
  <si>
    <t>Extract full month name</t>
  </si>
  <si>
    <t>TEXT() - Year</t>
  </si>
  <si>
    <t>Extract year as text</t>
  </si>
  <si>
    <t>TEXT() - Full Format</t>
  </si>
  <si>
    <t>Format date as custom text (e.g., 3rd February 2023)</t>
  </si>
  <si>
    <t>EOMONTH() - Current</t>
  </si>
  <si>
    <t>End of current month</t>
  </si>
  <si>
    <t>EOMONTH() + n months</t>
  </si>
  <si>
    <t>End of month after 3 months</t>
  </si>
  <si>
    <t>EOMONTH() - n months</t>
  </si>
  <si>
    <t>End of month 3 months before</t>
  </si>
  <si>
    <t>Add / Subtract Months (Using EDATE)</t>
  </si>
  <si>
    <t>Add / Subtract Days</t>
  </si>
  <si>
    <t>Excel Date Function</t>
  </si>
  <si>
    <t>X</t>
  </si>
  <si>
    <t>Add / Subtract Years</t>
  </si>
  <si>
    <t>Additional Date &amp; Text Functions</t>
  </si>
  <si>
    <t>Date of Birth</t>
  </si>
  <si>
    <t>DAY</t>
  </si>
  <si>
    <t>MONTH</t>
  </si>
  <si>
    <t>YEAR</t>
  </si>
  <si>
    <t>AGE (in years)</t>
  </si>
  <si>
    <t>STATUS (Adult/Child)</t>
  </si>
  <si>
    <t>RAMESH</t>
  </si>
  <si>
    <t>RAKESH</t>
  </si>
  <si>
    <t>RAHUL</t>
  </si>
  <si>
    <t>AJEET</t>
  </si>
  <si>
    <t>ALOK</t>
  </si>
  <si>
    <t>AMRIT</t>
  </si>
  <si>
    <t>SURENDRA</t>
  </si>
  <si>
    <t>SHASHI</t>
  </si>
  <si>
    <t>Student Surendra is how many years old?</t>
  </si>
  <si>
    <t>How many students age greater than 20?</t>
  </si>
  <si>
    <t>If student age &gt; 20 then "ADULT" else "CHILD"</t>
  </si>
  <si>
    <t>How many students age is &gt;= 25 years?</t>
  </si>
  <si>
    <t xml:space="preserve">ID </t>
  </si>
  <si>
    <t>NAME</t>
  </si>
  <si>
    <t>MARKS</t>
  </si>
  <si>
    <t>Albert</t>
  </si>
  <si>
    <t>marks of student with id 103</t>
  </si>
  <si>
    <t>name of student with id 103</t>
  </si>
  <si>
    <t>Arthur</t>
  </si>
  <si>
    <t>marks of Dutch</t>
  </si>
  <si>
    <t>Dutch</t>
  </si>
  <si>
    <t>VLOOKUP</t>
  </si>
  <si>
    <t>ID</t>
  </si>
  <si>
    <t>Product Name</t>
  </si>
  <si>
    <t>Quantity</t>
  </si>
  <si>
    <t>AC price</t>
  </si>
  <si>
    <t>PC</t>
  </si>
  <si>
    <t>LAPTOP quantity</t>
  </si>
  <si>
    <t>which product has quantity of 20</t>
  </si>
  <si>
    <t>LAPTOP</t>
  </si>
  <si>
    <t>which product is priced at 1000</t>
  </si>
  <si>
    <t>FAN</t>
  </si>
  <si>
    <t>PRACTICE</t>
  </si>
  <si>
    <t>PHYSICS</t>
  </si>
  <si>
    <t>CHEMISTRY</t>
  </si>
  <si>
    <t>MATHS</t>
  </si>
  <si>
    <t>BIOLOGY</t>
  </si>
  <si>
    <t>PASSED THE EXAM?</t>
  </si>
  <si>
    <t>NITIN</t>
  </si>
  <si>
    <t>PASS</t>
  </si>
  <si>
    <t>FAIL</t>
  </si>
  <si>
    <t>FEROZ</t>
  </si>
  <si>
    <t>ANITHA</t>
  </si>
  <si>
    <t>MADAN</t>
  </si>
  <si>
    <t>HARRY</t>
  </si>
  <si>
    <t>SUMITH</t>
  </si>
  <si>
    <t>HARSH</t>
  </si>
  <si>
    <t>TRIVEDI</t>
  </si>
  <si>
    <t>ASHISH</t>
  </si>
  <si>
    <t>Units Sold</t>
  </si>
  <si>
    <t>E</t>
  </si>
  <si>
    <t>Table 1</t>
  </si>
  <si>
    <t>Average of "B"</t>
  </si>
  <si>
    <t>Average of "D"</t>
  </si>
  <si>
    <t>Semester</t>
  </si>
  <si>
    <t>Score</t>
  </si>
  <si>
    <t>Second</t>
  </si>
  <si>
    <t>Gary</t>
  </si>
  <si>
    <t>Third</t>
  </si>
  <si>
    <t>Richa</t>
  </si>
  <si>
    <t>Hari</t>
  </si>
  <si>
    <t>Tom</t>
  </si>
  <si>
    <t>Will</t>
  </si>
  <si>
    <t>Average of 2nd Sem.</t>
  </si>
  <si>
    <t>Average of 3rd Sem.</t>
  </si>
  <si>
    <t>Table 2</t>
  </si>
  <si>
    <t>Zone</t>
  </si>
  <si>
    <t>City</t>
  </si>
  <si>
    <t>South</t>
  </si>
  <si>
    <t>Chennai</t>
  </si>
  <si>
    <t>East</t>
  </si>
  <si>
    <t>Patna</t>
  </si>
  <si>
    <t>North</t>
  </si>
  <si>
    <t>Delhi</t>
  </si>
  <si>
    <t>Kanpur</t>
  </si>
  <si>
    <t>West</t>
  </si>
  <si>
    <t>Gandhinagar</t>
  </si>
  <si>
    <t>Hubli</t>
  </si>
  <si>
    <t>Mangalore</t>
  </si>
  <si>
    <t>Chandigarh</t>
  </si>
  <si>
    <t>Pune</t>
  </si>
  <si>
    <t>Hyderabad</t>
  </si>
  <si>
    <t>Meerut</t>
  </si>
  <si>
    <t>Nagpur</t>
  </si>
  <si>
    <t>Table 3</t>
  </si>
  <si>
    <t>Average of West</t>
  </si>
  <si>
    <t>Avg of units below 250</t>
  </si>
  <si>
    <t>Avg of units below 100</t>
  </si>
  <si>
    <t>Emp ID</t>
  </si>
  <si>
    <t>Last Name</t>
  </si>
  <si>
    <t>Full Name</t>
  </si>
  <si>
    <t>D21</t>
  </si>
  <si>
    <t>Vishal</t>
  </si>
  <si>
    <t>Mohan</t>
  </si>
  <si>
    <t>D22</t>
  </si>
  <si>
    <t>Mathew</t>
  </si>
  <si>
    <t>D23</t>
  </si>
  <si>
    <t>Jameenah</t>
  </si>
  <si>
    <t>Powel</t>
  </si>
  <si>
    <t>D24</t>
  </si>
  <si>
    <t>Arundhati</t>
  </si>
  <si>
    <t>Savannah</t>
  </si>
  <si>
    <t>D25</t>
  </si>
  <si>
    <t>Peter</t>
  </si>
  <si>
    <t>Potter</t>
  </si>
  <si>
    <t>D26</t>
  </si>
  <si>
    <t>Roger</t>
  </si>
  <si>
    <t>Williams</t>
  </si>
  <si>
    <t>Find "Full Name" using CONCAT()</t>
  </si>
  <si>
    <t>Riya</t>
  </si>
  <si>
    <t>Maya</t>
  </si>
  <si>
    <t>Chhaya</t>
  </si>
  <si>
    <t>Niya</t>
  </si>
  <si>
    <t>Kiya</t>
  </si>
  <si>
    <t>Siya</t>
  </si>
  <si>
    <t>No.</t>
  </si>
  <si>
    <t>The sales in 2021 for name Niya</t>
  </si>
  <si>
    <t>The sales in 2019 for name Siya</t>
  </si>
  <si>
    <t>Return the name of person who had highest sales in 2021</t>
  </si>
  <si>
    <t>Total sales whose name is Chhaya</t>
  </si>
  <si>
    <t>Return the name of person who had minimum sales in 2021</t>
  </si>
  <si>
    <t>Brand</t>
  </si>
  <si>
    <t>Product</t>
  </si>
  <si>
    <t>Dell</t>
  </si>
  <si>
    <t>Computer</t>
  </si>
  <si>
    <t>Logitech</t>
  </si>
  <si>
    <t>Keyboard</t>
  </si>
  <si>
    <t>Mouse</t>
  </si>
  <si>
    <t>HP</t>
  </si>
  <si>
    <t>Printer</t>
  </si>
  <si>
    <t>Field</t>
  </si>
  <si>
    <t>Questions</t>
  </si>
  <si>
    <t>Emp Name</t>
  </si>
  <si>
    <t>Raju</t>
  </si>
  <si>
    <t>Prd001</t>
  </si>
  <si>
    <t>Ramesh</t>
  </si>
  <si>
    <t>Prd002</t>
  </si>
  <si>
    <t>Ramila</t>
  </si>
  <si>
    <t>Prd003</t>
  </si>
  <si>
    <t>Rajeshwar</t>
  </si>
  <si>
    <t>Prd004</t>
  </si>
  <si>
    <t>Karan</t>
  </si>
  <si>
    <t>Prd005</t>
  </si>
  <si>
    <t>Rohith</t>
  </si>
  <si>
    <t>Prd006</t>
  </si>
  <si>
    <t>Fleming</t>
  </si>
  <si>
    <t>Prd007</t>
  </si>
  <si>
    <t>Navya</t>
  </si>
  <si>
    <t>Prd008</t>
  </si>
  <si>
    <t>Kavya</t>
  </si>
  <si>
    <t>Prd009</t>
  </si>
  <si>
    <t>Santosh</t>
  </si>
  <si>
    <t>Prd010</t>
  </si>
  <si>
    <t>Shankar</t>
  </si>
  <si>
    <t>Prd011</t>
  </si>
  <si>
    <t>Rajesh</t>
  </si>
  <si>
    <t>Prd012</t>
  </si>
  <si>
    <t>Mahesh</t>
  </si>
  <si>
    <t>Prd013</t>
  </si>
  <si>
    <t>Hemaraj</t>
  </si>
  <si>
    <t>Prd014</t>
  </si>
  <si>
    <t>Nagaraj</t>
  </si>
  <si>
    <t>Prd015</t>
  </si>
  <si>
    <t>Johson</t>
  </si>
  <si>
    <t>Prd016</t>
  </si>
  <si>
    <t>Prd017</t>
  </si>
  <si>
    <t>Anderson</t>
  </si>
  <si>
    <t>Prd018</t>
  </si>
  <si>
    <t>Prd019</t>
  </si>
  <si>
    <t>DATA</t>
  </si>
  <si>
    <t>Q1. How many employees are in HR, IT, and Marketing departments?</t>
  </si>
  <si>
    <t>Q2. What is the salary of employee Santosh?</t>
  </si>
  <si>
    <t>Q3. What is the total salary of employees in the IT and Marketing departments?</t>
  </si>
  <si>
    <t>Return the name of person which had highest 2020 sales</t>
  </si>
  <si>
    <t>Region</t>
  </si>
  <si>
    <t>Jan</t>
  </si>
  <si>
    <t>Feb</t>
  </si>
  <si>
    <t>Mar</t>
  </si>
  <si>
    <t>Month</t>
  </si>
  <si>
    <t>Value</t>
  </si>
  <si>
    <t>Data Table</t>
  </si>
  <si>
    <t>Questions (Index Match)</t>
  </si>
  <si>
    <t>FUNCTIONS</t>
  </si>
  <si>
    <t>x`x`</t>
  </si>
  <si>
    <t>exact</t>
  </si>
  <si>
    <t>INDEX MATCH</t>
  </si>
  <si>
    <t>Job Title,Rating,Company Name,Location,Headquarters,Size,Founded,Type of ownership,Industry,Sector,Revenue,Competitors,Min Salary,Max Salary</t>
  </si>
  <si>
    <t>Sr Data Scientist,3.1,Healthfirst,"New York, NY","New York, NY",1001 to 5000 employees,1993.0,Nonprofit Organization,Insurance Carriers,Insurance,,"EmblemHealth, UnitedHealth Group, Aetna",137000.0,171000.0</t>
  </si>
  <si>
    <t>Data Scientist,4.2,ManTech,"Chantilly, VA","Herndon, VA",5001 to 10000 employees,1968.0,Company - Public,Research &amp; Development,Business Services,$1 to $2 billion (USD),,137000.0,171000.0</t>
  </si>
  <si>
    <t>Data Scientist,3.8,Analysis Group,"Boston, MA","Boston, MA",1001 to 5000 employees,1981.0,Private Practice / Firm,Consulting,Business Services,$100 to $500 million (USD),,137000.0,171000.0</t>
  </si>
  <si>
    <t>Data Scientist,3.5,INFICON,"Newton, MA","Bad Ragaz, Switzerland",501 to 1000 employees,2000.0,Company - Public,Electrical &amp; Electronic Manufacturing,Manufacturing,$100 to $500 million (USD),"MKS Instruments, Pfeiffer Vacuum, Agilent Technologies",137000.0,171000.0</t>
  </si>
  <si>
    <t>Data Scientist,2.9,Affinity Solutions,"New York, NY","New York, NY",51 to 200 employees,1998.0,Company - Private,Advertising &amp; Marketing,Business Services,,"Commerce Signals, Cardlytics, Yodlee",137000.0,171000.0</t>
  </si>
  <si>
    <t>Data Scientist,4.2,HG Insights,"Santa Barbara, CA","Santa Barbara, CA",51 to 200 employees,2010.0,Company - Private,Computer Hardware &amp; Software,Information Technology,,,137000.0,171000.0</t>
  </si>
  <si>
    <t>Data Scientist / Machine Learning Expert,3.9,Novartis,"Cambridge, MA","Basel, Switzerland",10000+ employees,1996.0,Company - Public,Biotech &amp; Pharmaceuticals,Biotech &amp; Pharmaceuticals,$10+ billion (USD),,137000.0,171000.0</t>
  </si>
  <si>
    <t>Data Scientist,3.5,iRobot,"Bedford, MA","Bedford, MA",1001 to 5000 employees,1990.0,Company - Public,Consumer Electronics &amp; Appliances Stores,Retail,$1 to $2 billion (USD),,137000.0,171000.0</t>
  </si>
  <si>
    <t>Staff Data Scientist - Analytics,4.4,Intuit - Data,"San Diego, CA","Mountain View, CA",5001 to 10000 employees,1983.0,Company - Public,Computer Hardware &amp; Software,Information Technology,$2 to $5 billion (USD),"Square, PayPal, H&amp;R Block",137000.0,171000.0</t>
  </si>
  <si>
    <t>Data Scientist,3.6,XSELL Technologies,"Chicago, IL","Chicago, IL",51 to 200 employees,2014.0,Company - Private,Enterprise Software &amp; Network Solutions,Information Technology,,,137000.0,171000.0</t>
  </si>
  <si>
    <t>Data Scientist,4.5,Novetta,"Herndon, VA","Mc Lean, VA",501 to 1000 employees,2012.0,Company - Private,Enterprise Software &amp; Network Solutions,Information Technology,$100 to $500 million (USD),"Leidos, CACI International, Booz Allen Hamilton",137000.0,171000.0</t>
  </si>
  <si>
    <t>Data Scientist,4.7,1904labs,"Saint Louis, MO","Saint Louis, MO",51 to 200 employees,2016.0,Company - Private,IT Services,Information Technology,,"Slalom, Daugherty Business Solutions",137000.0,171000.0</t>
  </si>
  <si>
    <t>Data Scientist - Statistics, Early Career,3.7,PNNL,"Richland, WA","Richland, WA",1001 to 5000 employees,1965.0,Government,Energy,"Oil, Gas, Energy &amp; Utilities",$500 million to $1 billion (USD),"Oak Ridge National Laboratory, National Renewable Energy Lab, Los Alamos National Laboratory",137000.0,171000.0</t>
  </si>
  <si>
    <t>Data Modeler,3.1,Old World Industries,"Northbrook, IL","Northbrook, IL",201 to 500 employees,1973.0,Company - Private,Chemical Manufacturing,Manufacturing,$1 to $2 billion (USD),,137000.0,171000.0</t>
  </si>
  <si>
    <t>Data Scientist,3.4,Mathematica Policy Research,"Washington, DC","Princeton, NJ",1001 to 5000 employees,1986.0,Company - Private,Consulting,Business Services,$100 to $500 million (USD),,137000.0,171000.0</t>
  </si>
  <si>
    <t>Experienced Data Scientist,4.4,Guzman &amp; Griffin Technologies (GGTI),"Washington, DC","Mays Landing, NJ",1 to 50 employees,1997.0,Company - Private,Federal Agencies,Government,,,137000.0,171000.0</t>
  </si>
  <si>
    <t>Data Scientist - Contract,4.1,Upside Business Travel,Remote,"Washington, DC",51 to 200 employees,2015.0,Company - Private,Internet,Information Technology,,,137000.0,171000.0</t>
  </si>
  <si>
    <t>Data Scientist,3.5,Buckman,"Memphis, TN","Memphis, TN",1001 to 5000 employees,1945.0,Company - Private,Chemical Manufacturing,Manufacturing,$500 million to $1 billion (USD),,137000.0,171000.0</t>
  </si>
  <si>
    <t>Data Analyst II,4.2,"Insight Enterprises, Inc.","Plano, TX","Tempe, AZ",5001 to 10000 employees,1988.0,Company - Public,Enterprise Software &amp; Network Solutions,Information Technology,$5 to $10 billion (USD),"CDW, PCM, SHI International",137000.0,171000.0</t>
  </si>
  <si>
    <t>Medical Lab Scientist,3.5,Tower Health,"West Grove, PA","Reading, PA",5001 to 10000 employees,2017.0,Nonprofit Organization,Health Care Services &amp; Hospitals,Health Care,,,137000.0,171000.0</t>
  </si>
  <si>
    <t>Data Scientist,3.2,Triplebyte,"New York, NY","San Francisco, CA",51 to 200 employees,2015.0,Company - Private,Computer Hardware &amp; Software,Information Technology,,,137000.0,171000.0</t>
  </si>
  <si>
    <t>Data Scientist/Machine Learning,4.3,PulsePoint,"New York, NY","New York, NY",51 to 200 employees,2011.0,Company - Private,Internet,Information Technology,$100 to $500 million (USD),"Crossix Solutions Inc., AppNexus, The Trade Desk",137000.0,171000.0</t>
  </si>
  <si>
    <t>Human Factors Scientist,3.5,Exponent,"Phoenix, AZ","Menlo Park, CA",1001 to 5000 employees,1967.0,Company - Public,Consulting,Business Services,$100 to $500 million (USD),,137000.0,171000.0</t>
  </si>
  <si>
    <t>Business Intelligence Analyst I- Data Insights,3.5,Guardian Life,"Appleton, WI","New York, NY",5001 to 10000 employees,1860.0,Company - Private,Insurance Carriers,Insurance,$5 to $10 billion (USD),Northwestern Mutual,137000.0,171000.0</t>
  </si>
  <si>
    <t>Data Scientist,3.4,Spectrum Communications and Consulting,"Chicago, IL","Chicago, IL",51 to 200 employees,1992.0,Company - Private,Advertising &amp; Marketing,Business Services,$10 to $25 million (USD),,137000.0,171000.0</t>
  </si>
  <si>
    <t>Data Scientist,4.7,Oversight Systems,"Atlanta, GA","Atlanta, GA",51 to 200 employees,2003.0,Company - Private,Computer Hardware &amp; Software,Information Technology,$25 to $50 million (USD),,137000.0,171000.0</t>
  </si>
  <si>
    <t>Data Scientist - Risk,4.2,LSQ,"Orlando, FL","Orlando, FL",51 to 200 employees,1996.0,Company - Private,Investment Banking &amp; Asset Management,Finance,$100 to $500 million (USD),,137000.0,171000.0</t>
  </si>
  <si>
    <t>Data Scientist-Human Resources,3.8,MIT Lincoln Laboratory,"Lexington, MA","Lexington, MA",1001 to 5000 employees,1951.0,Nonprofit Organization,Aerospace &amp; Defense,Aerospace &amp; Defense,,,137000.0,171000.0</t>
  </si>
  <si>
    <t>Data Scientist,4.5,Kingfisher Systems,"McLean, VA","Falls Church, VA",51 to 200 employees,2005.0,Company - Private,Federal Agencies,Government,$25 to $50 million (USD),,137000.0,171000.0</t>
  </si>
  <si>
    <t>Data Scientist,2.8,Formation,"San Francisco, CA","San Francisco, CA",51 to 200 employees,2015.0,Company - Private,Enterprise Software &amp; Network Solutions,Information Technology,,,137000.0,171000.0</t>
  </si>
  <si>
    <t>Data Scientist,3.8,Analysis Group,"Boston, MA","Boston, MA",1001 to 5000 employees,1981.0,Private Practice / Firm,Consulting,Business Services,$100 to $500 million (USD),,75000.0,131000.0</t>
  </si>
  <si>
    <t>Data Scientist / Machine Learning Expert,3.9,Novartis,"Cambridge, MA","Basel, Switzerland",10000+ employees,1996.0,Company - Public,Biotech &amp; Pharmaceuticals,Biotech &amp; Pharmaceuticals,$10+ billion (USD),,75000.0,131000.0</t>
  </si>
  <si>
    <t>Data Scientist,5.0,Cohere Health,"Boston, MA","Boston, MA",1 to 50 employees,2019.0,Company - Private,IT Services,Information Technology,,,75000.0,131000.0</t>
  </si>
  <si>
    <t>Senior Research Statistician- Data Scientist,4.8,Acuity Insurance,"Sheboygan, WI","Sheboygan, WI",1001 to 5000 employees,1925.0,Company - Private,Insurance Carriers,Insurance,$1 to $2 billion (USD),,75000.0,131000.0</t>
  </si>
  <si>
    <t>Data Engineer,3.6,Chef,United States,"Seattle, WA",201 to 500 employees,2008.0,Company - Private,Enterprise Software &amp; Network Solutions,Information Technology,$50 to $100 million (USD),"Puppet, Ansible, SaltStack",75000.0,131000.0</t>
  </si>
  <si>
    <t>Associate Data Scientist,3.3,Puget Sound Energy,"Bothell, WA","Bellevue, WA",1001 to 5000 employees,1999.0,Company - Private,Utilities,"Oil, Gas, Energy &amp; Utilities",$2 to $5 billion (USD),,75000.0,131000.0</t>
  </si>
  <si>
    <t>Business Intelligence Analyst,2.7,Sandhills Global,"Lincoln, NE","Lincoln, NE",1001 to 5000 employees,1978.0,Company - Private,Enterprise Software &amp; Network Solutions,Information Technology,$50 to $100 million (USD),,75000.0,131000.0</t>
  </si>
  <si>
    <t>Data Scientist,2.7,A Place for Mom,"Overland Park, KS","New York, NY",501 to 1000 employees,2000.0,Company - Private,Health Care Services &amp; Hospitals,Health Care,,"Enlivant, Sunrise Senior Living, Brookdale Senior Living",75000.0,131000.0</t>
  </si>
  <si>
    <t>Data Scientist,2.2,Great-Circle Technologies,"Chantilly, VA","Chantilly, VA",1 to 50 employees,2000.0,Company - Private,Enterprise Software &amp; Network Solutions,Information Technology,$1 to $5 million (USD),,75000.0,131000.0</t>
  </si>
  <si>
    <t>Senior Analyst/Data Scientist,3.4,Edmunds.com,"Santa Monica, CA","Santa Monica, CA",501 to 1000 employees,1966.0,Company - Private,Internet,Information Technology,$100 to $500 million (USD),"TrueCar, Cars.com, Kelley Blue Book",75000.0,131000.0</t>
  </si>
  <si>
    <t>Data Analyst,3.1,"Cambridge Associates, LLC","Boston, MA","Boston, MA",501 to 1000 employees,1973.0,Company - Private,Investment Banking &amp; Asset Management,Finance,$100 to $500 million (USD),,75000.0,131000.0</t>
  </si>
  <si>
    <t>Machine Learning Engineer,3.4,Liberty Mutual Insurance,"Portsmouth, NH","Boston, MA",10000+ employees,1912.0,Company - Private,Insurance Carriers,Insurance,$10+ billion (USD),"Travelers, Allstate, State Farm",75000.0,131000.0</t>
  </si>
  <si>
    <t>Data Analyst I,2.6,Cenlar,"Ewing, NJ","Ewing, NJ",1001 to 5000 employees,1958.0,Company - Private,-1,-1,$100 to $500 million (USD),,75000.0,131000.0</t>
  </si>
  <si>
    <t>Scientist - Molecular Biology,5.0,Arsenal Biosciences,"South San Francisco, CA","South San Francisco, CA",51 to 200 employees,2019.0,Company - Private,Biotech &amp; Pharmaceuticals,Biotech &amp; Pharmaceuticals,,,75000.0,131000.0</t>
  </si>
  <si>
    <t>Data Scientist,4.2,Eversight,"Palo Alto, CA","Palo Alto, CA",51 to 200 employees,2013.0,Company - Private,Enterprise Software &amp; Network Solutions,Information Technology,$10 to $25 million (USD),,75000.0,131000.0</t>
  </si>
  <si>
    <t>Computational Scientist, Machine Learning,4.1,Pfizer,"Cambridge, MA","New York, NY",10000+ employees,1849.0,Company - Public,Biotech &amp; Pharmaceuticals,Biotech &amp; Pharmaceuticals,$10+ billion (USD),,75000.0,131000.0</t>
  </si>
  <si>
    <t>Senior Data Scientist,4.8,Klaviyo,"Boston, MA","Boston, MA",201 to 500 employees,2012.0,Company - Private,Computer Hardware &amp; Software,Information Technology,,,75000.0,131000.0</t>
  </si>
  <si>
    <t>Data Scientist,3.3,Intellectual Ventures,"Bellevue, WA","Bellevue, WA",501 to 1000 employees,2000.0,Company - Private,Investment Banking &amp; Asset Management,Finance,,,75000.0,131000.0</t>
  </si>
  <si>
    <t>Data Scientist,3.7,GovTech,"San Francisco, CA","Singapore, Singapore",1001 to 5000 employees,2016.0,Government,Federal Agencies,Government,,,75000.0,131000.0</t>
  </si>
  <si>
    <t>Data Scientist,4.3,Quick Base,"Cambridge, MA","Cambridge, MA",201 to 500 employees,1999.0,Company - Private,Enterprise Software &amp; Network Solutions,Information Technology,,,75000.0,131000.0</t>
  </si>
  <si>
    <t>Data Analyst,4.8,Giving Assistant,"San Francisco, CA","San Francisco, CA",1 to 50 employees,2014.0,Company - Private,Advertising &amp; Marketing,Business Services,$10 to $25 million (USD),,75000.0,131000.0</t>
  </si>
  <si>
    <t>Data Scientist,3.7,Takeda,"Cambridge, MA","OSAKA, Japan",10000+ employees,1781.0,Company - Public,Biotech &amp; Pharmaceuticals,Biotech &amp; Pharmaceuticals,$10+ billion (USD),"Novartis, Baxter, Pfizer",75000.0,131000.0</t>
  </si>
  <si>
    <t>Data Scientist,4.0,Netskope,"San Francisco, CA","Santa Clara, CA",501 to 1000 employees,2012.0,Company - Private,Enterprise Software &amp; Network Solutions,Information Technology,,"Skyhigh Networks, Zscaler, NortonLifeLock",75000.0,131000.0</t>
  </si>
  <si>
    <t>Jr. Data Engineer,4.8,IT Concepts,Remote,"Vienna, VA",51 to 200 employees,2003.0,Company - Private,IT Services,Information Technology,$10 to $25 million (USD),,75000.0,131000.0</t>
  </si>
  <si>
    <t>E-Commerce Data Analyst,3.5,iSeatz,"New Orleans, LA","New Orleans, LA",51 to 200 employees,1999.0,Company - Private,Enterprise Software &amp; Network Solutions,Information Technology,,,75000.0,131000.0</t>
  </si>
  <si>
    <t>Data Analytics Engineer,3.7,Summa Health System,"Akron, OH","Akron, OH",5001 to 10000 employees,1926.0,Nonprofit Organization,Health Care Services &amp; Hospitals,Health Care,$100 to $500 million (USD),,75000.0,131000.0</t>
  </si>
  <si>
    <t>Senior Data Scientist,3.5,Benson Hill,"Saint Louis, MO","Saint Louis, MO",201 to 500 employees,2012.0,Company - Private,Biotech &amp; Pharmaceuticals,Biotech &amp; Pharmaceuticals,$1 to $5 million (USD),,75000.0,131000.0</t>
  </si>
  <si>
    <t>Product Data Scientist - Ads Data Science,4.1,Twitter,"San Francisco, CA","San Francisco, CA",1001 to 5000 employees,2006.0,Company - Public,Internet,Information Technology,$2 to $5 billion (USD),"Facebook, Google, Pinterest",75000.0,131000.0</t>
  </si>
  <si>
    <t>Data Scientist,3.2,Postmates - Corporate HQ,"San Francisco, CA","San Francisco, CA",1001 to 5000 employees,2011.0,Company - Private,Express Delivery Services,Transportation &amp; Logistics,,"DoorDash, Uber, Grubhub",75000.0,131000.0</t>
  </si>
  <si>
    <t>Data Scientist - Intermediate,4.5,Envision LLC,"Saint Louis, MO","Saint Louis, MO",201 to 500 employees,1994.0,Company - Private,Staffing &amp; Outsourcing,Business Services,$25 to $50 million (USD),,75000.0,131000.0</t>
  </si>
  <si>
    <t>Data Analyst,3.8,Swiss Re,"Fort Wayne, IN","Zurich, Switzerland",10000+ employees,1863.0,Company - Public,Insurance Agencies &amp; Brokerages,Insurance,$10+ billion (USD),"Munich Re, Hannover RE, SCOR",75000.0,131000.0</t>
  </si>
  <si>
    <t>Machine Learning Engineer,4.5,Systems &amp; Technology Research,"Woburn, MA","Woburn, MA",201 to 500 employees,2010.0,Company - Private,Aerospace &amp; Defense,Aerospace &amp; Defense,$100 to $500 million (USD),,75000.0,131000.0</t>
  </si>
  <si>
    <t>Data Scientist,3.5,iRobot,"Bedford, MA","Bedford, MA",1001 to 5000 employees,1990.0,Company - Public,Consumer Electronics &amp; Appliances Stores,Retail,$1 to $2 billion (USD),,79000.0,131000.0</t>
  </si>
  <si>
    <t>Data Scientist,4.2,HG Insights,"Santa Barbara, CA","Santa Barbara, CA",51 to 200 employees,2010.0,Company - Private,Computer Hardware &amp; Software,Information Technology,,,79000.0,131000.0</t>
  </si>
  <si>
    <t>Global Data Analyst,3.8,Dermalogica,"Carson, CA","Carson, CA",201 to 500 employees,1986.0,Subsidiary or Business Segment,Consumer Products Manufacturing,Manufacturing,$100 to $500 million (USD),"IMAGE Skincare, Aveda, Kiehl's",79000.0,131000.0</t>
  </si>
  <si>
    <t>Data Engineer,3.7,Bayview Asset Management,"Coral Gables, FL","Coral Gables, FL",1001 to 5000 employees,1995.0,Company - Private,Investment Banking &amp; Asset Management,Finance,$100 to $500 million (USD),,79000.0,131000.0</t>
  </si>
  <si>
    <t>Data Scientist,3.7,Via Transportation,"New York, NY","New York, NY",501 to 1000 employees,2012.0,Company - Private,Internet,Information Technology,,,79000.0,131000.0</t>
  </si>
  <si>
    <t>Data Scientist,4.0,Grid Dynamics,"Santa Clara, CA","San Ramon, CA",1001 to 5000 employees,2006.0,Company - Private,Enterprise Software &amp; Network Solutions,Information Technology,$50 to $100 million (USD),"Luxoft, EPAM, Capgemini Invent",79000.0,131000.0</t>
  </si>
  <si>
    <t>Data &amp; Machine Learning Scientist,3.3,Tempus Labs,"Chicago, IL","Chicago, IL",501 to 1000 employees,2015.0,Company - Private,Biotech &amp; Pharmaceuticals,Biotech &amp; Pharmaceuticals,,,79000.0,131000.0</t>
  </si>
  <si>
    <t>Data Scientist - Machine Learning,2.5,CareDx,"Brisbane, CA","Brisbane, CA",1 to 50 employees,,Company - Private,Biotech &amp; Pharmaceuticals,Biotech &amp; Pharmaceuticals,,Sequenom,79000.0,131000.0</t>
  </si>
  <si>
    <t>Data Engineer (Remote),4.2,IZEA,"Winter Park, FL","Winter Park, FL",51 to 200 employees,2006.0,Company - Public,Advertising &amp; Marketing,Business Services,$25 to $50 million (USD),"Linqia, Collective Bias",79000.0,131000.0</t>
  </si>
  <si>
    <t>Data Scientist, Applied Machine Learning - Bay Area,3.3,Tempus Labs,"Redwood City, CA","Chicago, IL",501 to 1000 employees,2015.0,Company - Private,Biotech &amp; Pharmaceuticals,Biotech &amp; Pharmaceuticals,,,79000.0,131000.0</t>
  </si>
  <si>
    <t>Principal Data Scientist,4.0,Autodesk,"San Francisco, CA","San Rafael, CA",5001 to 10000 employees,1982.0,Company - Public,Computer Hardware &amp; Software,Information Technology,$2 to $5 billion (USD),,79000.0,131000.0</t>
  </si>
  <si>
    <t>Business Data Analyst,3.7,Caterpillar,"Peoria, IL","Deerfield, IL",10000+ employees,1925.0,Company - Public,Industrial Manufacturing,Manufacturing,$10+ billion (USD),"John Deere, Komatsu, CNH Industrial",79000.0,131000.0</t>
  </si>
  <si>
    <t>Purification Scientist,4.9,New England Biolabs,"Ipswich, MA","Ipswich, MA",201 to 500 employees,1974.0,Company - Private,Biotech &amp; Pharmaceuticals,Biotech &amp; Pharmaceuticals,,"Thermo Fisher Scientific, Enzymatics, Illumina",79000.0,131000.0</t>
  </si>
  <si>
    <t>Data Analyst,3.4,Allied Solutions,"Carmel, IN","Carmel, IN",1001 to 5000 employees,2001.0,Subsidiary or Business Segment,Insurance Agencies &amp; Brokerages,Insurance,$100 to $500 million (USD),"CUNA Mutual, SWBC, Overby-Seawell",79000.0,131000.0</t>
  </si>
  <si>
    <t>Data Engineer, Enterprise Analytics,3.1,Healthfirst,"New York, NY","New York, NY",1001 to 5000 employees,1993.0,Nonprofit Organization,Insurance Carriers,Insurance,,"EmblemHealth, UnitedHealth Group, Aetna",79000.0,131000.0</t>
  </si>
  <si>
    <t>Data Scientist,3.5,The Knot Worldwide,"Washington, DC","Chevy Chase, MD",1001 to 5000 employees,2019.0,Company - Private,Internet,Information Technology,,Zola Registry,79000.0,131000.0</t>
  </si>
  <si>
    <t>Data Scientist,2.9,IFG Companies,"New York, NY","Hartford, CT",201 to 500 employees,1985.0,Company - Private,Insurance Carriers,Insurance,,"Colony Specialty, Markel, RLI",79000.0,131000.0</t>
  </si>
  <si>
    <t>Data Scientist 3 (718),3.3,Amyris,"Emeryville, CA","Emeryville, CA",201 to 500 employees,2003.0,Company - Public,Biotech &amp; Pharmaceuticals,Biotech &amp; Pharmaceuticals,$100 to $500 million (USD),,79000.0,131000.0</t>
  </si>
  <si>
    <t>Real World Science, Data Scientist,4.0,AstraZeneca,"Gaithersburg, MD","Cambridge, United Kingdom",10000+ employees,1913.0,Company - Public,Biotech &amp; Pharmaceuticals,Biotech &amp; Pharmaceuticals,$10+ billion (USD),"Roche, GlaxoSmithKline, Novartis",79000.0,131000.0</t>
  </si>
  <si>
    <t>Data Scientist,3.6,Powertek,"Washington, DC","Rockville, MD",51 to 200 employees,2001.0,Company - Private,IT Services,Information Technology,$25 to $50 million (USD),,79000.0,131000.0</t>
  </si>
  <si>
    <t>Data Engineer,4.7,Object Partners,"Saint Louis, MO","Minneapolis, MN",51 to 200 employees,1996.0,Company - Private,Consulting,Business Services,$25 to $50 million (USD),"Solution Design Group, Intertech (Minnesota)",79000.0,131000.0</t>
  </si>
  <si>
    <t>Data Scientist - Image and Video Analytics,4.9,The Mom Project,"Longmont, CO","Chicago, IL",1 to 50 employees,2016.0,Company - Private,Staffing &amp; Outsourcing,Business Services,,,79000.0,131000.0</t>
  </si>
  <si>
    <t>Data Scientist,4.3,Lightspeed Systems,"Austin, TX","Austin, TX",51 to 200 employees,1999.0,Company - Private,Computer Hardware &amp; Software,Information Technology,$25 to $50 million (USD),,79000.0,131000.0</t>
  </si>
  <si>
    <t>Data Science Manager, Payment Acceptance - USA,4.0,Stripe,"San Francisco, CA","San Francisco, CA",1001 to 5000 employees,2010.0,Company - Private,Internet,Information Technology,,"Braintree, Authorize.Net, PayPal",79000.0,131000.0</t>
  </si>
  <si>
    <t>Data Analyst,2.6,Comprehensive Healthcare,"Yakima, WA","Yakima, WA",501 to 1000 employees,1971.0,Nonprofit Organization,Health Care Services &amp; Hospitals,Health Care,,,79000.0,131000.0</t>
  </si>
  <si>
    <t>Data Scientist / Applied Mathematician,4.5,"Fullpower Technologies, Inc.","Santa Cruz, CA","Santa Cruz, CA",51 to 200 employees,2003.0,Company - Private,Computer Hardware &amp; Software,Information Technology,$10 to $25 million (USD),,79000.0,131000.0</t>
  </si>
  <si>
    <t>Machine Learning Engineer,4.8,Klaviyo,"Boston, MA","Boston, MA",201 to 500 employees,2012.0,Company - Private,Computer Hardware &amp; Software,Information Technology,,,79000.0,131000.0</t>
  </si>
  <si>
    <t>Data Scientist,3.9,Mars,United States,"Mc Lean, VA",10000+ employees,1911.0,Company - Private,Food &amp; Beverage Manufacturing,Manufacturing,$10+ billion (USD),,79000.0,131000.0</t>
  </si>
  <si>
    <t>Patient Safety- Associate Data Scientist,4.0,AstraZeneca,"Gaithersburg, MD","Cambridge, United Kingdom",10000+ employees,1913.0,Company - Public,Biotech &amp; Pharmaceuticals,Biotech &amp; Pharmaceuticals,$10+ billion (USD),"Roche, GlaxoSmithKline, Novartis",79000.0,131000.0</t>
  </si>
  <si>
    <t>Machine Learning Engineer,4.4,NuWave Solutions,"Springfield, VA","Mc Lean, VA",51 to 200 employees,1999.0,Company - Private,IT Services,Information Technology,$5 to $10 million (USD),,79000.0,131000.0</t>
  </si>
  <si>
    <t>Senior Data Scientist,4.2,ManTech,"Alexandria, VA","Herndon, VA",5001 to 10000 employees,1968.0,Company - Public,Research &amp; Development,Business Services,$1 to $2 billion (USD),,79000.0,131000.0</t>
  </si>
  <si>
    <t>(Sr.) Data Scientist -,3.6,Merrick Bank,Utah,"South Jordan, UT",201 to 500 employees,1997.0,Company - Private,Banks &amp; Credit Unions,Finance,,,79000.0,131000.0</t>
  </si>
  <si>
    <t>Data Scientist,3.4,Mathematica Policy Research,"Washington, DC","Princeton, NJ",1001 to 5000 employees,1986.0,Company - Private,Consulting,Business Services,$100 to $500 million (USD),,99000.0,132000.0</t>
  </si>
  <si>
    <t>Staff Data Scientist - Analytics,4.4,Intuit - Data,"San Diego, CA","Mountain View, CA",5001 to 10000 employees,1983.0,Company - Public,Computer Hardware &amp; Software,Information Technology,$2 to $5 billion (USD),"Square, PayPal, H&amp;R Block",99000.0,132000.0</t>
  </si>
  <si>
    <t>Data Analytics Engineer,3.5,QOMPLX,"Reston, VA","Reston, VA",51 to 200 employees,2015.0,Company - Private,Enterprise Software &amp; Network Solutions,Information Technology,$10 to $25 million (USD),,99000.0,132000.0</t>
  </si>
  <si>
    <t>Data Scientist, Kinship - NYC/Portland,3.9,Mars,"New York, NY","Mc Lean, VA",10000+ employees,1911.0,Company - Private,Food &amp; Beverage Manufacturing,Manufacturing,$10+ billion (USD),,99000.0,132000.0</t>
  </si>
  <si>
    <t>Senior Data Scientist,3.8,GutCheck,"Denver, CO","Denver, CO",51 to 200 employees,2009.0,Company - Private,Advertising &amp; Marketing,Business Services,$10 to $25 million (USD),"Nielsen, Zappi, SurveyMonkey",99000.0,132000.0</t>
  </si>
  <si>
    <t>Applied Technology Researcher / Data Scientist,3.5,Inter-American Development Bank,"Washington, DC","Washington, DC",1001 to 5000 employees,1959.0,Other Organization,Banks &amp; Credit Unions,Finance,$10+ billion (USD),"The World Bank, IMF",99000.0,132000.0</t>
  </si>
  <si>
    <t>Data Scientist,4.9,Avlino,New Jersey,"Holmdel, NJ",1 to 50 employees,2013.0,Company - Private,Enterprise Software &amp; Network Solutions,Information Technology,Less than $1 million (USD),,99000.0,132000.0</t>
  </si>
  <si>
    <t>Machine Learning Engineer,4.4,Stratagem Group,"Aurora, CO","Aurora, CO",1 to 50 employees,2007.0,Company - Private,Aerospace &amp; Defense,Aerospace &amp; Defense,,,99000.0,132000.0</t>
  </si>
  <si>
    <t>Health Data Scientist - Biomedical/Biostats,4.1,Evidation,"Santa Barbara, CA","San Mateo, CA",51 to 200 employees,2012.0,Company - Private,Internet,Information Technology,,,99000.0,132000.0</t>
  </si>
  <si>
    <t>Senior Data Scientist,4.0,Autodesk,"San Francisco, CA","San Rafael, CA",5001 to 10000 employees,1982.0,Company - Public,Computer Hardware &amp; Software,Information Technology,$2 to $5 billion (USD),,99000.0,132000.0</t>
  </si>
  <si>
    <t>Staff Data Scientist,4.4,Intuit - Data,"San Diego, CA","Mountain View, CA",5001 to 10000 employees,1983.0,Company - Public,Computer Hardware &amp; Software,Information Technology,$2 to $5 billion (USD),"Square, PayPal, H&amp;R Block",99000.0,132000.0</t>
  </si>
  <si>
    <t>Data Scientist,3.8,Tecolote Research,"Hill AFB, UT","Goleta, CA",501 to 1000 employees,1973.0,Company - Private,Aerospace &amp; Defense,Aerospace &amp; Defense,$50 to $100 million (USD),,99000.0,132000.0</t>
  </si>
  <si>
    <t>Sr Data Engineer (Sr BI Developer),3.2,Tivity Health,"Chandler, AZ","Franklin, TN",501 to 1000 employees,1981.0,Company - Public,Health Care Services &amp; Hospitals,Health Care,,,99000.0,132000.0</t>
  </si>
  <si>
    <t>Data Engineer,2.9,hc1,"Indianapolis, IN","Indianapolis, IN",51 to 200 employees,2011.0,Company - Private,Biotech &amp; Pharmaceuticals,Biotech &amp; Pharmaceuticals,$10 to $25 million (USD),,99000.0,132000.0</t>
  </si>
  <si>
    <t>Lead Data Scientist,4.1,HP Inc.,"San Diego, CA","Palo Alto, CA",10000+ employees,1939.0,Company - Public,Computer Hardware &amp; Software,Information Technology,,,99000.0,132000.0</t>
  </si>
  <si>
    <t>Data Scientist,3.7,SAIC,"Chantilly, VA","Reston, VA",10000+ employees,2013.0,Company - Public,Enterprise Software &amp; Network Solutions,Information Technology,$5 to $10 million (USD),"Booz Allen Hamilton, CACI International",99000.0,132000.0</t>
  </si>
  <si>
    <t>RFP Data Analyst,3.2,AllianceBernstein,"Nashville, TN","New York, NY",1001 to 5000 employees,1967.0,Company - Public,Investment Banking &amp; Asset Management,Finance,$2 to $5 billion (USD),,99000.0,132000.0</t>
  </si>
  <si>
    <t>Data Analyst,4.9,Big Huge Games,"Timonium, MD","Lutherville Timonium, MD",51 to 200 employees,2013.0,Subsidiary or Business Segment,Video Games,Media,,,99000.0,132000.0</t>
  </si>
  <si>
    <t>Data Scientist (TS/SCI),3.5,Maxar Technologies,"Herndon, VA","Westminster, CO",5001 to 10000 employees,,Company - Public,Aerospace &amp; Defense,Aerospace &amp; Defense,$2 to $5 billion (USD),,99000.0,132000.0</t>
  </si>
  <si>
    <t>Data Engineer,5.0,Phantom AI,"Burlingame, CA","Burlingame, CA",1 to 50 employees,2016.0,Company - Private,Computer Hardware &amp; Software,Information Technology,,,99000.0,132000.0</t>
  </si>
  <si>
    <t>Data Scientist,4.0,Noblis,"Reston, VA","Reston, VA",1001 to 5000 employees,1996.0,Nonprofit Organization,Consulting,Business Services,$100 to $500 million (USD),"Booz Allen Hamilton, SAIC, LMI",99000.0,132000.0</t>
  </si>
  <si>
    <t>Data Scientist,3.6,Spring Health,"New York, NY","New York, NY",1 to 50 employees,2016.0,Company - Private,Health Care Services &amp; Hospitals,Health Care,,,99000.0,132000.0</t>
  </si>
  <si>
    <t>Software Engineer - Data Science,4.0,ClearEdge,"Annapolis Junction, MD","Annapolis Junction, MD",51 to 200 employees,2002.0,Company - Private,Computer Hardware &amp; Software,Information Technology,$5 to $10 million (USD),,99000.0,132000.0</t>
  </si>
  <si>
    <t>Data Analyst/Engineer,3.2,AllianceBernstein,"Nashville, TN","New York, NY",1001 to 5000 employees,1967.0,Company - Public,Investment Banking &amp; Asset Management,Finance,$2 to $5 billion (USD),,99000.0,132000.0</t>
  </si>
  <si>
    <t>NGS Scientist,5.0,Arsenal Biosciences,"South San Francisco, CA","South San Francisco, CA",51 to 200 employees,2019.0,Company - Private,Biotech &amp; Pharmaceuticals,Biotech &amp; Pharmaceuticals,,,99000.0,132000.0</t>
  </si>
  <si>
    <t>Data Engineer,4.8,GetWellNetwork,"Bethesda, MD","Bethesda, MD",201 to 500 employees,2000.0,Company - Private,Health Care Services &amp; Hospitals,Health Care,$50 to $100 million (USD),"Epic, CipherHealth",99000.0,132000.0</t>
  </si>
  <si>
    <t>Data Scientist,4.5,TACG Solutions,"Dayton, OH","Beavercreek, OH",51 to 200 employees,2006.0,Company - Private,Consulting,Business Services,,"Copper River Shared Services, Chenega Corporation, Deloitte",99000.0,132000.0</t>
  </si>
  <si>
    <t>Senior Data Engineer,4.7,Scoop,"San Francisco, CA","San Francisco, CA",51 to 200 employees,2015.0,Company - Private,Internet,Information Technology,,,99000.0,132000.0</t>
  </si>
  <si>
    <t>Senior Data Scientist,4.5,Novetta,"Herndon, VA","Mc Lean, VA",501 to 1000 employees,2012.0,Company - Private,Enterprise Software &amp; Network Solutions,Information Technology,$100 to $500 million (USD),"Leidos, CACI International, Booz Allen Hamilton",99000.0,132000.0</t>
  </si>
  <si>
    <t>Data Engineer,4.2,IZEA,"Winter Park, FL","Winter Park, FL",51 to 200 employees,2006.0,Company - Public,Advertising &amp; Marketing,Business Services,$25 to $50 million (USD),"Linqia, Collective Bias",99000.0,132000.0</t>
  </si>
  <si>
    <t>Business Intelligence Analyst,3.4,Montway Inc,"Schaumburg, IL","Schaumburg, IL",51 to 200 employees,2006.0,Company - Private,Shipping,Transportation &amp; Logistics,,,99000.0,132000.0</t>
  </si>
  <si>
    <t>Sr. ML/Data Scientist - AI/NLP/Chatbot,3.8,Juniper Networks,"Cupertino, CA","Sunnyvale, CA",5001 to 10000 employees,1996.0,Company - Public,Telecommunications Services,Telecommunications,$2 to $5 billion (USD),,99000.0,132000.0</t>
  </si>
  <si>
    <t>Data Scientist,4.7,1904labs,"Saint Louis, MO","Saint Louis, MO",51 to 200 employees,2016.0,Company - Private,IT Services,Information Technology,,"Slalom, Daugherty Business Solutions",90000.0,109000.0</t>
  </si>
  <si>
    <t>Data Scientist,3.6,XSELL Technologies,"Chicago, IL","Chicago, IL",51 to 200 employees,2014.0,Company - Private,Enterprise Software &amp; Network Solutions,Information Technology,,,90000.0,109000.0</t>
  </si>
  <si>
    <t>Data Engineer,4.2,IZEA,"Winter Park, FL","Winter Park, FL",51 to 200 employees,2006.0,Company - Public,Advertising &amp; Marketing,Business Services,$25 to $50 million (USD),"Linqia, Collective Bias",90000.0,109000.0</t>
  </si>
  <si>
    <t>Sr. ML/Data Scientist - AI/NLP/Chatbot,3.8,Juniper Networks,"Cupertino, CA","Sunnyvale, CA",5001 to 10000 employees,1996.0,Company - Public,Telecommunications Services,Telecommunications,$2 to $5 billion (USD),,90000.0,109000.0</t>
  </si>
  <si>
    <t>Data Scientist,5.0,Notion Labs,"San Francisco, CA","San Francisco, CA",1 to 50 employees,2016.0,Company - Private,Enterprise Software &amp; Network Solutions,Information Technology,,,90000.0,109000.0</t>
  </si>
  <si>
    <t>Senior Data Engineer,4.9,Lendio,"Lehi, UT","Lehi, UT",201 to 500 employees,2011.0,Company - Private,Lending,Finance,$50 to $100 million (USD),,90000.0,109000.0</t>
  </si>
  <si>
    <t>Data Engineer,4.4,Direct Agents,"Culver City, CA","New York, NY",51 to 200 employees,2003.0,Company - Private,Advertising &amp; Marketing,Business Services,$25 to $50 million (USD),,90000.0,109000.0</t>
  </si>
  <si>
    <t>Data Scientist,3.3,NAVEX Global,"Lake Oswego, OR","Lake Oswego, OR",1001 to 5000 employees,2012.0,Company - Private,Computer Hardware &amp; Software,Information Technology,$100 to $500 million (USD),,90000.0,109000.0</t>
  </si>
  <si>
    <t>Machine Learning Engineer,3.2,Triplebyte,Remote,"San Francisco, CA",51 to 200 employees,2015.0,Company - Private,Computer Hardware &amp; Software,Information Technology,,,90000.0,109000.0</t>
  </si>
  <si>
    <t>Data Scientist,4.2,Upstart,"San Mateo, CA","San Mateo, CA",201 to 500 employees,2012.0,Company - Private,Lending,Finance,,,90000.0,109000.0</t>
  </si>
  <si>
    <t>Data Analyst,4.5,Envision LLC,"San Francisco, CA","Saint Louis, MO",201 to 500 employees,1994.0,Company - Private,Staffing &amp; Outsourcing,Business Services,$25 to $50 million (USD),,90000.0,109000.0</t>
  </si>
  <si>
    <t>Data Engineer,4.8,AppLovin,"Palo Alto, CA","Palo Alto, CA",201 to 500 employees,2012.0,Company - Private,Video Games,Media,,,90000.0,109000.0</t>
  </si>
  <si>
    <t>Data Integration and Modeling Engineer,3.8,ISO New England,"Holyoke, MA","Holyoke, MA",501 to 1000 employees,1997.0,Nonprofit Organization,Utilities,"Oil, Gas, Energy &amp; Utilities",,,90000.0,109000.0</t>
  </si>
  <si>
    <t>Tableau Data Engineer 20-0117,3.7,Relativity,"Chicago, IL","Chicago, IL",1001 to 5000 employees,2001.0,Company - Private,Enterprise Software &amp; Network Solutions,Information Technology,,,90000.0,109000.0</t>
  </si>
  <si>
    <t>Senior Data Scientist,3.3,Tempo Automation,"San Francisco, CA","San Francisco, CA",51 to 200 employees,2013.0,Company - Private,Electrical &amp; Electronic Manufacturing,Manufacturing,$5 to $10 million (USD),,90000.0,109000.0</t>
  </si>
  <si>
    <t>AI Data Scientist,3.3,MITRE,"McLean, VA","Bedford, MA",5001 to 10000 employees,1958.0,Nonprofit Organization,Federal Agencies,Government,$1 to $2 billion (USD),"Battelle, General Atomics, SAIC",90000.0,109000.0</t>
  </si>
  <si>
    <t>Machine Learning Engineer,5.0,"Expedition Technology, Inc.","Herndon, VA","Dulles, VA",1 to 50 employees,2013.0,Company - Private,Aerospace &amp; Defense,Aerospace &amp; Defense,$10 to $25 million (USD),,90000.0,109000.0</t>
  </si>
  <si>
    <t>Research Scientist Patient Preferences (Remote),3.8,Evidera,"Bethesda, MD","Bethesda, MD",501 to 1000 employees,2013.0,Subsidiary or Business Segment,Biotech &amp; Pharmaceuticals,Biotech &amp; Pharmaceuticals,$100 to $500 million (USD),"IQVIA, ICON",90000.0,109000.0</t>
  </si>
  <si>
    <t>Data Scientist,3.4,Plymouth Rock Assurance,"Woodbridge, NJ","Boston, MA",1001 to 5000 employees,1982.0,Company - Private,Insurance Carriers,Insurance,$10 to $25 million (USD),"Arbella Insurance, Safety Insurance",90000.0,109000.0</t>
  </si>
  <si>
    <t>Scientist - Biomarker and Flow Cytometry,2.4,Crown Bioscience,"San Diego, CA","San Diego, CA",501 to 1000 employees,2006.0,Company - Private,Biotech &amp; Pharmaceuticals,Biotech &amp; Pharmaceuticals,$50 to $100 million (USD),,90000.0,109000.0</t>
  </si>
  <si>
    <t>Data Scientist,2.9,GNS Healthcare,"Cambridge, MA","Cambridge, MA",51 to 200 employees,2000.0,Company - Private,Biotech &amp; Pharmaceuticals,Biotech &amp; Pharmaceuticals,$10 to $25 million (USD),,90000.0,109000.0</t>
  </si>
  <si>
    <t>Analytics Manager,4.4,OneMagnify,"Dearborn, MI","Detroit, MI",201 to 500 employees,1967.0,Company - Private,Advertising &amp; Marketing,Business Services,,,90000.0,109000.0</t>
  </si>
  <si>
    <t>Data Scientist,2.9,SPECTRUM,"Maryland Heights, MO","Stamford, CT",10000+ employees,2016.0,Subsidiary or Business Segment,"Cable, Internet &amp; Telephone Providers",Telecommunications,$10+ billion (USD),,90000.0,109000.0</t>
  </si>
  <si>
    <t>Staff Scientist- Upstream PD,2.7,Advanced BioScience Laboratories,"Rockville, MD","Rockville, MD",201 to 500 employees,1961.0,Company - Private,Biotech &amp; Pharmaceuticals,Biotech &amp; Pharmaceuticals,$50 to $100 million (USD),,90000.0,109000.0</t>
  </si>
  <si>
    <t>Data Engineer,4.2,Procore Technologies,"Carpinteria, CA","Carpinteria, CA",1001 to 5000 employees,2002.0,Company - Private,Computer Hardware &amp; Software,Information Technology,,,90000.0,109000.0</t>
  </si>
  <si>
    <t>Sr Scientist - Extractables &amp; Leachables,3.5,Ritedose,"Columbia, SC","Columbia, SC",201 to 500 employees,1995.0,Company - Private,Biotech &amp; Pharmaceuticals,Biotech &amp; Pharmaceuticals,$100 to $500 million (USD),,90000.0,109000.0</t>
  </si>
  <si>
    <t>ELISA RESEARCH SCIENTIST (CV-15),,Covid-19 Search Partners,"Hauppauge, NY",-1,-1,,-1,-1,-1,-1,,90000.0,109000.0</t>
  </si>
  <si>
    <t>Sr Data Scientist,4.2,bioMérieux,"Saint Louis, MO","Marcy-l'Etoile, France",10000+ employees,1963.0,Company - Private,Biotech &amp; Pharmaceuticals,Biotech &amp; Pharmaceuticals,$2 to $5 billion (USD),,90000.0,109000.0</t>
  </si>
  <si>
    <t>Data Scientist,4.5,Novetta,"Herndon, VA","Mc Lean, VA",501 to 1000 employees,2012.0,Company - Private,Enterprise Software &amp; Network Solutions,Information Technology,$100 to $500 million (USD),"Leidos, CACI International, Booz Allen Hamilton",101000.0,165000.0</t>
  </si>
  <si>
    <t>Experienced Data Scientist,4.4,Guzman &amp; Griffin Technologies (GGTI),"Washington, DC","Mays Landing, NJ",1 to 50 employees,1997.0,Company - Private,Federal Agencies,Government,,,101000.0,165000.0</t>
  </si>
  <si>
    <t>Machine Learning Engineer,,Radical Convergence,"Reston, VA",-1,-1,,-1,-1,-1,-1,,101000.0,165000.0</t>
  </si>
  <si>
    <t>Data Scientist,3.5,Leidos,"Fort Meade, MD","Reston, VA",10000+ employees,1969.0,Company - Public,Aerospace &amp; Defense,Aerospace &amp; Defense,$10+ billion (USD),,101000.0,165000.0</t>
  </si>
  <si>
    <t>Data Scientist,4.5,Demandbase,"San Francisco, CA","San Francisco, CA",201 to 500 employees,2006.0,Company - Private,Computer Hardware &amp; Software,Information Technology,$100 to $500 million (USD),"Engagio, Bombora, Terminus",101000.0,165000.0</t>
  </si>
  <si>
    <t>Say Business Data Analyst,4.1,Shelter Insurance,"Columbia, MO","Columbia, MO",1001 to 5000 employees,1946.0,Company - Private,Insurance Carriers,Insurance,$1 to $2 billion (USD),,101000.0,165000.0</t>
  </si>
  <si>
    <t>Geospatial Data Scientist,3.5,Maxar Technologies,"Chantilly, VA","Westminster, CO",5001 to 10000 employees,,Company - Public,Aerospace &amp; Defense,Aerospace &amp; Defense,$2 to $5 billion (USD),,101000.0,165000.0</t>
  </si>
  <si>
    <t>Data Analyst,2.7,USAC,"Washington, DC","Washington, DC",501 to 1000 employees,1997.0,Nonprofit Organization,Telecommunications Services,Telecommunications,$25 to $50 million (USD),,101000.0,165000.0</t>
  </si>
  <si>
    <t>Computational Scientist,3.4,General Dynamics Information Technology,"Vicksburg, MS","Fairfax, VA",10000+ employees,1996.0,Subsidiary or Business Segment,IT Services,Information Technology,$10+ billion (USD),"SAIC, Leidos, Northrop Grumman",101000.0,165000.0</t>
  </si>
  <si>
    <t>Data Scientist,4.4,Offerpad,"Chandler, AZ","Chandler, AZ",201 to 500 employees,2015.0,Company - Private,Real Estate,Real Estate,,,101000.0,165000.0</t>
  </si>
  <si>
    <t>Senior Data Analyst,4.0,Autodesk,"San Francisco, CA","San Rafael, CA",5001 to 10000 employees,1982.0,Company - Public,Computer Hardware &amp; Software,Information Technology,$2 to $5 billion (USD),,101000.0,165000.0</t>
  </si>
  <si>
    <t>Senior Data Analyst,4.0,Autodesk,"San Francisco, CA","Herndon, VA",5001 to 10000 employees,1968.0,Company - Public,Research &amp; Development,Business Services,$1 to $2 billion (USD),,101000.0,165000.0</t>
  </si>
  <si>
    <t>Data Engineer,3.5,Magna International Inc.,"Birmingham, AL","Aurora, Canada",10000+ employees,1957.0,Company - Public,-1,-1,$10+ billion (USD),"Bosch, Lear Corporation, Faurecia",101000.0,165000.0</t>
  </si>
  <si>
    <t>Sr Data Analyst,2.3,United BioSource,"Blue Bell, PA","Blue Bell, PA",1001 to 5000 employees,2003.0,Other Organization,Biotech &amp; Pharmaceuticals,Biotech &amp; Pharmaceuticals,$100 to $500 million (USD),"Covance, ICON",101000.0,165000.0</t>
  </si>
  <si>
    <t>Data Scientist,3.4,Kelly,"Chicago, IL","Troy, MI",5001 to 10000 employees,1946.0,Company - Public,Staffing &amp; Outsourcing,Business Services,$5 to $10 billion (USD),"Adecco, ManpowerGroup, Allegis Corporation",101000.0,165000.0</t>
  </si>
  <si>
    <t>Machine Learning Scientist - Bay Area, CA,3.3,Tempus Labs,"Redwood City, CA","Chicago, IL",501 to 1000 employees,2015.0,Company - Private,Biotech &amp; Pharmaceuticals,Biotech &amp; Pharmaceuticals,,,101000.0,165000.0</t>
  </si>
  <si>
    <t>Data Scientist,4.7,C3.ai,"Redwood City, CA","Redwood City, CA",201 to 500 employees,2009.0,Company - Private,Enterprise Software &amp; Network Solutions,Information Technology,$100 to $500 million (USD),"GE Digital, Palantir Technologies, Uptake",101000.0,165000.0</t>
  </si>
  <si>
    <t>Senior Data Scientist - Algorithms,3.9,Quartet Health,"New York, NY","New York, NY",201 to 500 employees,2014.0,Company - Private,Enterprise Software &amp; Network Solutions,Information Technology,,,101000.0,165000.0</t>
  </si>
  <si>
    <t>Data Analyst,3.3,Midland Credit Management,"San Diego, CA","San Diego, CA",1001 to 5000 employees,1953.0,Subsidiary or Business Segment,Banks &amp; Credit Unions,Finance,$1 to $2 billion (USD),PRA Group,101000.0,165000.0</t>
  </si>
  <si>
    <t>Senior Data &amp; Machine Learning Scientist,3.3,Tempus Labs,"Chicago, IL","Chicago, IL",501 to 1000 employees,2015.0,Company - Private,Biotech &amp; Pharmaceuticals,Biotech &amp; Pharmaceuticals,,,101000.0,165000.0</t>
  </si>
  <si>
    <t>Data Engineer,4.4,Resurgent Capital Services,"Cincinnati, OH","Greenville, SC",201 to 500 employees,1998.0,Company - Private,Venture Capital &amp; Private Equity,Finance,$50 to $100 million (USD),,101000.0,165000.0</t>
  </si>
  <si>
    <t>Data Scientist - Statistics, Early Career,3.7,PNNL,"Richland, WA","Richland, WA",1001 to 5000 employees,1965.0,Government,Energy,"Oil, Gas, Energy &amp; Utilities",$500 million to $1 billion (USD),"Oak Ridge National Laboratory, National Renewable Energy Lab, Los Alamos National Laboratory",56000.0,97000.0</t>
  </si>
  <si>
    <t>Data Scientist,3.5,Buckman,"Memphis, TN","Memphis, TN",1001 to 5000 employees,1945.0,Company - Private,Chemical Manufacturing,Manufacturing,$500 million to $1 billion (USD),,56000.0,97000.0</t>
  </si>
  <si>
    <t>Machine Learning Engineer,3.5,Buckman,"Memphis, TN","Arlington, VA",501 to 1000 employees,1967.0,Nonprofit Organization,Federal Agencies,Government,$50 to $100 million (USD),,56000.0,97000.0</t>
  </si>
  <si>
    <t>Research Scientist - Patient-Centered Research (Remote),3.8,Evidera,"Bethesda, MD","Bethesda, MD",501 to 1000 employees,2013.0,Subsidiary or Business Segment,Biotech &amp; Pharmaceuticals,Biotech &amp; Pharmaceuticals,$100 to $500 million (USD),"IQVIA, ICON",56000.0,97000.0</t>
  </si>
  <si>
    <t>Jr. Business Data Analyst (position added 6/12/2020),4.7,webfx.com,"Harrisburg, PA","Harrisburg, PA",201 to 500 employees,1997.0,Company - Private,Advertising &amp; Marketing,Business Services,$25 to $50 million (USD),,56000.0,97000.0</t>
  </si>
  <si>
    <t>Sr. Data Scientist II,3.5,Argo Group US,"New York, NY","Hamilton, Bermuda",1001 to 5000 employees,1948.0,Company - Public,Insurance Carriers,Insurance,$1 to $2 billion (USD),,56000.0,97000.0</t>
  </si>
  <si>
    <t>Data Scientist,3.3,BWX Technologies,"Oak Ridge, TN","Lynchburg, VA",5001 to 10000 employees,1850.0,Company - Public,Aerospace &amp; Defense,Aerospace &amp; Defense,$500 million to $1 billion (USD),,56000.0,97000.0</t>
  </si>
  <si>
    <t>Senior Data Analyst,3.9,Life360,"San Francisco, CA","San Francisco, CA",51 to 200 employees,2008.0,Company - Public,Internet,Information Technology,,,56000.0,97000.0</t>
  </si>
  <si>
    <t>Lead Data Scientist,3.7,MassMutual,"Boston, MA","Springfield, MA",5001 to 10000 employees,1851.0,Company - Private,Insurance Carriers,Insurance,$10+ billion (USD),,56000.0,97000.0</t>
  </si>
  <si>
    <t>Production Engineer - Statistics/Data Analysis,3.9,Natera,"San Carlos, CA","San Carlos, CA",501 to 1000 employees,2004.0,Company - Public,Biotech &amp; Pharmaceuticals,Biotech &amp; Pharmaceuticals,$100 to $500 million (USD),"Genomic Health, 23andMe, Illumina",56000.0,97000.0</t>
  </si>
  <si>
    <t>Statistical Scientist,4.0,Genentech,"South San Francisco, CA","South San Francisco, CA",10000+ employees,1976.0,Subsidiary or Business Segment,Biotech &amp; Pharmaceuticals,Biotech &amp; Pharmaceuticals,$10+ billion (USD),,56000.0,97000.0</t>
  </si>
  <si>
    <t>Computational Behavioral Scientist,4.2,Ntrepid,"Herndon, VA","Herndon, VA",201 to 500 employees,2010.0,Company - Private,IT Services,Information Technology,$50 to $100 million (USD),"Bromium, FireEye, Authentic8",56000.0,97000.0</t>
  </si>
  <si>
    <t>Principal Data Scientist - Machine Learning,3.6,Constant Contact,"Waltham, MA","Waltham, MA",Unknown,1995.0,Subsidiary or Business Segment,Advertising &amp; Marketing,Business Services,,"Drip, iContact, Mailchimp",56000.0,97000.0</t>
  </si>
  <si>
    <t>Principal Machine Learning Scientist,4.7,Sage Intacct,"San Francisco, CA","San Jose, CA",501 to 1000 employees,1999.0,Subsidiary or Business Segment,Computer Hardware &amp; Software,Information Technology,,,56000.0,97000.0</t>
  </si>
  <si>
    <t>Data Engineer,4.1,Shape Security,"Santa Clara, CA","Mountain View, CA",51 to 200 employees,2011.0,Company - Private,IT Services,Information Technology,,,56000.0,97000.0</t>
  </si>
  <si>
    <t>Principal Data Scientist,4.0,AstraZeneca,"Gaithersburg, MD","Cambridge, United Kingdom",10000+ employees,1913.0,Company - Public,Biotech &amp; Pharmaceuticals,Biotech &amp; Pharmaceuticals,$10+ billion (USD),"Roche, GlaxoSmithKline, Novartis",56000.0,97000.0</t>
  </si>
  <si>
    <t>Data Scientist,5.0,SkillSoniq,"San Francisco, CA","Jersey City, NJ",Unknown,,Company - Public,-1,-1,,,56000.0,97000.0</t>
  </si>
  <si>
    <t>Senior Data Scientist - R&amp;D Oncology,4.0,AstraZeneca,"New York, NY","Cambridge, United Kingdom",10000+ employees,1913.0,Company - Public,Biotech &amp; Pharmaceuticals,Biotech &amp; Pharmaceuticals,$10+ billion (USD),"Roche, GlaxoSmithKline, Novartis",56000.0,97000.0</t>
  </si>
  <si>
    <t>Data Scientist,4.3,Joby Aviation,"San Carlos, CA","Santa Cruz, CA",51 to 200 employees,,Company - Private,-1,-1,,,56000.0,97000.0</t>
  </si>
  <si>
    <t>Health Plan Data Analyst, Sr,3.8,Cook Children's Health Care System,"Fort Worth, TX","Fort Worth, TX",5001 to 10000 employees,1918.0,Nonprofit Organization,Health Care Services &amp; Hospitals,Health Care,$100 to $500 million (USD),"Children's Health, Texas Health Resources, Baylor Scott &amp; White Health",56000.0,97000.0</t>
  </si>
  <si>
    <t>Principal Scientist/Associate Director, Quality Control and Analytical Technologies,3.8,Rubius Therapeutics,"Smithfield, RI","Cambridge, MA",201 to 500 employees,2013.0,Company - Public,Biotech &amp; Pharmaceuticals,Biotech &amp; Pharmaceuticals,$100 to $500 million (USD),,56000.0,97000.0</t>
  </si>
  <si>
    <t>Analytics - Business Assurance Data Analyst,4.6,GreatAmerica Financial Services,"Cedar Rapids, IA","Cedar Rapids, IA",501 to 1000 employees,1992.0,Company - Private,Lending,Finance,$100 to $500 million (USD),,56000.0,97000.0</t>
  </si>
  <si>
    <t>Data Scientist - Contract,4.1,Upside Business Travel,Remote,"Washington, DC",51 to 200 employees,2015.0,Company - Private,Internet,Information Technology,,,79000.0,106000.0</t>
  </si>
  <si>
    <t>Data Scientist,3.4,Spectrum Communications and Consulting,"Chicago, IL","Chicago, IL",51 to 200 employees,1992.0,Company - Private,Advertising &amp; Marketing,Business Services,$10 to $25 million (USD),,79000.0,106000.0</t>
  </si>
  <si>
    <t>Data Scientist,4.1,Coverent,"McLean, VA","McLean, VA",51 to 200 employees,2008.0,Company - Private,Consulting,Business Services,$10 to $25 million (USD),,79000.0,106000.0</t>
  </si>
  <si>
    <t>Machine Learning Engineer,3.7,Mteq,"Fort Belvoir, VA","Lorton, VA",501 to 1000 employees,1954.0,Company - Public,Aerospace &amp; Defense,Aerospace &amp; Defense,$100 to $500 million (USD),"Harris, Fibertek",79000.0,106000.0</t>
  </si>
  <si>
    <t>Data Engineer,4.4,Rocket Lawyer,"San Francisco, CA","San Francisco, CA",51 to 200 employees,2008.0,Company - Private,Computer Hardware &amp; Software,Information Technology,$50 to $100 million (USD),,79000.0,106000.0</t>
  </si>
  <si>
    <t>Senior Data Scientist – Image Analytics, Novartis AI Innovation Lab,3.9,Novartis,"Cambridge, MA","Basel, Switzerland",10000+ employees,1996.0,Company - Public,Biotech &amp; Pharmaceuticals,Biotech &amp; Pharmaceuticals,$10+ billion (USD),,79000.0,106000.0</t>
  </si>
  <si>
    <t>Data Engineer,3.6,Alion Science &amp; Technology,"Linthicum Heights, MD","Mc Lean, VA",1001 to 5000 employees,2001.0,Company - Private,Research &amp; Development,Business Services,$1 to $2 billion (USD),,79000.0,106000.0</t>
  </si>
  <si>
    <t>Data Science Instructor,4.5,Novetta,"Herndon, VA","Mc Lean, VA",501 to 1000 employees,2012.0,Company - Private,Enterprise Software &amp; Network Solutions,Information Technology,$100 to $500 million (USD),"Leidos, CACI International, Booz Allen Hamilton",79000.0,106000.0</t>
  </si>
  <si>
    <t>Senior Business Intelligence Analyst,3.7,Protolabs,"Maple Plain, MN","Maple Plain, MN",1001 to 5000 employees,1999.0,Company - Public,Miscellaneous Manufacturing,Manufacturing,$100 to $500 million (USD),,79000.0,106000.0</t>
  </si>
  <si>
    <t>In-Line Inspection Data Analyst,2.9,Quest Integrity,"Tulsa, OK","Kent, WA",201 to 500 employees,1996.0,Company - Public,Oil &amp; Gas Services,"Oil, Gas, Energy &amp; Utilities",$50 to $100 million (USD),,79000.0,106000.0</t>
  </si>
  <si>
    <t>Data Scientist - TS/SCI FSP or CI Required,5.0,Phoenix Operations Group,"Annapolis Junction, MD","Woodbine, MD",1 to 50 employees,2011.0,Company - Private,IT Services,Information Technology,$1 to $5 million (USD),,79000.0,106000.0</t>
  </si>
  <si>
    <t>Data Scientist,3.4,Dice.com,"Newton, MA","Denver, CO",201 to 500 employees,1990.0,Subsidiary or Business Segment,Staffing &amp; Outsourcing,Business Services,$100 to $500 million (USD),"Monster Worldwide, CareerBuilder, Craigslist",79000.0,106000.0</t>
  </si>
  <si>
    <t>Senior Data Scientist,3.5,Maxar Technologies,"Herndon, VA","Westminster, CO",5001 to 10000 employees,,Company - Public,Aerospace &amp; Defense,Aerospace &amp; Defense,$2 to $5 billion (USD),,79000.0,106000.0</t>
  </si>
  <si>
    <t>Data Scientist - TS/SCI Required,5.0,Phoenix Operations Group,"Baltimore, MD","Woodbine, MD",1 to 50 employees,2011.0,Company - Private,IT Services,Information Technology,$1 to $5 million (USD),,79000.0,106000.0</t>
  </si>
  <si>
    <t>Data Science Software Engineer,4.8,Klaviyo,"Boston, MA","Boston, MA",201 to 500 employees,2012.0,Company - Private,Computer Hardware &amp; Software,Information Technology,,,79000.0,106000.0</t>
  </si>
  <si>
    <t>ENGINEER - COMPUTER SCIENTIST - RESEARCH COMPUTER SCIENTIST - SIGNAL PROCESSING - SAN ANTONIO OR,3.9,Southwest Research Institute,"Oklahoma City, OK","San Antonio, TX",1001 to 5000 employees,1947.0,Nonprofit Organization,Research &amp; Development,Business Services,$500 million to $1 billion (USD),"Los Alamos National Laboratory, Battelle, SRI International",79000.0,106000.0</t>
  </si>
  <si>
    <t>AI Ops Data Scientist,4.0,AstraZeneca,"Gaithersburg, MD","Cambridge, United Kingdom",10000+ employees,1913.0,Company - Public,Biotech &amp; Pharmaceuticals,Biotech &amp; Pharmaceuticals,$10+ billion (USD),"Roche, GlaxoSmithKline, Novartis",79000.0,106000.0</t>
  </si>
  <si>
    <t>Intelligence Data Analyst, Senior,4.3,The Buffalo Group,"Fort Belvoir, VA","Reston, VA",501 to 1000 employees,2010.0,Company - Private,IT Services,Information Technology,$100 to $500 million (USD),"ManTech, Booz Allen Hamilton, Leidos",79000.0,106000.0</t>
  </si>
  <si>
    <t>Analytics Manager - Data Mart,3.5,Central California Alliance for Health,"Scotts Valley, CA","Scotts Valley, CA",501 to 1000 employees,1996.0,Nonprofit Organization,Health Care Services &amp; Hospitals,Health Care,$500 million to $1 billion (USD),,79000.0,106000.0</t>
  </si>
  <si>
    <t>Data Modeler (Analytical Systems),3.7,MassMutual,"Boston, MA","Springfield, MA",5001 to 10000 employees,1851.0,Company - Private,Insurance Carriers,Insurance,$10+ billion (USD),,79000.0,106000.0</t>
  </si>
  <si>
    <t>Senior Machine Learning Scientist - Bay Area, CA,3.3,Tempus Labs,"Redwood City, CA","Chicago, IL",501 to 1000 employees,2015.0,Company - Private,Biotech &amp; Pharmaceuticals,Biotech &amp; Pharmaceuticals,,,79000.0,106000.0</t>
  </si>
  <si>
    <t>Report Writer-Data Analyst,3.1,Security Finance Corporation of Spartanburg,"Spartanburg, SC","Spartanburg, SC",1001 to 5000 employees,1955.0,Company - Private,Lending,Finance,,,79000.0,106000.0</t>
  </si>
  <si>
    <t>Data Scientist/Machine Learning,4.3,PulsePoint,"New York, NY","New York, NY",51 to 200 employees,2011.0,Company - Private,Internet,Information Technology,$100 to $500 million (USD),"Crossix Solutions Inc., AppNexus, The Trade Desk",71000.0,123000.0</t>
  </si>
  <si>
    <t>Data Scientist - Risk,4.2,LSQ,"Orlando, FL","Orlando, FL",51 to 200 employees,1996.0,Company - Private,Investment Banking &amp; Asset Management,Finance,$100 to $500 million (USD),,71000.0,123000.0</t>
  </si>
  <si>
    <t>Data Engineer,4.4,Resurgent Capital Services,"Cincinnati, OH","Greenville, SC",201 to 500 employees,1998.0,Company - Private,Venture Capital &amp; Private Equity,Finance,$50 to $100 million (USD),,71000.0,123000.0</t>
  </si>
  <si>
    <t>Staff Data Scientist - Pricing,3.6,Opendoor,"San Francisco, CA","San Francisco, CA",501 to 1000 employees,2014.0,Company - Private,Real Estate,Real Estate,$2 to $5 billion (USD),,71000.0,123000.0</t>
  </si>
  <si>
    <t>Data Scientist,4.5,Global Data Management Inc,"Hartford, CT","Woodbridge, NJ",51 to 200 employees,2008.0,Company - Private,IT Services,Information Technology,$5 to $10 million (USD),,71000.0,123000.0</t>
  </si>
  <si>
    <t>Data Scientist,3.0,Photon Infotech,"Chicago, IL","Chennai, India",1001 to 5000 employees,1999.0,Company - Private,IT Services,Information Technology,$100 to $500 million (USD),,71000.0,123000.0</t>
  </si>
  <si>
    <t>Data Scientist,5.0,REE,United States,"Tel Aviv-Yafo, Israel",51 to 200 employees,2018.0,Company - Private,Transportation Equipment Manufacturing,Manufacturing,,,71000.0,123000.0</t>
  </si>
  <si>
    <t>Machine Learning Engineer,3.6,Riverside Research Institute,"Beavercreek, OH","Arlington, VA",501 to 1000 employees,1967.0,Nonprofit Organization,Federal Agencies,Government,$50 to $100 million (USD),,71000.0,123000.0</t>
  </si>
  <si>
    <t>Equity Data Insights Analyst - Quantitative Analyst,3.6,T. Rowe Price,"Baltimore, MD","Baltimore, MD",5001 to 10000 employees,1937.0,Company - Public,Investment Banking &amp; Asset Management,Finance,$2 to $5 billion (USD),,71000.0,123000.0</t>
  </si>
  <si>
    <t>Data Scientist,,"Encode, Inc.","Norfolk, VA","Manalapan, NJ",1 to 50 employees,,Company - Private,IT Services,Information Technology,$5 to $10 million (USD),,71000.0,123000.0</t>
  </si>
  <si>
    <t>Research Scientist - Patient-Centered Research (Remote),3.8,Evidera,"Bethesda, MD","Bethesda, MD",501 to 1000 employees,2013.0,Subsidiary or Business Segment,Biotech &amp; Pharmaceuticals,Biotech &amp; Pharmaceuticals,$100 to $500 million (USD),"IQVIA, ICON",71000.0,123000.0</t>
  </si>
  <si>
    <t>Data Scientist,3.3,BWX Technologies,"Oak Ridge, TN","Lynchburg, VA",5001 to 10000 employees,1850.0,Company - Public,Aerospace &amp; Defense,Aerospace &amp; Defense,$500 million to $1 billion (USD),,71000.0,123000.0</t>
  </si>
  <si>
    <t>Operations Data Analyst,3.8,Brighthouse Financial,"Charlotte, NC","Charlotte, NC",1001 to 5000 employees,2017.0,Company - Public,Insurance Carriers,Insurance,,,71000.0,123000.0</t>
  </si>
  <si>
    <t>Sr. Data Scientist II,3.5,Argo Group US,"New York, NY","Hamilton, Bermuda",1001 to 5000 employees,1948.0,Company - Public,Insurance Carriers,Insurance,$1 to $2 billion (USD),,71000.0,123000.0</t>
  </si>
  <si>
    <t>Data Scientist,3.3,II-VI Incorporated,"Champaign, IL","Saxonburg, PA",10000+ employees,1971.0,Company - Public,Telecommunications Manufacturing,Telecommunications,$1 to $2 billion (USD),"Lumentum Operations, Keysight Technologies, O-Net Technologies",71000.0,123000.0</t>
  </si>
  <si>
    <t>Data Scientist,4.6,Surya Systems,"San Francisco, CA","Bristol, PA",1 to 50 employees,,Company - Private,Computer Hardware &amp; Software,Information Technology,Less than $1 million (USD),,71000.0,123000.0</t>
  </si>
  <si>
    <t>Data Scientist,3.8,PayPal,Texas,"San Jose, CA",10000+ employees,1998.0,Company - Public,Internet,Information Technology,$10+ billion (USD),"Square, Amazon, Apple",71000.0,123000.0</t>
  </si>
  <si>
    <t>Senior Data Analyst,3.9,Life360,"San Francisco, CA","San Francisco, CA",51 to 200 employees,2008.0,Company - Public,Internet,Information Technology,,,71000.0,123000.0</t>
  </si>
  <si>
    <t>Data Scientist,3.9,Predictive Research Inc,"Plano, TX","Bangalore, India",1 to 50 employees,,Company - Private,Consulting,Business Services,,,71000.0,123000.0</t>
  </si>
  <si>
    <t>Data Scientist,4.7,Oversight Systems,"Atlanta, GA","Atlanta, GA",51 to 200 employees,2003.0,Company - Private,Computer Hardware &amp; Software,Information Technology,$25 to $50 million (USD),,90000.0,124000.0</t>
  </si>
  <si>
    <t>Senior Research Statistician- Data Scientist,4.8,Acuity Insurance,"Sheboygan, WI","Sheboygan, WI",1001 to 5000 employees,1925.0,Company - Private,Insurance Carriers,Insurance,$1 to $2 billion (USD),,90000.0,124000.0</t>
  </si>
  <si>
    <t>Software Data Engineer,3.1,1010data,"New York, NY","New York, NY",201 to 500 employees,2000.0,Company - Private,Computer Hardware &amp; Software,Information Technology,$50 to $100 million (USD),,90000.0,124000.0</t>
  </si>
  <si>
    <t>Data Scientist,3.6,Gigya,"Palo Alto, CA","Mountain View, CA",201 to 500 employees,2006.0,Company - Private,Enterprise Software &amp; Network Solutions,Information Technology,$10 to $25 million (USD),,90000.0,124000.0</t>
  </si>
  <si>
    <t>Real World Evidence (RWE) Scientist,5.0,Genesis Research,"Hoboken, NJ","Hoboken, NJ",1 to 50 employees,2009.0,Company - Private,Biotech &amp; Pharmaceuticals,Biotech &amp; Pharmaceuticals,,,90000.0,124000.0</t>
  </si>
  <si>
    <t>Data Scientist,3.7,Sanofi,"Cambridge, MA","Paris, France",10000+ employees,1973.0,Company - Public,Biotech &amp; Pharmaceuticals,Biotech &amp; Pharmaceuticals,$10+ billion (USD),"Pfizer, GlaxoSmithKline",90000.0,124000.0</t>
  </si>
  <si>
    <t>Data Scientist,3.7,XPO Logistics,"Lebanon, IN","Greenwich, CT",10000+ employees,2011.0,Company - Public,Transportation Management,Transportation &amp; Logistics,$10+ billion (USD),"DHL Supply Chain, UPS, FedEx",90000.0,124000.0</t>
  </si>
  <si>
    <t>Data Scientist,3.9,Trace Data,"Oakland, CA","Santa Ana, CA",51 to 200 employees,2000.0,Company - Private,Insurance Carriers,Insurance,$10 to $25 million (USD),,90000.0,124000.0</t>
  </si>
  <si>
    <t>Data Scientist,4.3,Descript,"San Francisco, CA","Houston, TX",1 to 50 employees,,Company - Private,-1,-1,Less than $1 million (USD),,90000.0,124000.0</t>
  </si>
  <si>
    <t>Computer Scientist 1,4.2,Rincon Research Corporation,"Melbourne, FL","Tucson, AZ",201 to 500 employees,1983.0,Company - Private,Aerospace &amp; Defense,Aerospace &amp; Defense,$50 to $100 million (USD),"Raytheon Technologies, General Dynamics, MIT Lincoln Laboratory",90000.0,124000.0</t>
  </si>
  <si>
    <t>Lead Data Scientist,3.7,MassMutual,"Boston, MA","Springfield, MA",5001 to 10000 employees,1851.0,Company - Private,Insurance Carriers,Insurance,$10+ billion (USD),,90000.0,124000.0</t>
  </si>
  <si>
    <t>Data Scientist,4.0,Better Hire,"Birmingham, AL","Birmingham, AL",1 to 50 employees,,Company - Private,-1,-1,,,90000.0,124000.0</t>
  </si>
  <si>
    <t>Data Scientist,3.3,Parker Hannifin,"Cleveland, OH","Cleveland, OH",10000+ employees,1917.0,Company - Public,Industrial Manufacturing,Manufacturing,$10+ billion (USD),"Eaton, SMC Corporation, Bosch Rexroth",90000.0,124000.0</t>
  </si>
  <si>
    <t>Data Scientist,4.1,Gallup,"New York, NY","Washington, DC",1001 to 5000 employees,1935.0,Company - Private,Consulting,Business Services,,"Advisory Board, Booz Allen Hamilton, McKinsey &amp; Company",90000.0,124000.0</t>
  </si>
  <si>
    <t>Data Scientist,3.3,Insider Inc,"New York, NY","New York, NY",201 to 500 employees,2007.0,Company - Private,News Outlet,Media,$50 to $100 million (USD),,90000.0,124000.0</t>
  </si>
  <si>
    <t>Data Scientist,3.9,Rapid Value Solutions,"San Francisco, CA","Pleasanton, CA",201 to 500 employees,2009.0,Company - Private,IT Services,Information Technology,,,90000.0,124000.0</t>
  </si>
  <si>
    <t>Environmental Data Science,3.1,Battelle,"Norwell, MA","Columbus, OH",10000+ employees,1929.0,Nonprofit Organization,Research &amp; Development,Business Services,$5 to $10 billion (USD),,90000.0,124000.0</t>
  </si>
  <si>
    <t>Computational Behavioral Scientist,4.2,Ntrepid,"Herndon, VA","Herndon, VA",201 to 500 employees,2010.0,Company - Private,IT Services,Information Technology,$50 to $100 million (USD),"Bromium, FireEye, Authentic8",90000.0,124000.0</t>
  </si>
  <si>
    <t>Data Scientist,5.0,"The Drive Media, Inc.","New York, NY",-1,Unknown,,Unknown,-1,-1,,,90000.0,124000.0</t>
  </si>
  <si>
    <t>Staff BI and Data Engineer,2.9,Affinity Solutions,"San Jose, CA","New York, NY",51 to 200 employees,1998.0,Company - Private,Advertising &amp; Marketing,Business Services,,"Commerce Signals, Cardlytics, Yodlee",90000.0,124000.0</t>
  </si>
  <si>
    <t>Principal Machine Learning Scientist,4.7,Sage Intacct,"San Francisco, CA","San Jose, CA",501 to 1000 employees,1999.0,Subsidiary or Business Segment,Computer Hardware &amp; Software,Information Technology,,,90000.0,124000.0</t>
  </si>
  <si>
    <t>Principal Data Scientist - Machine Learning,3.6,Constant Contact,"Waltham, MA","Waltham, MA",Unknown,1995.0,Subsidiary or Business Segment,Advertising &amp; Marketing,Business Services,,"Drip, iContact, Mailchimp",90000.0,124000.0</t>
  </si>
  <si>
    <t>Data Scientist-Human Resources,3.8,MIT Lincoln Laboratory,"Lexington, MA","Lexington, MA",1001 to 5000 employees,1951.0,Nonprofit Organization,Aerospace &amp; Defense,Aerospace &amp; Defense,,,91000.0,150000.0</t>
  </si>
  <si>
    <t>Associate Data Scientist,3.3,Puget Sound Energy,"Bothell, WA","Bellevue, WA",1001 to 5000 employees,1999.0,Company - Private,Utilities,"Oil, Gas, Energy &amp; Utilities",$2 to $5 billion (USD),,91000.0,150000.0</t>
  </si>
  <si>
    <t>Data Scientist - Statistics, Mid-Career,3.7,Pacific Northwest National Laboratory,"Richland, WA","Richland, WA",1001 to 5000 employees,1965.0,Government,Energy,"Oil, Gas, Energy &amp; Utilities",$500 million to $1 billion (USD),"Oak Ridge National Laboratory, National Renewable Energy Lab, Los Alamos National Laboratory",91000.0,150000.0</t>
  </si>
  <si>
    <t>Director of Data Science,3.8,Analysis Group,"Boston, MA","Boston, MA",1001 to 5000 employees,1981.0,Private Practice / Firm,Consulting,Business Services,$100 to $500 million (USD),,91000.0,150000.0</t>
  </si>
  <si>
    <t>Data Scientist,3.2,US Pharmacopeia,"Rockville, MD","Rockville, MD",1001 to 5000 employees,1820.0,Nonprofit Organization,Biotech &amp; Pharmaceuticals,Biotech &amp; Pharmaceuticals,$100 to $500 million (USD),,91000.0,150000.0</t>
  </si>
  <si>
    <t>Data Scientist,4.6,Itlize Global,"Piscataway, NJ","Piscataway, NJ",201 to 500 employees,2010.0,Company - Private,IT Services,Information Technology,$10 to $25 million (USD),,91000.0,150000.0</t>
  </si>
  <si>
    <t>Data Scientist,3.5,eBay,"San Jose, CA","San Jose, CA",10000+ employees,1995.0,Company - Public,Internet,Information Technology,$10+ billion (USD),"Amazon, Apple",91000.0,150000.0</t>
  </si>
  <si>
    <t>Data Engineer, Digital &amp; Comp Pathology,5.0,Paige,"New York, NY","New York, NY",1 to 50 employees,2018.0,Company - Private,Enterprise Software &amp; Network Solutions,Information Technology,,,91000.0,150000.0</t>
  </si>
  <si>
    <t>Data Engineer,4.1,Shape Security,"Santa Clara, CA","Mountain View, CA",51 to 200 employees,2011.0,Company - Private,IT Services,Information Technology,,,91000.0,150000.0</t>
  </si>
  <si>
    <t>Manager / Lead, Data Science &amp; Analytics,4.1,ABIOMED,"Danvers, MA","Danvers, MA",1001 to 5000 employees,1981.0,Company - Public,Biotech &amp; Pharmaceuticals,Biotech &amp; Pharmaceuticals,$100 to $500 million (USD),"Covidien, Boston Scientific",91000.0,150000.0</t>
  </si>
  <si>
    <t>Data Scientist,3.5,Comcast,"New York, NY","Philadelphia, PA",10000+ employees,1963.0,Company - Public,-1,-1,$10+ billion (USD),"AT&amp;T, Verizon",91000.0,150000.0</t>
  </si>
  <si>
    <t>Data Scientist,3.2,"Metronome, LLC","Vienna, VA","Fairfax, VA",51 to 200 employees,2011.0,Company - Private,IT Services,Information Technology,$10 to $25 million (USD),,91000.0,150000.0</t>
  </si>
  <si>
    <t>Data Scientist,5.0,SkillSoniq,"San Francisco, CA","Jersey City, NJ",Unknown,,Company - Public,-1,-1,,,91000.0,150000.0</t>
  </si>
  <si>
    <t>Data Scientist,4.7,Lawrence Livermore National Lab,"Livermore, CA","Livermore, CA",1001 to 5000 employees,1952.0,Government,Federal Agencies,Government,$1 to $2 billion (USD),"Los Alamos National Laboratory, NASA Jet Propulsion Laboratory, Sandia National Laboratories",91000.0,150000.0</t>
  </si>
  <si>
    <t>Diversity and Inclusion Data Analyst,3.8,FHLBank Pittsburgh,"Pittsburgh, PA","Pittsburgh, PA",201 to 500 employees,1932.0,Company - Private,Banks &amp; Credit Unions,Finance,$1 to $2 billion (USD),,91000.0,150000.0</t>
  </si>
  <si>
    <t>Data Scientist,3.6,Jacobs,"Herndon, VA","Dallas, TX",10000+ employees,1947.0,Company - Public,Architectural &amp; Engineering Services,Business Services,$10+ billion (USD),"Fluor, Bechtel, AECOM",91000.0,150000.0</t>
  </si>
  <si>
    <t>Data Scientist,4.8,Klaviyo,"Boston, MA","Boston, MA",201 to 500 employees,2012.0,Company - Private,Computer Hardware &amp; Software,Information Technology,,,91000.0,150000.0</t>
  </si>
  <si>
    <t>Data Scientist,3.3,Underwriters Laboratories,"Northbrook, IL","Northbrook, IL",10000+ employees,1894.0,Company - Private,Consulting,Business Services,$2 to $5 billion (USD),"Intertek, SGS, Bureau Veritas",91000.0,150000.0</t>
  </si>
  <si>
    <t>Data Scientist,3.7,Altus Group,"Irvine, CA","Toronto, Canada",1001 to 5000 employees,2005.0,Company - Public,Real Estate,Real Estate,$100 to $500 million (USD),,91000.0,150000.0</t>
  </si>
  <si>
    <t>Data Scientist,5.0,Jobot,"Irvine, CA","Irvine, CA",51 to 200 employees,2018.0,Company - Private,Staffing &amp; Outsourcing,Business Services,$25 to $50 million (USD),,91000.0,150000.0</t>
  </si>
  <si>
    <t>Data Scientist,,Trovetechs Inc,"San Francisco, CA","Hillsborough, NJ",Unknown,,Company - Private,-1,-1,,,91000.0,150000.0</t>
  </si>
  <si>
    <t>Senior Analyst/Data Scientist,3.4,Edmunds.com,"Santa Monica, CA","Santa Monica, CA",501 to 1000 employees,1966.0,Company - Private,Internet,Information Technology,$100 to $500 million (USD),"TrueCar, Cars.com, Kelley Blue Book",141000.0,225000.0</t>
  </si>
  <si>
    <t>Data Scientist,5.0,Cohere Health,"Boston, MA","Boston, MA",1 to 50 employees,2019.0,Company - Private,IT Services,Information Technology,,,141000.0,225000.0</t>
  </si>
  <si>
    <t>Data Scientist,,Trovetechs Inc,"San Francisco, CA","Hillsborough, NJ",Unknown,,Company - Private,-1,-1,,,141000.0,225000.0</t>
  </si>
  <si>
    <t>Senior Data Scientist - R&amp;D Oncology,4.0,AstraZeneca,"New York, NY","Cambridge, United Kingdom",10000+ employees,1913.0,Company - Public,Biotech &amp; Pharmaceuticals,Biotech &amp; Pharmaceuticals,$10+ billion (USD),"Roche, GlaxoSmithKline, Novartis",141000.0,225000.0</t>
  </si>
  <si>
    <t>Data Scientist,4.2,Oshkosh Corporation,"Oshkosh, WI","Oshkosh, WI",10000+ employees,1917.0,Company - Public,Transportation Equipment Manufacturing,Manufacturing,$5 to $10 billion (USD),"Lockheed Martin, Caterpillar, John Deere",141000.0,225000.0</t>
  </si>
  <si>
    <t>Data Scientist,4.3,Joby Aviation,"San Carlos, CA","Santa Cruz, CA",51 to 200 employees,,Company - Private,-1,-1,,,141000.0,225000.0</t>
  </si>
  <si>
    <t>Data Scientist,3.4,Mackin,"Menlo Park, CA","Pittsburgh, PA",51 to 200 employees,1960.0,Company - Private,Architectural &amp; Engineering Services,Business Services,$10 to $25 million (USD),,141000.0,225000.0</t>
  </si>
  <si>
    <t>Data Scientist,,PETADATA,"San Francisco, CA","Fremont, CA",51 to 200 employees,,Company - Private,-1,-1,,,141000.0,225000.0</t>
  </si>
  <si>
    <t>Data Scientist,4.4,VBeyond Corporation,"Dallas, TX","Hillsborough, NJ",201 to 500 employees,2006.0,Company - Private,Staffing &amp; Outsourcing,Business Services,$5 to $10 million (USD),,141000.0,225000.0</t>
  </si>
  <si>
    <t>Data Scientist Machine Learning,3.5,Leidos,"Arlington, VA","Reston, VA",10000+ employees,1969.0,Company - Public,Aerospace &amp; Defense,Aerospace &amp; Defense,$10+ billion (USD),,141000.0,225000.0</t>
  </si>
  <si>
    <t>Data Scientist,3.7,Take-Two,"San Francisco, CA","New York, NY",1001 to 5000 employees,1993.0,Company - Public,Video Games,Media,$1 to $2 billion (USD),"Activision Blizzard, Electronic Arts",141000.0,225000.0</t>
  </si>
  <si>
    <t>Data Scientist,3.7,Colony Brands,"Monroe, WI","Monroe, WI",501 to 1000 employees,,Company - Private,Food &amp; Beverage Stores,Retail,$100 to $500 million (USD),,141000.0,225000.0</t>
  </si>
  <si>
    <t>Data Scientist,4.1,Capio Group,"Sacramento, CA","Goteborg, Sweden",10000+ employees,,Hospital,Health Care Services &amp; Hospitals,Health Care,,,141000.0,225000.0</t>
  </si>
  <si>
    <t>Data Scientist,3.4,SleePare,"New York, NY","New York, NY",1 to 50 employees,2017.0,Company - Private,Other Retail Stores,Retail,,,141000.0,225000.0</t>
  </si>
  <si>
    <t>Data Analyst,4.5,ShorePoint,"Reston, VA","Washington, DC",1 to 50 employees,2017.0,Company - Private,IT Services,Information Technology,,,141000.0,225000.0</t>
  </si>
  <si>
    <t>Data Scientist,3.5,Dolphin,"New York, NY","Lake Buena Vista, FL",1001 to 5000 employees,1990.0,Company - Private,"Hotels, Motels, &amp; Resorts",Travel &amp; Tourism,,,141000.0,225000.0</t>
  </si>
  <si>
    <t>Data Scientist,3.6,TE Connectivity,"Hampton, VA","Schaffhausen, Switzerland",10000+ employees,2007.0,Company - Public,Electrical &amp; Electronic Manufacturing,Manufacturing,$10+ billion (USD),,141000.0,225000.0</t>
  </si>
  <si>
    <t>Data Scientist,3.2,State of Virginia,"Richmond, VA","Richmond, VA",10000+ employees,1788.0,Government,State &amp; Regional Agencies,Government,$10+ billion (USD),,141000.0,225000.0</t>
  </si>
  <si>
    <t>Data Scientist,3.7,TA Digital,"New York, NY","Newark, CA",501 to 1000 employees,2000.0,Company - Private,Computer Hardware &amp; Software,Information Technology,$25 to $50 million (USD),,141000.0,225000.0</t>
  </si>
  <si>
    <t>Data Scientist,4.0,Market America Inc,"Monterey, CA","Greensboro, NC",501 to 1000 employees,1992.0,Company - Private,Other Retail Stores,Retail,$100 to $500 million (USD),,141000.0,225000.0</t>
  </si>
  <si>
    <t>Data Scientist,3.2,Triplebyte,"Chicago, IL","San Francisco, CA",51 to 200 employees,2015.0,Company - Private,Computer Hardware &amp; Software,Information Technology,,,145000.0,225000.0</t>
  </si>
  <si>
    <t>Data Scientist,4.5,Kingfisher Systems,"McLean, VA","Falls Church, VA",51 to 200 employees,2005.0,Company - Private,Federal Agencies,Government,$25 to $50 million (USD),,145000.0,225000.0</t>
  </si>
  <si>
    <t>Chief Scientist,3.4,TrueAccord,Remote,"San Francisco, CA",51 to 200 employees,2013.0,Company - Private,Enterprise Software &amp; Network Solutions,Information Technology,,,145000.0,225000.0</t>
  </si>
  <si>
    <t>Data Scientist,3.9,ALTA IT Services,"Woodlawn, MD","Rockville, MD",201 to 500 employees,2004.0,Company - Private,IT Services,Information Technology,$10 to $25 million (USD),,145000.0,225000.0</t>
  </si>
  <si>
    <t>Data Scientist,3.2,Kollasoft Inc.,United States,"Scottsdale, AZ",1 to 50 employees,,Company - Private,IT Services,Information Technology,$1 to $5 million (USD),,145000.0,225000.0</t>
  </si>
  <si>
    <t>Data Scientist,3.2,Kollasoft Inc.,"New York, NY","Irving, TX",Unknown,,Company - Public,-1,-1,,,145000.0,225000.0</t>
  </si>
  <si>
    <t>Data Scientist,3.4,ASRC Federal Holding Company,"Reston, VA","Beltsville, MD",5001 to 10000 employees,2003.0,Company - Private,Aerospace &amp; Defense,Aerospace &amp; Defense,$500 million to $1 billion (USD),,145000.0,225000.0</t>
  </si>
  <si>
    <t>Data Scientist,4.4,Adwait Algorithm,"New York, NY","Houston, TX",51 to 200 employees,2015.0,Company - Private,IT Services,Information Technology,,,145000.0,225000.0</t>
  </si>
  <si>
    <t>Health Plan Data Analyst, Sr,3.8,Cook Children's Health Care System,"Fort Worth, TX","Fort Worth, TX",5001 to 10000 employees,1918.0,Nonprofit Organization,Health Care Services &amp; Hospitals,Health Care,$100 to $500 million (USD),"Children's Health, Texas Health Resources, Baylor Scott &amp; White Health",145000.0,225000.0</t>
  </si>
  <si>
    <t>Principal Scientist/Associate Director, Quality Control and Analytical Technologies,3.8,Rubius Therapeutics,"Smithfield, RI","Cambridge, MA",201 to 500 employees,2013.0,Company - Public,Biotech &amp; Pharmaceuticals,Biotech &amp; Pharmaceuticals,$100 to $500 million (USD),,145000.0,225000.0</t>
  </si>
  <si>
    <t>Data Scientist,3.5,Cambridge FX,"Atlanta, GA","Toronto, Canada",201 to 500 employees,1992.0,Company - Public,Financial Transaction Processing,Finance,$100 to $500 million (USD),,145000.0,225000.0</t>
  </si>
  <si>
    <t>Senior Data Scientist,3.8,Metromile,"San Francisco, CA","San Francisco, CA",201 to 500 employees,2011.0,Company - Private,Insurance Carriers,Insurance,,,145000.0,225000.0</t>
  </si>
  <si>
    <t>Data Scientist,3.9,Criteo,"Ann Arbor, MI","Paris, France",1001 to 5000 employees,2005.0,Company - Public,Internet,Information Technology,$2 to $5 billion (USD),"MediaMath, Conversant, AppNexus",145000.0,225000.0</t>
  </si>
  <si>
    <t>Data Scientist,3.4,Advance Sourcing Concepts,"Pittsburgh, PA","Pittsburgh, PA",51 to 200 employees,,Company - Private,-1,-1,$1 to $5 million (USD),,145000.0,225000.0</t>
  </si>
  <si>
    <t>Data Scientist,3.8,Enterprise Solutions Inc,"New York, NY","Naperville, IL",51 to 200 employees,2000.0,Company - Private,Staffing &amp; Outsourcing,Business Services,$25 to $50 million (USD),,145000.0,225000.0</t>
  </si>
  <si>
    <t>Analytics - Business Assurance Data Analyst,4.6,GreatAmerica Financial Services,"Cedar Rapids, IA","Cedar Rapids, IA",501 to 1000 employees,1992.0,Company - Private,Lending,Finance,$100 to $500 million (USD),,145000.0,225000.0</t>
  </si>
  <si>
    <t>Data Scientist,,Microagility,"New York, NY","Princeton, NJ",1 to 50 employees,,Company - Private,Consulting,Business Services,$1 to $5 million (USD),,145000.0,225000.0</t>
  </si>
  <si>
    <t>Data Scientist,4.6,"Conch Technologies, Inc","Concord, CA","Memphis, TN",51 to 200 employees,,Company - Private,Consulting,Business Services,$5 to $10 million (USD),,145000.0,225000.0</t>
  </si>
  <si>
    <t>Development Scientist, Voltaren,3.9,GSK,"Richmond, VA","Brentford, United Kingdom",10000+ employees,1830.0,Company - Public,Biotech &amp; Pharmaceuticals,Biotech &amp; Pharmaceuticals,$10+ billion (USD),"Pfizer, AstraZeneca, Merck",145000.0,225000.0</t>
  </si>
  <si>
    <t>Data Scientist,,"Rainmaker Resources, LLC","Cincinnati, OH","Cincinnati, OH",1 to 50 employees,,Company - Private,-1,-1,,,145000.0,225000.0</t>
  </si>
  <si>
    <t>Data Scientist,3.7,GovTech,"San Francisco, CA","Singapore, Singapore",1001 to 5000 employees,2016.0,Government,Federal Agencies,Government,,,79000.0,147000.0</t>
  </si>
  <si>
    <t>Data Scientist,3.3,Intellectual Ventures,"Bellevue, WA","Bellevue, WA",501 to 1000 employees,2000.0,Company - Private,Investment Banking &amp; Asset Management,Finance,,,79000.0,147000.0</t>
  </si>
  <si>
    <t>Data Engineer,4.4,Rocket Lawyer,"San Francisco, CA","San Francisco, CA",51 to 200 employees,2008.0,Company - Private,Computer Hardware &amp; Software,Information Technology,$50 to $100 million (USD),,79000.0,147000.0</t>
  </si>
  <si>
    <t>Data Scientist,3.7,22nd Century Technologies,"Oakland, CA","Somerset, NJ",1001 to 5000 employees,1997.0,Company - Private,IT Services,Information Technology,$25 to $50 million (USD),,79000.0,147000.0</t>
  </si>
  <si>
    <t>Data Scientist,3.3,Huxley,"San Francisco, CA","London, United Kingdom",201 to 500 employees,1995.0,Company - Private,Staffing &amp; Outsourcing,Business Services,$25 to $50 million (USD),,79000.0,147000.0</t>
  </si>
  <si>
    <t>Data Scientist,3.4,FM Systems,"Boston, MA","Raleigh, NC",51 to 200 employees,1984.0,Company - Private,Computer Hardware &amp; Software,Information Technology,$5 to $10 million (USD),"Archibus, iOffice, Planon",79000.0,147000.0</t>
  </si>
  <si>
    <t>Data Scientist,,B4Corp,"Reston, VA","Leesburg, VA",51 to 200 employees,,Company - Private,IT Services,Information Technology,,,79000.0,147000.0</t>
  </si>
  <si>
    <t>Machine Learning Engineer,3.7,Mteq,"Fort Belvoir, VA","Lorton, VA",501 to 1000 employees,1954.0,Company - Public,Aerospace &amp; Defense,Aerospace &amp; Defense,$100 to $500 million (USD),"Harris, Fibertek",79000.0,147000.0</t>
  </si>
  <si>
    <t>Principal Data &amp; Analytics Platform Engineer,3.7,Blue Cross and Blue Shield of North Carolina,"Durham, NC","Durham, NC",1001 to 5000 employees,1933.0,Company - Private,Insurance Carriers,Insurance,$5 to $10 billion (USD),,79000.0,147000.0</t>
  </si>
  <si>
    <t>Machine Learning Engineer/Scientist,4.8,Jane Street,"New York, NY","New York, NY",501 to 1000 employees,2000.0,Company - Private,Investment Banking &amp; Asset Management,Finance,,,79000.0,147000.0</t>
  </si>
  <si>
    <t>Data Scientist,5.0,SSATI,"McLean, VA","Annapolis Junction, MD",1 to 50 employees,2003.0,Company - Private,Computer Hardware &amp; Software,Information Technology,$10 to $25 million (USD),,79000.0,147000.0</t>
  </si>
  <si>
    <t>Senior Data Scientist – Image Analytics, Novartis AI Innovation Lab,3.9,Novartis,"Cambridge, MA","Basel, Switzerland",10000+ employees,1996.0,Company - Public,Biotech &amp; Pharmaceuticals,Biotech &amp; Pharmaceuticals,$10+ billion (USD),,79000.0,147000.0</t>
  </si>
  <si>
    <t>Data Scientist,3.4,Solving IT International Inc,"Chicago, IL","Chicago, IL",501 to 1000 employees,,Company - Private,-1,-1,,,79000.0,147000.0</t>
  </si>
  <si>
    <t>Data Scientist,3.3,The Davey Tree Expert Company,"Kent, OH","Kent, OH",10000+ employees,1880.0,Self-employed,Timber Operations,Agriculture &amp; Forestry,$1 to $2 billion (USD),"ACRT Services, Bartlett Tree Experts",79000.0,147000.0</t>
  </si>
  <si>
    <t>Data Scientist,4.6,Centauri,"Reston, VA","Chantilly, VA",501 to 1000 employees,1999.0,Company - Private,Aerospace &amp; Defense,Aerospace &amp; Defense,$100 to $500 million (USD),"TASC, Vencore, Booz Allen Hamilton",79000.0,147000.0</t>
  </si>
  <si>
    <t>Data Scientist,,Stride Search,"San Francisco, CA","Westlake Village, CA",1 to 50 employees,,Company - Private,-1,-1,Less than $1 million (USD),,79000.0,147000.0</t>
  </si>
  <si>
    <t>Machine Learning Engineer,2.6,Software Engineering Institute,"Pittsburgh, PA","Pittsburgh, PA",501 to 1000 employees,1984.0,College / University,Colleges &amp; Universities,Education,,,79000.0,147000.0</t>
  </si>
  <si>
    <t>Data Analyst - Unilever Prestige,3.8,Dermalogica,"Carson, CA","Carson, CA",201 to 500 employees,1986.0,Subsidiary or Business Segment,Consumer Products Manufacturing,Manufacturing,$100 to $500 million (USD),"IMAGE Skincare, Aveda, Kiehl's",79000.0,147000.0</t>
  </si>
  <si>
    <t>Data Scientist,4.8,TechProjects,"New York, NY","North Brunswick, NJ",1 to 50 employees,2011.0,Company - Private,IT Services,Information Technology,,,79000.0,147000.0</t>
  </si>
  <si>
    <t>VP, Data Science,3.9,7Park Data,"New York, NY","New York, NY",51 to 200 employees,2012.0,Company - Private,Research &amp; Development,Business Services,,,79000.0,147000.0</t>
  </si>
  <si>
    <t>Data Scientist,4.0,Netskope,"Santa Clara, CA","Santa Clara, CA",501 to 1000 employees,2012.0,Company - Private,Enterprise Software &amp; Network Solutions,Information Technology,,"Skyhigh Networks, Zscaler, NortonLifeLock",122000.0,146000.0</t>
  </si>
  <si>
    <t>Data Scientist,4.2,Eversight,"Palo Alto, CA","Palo Alto, CA",51 to 200 employees,2013.0,Company - Private,Enterprise Software &amp; Network Solutions,Information Technology,$10 to $25 million (USD),,122000.0,146000.0</t>
  </si>
  <si>
    <t>Senior Business Intelligence Analyst,3.7,Protolabs,"Maple Plain, MN","Maple Plain, MN",1001 to 5000 employees,1999.0,Company - Public,Miscellaneous Manufacturing,Manufacturing,$100 to $500 million (USD),,122000.0,146000.0</t>
  </si>
  <si>
    <t>Data Scientist,3.0,Ameritas Life Insurance Corp,"Cincinnati, OH","Lincoln, NE",1001 to 5000 employees,1887.0,Company - Private,Insurance Agencies &amp; Brokerages,Insurance,$2 to $5 billion (USD),,122000.0,146000.0</t>
  </si>
  <si>
    <t>Data Engineer - Kafka,3.5,Western Digital,"San Jose, CA","San Jose, CA",10000+ employees,1970.0,Company - Public,Computer Hardware &amp; Software,Information Technology,$10+ billion (USD),"Seagate Technology, Toshiba",122000.0,146000.0</t>
  </si>
  <si>
    <t>Data Scientist,2.9,"Shimento, Inc.","Santa Clara, CA","Benicia, CA",1 to 50 employees,,Company - Private,-1,-1,$1 to $5 million (USD),,122000.0,146000.0</t>
  </si>
  <si>
    <t>Data Scientist,5.0,Averity,"New York, NY","New York, NY",1 to 50 employees,2014.0,Company - Private,Staffing &amp; Outsourcing,Business Services,,,122000.0,146000.0</t>
  </si>
  <si>
    <t>Data Scientist,4.7,Praxis Engineering,"Chantilly, VA","Annapolis Junction, MD",201 to 500 employees,2002.0,Subsidiary or Business Segment,Computer Hardware &amp; Software,Information Technology,$100 to $500 million (USD),"Raytheon Technologies, Northrop Grumman, Booz Allen Hamilton",122000.0,146000.0</t>
  </si>
  <si>
    <t>Data Scientist,,Point72 Ventures,"Palo Alto, CA",-1,-1,,-1,-1,-1,-1,,122000.0,146000.0</t>
  </si>
  <si>
    <t>Decision Scientist,4.5,Johns Hopkins University Applied Physics Laboratory,"Laurel, MD","Laurel, MD",5001 to 10000 employees,1942.0,Nonprofit Organization,Aerospace &amp; Defense,Aerospace &amp; Defense,$1 to $2 billion (USD),"MIT Lincoln Laboratory, Lockheed Martin, Northrop Grumman",122000.0,146000.0</t>
  </si>
  <si>
    <t>Data Scientist,4.9,Cambridge Mobile Telematics,"Cambridge, MA","Cambridge, MA",1 to 50 employees,2010.0,Company - Private,Enterprise Software &amp; Network Solutions,Information Technology,,,122000.0,146000.0</t>
  </si>
  <si>
    <t>Data Science All Star Program - Data Engineer Track,4.6,Blend360,"Columbia, MD","Columbia, MD",51 to 200 employees,2002.0,Company - Private,Consulting,Business Services,,,122000.0,146000.0</t>
  </si>
  <si>
    <t>Data Scientist - TS/SCI FSP or CI Required,5.0,Phoenix Operations Group,"Annapolis Junction, MD","Woodbine, MD",1 to 50 employees,2011.0,Company - Private,IT Services,Information Technology,$1 to $5 million (USD),,122000.0,146000.0</t>
  </si>
  <si>
    <t>Data Analyst,3.9,Nolij Consulting,"Falls Church, VA","Vienna, VA",51 to 200 employees,2012.0,Company - Public,Consulting,Business Services,$1 to $5 million (USD),,122000.0,146000.0</t>
  </si>
  <si>
    <t>Data Scientist,,Hatch Data Inc,"San Francisco, CA",-1,-1,,-1,-1,-1,-1,,122000.0,146000.0</t>
  </si>
  <si>
    <t>Senior Data Scientist,3.5,Maxar Technologies,"Herndon, VA","Westminster, CO",5001 to 10000 employees,,Company - Public,Aerospace &amp; Defense,Aerospace &amp; Defense,$2 to $5 billion (USD),,122000.0,146000.0</t>
  </si>
  <si>
    <t>Data Scientist,4.3,Quick Base,"Cambridge, MA","Cambridge, MA",201 to 500 employees,1999.0,Company - Private,Enterprise Software &amp; Network Solutions,Information Technology,,,112000.0,116000.0</t>
  </si>
  <si>
    <t>Data Scientist,3.7,Takeda,"Cambridge, MA","OSAKA, Japan",10000+ employees,1781.0,Company - Public,Biotech &amp; Pharmaceuticals,Biotech &amp; Pharmaceuticals,$10+ billion (USD),"Novartis, Baxter, Pfizer",112000.0,116000.0</t>
  </si>
  <si>
    <t>Data Scientist,3.5,Maxar Technologies,"Herndon, VA","Westminster, CO",5001 to 10000 employees,,Company - Public,Aerospace &amp; Defense,Aerospace &amp; Defense,$2 to $5 billion (USD),,112000.0,116000.0</t>
  </si>
  <si>
    <t>ENGINEER - COMPUTER SCIENTIST - RESEARCH COMPUTER SCIENTIST - SIGNAL PROCESSING - SAN ANTONIO OR,3.9,Southwest Research Institute,"Oklahoma City, OK","San Antonio, TX",1001 to 5000 employees,1947.0,Nonprofit Organization,Research &amp; Development,Business Services,$500 million to $1 billion (USD),"Los Alamos National Laboratory, Battelle, SRI International",112000.0,116000.0</t>
  </si>
  <si>
    <t>Data Scientist,4.7,Compass Consulting Group,"Thousand Oaks, CA","Danville, CA",51 to 200 employees,2008.0,Company - Private,Consulting,Business Services,,,112000.0,116000.0</t>
  </si>
  <si>
    <t>Data Science Software Engineer,4.8,Klaviyo,"Boston, MA","Boston, MA",201 to 500 employees,2012.0,Company - Private,Computer Hardware &amp; Software,Information Technology,,,112000.0,116000.0</t>
  </si>
  <si>
    <t>AI Ops Data Scientist,4.0,AstraZeneca,"Gaithersburg, MD","Cambridge, United Kingdom",10000+ employees,1913.0,Company - Public,Biotech &amp; Pharmaceuticals,Biotech &amp; Pharmaceuticals,$10+ billion (USD),"Roche, GlaxoSmithKline, Novartis",112000.0,116000.0</t>
  </si>
  <si>
    <t>Data Scientist,4.4,"SolutionIT, Inc.","Edison, NJ","Wilmington, MA",51 to 200 employees,,Company - Private,-1,-1,,,112000.0,116000.0</t>
  </si>
  <si>
    <t>Data Scientist,3.2,Perspecta,"Adelphi, MD","Chantilly, VA",10000+ employees,2018.0,Company - Public,Aerospace &amp; Defense,Aerospace &amp; Defense,,,112000.0,116000.0</t>
  </si>
  <si>
    <t>Data Scientist,4.5,Smith Hanley Associates,"Washington, DC","New York, 061",1 to 50 employees,1980.0,Company - Private,Staffing &amp; Outsourcing,Business Services,,"Kforce, PageGroup, Robert Half",112000.0,116000.0</t>
  </si>
  <si>
    <t>Scientist - Machine Learning,3.5,Allen Institute,"Seattle, WA","Seattle, WA",201 to 500 employees,2003.0,Nonprofit Organization,Research &amp; Development,Business Services,$100 to $500 million (USD),,112000.0,116000.0</t>
  </si>
  <si>
    <t>Data Scientist,4.4,Eliassen Group,"Plano, TX","Reading, MA",1001 to 5000 employees,1989.0,Company - Private,Staffing &amp; Outsourcing,Business Services,$100 to $500 million (USD),"TEKsystems, Kforce, Randstad US",112000.0,116000.0</t>
  </si>
  <si>
    <t>Data Scientist,3.1,Bayside Solutions,"Sunnyvale, CA","Pleasanton, CA",1 to 50 employees,2001.0,Company - Private,Staffing &amp; Outsourcing,Business Services,$1 to $5 million (USD),,112000.0,116000.0</t>
  </si>
  <si>
    <t>Sr. Data Scientist,3.5,Evolve Vacation Rental,"Denver, CO","Denver, CO",201 to 500 employees,2011.0,Company - Private,Travel Agencies,Travel &amp; Tourism,,,112000.0,116000.0</t>
  </si>
  <si>
    <t>Data Scientist,3.8,AgreeYa Solutions,"Thousand Oaks, CA","Folsom, CA",1001 to 5000 employees,1999.0,Company - Private,IT Services,Information Technology,$50 to $100 million (USD),,112000.0,116000.0</t>
  </si>
  <si>
    <t>Data Scientist,3.7,Carolina Power &amp; Light Co,"McLean, VA","Raleigh, NC",5001 to 10000 employees,1908.0,Subsidiary or Business Segment,Energy,"Oil, Gas, Energy &amp; Utilities",,"South Carolina Electric &amp; Gas, Virginia Electric and Power",112000.0,116000.0</t>
  </si>
  <si>
    <t>Analytics Manager - Data Mart,3.5,Central California Alliance for Health,"Scotts Valley, CA","Scotts Valley, CA",501 to 1000 employees,1996.0,Nonprofit Organization,Health Care Services &amp; Hospitals,Health Care,$500 million to $1 billion (USD),,112000.0,116000.0</t>
  </si>
  <si>
    <t>Data Modeler (Analytical Systems),3.7,MassMutual,"Boston, MA","Springfield, MA",5001 to 10000 employees,1851.0,Company - Private,Insurance Carriers,Insurance,$10+ billion (USD),,112000.0,116000.0</t>
  </si>
  <si>
    <t>Applied AI Scientist / Engineer,5.0,"New Iron Group, Inc.","Boston, MA","Austin, TX",1 to 50 employees,2003.0,Contract,Computer Hardware &amp; Software,Information Technology,,,112000.0,116000.0</t>
  </si>
  <si>
    <t>Data Engineer (Analytics, SQL, Python, AWS),4.0,Travelers,"Hartford, CT","Hartford, CT",10000+ employees,1853.0,Company - Public,Insurance Carriers,Insurance,$10+ billion (USD),,112000.0,116000.0</t>
  </si>
  <si>
    <t>Senior Data Analyst - Finance &amp; Platform Analytics,3.6,Twitch,"San Francisco, CA","San Francisco, CA",1001 to 5000 employees,2011.0,Subsidiary or Business Segment,Internet,Information Technology,,,112000.0,116000.0</t>
  </si>
  <si>
    <t>Senior Data Scientist,4.8,Klaviyo,"Boston, MA","Boston, MA",201 to 500 employees,2012.0,Company - Private,Computer Hardware &amp; Software,Information Technology,,,110000.0,163000.0</t>
  </si>
  <si>
    <t>Market Research Data Scientist,3.8,GutCheck,"Denver, CO","Denver, CO",51 to 200 employees,2009.0,Company - Private,Advertising &amp; Marketing,Business Services,$10 to $25 million (USD),"Nielsen, Zappi, SurveyMonkey",110000.0,163000.0</t>
  </si>
  <si>
    <t>IT Partner Digital Health Technology and Data Science,3.6,Biogen,"Cambridge, MA","Cambridge, MA",5001 to 10000 employees,1978.0,Company - Public,Biotech &amp; Pharmaceuticals,Biotech &amp; Pharmaceuticals,$10+ billion (USD),,110000.0,163000.0</t>
  </si>
  <si>
    <t>Data Scientist,,HireAi,"San Francisco, CA",-1,-1,,-1,-1,-1,-1,,110000.0,163000.0</t>
  </si>
  <si>
    <t>Senior Machine Learning Scientist - Bay Area, CA,3.3,Tempus Labs,"Redwood City, CA","Chicago, IL",501 to 1000 employees,2015.0,Company - Private,Biotech &amp; Pharmaceuticals,Biotech &amp; Pharmaceuticals,,,110000.0,163000.0</t>
  </si>
  <si>
    <t>Software Engineer (Data Scientist, C,C++,Linux,Unix) - SISW - MG,4.1,Mentor Graphics,"Fremont, CA","Wilsonville, OR",5001 to 10000 employees,1981.0,Company - Public,Computer Hardware &amp; Software,Information Technology,$1 to $2 billion (USD),"Cadence Design Systems, Synopsys, Altium Limited",110000.0,163000.0</t>
  </si>
  <si>
    <t>Senior Clinical Data Scientist Programmer,3.6,WCG (WIRB-Copernicus Group),"Hamilton, NJ","Princeton, NJ",1001 to 5000 employees,,Company - Private,Biotech &amp; Pharmaceuticals,Biotech &amp; Pharmaceuticals,$100 to $500 million (USD),,110000.0,163000.0</t>
  </si>
  <si>
    <t>Data Engineer,4.5,Kingfisher Systems,"Falls Church, VA","Falls Church, VA",51 to 200 employees,2005.0,Company - Private,Federal Agencies,Government,$25 to $50 million (USD),,110000.0,163000.0</t>
  </si>
  <si>
    <t>Computer Vision / Deep Learning Scientist,3.3,Tempus Labs,"Chicago, IL","Chicago, IL",501 to 1000 employees,2015.0,Company - Private,Biotech &amp; Pharmaceuticals,Biotech &amp; Pharmaceuticals,,,110000.0,163000.0</t>
  </si>
  <si>
    <t>Data Solutions Engineer - Data Modeler,3.4,Liberty Mutual Insurance,"Indianapolis, IN","Boston, MA",10000+ employees,1912.0,Company - Private,Insurance Carriers,Insurance,$10+ billion (USD),"Travelers, Allstate, State Farm",110000.0,163000.0</t>
  </si>
  <si>
    <t>Data Scientist,4.3,Visionary Integration Professionals,"Washington, DC","Folsom, CA",501 to 1000 employees,1996.0,Company - Private,IT Services,Information Technology,$100 to $500 million (USD),"CGI (Nevada), Accenture, Deloitte",110000.0,163000.0</t>
  </si>
  <si>
    <t>Data Scientist (TS/SCI w/ Poly),3.5,Maxar Technologies,"Herndon, VA","Westminster, CO",5001 to 10000 employees,,Company - Public,Aerospace &amp; Defense,Aerospace &amp; Defense,$2 to $5 billion (USD),,110000.0,163000.0</t>
  </si>
  <si>
    <t>Weapons and Sensors Engineer/Scientist,4.0,Dynetics,"Huntsville, AL","Huntsville, AL",1001 to 5000 employees,1974.0,Company - Private,Aerospace &amp; Defense,Aerospace &amp; Defense,$100 to $500 million (USD),,110000.0,163000.0</t>
  </si>
  <si>
    <t>Applied Computer Scientist,4.5,Systems &amp; Technology Research,"Woburn, MA","Woburn, MA",201 to 500 employees,2010.0,Company - Private,Aerospace &amp; Defense,Aerospace &amp; Defense,$100 to $500 million (USD),,110000.0,163000.0</t>
  </si>
  <si>
    <t>Senior Data Analyst,4.5,Novetta,"Herndon, VA","Mc Lean, VA",501 to 1000 employees,2012.0,Company - Private,Enterprise Software &amp; Network Solutions,Information Technology,$100 to $500 million (USD),"Leidos, CACI International, Booz Allen Hamilton",110000.0,163000.0</t>
  </si>
  <si>
    <t>Cloud Data Engineer (Azure),3.9,Navy Federal Credit Union,"Merrifield, VA","Vienna, VA",10000+ employees,1933.0,Other Organization,Banks &amp; Credit Unions,Finance,,,110000.0,163000.0</t>
  </si>
  <si>
    <t>Lead Certified Clinical Laboratory Scientist - Saturday - Tuesday, 8:00pm - 6:30am shift,4.0,Exact Sciences Corporation,"Madison, WI","Madison, WI",1001 to 5000 employees,1995.0,Company - Public,Health Care Services &amp; Hospitals,Health Care,$100 to $500 million (USD),,110000.0,163000.0</t>
  </si>
  <si>
    <t>Sr. Data Analyst,3.6,Community Behavioral Health,"Philadelphia, PA","Phila, PA",201 to 500 employees,1994.0,Company - Private,Health Care Services &amp; Hospitals,Health Care,$500 million to $1 billion (USD),,110000.0,163000.0</t>
  </si>
  <si>
    <t>Senior Scientist - Toxicologist - Product Integrity (Stewardship),3.3,Reynolds American,"Winston-Salem, NC","Winston-Salem, NC",5001 to 10000 employees,1875.0,Company - Private,Consumer Products Manufacturing,Manufacturing,$10+ billion (USD),,110000.0,163000.0</t>
  </si>
  <si>
    <t>Senior Machine Learning Engineer,5.0,LifeOmic,"Raleigh, NC","Indianapolis, IN",51 to 200 employees,2016.0,Company - Private,Enterprise Software &amp; Network Solutions,Information Technology,,,110000.0,163000.0</t>
  </si>
  <si>
    <t>Product Data Scientist - Ads Data Science,4.1,Twitter,"San Francisco, CA","San Francisco, CA",1001 to 5000 employees,2006.0,Company - Public,Internet,Information Technology,$2 to $5 billion (USD),"Facebook, Google, Pinterest",124000.0,198000.0</t>
  </si>
  <si>
    <t>Data Scientist,3.2,Postmates - Corporate HQ,"San Francisco, CA","San Francisco, CA",1001 to 5000 employees,2011.0,Company - Private,Express Delivery Services,Transportation &amp; Logistics,,"DoorDash, Uber, Grubhub",124000.0,198000.0</t>
  </si>
  <si>
    <t>Data Scientist,4.9,"Visionist, Inc.","Columbia, MD","Columbia, MD",51 to 200 employees,2010.0,Company - Private,Enterprise Software &amp; Network Solutions,Information Technology,$10 to $25 million (USD),,124000.0,198000.0</t>
  </si>
  <si>
    <t>Data Scientist,,Navio,"San Mateo, CA","Half Moon Bay, CA",Unknown,,Unknown,-1,-1,,,124000.0,198000.0</t>
  </si>
  <si>
    <t>Data Scientist,3.3,Concerto HealthAI,"Boston, MA","Boston, MA",201 to 500 employees,2018.0,Company - Private,Biotech &amp; Pharmaceuticals,Biotech &amp; Pharmaceuticals,,,124000.0,198000.0</t>
  </si>
  <si>
    <t>Data Scientist,,Evolvinc,"Burbank, CA","Los Angeles, CA",1 to 50 employees,2005.0,Company - Private,IT Services,Information Technology,,,124000.0,198000.0</t>
  </si>
  <si>
    <t>Data Scientist,5.0,PROPRIUS,"Sunnyvale, CA","London, United Kingdom",1 to 50 employees,,Company - Private,Enterprise Software &amp; Network Solutions,Information Technology,,,124000.0,198000.0</t>
  </si>
  <si>
    <t>Data Scientist,3.4,TECHNOCRAFT Solutions,"San Ramon, CA","Hilliard, OH",1 to 50 employees,,Company - Private,Advertising &amp; Marketing,Business Services,$1 to $5 million (USD),,124000.0,198000.0</t>
  </si>
  <si>
    <t>Data Scientist,4.1,"Latitude, Inc.","Washington, DC","Hanover, MD",1 to 50 employees,,Company - Private,Consulting,Business Services,$1 to $5 million (USD),,124000.0,198000.0</t>
  </si>
  <si>
    <t>Data Scientist,5.0,Royce Geospatial,"Springfield, VA","Arlington, VA",51 to 200 employees,2014.0,Company - Private,Aerospace &amp; Defense,Aerospace &amp; Defense,$10 to $25 million (USD),,124000.0,198000.0</t>
  </si>
  <si>
    <t>Data Scientist,4.2,CyberCoders,"Phoenix, AZ","Irvine, CA",201 to 500 employees,1999.0,Subsidiary or Business Segment,Staffing &amp; Outsourcing,Business Services,$100 to $500 million (USD),,124000.0,198000.0</t>
  </si>
  <si>
    <t>Data Scientist,3.7,Booz Allen Hamilton Inc.,"Oxnard, CA","Mc Lean, VA",10000+ employees,1914.0,Company - Public,Consulting,Business Services,$5 to $10 billion (USD),"Accenture, Deloitte, PwC",124000.0,198000.0</t>
  </si>
  <si>
    <t>Data Scientist,3.8,Burns &amp; McDonnell,"Kansas City, MO","Kansas City, MO",5001 to 10000 employees,1898.0,Company - Private,Architectural &amp; Engineering Services,Business Services,$1 to $2 billion (USD),"Bechtel Jacobs, Black &amp; Veatch, HNTB",124000.0,198000.0</t>
  </si>
  <si>
    <t>Data Scientist,4.8,InvenTech Info,"Jersey City, NJ","Bengaluru, India",201 to 500 employees,2010.0,Company - Private,IT Services,Information Technology,$1 to $5 million (USD),,124000.0,198000.0</t>
  </si>
  <si>
    <t>Data Scientist,3.5,Robert Half,"Manchester, NH","Menlo Park, CA",10000+ employees,1948.0,Company - Public,Staffing &amp; Outsourcing,Business Services,$2 to $5 billion (USD),"Adecco, Manpower",124000.0,198000.0</t>
  </si>
  <si>
    <t>Analytics - Business Assurance Data Analyst,4.6,GreatAmerica Financial Services,"Cedar Rapids, IA","Cedar Rapids, IA",501 to 1000 employees,1992.0,Company - Private,Lending,Finance,$100 to $500 million (USD),,124000.0,198000.0</t>
  </si>
  <si>
    <t>Data Scientist,4.5,Conflux Systems Inc.,"Winters, TX","Alpharetta, GA",1 to 50 employees,,Company - Private,Accounting,Accounting &amp; Legal,Less than $1 million (USD),,124000.0,198000.0</t>
  </si>
  <si>
    <t>Data Scientist,3.9,Criteo,"Ann Arbor, MI","Paris, France",1001 to 5000 employees,2005.0,Company - Public,Internet,Information Technology,$2 to $5 billion (USD),"MediaMath, Conversant, AppNexus",124000.0,198000.0</t>
  </si>
  <si>
    <t>Data Scientist,3.4,Voice,"Brooklyn, NY",-1,Unknown,,Company - Private,-1,-1,,,124000.0,198000.0</t>
  </si>
  <si>
    <t>Data Scientist,,Microagility,"New York, NY","Princeton, NJ",1 to 50 employees,,Company - Private,Consulting,Business Services,$1 to $5 million (USD),,124000.0,198000.0</t>
  </si>
  <si>
    <t>Data Scientist,4.1,Coverent,"McLean, VA","McLean, VA",51 to 200 employees,2008.0,Company - Private,Consulting,Business Services,$10 to $25 million (USD),,124000.0,198000.0</t>
  </si>
  <si>
    <t>Data Scientist,3.7,Via Transportation,"New York, NY","New York, NY",501 to 1000 employees,2012.0,Company - Private,Internet,Information Technology,,,79000.0,133000.0</t>
  </si>
  <si>
    <t>Senior Data Scientist,3.5,Benson Hill,"Saint Louis, MO","Saint Louis, MO",201 to 500 employees,2012.0,Company - Private,Biotech &amp; Pharmaceuticals,Biotech &amp; Pharmaceuticals,$1 to $5 million (USD),,79000.0,133000.0</t>
  </si>
  <si>
    <t>Data Scientist,4.6,"Conch Technologies, Inc","Concord, CA","Memphis, TN",51 to 200 employees,,Company - Private,Consulting,Business Services,$5 to $10 million (USD),,79000.0,133000.0</t>
  </si>
  <si>
    <t>Data Scientist,,Falcon IT &amp; Staffing Solutions,"Fort Belvoir, VA","Washington, DC",Unknown,,Company - Public,-1,-1,,,79000.0,133000.0</t>
  </si>
  <si>
    <t>Data Scientist,,"Rainmaker Resources, LLC","Cincinnati, OH","Cincinnati, OH",1 to 50 employees,,Company - Private,-1,-1,,,79000.0,133000.0</t>
  </si>
  <si>
    <t>Data Engineer,4.4,Rocket Lawyer,"San Francisco, CA","San Francisco, CA",51 to 200 employees,2008.0,Company - Private,Computer Hardware &amp; Software,Information Technology,$50 to $100 million (USD),,79000.0,133000.0</t>
  </si>
  <si>
    <t>Data Scientist,3.6,DataLab USA,"Germantown, MD","Germantown, MD",51 to 200 employees,,Company - Private,IT Services,Information Technology,,"Acxiom, Merkle, Epsilon (North Carolina)",79000.0,133000.0</t>
  </si>
  <si>
    <t>Data Scientist,3.1,Werner Enterprises Inc,"Omaha, NE","Omaha, NE",10000+ employees,1956.0,Company - Public,Logistics &amp; Supply Chain,Transportation &amp; Logistics,$2 to $5 billion (USD),,79000.0,133000.0</t>
  </si>
  <si>
    <t>Data Scientist,5.0,PeopleCom,"McLean, VA","Reston, VA",1 to 50 employees,,Company - Private,-1,-1,$1 to $5 million (USD),,79000.0,133000.0</t>
  </si>
  <si>
    <t>Data Scientist - Machine Learning,5.0,VANTA Partners,"Open Fork, VA","Clifton Park, NY",1 to 50 employees,2018.0,Company - Private,Staffing &amp; Outsourcing,Business Services,,,79000.0,133000.0</t>
  </si>
  <si>
    <t>Data Scientist,,B4Corp,"Reston, VA","Leesburg, VA",51 to 200 employees,,Company - Private,IT Services,Information Technology,,,79000.0,133000.0</t>
  </si>
  <si>
    <t>Data Scientist,,"Blue Icy Water, LLC",United States,"Livonia, MI",1 to 50 employees,,Company - Private,-1,-1,,,79000.0,133000.0</t>
  </si>
  <si>
    <t>Data Scientist,3.5,"Farmer's Business Network, Inc.","San Carlos, CA","San Carlos, CA",201 to 500 employees,2014.0,Company - Private,Farm Support Services,Agriculture &amp; Forestry,,,79000.0,133000.0</t>
  </si>
  <si>
    <t>Data Scientist,,Sonde Health,"Boston, MA","Boston, MA",1 to 50 employees,,Private Practice / Firm,Health Care Services &amp; Hospitals,Health Care,Less than $1 million (USD),,79000.0,133000.0</t>
  </si>
  <si>
    <t>Data Scientist,5.0,Maxiom,"Ashburn, VA","Ashburn, VA",1 to 50 employees,,Company - Public,-1,-1,,,79000.0,133000.0</t>
  </si>
  <si>
    <t>Data Scientist,2.7,Change Healthcare,"Lombard, IL","Nashville, TN",10000+ employees,2007.0,Company - Public,IT Services,Information Technology,,,79000.0,133000.0</t>
  </si>
  <si>
    <t>Data Scientist,4.1,DCS Corp,"Hampton, VA","Alexandria, VA",1001 to 5000 employees,1977.0,Company - Private,Research &amp; Development,Business Services,$100 to $500 million (USD),,79000.0,133000.0</t>
  </si>
  <si>
    <t>Data Scientist,2.1,Hive (CA),"San Francisco, CA","Los Angeles, CA",Unknown,2019.0,Company - Private,Telecommunications Services,Telecommunications,,,79000.0,133000.0</t>
  </si>
  <si>
    <t>Machine Learning Engineer/Scientist,4.8,Jane Street,"New York, NY","New York, NY",501 to 1000 employees,2000.0,Company - Private,Investment Banking &amp; Asset Management,Finance,,,79000.0,133000.0</t>
  </si>
  <si>
    <t>Data Scientist - Intermediate,4.5,Envision LLC,"Saint Louis, MO","Saint Louis, MO",201 to 500 employees,1994.0,Company - Private,Staffing &amp; Outsourcing,Business Services,$25 to $50 million (USD),,69000.0,116000.0</t>
  </si>
  <si>
    <t>Principal Data Scientist,4.0,Autodesk,"San Francisco, CA","San Rafael, CA",5001 to 10000 employees,1982.0,Company - Public,Computer Hardware &amp; Software,Information Technology,$2 to $5 billion (USD),,69000.0,116000.0</t>
  </si>
  <si>
    <t>Data Scientist,3.3,Hackensack Meridian Health,"Edison, NJ","Edison, NJ",10000+ employees,,Nonprofit Organization,Health Care Services &amp; Hospitals,Health Care,$5 to $10 billion (USD),,69000.0,116000.0</t>
  </si>
  <si>
    <t>Senior Data Scientist – Image Analytics, Novartis AI Innovation Lab,3.9,Novartis,"Cambridge, MA","Basel, Switzerland",10000+ employees,1996.0,Company - Public,Biotech &amp; Pharmaceuticals,Biotech &amp; Pharmaceuticals,$10+ billion (USD),,69000.0,116000.0</t>
  </si>
  <si>
    <t>Data Scientist,3.2,Net2Source Inc.,"Alpharetta, GA","Somerset, NJ",1001 to 5000 employees,2007.0,Company - Private,Staffing &amp; Outsourcing,Business Services,$100 to $500 million (USD),,69000.0,116000.0</t>
  </si>
  <si>
    <t>Data Scientist,3.2,The Trade Desk,"Boulder, CO","Ventura, CA",1001 to 5000 employees,2009.0,Company - Public,Internet,Information Technology,,,69000.0,116000.0</t>
  </si>
  <si>
    <t>Data Scientist- Industrial Discrete Sector Industry,3.7,IBM,"Atlanta, GA","Armonk, NY",10000+ employees,1911.0,Company - Public,IT Services,Information Technology,$10+ billion (USD),"Amazon, Accenture, Microsoft",69000.0,116000.0</t>
  </si>
  <si>
    <t>Data Scientist,4.4,Knowesis Inc.,"Falls Church, VA","Fairfax, VA",51 to 200 employees,2007.0,Company - Private,Consulting,Business Services,$25 to $50 million (USD),"Booz Allen Hamilton, Deloitte, ERPi",69000.0,116000.0</t>
  </si>
  <si>
    <t>Data Scientist,3.1,MoTek Technologies,"Mountain View, CA","San Jose, CA",1 to 50 employees,2009.0,Company - Private,IT Services,Information Technology,$1 to $5 million (USD),,69000.0,116000.0</t>
  </si>
  <si>
    <t>Data Scientist,3.3,The Davey Tree Expert Company,"Kent, OH","Kent, OH",10000+ employees,1880.0,Self-employed,Timber Operations,Agriculture &amp; Forestry,$1 to $2 billion (USD),"ACRT Services, Bartlett Tree Experts",69000.0,116000.0</t>
  </si>
  <si>
    <t>Data Scientist,3.5,HPOne,"Trumbull, CT","Trumbull, CT",501 to 1000 employees,2006.0,Company - Private,Insurance Carriers,Insurance,$50 to $100 million (USD),,69000.0,116000.0</t>
  </si>
  <si>
    <t>Data Scientist,,Stride Search,"San Francisco, CA","Westlake Village, CA",1 to 50 employees,,Company - Private,-1,-1,Less than $1 million (USD),,69000.0,116000.0</t>
  </si>
  <si>
    <t>Machine Learning Engineer,2.6,Software Engineering Institute,"Pittsburgh, PA","Pittsburgh, PA",501 to 1000 employees,1984.0,College / University,Colleges &amp; Universities,Education,,,69000.0,116000.0</t>
  </si>
  <si>
    <t>Data Scientist,,Blue Cloak LLC,"Sterling, VA",-1,-1,,-1,-1,-1,-1,,69000.0,116000.0</t>
  </si>
  <si>
    <t>Data Scientist,2.7,TBWA\Chiat\Day,"New York, NY","New York, NY",1001 to 5000 employees,1968.0,Company - Public,Advertising &amp; Marketing,Business Services,$100 to $500 million (USD),,69000.0,116000.0</t>
  </si>
  <si>
    <t>Data Scientist,3.5,ThreeBridge Solutions,"Alpharetta, GA","Minneapolis, MN",501 to 1000 employees,2009.0,Company - Private,Consulting,Business Services,,,69000.0,116000.0</t>
  </si>
  <si>
    <t>Data Scientist,3.2,"Numeric, LLC","Philadelphia, PA","Chadds Ford, PA",1 to 50 employees,,Company - Private,Staffing &amp; Outsourcing,Business Services,$5 to $10 million (USD),,69000.0,116000.0</t>
  </si>
  <si>
    <t>Data Analyst - Unilever Prestige,3.8,Dermalogica,"Carson, CA","Carson, CA",201 to 500 employees,1986.0,Subsidiary or Business Segment,Consumer Products Manufacturing,Manufacturing,$100 to $500 million (USD),"IMAGE Skincare, Aveda, Kiehl's",69000.0,116000.0</t>
  </si>
  <si>
    <t>Data Scientist,4.2,Centraprise,"Foster City, CA","Edison, NJ",51 to 200 employees,,Company - Private,IT Services,Information Technology,Less than $1 million (USD),,69000.0,116000.0</t>
  </si>
  <si>
    <t>Data Scientist,4.8,TechProjects,"New York, NY","North Brunswick, NJ",1 to 50 employees,2011.0,Company - Private,IT Services,Information Technology,,,69000.0,116000.0</t>
  </si>
  <si>
    <t>Data Scientist,4.2,DW Simpson,"Frederick, MD","Chicago, IL",51 to 200 employees,1989.0,Company - Private,Staffing &amp; Outsourcing,Business Services,$10 to $25 million (USD),,69000.0,116000.0</t>
  </si>
  <si>
    <t>Data &amp; Machine Learning Scientist,3.3,Tempus Labs,"Chicago, IL","Chicago, IL",501 to 1000 employees,2015.0,Company - Private,Biotech &amp; Pharmaceuticals,Biotech &amp; Pharmaceuticals,,,31000.0,56000.0</t>
  </si>
  <si>
    <t>Data Scientist,4.0,Grid Dynamics,"Santa Clara, CA","San Ramon, CA",1001 to 5000 employees,2006.0,Company - Private,Enterprise Software &amp; Network Solutions,Information Technology,$50 to $100 million (USD),"Luxoft, EPAM, Capgemini Invent",31000.0,56000.0</t>
  </si>
  <si>
    <t>VP, Data Science,3.9,7Park Data,"New York, NY","New York, NY",51 to 200 employees,2012.0,Company - Private,Research &amp; Development,Business Services,,,31000.0,56000.0</t>
  </si>
  <si>
    <t>Senior Business Intelligence Analyst,3.7,Protolabs,"Maple Plain, MN","Maple Plain, MN",1001 to 5000 employees,1999.0,Company - Public,Miscellaneous Manufacturing,Manufacturing,$100 to $500 million (USD),,31000.0,56000.0</t>
  </si>
  <si>
    <t>Data Scientist,3.9,LinQuest,"Colorado Springs, CO","Los Angeles, CA",501 to 1000 employees,2004.0,Company - Private,Aerospace &amp; Defense,Aerospace &amp; Defense,$50 to $100 million (USD),,31000.0,56000.0</t>
  </si>
  <si>
    <t>Data Engineer - Kafka,3.5,Western Digital,"San Jose, CA","San Jose, CA",10000+ employees,1970.0,Company - Public,Computer Hardware &amp; Software,Information Technology,$10+ billion (USD),"Seagate Technology, Toshiba",31000.0,56000.0</t>
  </si>
  <si>
    <t>Data Scientist,4.0,Trexquant Investment,United States,"Stamford, CT",1 to 50 employees,2012.0,Company - Private,Investment Banking &amp; Asset Management,Finance,,,31000.0,56000.0</t>
  </si>
  <si>
    <t>Data Scientist,3.0,Ameritas Life Insurance Corp,"Cincinnati, OH","Lincoln, NE",1001 to 5000 employees,1887.0,Company - Private,Insurance Agencies &amp; Brokerages,Insurance,$2 to $5 billion (USD),,31000.0,56000.0</t>
  </si>
  <si>
    <t>Data Scientist,3.7,Fleetcor,"Atlanta, GA","Atlanta, GA",5001 to 10000 employees,2000.0,Company - Public,Financial Transaction Processing,Finance,$2 to $5 billion (USD),,31000.0,56000.0</t>
  </si>
  <si>
    <t>Data Scientist,4.5,Radiant Digital,"Washington, DC","New York, NY",1 to 50 employees,,Company - Private,-1,-1,Less than $1 million (USD),,31000.0,56000.0</t>
  </si>
  <si>
    <t>Data Scientist,2.8,Child Care Aware of America,"Arlington, VA","Arlington, VA",51 to 200 employees,1987.0,Nonprofit Organization,Social Assistance,Non-Profit,$25 to $50 million (USD),,31000.0,56000.0</t>
  </si>
  <si>
    <t>Data Scientist,4.1,IntelliPro Group Inc.,"Santa Clara, CA","Santa Clara, CA",201 to 500 employees,,Company - Private,-1,-1,$10 to $25 million (USD),,31000.0,56000.0</t>
  </si>
  <si>
    <t>In-Line Inspection Data Analyst,2.9,Quest Integrity,"Tulsa, OK","Kent, WA",201 to 500 employees,1996.0,Company - Public,Oil &amp; Gas Services,"Oil, Gas, Energy &amp; Utilities",$50 to $100 million (USD),,31000.0,56000.0</t>
  </si>
  <si>
    <t>Data Scientist,4.7,Praxis Engineering,"Chantilly, VA","Annapolis Junction, MD",201 to 500 employees,2002.0,Subsidiary or Business Segment,Computer Hardware &amp; Software,Information Technology,$100 to $500 million (USD),"Raytheon Technologies, Northrop Grumman, Booz Allen Hamilton",31000.0,56000.0</t>
  </si>
  <si>
    <t>Data Scientist,3.4,USI,"Southfield, MI","Saint Paul, MN",1001 to 5000 employees,1998.0,Company - Private,Construction,"Construction, Repair &amp; Maintenance",$100 to $500 million (USD),,31000.0,56000.0</t>
  </si>
  <si>
    <t>Data Scientist,3.9,Apex Systems,"San Francisco, CA","Glen Allen, VA",1001 to 5000 employees,1995.0,Subsidiary or Business Segment,Staffing &amp; Outsourcing,Business Services,$2 to $5 billion (USD),"TEKsystems, Insight Global, Accenture",31000.0,56000.0</t>
  </si>
  <si>
    <t>Data Scientist,2.9,"Pragmatics, Inc.",United States,"Reston, VA",201 to 500 employees,1985.0,Company - Private,IT Services,Information Technology,$100 to $500 million (USD),,31000.0,56000.0</t>
  </si>
  <si>
    <t>Decision Scientist,4.5,Johns Hopkins University Applied Physics Laboratory,"Laurel, MD","Laurel, MD",5001 to 10000 employees,1942.0,Nonprofit Organization,Aerospace &amp; Defense,Aerospace &amp; Defense,$1 to $2 billion (USD),"MIT Lincoln Laboratory, Lockheed Martin, Northrop Grumman",31000.0,56000.0</t>
  </si>
  <si>
    <t>Data Scientist,4.9,Cambridge Mobile Telematics,"Cambridge, MA","Cambridge, MA",1 to 50 employees,2010.0,Company - Private,Enterprise Software &amp; Network Solutions,Information Technology,,,31000.0,56000.0</t>
  </si>
  <si>
    <t>Data Scientist - TS/SCI FSP or CI Required,5.0,Phoenix Operations Group,"Annapolis Junction, MD","Woodbine, MD",1 to 50 employees,2011.0,Company - Private,IT Services,Information Technology,$1 to $5 million (USD),,31000.0,56000.0</t>
  </si>
  <si>
    <t>Data Scientist, Applied Machine Learning - Bay Area,3.3,Tempus Labs,"Redwood City, CA","Chicago, IL",501 to 1000 employees,2015.0,Company - Private,Biotech &amp; Pharmaceuticals,Biotech &amp; Pharmaceuticals,,,95000.0,119000.0</t>
  </si>
  <si>
    <t>Data Scientist,3.5,The Knot Worldwide,"Washington, DC","Chevy Chase, MD",1001 to 5000 employees,2019.0,Company - Private,Internet,Information Technology,,Zola Registry,95000.0,119000.0</t>
  </si>
  <si>
    <t>Data Scientist,3.5,Crossover Health,"San Clemente, CA","Aliso Viejo, CA",1 to 50 employees,2010.0,Company - Private,Health Care Services &amp; Hospitals,Health Care,$1 to $5 million (USD),,95000.0,119000.0</t>
  </si>
  <si>
    <t>Data Scientist,4.0,Lorven Technologies Inc,"New York, NY","Plainsboro, NJ",1 to 50 employees,,Company - Private,Accounting,Accounting &amp; Legal,Less than $1 million (USD),,95000.0,119000.0</t>
  </si>
  <si>
    <t>Data Analyst,3.9,Nolij Consulting,"Falls Church, VA","Vienna, VA",51 to 200 employees,2012.0,Company - Public,Consulting,Business Services,$1 to $5 million (USD),,95000.0,119000.0</t>
  </si>
  <si>
    <t>Data Scientist,3.4,Dice.com,"Newton, MA","Denver, CO",201 to 500 employees,1990.0,Subsidiary or Business Segment,Staffing &amp; Outsourcing,Business Services,$100 to $500 million (USD),"Monster Worldwide, CareerBuilder, Craigslist",95000.0,119000.0</t>
  </si>
  <si>
    <t>Data Scientist,3.5,Gap Inc.,"San Francisco, CA","San Francisco, CA",10000+ employees,1969.0,Company - Public,"Department, Clothing, &amp; Shoe Stores",Retail,$10+ billion (USD),"H&amp;M, Inditex, Fast Retailing",95000.0,119000.0</t>
  </si>
  <si>
    <t>Data Scientist,4.7,"Tygart Technology, Inc","Washington, DC","Fairmont, WV",1 to 50 employees,,Company - Private,-1,-1,$1 to $5 million (USD),,95000.0,119000.0</t>
  </si>
  <si>
    <t>Data Scientist,,Hatch Data Inc,"San Francisco, CA",-1,-1,,-1,-1,-1,-1,,95000.0,119000.0</t>
  </si>
  <si>
    <t>Data Scientist,4.6,Murray Resources,"The Woodlands, TX","Houston, TX",1 to 50 employees,1988.0,Company - Private,Staffing &amp; Outsourcing,Business Services,$10 to $25 million (USD),,95000.0,119000.0</t>
  </si>
  <si>
    <t>Data Scientist,4.0,New York Technology Partners,"Seattle, WA","Jersey City, NJ",51 to 200 employees,1999.0,Company - Private,Computer Hardware &amp; Software,Information Technology,$10 to $25 million (USD),,95000.0,119000.0</t>
  </si>
  <si>
    <t>Data Scientist,4.0,Two95 International Inc.,"Chicago, IL","Cherry Hill, NJ",1 to 50 employees,,Company - Private,Staffing &amp; Outsourcing,Business Services,$1 to $5 million (USD),,95000.0,119000.0</t>
  </si>
  <si>
    <t>Data Scientist,,Sophinea,"Chantilly, VA",-1,1 to 50 employees,,Unknown,-1,-1,,,95000.0,119000.0</t>
  </si>
  <si>
    <t>Data Scientist,4.7,CRS Group,"Chicago, IL","Itasca, IL",51 to 200 employees,1994.0,Company - Private,Staffing &amp; Outsourcing,Business Services,$10 to $25 million (USD),,95000.0,119000.0</t>
  </si>
  <si>
    <t>Data Scientist,3.5,Blackstone Talent Group,"San Francisco, CA","San Francisco, CA",51 to 200 employees,1998.0,Company - Private,Consulting,Business Services,$25 to $50 million (USD),,95000.0,119000.0</t>
  </si>
  <si>
    <t>Data Scientist - TS/SCI Required,5.0,Phoenix Operations Group,"Baltimore, MD","Woodbine, MD",1 to 50 employees,2011.0,Company - Private,IT Services,Information Technology,$1 to $5 million (USD),,95000.0,119000.0</t>
  </si>
  <si>
    <t>Senior Principal Data Scientist (Python/R),4.1,Roche,"Pleasanton, CA","Basel, Switzerland",10000+ employees,1896.0,Company - Public,Biotech &amp; Pharmaceuticals,Biotech &amp; Pharmaceuticals,$10+ billion (USD),"Novartis, AstraZeneca, Siemens Healthineers",212000.0,331000.0</t>
  </si>
  <si>
    <t>Real World Science, Data Scientist,4.0,AstraZeneca,"Wilmington, DE","Cambridge, United Kingdom",10000+ employees,1913.0,Company - Public,Biotech &amp; Pharmaceuticals,Biotech &amp; Pharmaceuticals,$10+ billion (USD),"Roche, GlaxoSmithKline, Novartis",212000.0,331000.0</t>
  </si>
  <si>
    <t>Data Scientist,3.6,Creative Circle,United States,"Los Angeles, CA",201 to 500 employees,2002.0,Company - Public,Staffing &amp; Outsourcing,Business Services,,"Aquent, 24 Seven Talent",212000.0,331000.0</t>
  </si>
  <si>
    <t>Data Scientist(s)/Machine Learning Engineer,5.0,Blue Horizon Tek Solutions,"New York, NY","Coconut Creek, FL",1 to 50 employees,1987.0,Company - Private,Staffing &amp; Outsourcing,Business Services,,,212000.0,331000.0</t>
  </si>
  <si>
    <t>Senior Data Scientist,3.5,Maxar Technologies,"Herndon, VA","Westminster, CO",5001 to 10000 employees,,Company - Public,Aerospace &amp; Defense,Aerospace &amp; Defense,$2 to $5 billion (USD),,212000.0,331000.0</t>
  </si>
  <si>
    <t>Data Scientist,4.7,Sharpedge Solutions Inc,"Seattle, WA","Lombard, IL",Unknown,,Company - Private,Publishing,Media,Less than $1 million (USD),,212000.0,331000.0</t>
  </si>
  <si>
    <t>Data Scientist,3.5,Maxar Technologies,"Herndon, VA","Westminster, CO",5001 to 10000 employees,,Company - Public,Aerospace &amp; Defense,Aerospace &amp; Defense,$2 to $5 billion (USD),,212000.0,331000.0</t>
  </si>
  <si>
    <t>Data Scientist,3.6,Alaka`ina Foundation Family of Companies,"Fort Sam Houston, TX","Honolulu, HI",501 to 1000 employees,,Government,-1,-1,,,212000.0,331000.0</t>
  </si>
  <si>
    <t>ENGINEER - COMPUTER SCIENTIST - RESEARCH COMPUTER SCIENTIST - SIGNAL PROCESSING - SAN ANTONIO OR,3.9,Southwest Research Institute,"Oklahoma City, OK","San Antonio, TX",1001 to 5000 employees,1947.0,Nonprofit Organization,Research &amp; Development,Business Services,$500 million to $1 billion (USD),"Los Alamos National Laboratory, Battelle, SRI International",212000.0,331000.0</t>
  </si>
  <si>
    <t>Data Scientist,2.7,Hexagon US Federal,"Lexington Park, MD","Chantilly, VA",51 to 200 employees,2010.0,Company - Public,Aerospace &amp; Defense,Aerospace &amp; Defense,,,212000.0,331000.0</t>
  </si>
  <si>
    <t>Data Science Software Engineer,4.8,Klaviyo,"Boston, MA","Boston, MA",201 to 500 employees,2012.0,Company - Private,Computer Hardware &amp; Software,Information Technology,,,212000.0,331000.0</t>
  </si>
  <si>
    <t>Scientist / Group Lead, Cancer Biology,,Monte Rosa Therapeutics,"Cambridge, MA",-1,-1,,-1,-1,-1,-1,,212000.0,331000.0</t>
  </si>
  <si>
    <t>Data Scientist,4.0,Comtech Global Inc,"Washington, DC","Columbus, OH",51 to 200 employees,,Company - Private,"Health, Beauty, &amp; Fitness",Consumer Services,$5 to $10 million (USD),,212000.0,331000.0</t>
  </si>
  <si>
    <t>Data Scientist,3.8,"Aveshka, Inc.","Washington, DC","Arlington, VA",51 to 200 employees,2010.0,Company - Public,IT Services,Information Technology,$10 to $25 million (USD),,212000.0,331000.0</t>
  </si>
  <si>
    <t>Manager, Field Application Scientist, Southeast,4.2,10x Genomics,"Raleigh, NC","Pleasanton, CA",501 to 1000 employees,2012.0,Company - Public,Biotech &amp; Pharmaceuticals,Biotech &amp; Pharmaceuticals,,,212000.0,331000.0</t>
  </si>
  <si>
    <t>COMPUTER SCIENTIST - ENGINEER - RESEARCH COMPUTER SCIENTIST - SIGNAL PROCESSING,3.9,Southwest Research Institute,"Dayton, OH","San Antonio, TX",1001 to 5000 employees,1947.0,Nonprofit Organization,Research &amp; Development,Business Services,$500 million to $1 billion (USD),"Los Alamos National Laboratory, Battelle, SRI International",212000.0,331000.0</t>
  </si>
  <si>
    <t>Data Scientist,,CompuForce,"New York, NY","New York, NY",Unknown,,Company - Private,-1,-1,,,212000.0,331000.0</t>
  </si>
  <si>
    <t>Data Scientist,4.5,Smith Hanley Associates,"Washington, DC","New York, 061",1 to 50 employees,1980.0,Company - Private,Staffing &amp; Outsourcing,Business Services,,"Kforce, PageGroup, Robert Half",212000.0,331000.0</t>
  </si>
  <si>
    <t>Scientist - Machine Learning,3.5,Allen Institute,"Seattle, WA","Seattle, WA",201 to 500 employees,2003.0,Nonprofit Organization,Research &amp; Development,Business Services,$100 to $500 million (USD),,212000.0,331000.0</t>
  </si>
  <si>
    <t>Data Scientist,2.7,1-800-Flowers,"New York, NY","Carle Place, NY",1001 to 5000 employees,1976.0,Company - Public,Wholesale,Business Services,$1 to $2 billion (USD),,212000.0,331000.0</t>
  </si>
  <si>
    <t>Data Scientist,3.5,Aptive,"Washington, DC","Alexandria, VA",51 to 200 employees,2012.0,Company - Private,Consulting,Business Services,$25 to $50 million (USD),,212000.0,331000.0</t>
  </si>
  <si>
    <t>Data Scientist - Image and Video Analytics,4.9,The Mom Project,"Longmont, CO","Chicago, IL",1 to 50 employees,2016.0,Company - Private,Staffing &amp; Outsourcing,Business Services,,,66000.0,112000.0</t>
  </si>
  <si>
    <t>Data Scientist,3.6,Powertek,"Washington, DC","Rockville, MD",51 to 200 employees,2001.0,Company - Private,IT Services,Information Technology,$25 to $50 million (USD),,66000.0,112000.0</t>
  </si>
  <si>
    <t>Data Scientist,5.0,JCD Staffing,"Washington, DC","Germantown, MD",1 to 50 employees,,Company - Private,-1,-1,,,66000.0,112000.0</t>
  </si>
  <si>
    <t>Data Scientist,3.1,Bayside Solutions,"Sunnyvale, CA","Pleasanton, CA",1 to 50 employees,2001.0,Company - Private,Staffing &amp; Outsourcing,Business Services,$1 to $5 million (USD),,66000.0,112000.0</t>
  </si>
  <si>
    <t>Senior Data Engineer,3.9,Thumbtack,"San Francisco, CA","San Francisco, CA",501 to 1000 employees,2009.0,Company - Private,Internet,Information Technology,,,66000.0,112000.0</t>
  </si>
  <si>
    <t>Data Scientist,3.4,"MILVETS Systems Technology, Inc.","Patuxent, Anne Arundel, MD","Orlando, FL",51 to 200 employees,1986.0,Company - Private,IT Services,Information Technology,$25 to $50 million (USD),,66000.0,112000.0</t>
  </si>
  <si>
    <t>Machine Learning Scientist / Engineer,4.1,Apple,"Santa Clara, CA","Cupertino, CA",10000+ employees,1976.0,Company - Public,Computer Hardware &amp; Software,Information Technology,$10+ billion (USD),"Google, Microsoft, Samsung Electronics",66000.0,112000.0</t>
  </si>
  <si>
    <t>Data Scientist,4.1,Kforce,"Fairfax, VA","Tampa, FL",10000+ employees,1966.0,Company - Public,Staffing &amp; Outsourcing,Business Services,$1 to $2 billion (USD),,66000.0,112000.0</t>
  </si>
  <si>
    <t>Sr. Data Scientist,3.5,Evolve Vacation Rental,"Denver, CO","Denver, CO",201 to 500 employees,2011.0,Company - Private,Travel Agencies,Travel &amp; Tourism,,,66000.0,112000.0</t>
  </si>
  <si>
    <t>Intelligence Data Analyst, Senior,4.3,The Buffalo Group,"Fort Belvoir, VA","Reston, VA",501 to 1000 employees,2010.0,Company - Private,IT Services,Information Technology,$100 to $500 million (USD),"ManTech, Booz Allen Hamilton, Leidos",66000.0,112000.0</t>
  </si>
  <si>
    <t>Data Science Analyst,4.4,OppLoans,"Chicago, IL","Chicago, IL",201 to 500 employees,2012.0,Company - Private,Lending,Finance,$100 to $500 million (USD),,66000.0,112000.0</t>
  </si>
  <si>
    <t>Data Scientist,3.8,AgreeYa Solutions,"Thousand Oaks, CA","Folsom, CA",1001 to 5000 employees,1999.0,Company - Private,IT Services,Information Technology,$50 to $100 million (USD),,66000.0,112000.0</t>
  </si>
  <si>
    <t>Data Scientist,3.7,Carolina Power &amp; Light Co,"McLean, VA","Raleigh, NC",5001 to 10000 employees,1908.0,Subsidiary or Business Segment,Energy,"Oil, Gas, Energy &amp; Utilities",,"South Carolina Electric &amp; Gas, Virginia Electric and Power",66000.0,112000.0</t>
  </si>
  <si>
    <t>COMPUTER SCIENTIST - ENGINEER - RESEARCH COMPUTER SCIENTIST - TRANSPORTATION TECHNOLOGY,3.9,Southwest Research Institute,"San Antonio, TX","San Antonio, TX",1001 to 5000 employees,1947.0,Nonprofit Organization,Research &amp; Development,Business Services,$500 million to $1 billion (USD),"Los Alamos National Laboratory, Battelle, SRI International",66000.0,112000.0</t>
  </si>
  <si>
    <t>Data Scientist,3.9,Brillient,"Silver Spring, MD","Reston, VA",501 to 1000 employees,2006.0,Company - Private,IT Services,Information Technology,$25 to $50 million (USD),,66000.0,112000.0</t>
  </si>
  <si>
    <t>Data Modeler (Analytical Systems),3.7,MassMutual,"Boston, MA","Springfield, MA",5001 to 10000 employees,1851.0,Company - Private,Insurance Carriers,Insurance,$10+ billion (USD),,66000.0,112000.0</t>
  </si>
  <si>
    <t>Data Scientist,2.9,Xator Corporation,"Washington, DC","Reston, VA",501 to 1000 employees,,Contract,IT Services,Information Technology,$25 to $50 million (USD),,66000.0,112000.0</t>
  </si>
  <si>
    <t>Data Scientist,4.6,HAN IT Staffing Inc.,"New York, NY","Totowa, NJ",51 to 200 employees,2012.0,Company - Private,IT Services,Information Technology,,,66000.0,112000.0</t>
  </si>
  <si>
    <t>Data Scientist,3.4,Infinitive Inc,"McLean, VA","Cedar Rapids, IA",201 to 500 employees,1997.0,Company - Private,Enterprise Software &amp; Network Solutions,Information Technology,$10 to $25 million (USD),,66000.0,112000.0</t>
  </si>
  <si>
    <t>Data Engineer (Analytics, SQL, Python, AWS),4.0,Travelers,"Hartford, CT","Hartford, CT",10000+ employees,1853.0,Company - Public,Insurance Carriers,Insurance,$10+ billion (USD),,66000.0,112000.0</t>
  </si>
  <si>
    <t>Data Scientist 3 (718),3.3,Amyris,"Emeryville, CA","Emeryville, CA",201 to 500 employees,2003.0,Company - Public,Biotech &amp; Pharmaceuticals,Biotech &amp; Pharmaceuticals,$100 to $500 million (USD),,128000.0,201000.0</t>
  </si>
  <si>
    <t>Data Scientist,4.3,Lightspeed Systems,"Austin, TX","Austin, TX",51 to 200 employees,1999.0,Company - Private,Computer Hardware &amp; Software,Information Technology,$25 to $50 million (USD),,128000.0,201000.0</t>
  </si>
  <si>
    <t>Senior Data Scientist,3.9,Thumbtack,"San Francisco, CA","San Francisco, CA",501 to 1000 employees,2009.0,Company - Private,Internet,Information Technology,,,128000.0,201000.0</t>
  </si>
  <si>
    <t>Senior Data Analyst - Finance &amp; Platform Analytics,3.6,Twitch,"San Francisco, CA","San Francisco, CA",1001 to 5000 employees,2011.0,Subsidiary or Business Segment,Internet,Information Technology,,,128000.0,201000.0</t>
  </si>
  <si>
    <t>Software Engineer - Machine Learning &amp; Data Science (Applied Intelligence Services Team),4.7,New Relic,"Portland, OR","San Francisco, CA",1001 to 5000 employees,2008.0,Company - Public,Computer Hardware &amp; Software,Information Technology,$100 to $500 million (USD),"AppDynamics, Datadog, Dynatrace",128000.0,201000.0</t>
  </si>
  <si>
    <t>IT Partner Digital Health Technology and Data Science,3.6,Biogen,"Cambridge, MA","Cambridge, MA",5001 to 10000 employees,1978.0,Company - Public,Biotech &amp; Pharmaceuticals,Biotech &amp; Pharmaceuticals,$10+ billion (USD),,128000.0,201000.0</t>
  </si>
  <si>
    <t>Data Scientist,,HireAi,"San Francisco, CA",-1,-1,,-1,-1,-1,-1,,128000.0,201000.0</t>
  </si>
  <si>
    <t>Senior Machine Learning Scientist - Bay Area, CA,3.3,Tempus Labs,"Redwood City, CA","Chicago, IL",501 to 1000 employees,2015.0,Company - Private,Biotech &amp; Pharmaceuticals,Biotech &amp; Pharmaceuticals,,,128000.0,201000.0</t>
  </si>
  <si>
    <t>Data Scientist,3.3,ICW Group,"San Diego, CA","San Diego, CA",501 to 1000 employees,1972.0,Company - Private,Insurance Carriers,Insurance,$500 million to $1 billion (USD),"Liberty Mutual Insurance, EMPLOYERS, Travelers",128000.0,201000.0</t>
  </si>
  <si>
    <t>Clinical Data Analyst,3.8,NYSTEC,"New York, NY","Rome, NY",51 to 200 employees,1996.0,Nonprofit Organization,Consulting,Business Services,$25 to $50 million (USD),"KPMG, Accenture, Deloitte",128000.0,201000.0</t>
  </si>
  <si>
    <t>Data Scientist,4.5,E3 Federal Solutions,"Chantilly, VA","McLean, VA",501 to 1000 employees,2004.0,Company - Private,Consulting,Business Services,,,128000.0,201000.0</t>
  </si>
  <si>
    <t>Data Engineer,4.5,Kingfisher Systems,"Falls Church, VA","Falls Church, VA",51 to 200 employees,2005.0,Company - Private,Federal Agencies,Government,$25 to $50 million (USD),,128000.0,201000.0</t>
  </si>
  <si>
    <t>Data Scientist Technical Specialist,3.4,Peraton,"Chantilly, VA","Herndon, VA",1001 to 5000 employees,2017.0,Company - Private,Aerospace &amp; Defense,Aerospace &amp; Defense,$1 to $2 billion (USD),,128000.0,201000.0</t>
  </si>
  <si>
    <t>Senior Data Scientist,3.1,Group O,"Chicago, IL","Milan, IL",1001 to 5000 employees,1974.0,Company - Private,Staffing &amp; Outsourcing,Business Services,$500 million to $1 billion (USD),,128000.0,201000.0</t>
  </si>
  <si>
    <t>Data Science Manager,4.0,Autodesk,"San Francisco, CA","San Rafael, CA",5001 to 10000 employees,1982.0,Company - Public,Computer Hardware &amp; Software,Information Technology,$2 to $5 billion (USD),,128000.0,201000.0</t>
  </si>
  <si>
    <t>Computer Vision / Deep Learning Scientist,3.3,Tempus Labs,"Chicago, IL","Chicago, IL",501 to 1000 employees,2015.0,Company - Private,Biotech &amp; Pharmaceuticals,Biotech &amp; Pharmaceuticals,,,128000.0,201000.0</t>
  </si>
  <si>
    <t>Big Data Engineer,4.1,CaptiveAire,"Raleigh, NC","Raleigh, NC",1001 to 5000 employees,1976.0,Company - Private,Industrial Manufacturing,Manufacturing,$100 to $500 million (USD),,128000.0,201000.0</t>
  </si>
  <si>
    <t>Data Architect,4.2,LSQ,"Orlando, FL","Orlando, FL",51 to 200 employees,1996.0,Company - Private,Investment Banking &amp; Asset Management,Finance,$100 to $500 million (USD),,128000.0,201000.0</t>
  </si>
  <si>
    <t>Machine Learning Engineer,3.9,Temboo,"New York, NY","New York, NY",1 to 50 employees,,Company - Private,IT Services,Information Technology,,,128000.0,201000.0</t>
  </si>
  <si>
    <t>Data Scientist,,Kibo,"Philadelphia, PA","Marbella, Spain",Unknown,,Company - Public,-1,-1,,,128000.0,201000.0</t>
  </si>
  <si>
    <t>Aviation AI/ML Data Scientist,3.3,MITRE,"McLean, VA","Bedford, MA",5001 to 10000 employees,1958.0,Nonprofit Organization,Federal Agencies,Government,$1 to $2 billion (USD),"Battelle, General Atomics, SAIC",128000.0,201000.0</t>
  </si>
  <si>
    <t>Data Scientist,3.9,Mars,United States,"Mc Lean, VA",10000+ employees,1911.0,Company - Private,Food &amp; Beverage Manufacturing,Manufacturing,$10+ billion (USD),,138000.0,158000.0</t>
  </si>
  <si>
    <t>Data Scientist / Applied Mathematician,4.5,"Fullpower Technologies, Inc.","Santa Cruz, CA","Santa Cruz, CA",51 to 200 employees,2003.0,Company - Private,Computer Hardware &amp; Software,Information Technology,$10 to $25 million (USD),,138000.0,158000.0</t>
  </si>
  <si>
    <t>Machine Learning Engineer, Sr.,4.2,AeroVironment,"Simi Valley, CA","Simi Valley, CA",501 to 1000 employees,1971.0,Company - Public,Aerospace &amp; Defense,Aerospace &amp; Defense,$100 to $500 million (USD),"General Atomics, Boeing, Northrop Grumman",138000.0,158000.0</t>
  </si>
  <si>
    <t>Data Scientist (TS/SCI w/ Poly),3.5,Maxar Technologies,"Herndon, VA","Westminster, CO",5001 to 10000 employees,,Company - Public,Aerospace &amp; Defense,Aerospace &amp; Defense,$2 to $5 billion (USD),,138000.0,158000.0</t>
  </si>
  <si>
    <t>Weapons and Sensors Engineer/Scientist,4.0,Dynetics,"Huntsville, AL","Huntsville, AL",1001 to 5000 employees,1974.0,Company - Private,Aerospace &amp; Defense,Aerospace &amp; Defense,$100 to $500 million (USD),,138000.0,158000.0</t>
  </si>
  <si>
    <t>Applied Computer Scientist,4.5,Systems &amp; Technology Research,"Woburn, MA","Woburn, MA",201 to 500 employees,2010.0,Company - Private,Aerospace &amp; Defense,Aerospace &amp; Defense,$100 to $500 million (USD),,138000.0,158000.0</t>
  </si>
  <si>
    <t>Senior Data Analyst,4.5,Novetta,"Herndon, VA","Mc Lean, VA",501 to 1000 employees,2012.0,Company - Private,Enterprise Software &amp; Network Solutions,Information Technology,$100 to $500 million (USD),"Leidos, CACI International, Booz Allen Hamilton",138000.0,158000.0</t>
  </si>
  <si>
    <t>Information Systems Engineering Specialist (Engineering Scientist),3.8,Applied Research Laboratories,"Austin, TX","Austin, TX",501 to 1000 employees,,College / University,Colleges &amp; Universities,Education,,,138000.0,158000.0</t>
  </si>
  <si>
    <t>Cloud Data Engineer (Azure),3.9,Navy Federal Credit Union,"Merrifield, VA","Vienna, VA",10000+ employees,1933.0,Other Organization,Banks &amp; Credit Unions,Finance,,,138000.0,158000.0</t>
  </si>
  <si>
    <t>Scientist/Research Associate-Metabolic Engineering,2.0,Conagen,"New Bedford, MA","Bedford, MA",51 to 200 employees,,Company - Private,Biotech &amp; Pharmaceuticals,Biotech &amp; Pharmaceuticals,,,138000.0,158000.0</t>
  </si>
  <si>
    <t>Vice President, Biometrics and Clinical Data Management,4.8,Alector,"South San Francisco, CA","South San Francisco, CA",51 to 200 employees,2013.0,Company - Public,Biotech &amp; Pharmaceuticals,Biotech &amp; Pharmaceuticals,,,138000.0,158000.0</t>
  </si>
  <si>
    <t>Enterprise Data Analyst (Enterprise Portfolio Management Office),3.9,Navy Federal Credit Union,"Merrifield, VA","Vienna, VA",10000+ employees,1933.0,Other Organization,Banks &amp; Credit Unions,Finance,,,138000.0,158000.0</t>
  </si>
  <si>
    <t>Senior Scientist - Toxicologist - Product Integrity (Stewardship),3.3,Reynolds American,"Winston-Salem, NC","Winston-Salem, NC",5001 to 10000 employees,1875.0,Company - Private,Consumer Products Manufacturing,Manufacturing,$10+ billion (USD),,138000.0,158000.0</t>
  </si>
  <si>
    <t>Lead Data Scientist – Network Analysis and Control,3.3,MITRE,"Bedford, MA","Bedford, MA",5001 to 10000 employees,1958.0,Nonprofit Organization,Federal Agencies,Government,$1 to $2 billion (USD),"Battelle, General Atomics, SAIC",138000.0,158000.0</t>
  </si>
  <si>
    <t>Senior Machine Learning Engineer,5.0,LifeOmic,"Raleigh, NC","Indianapolis, IN",51 to 200 employees,2016.0,Company - Private,Enterprise Software &amp; Network Solutions,Information Technology,,,138000.0,158000.0</t>
  </si>
  <si>
    <t>Sr. Research Associate/ Scientist, NGS prep &amp; Molecular Genomics,4.4,"Homology Medicines, Inc.","New Bedford, MA","Bedford, MA",51 to 200 employees,,Company - Public,-1,-1,,,138000.0,158000.0</t>
  </si>
  <si>
    <t>Data Engineer,3.4,Spectrum Communications and Consulting,"Chicago, IL","Chicago, IL",51 to 200 employees,1992.0,Company - Private,Advertising &amp; Marketing,Business Services,$10 to $25 million (USD),,138000.0,158000.0</t>
  </si>
  <si>
    <t>Developer III - Data Science,3.3,Inland Empire Health Plan,"Rancho Cucamonga, CA","Rancho Cucamonga, CA",1001 to 5000 employees,1996.0,Company - Public,Health Care Services &amp; Hospitals,Health Care,$1 to $2 billion (USD),,138000.0,158000.0</t>
  </si>
  <si>
    <t>Senior Data Engineer,2.9,Affinity Solutions,"New York, NY","New York, NY",51 to 200 employees,1998.0,Company - Private,Advertising &amp; Marketing,Business Services,,"Commerce Signals, Cardlytics, Yodlee",138000.0,158000.0</t>
  </si>
  <si>
    <t>Hydrogen/Tritium Materials Scientist (Experienced),3.8,Sandia National Laboratories,"Livermore, CA","Albuquerque, NM",10000+ employees,1949.0,Government,Federal Agencies,Government,$2 to $5 billion (USD),"Los Alamos National Laboratory, Lawrence Livermore National Laboratory",138000.0,158000.0</t>
  </si>
  <si>
    <t>Data Engineer,3.5,Maxar Technologies,"McLean, VA","Westminster, CO",5001 to 10000 employees,,Company - Public,Aerospace &amp; Defense,Aerospace &amp; Defense,$2 to $5 billion (USD),,138000.0,158000.0</t>
  </si>
  <si>
    <t>Patient Safety- Associate Data Scientist,4.0,AstraZeneca,"Gaithersburg, MD","Cambridge, United Kingdom",10000+ employees,1913.0,Company - Public,Biotech &amp; Pharmaceuticals,Biotech &amp; Pharmaceuticals,$10+ billion (USD),"Roche, GlaxoSmithKline, Novartis",80000.0,132000.0</t>
  </si>
  <si>
    <t>Senior Data Scientist,4.0,Autodesk,"San Francisco, CA","San Rafael, CA",5001 to 10000 employees,1982.0,Company - Public,Computer Hardware &amp; Software,Information Technology,$2 to $5 billion (USD),,80000.0,132000.0</t>
  </si>
  <si>
    <t>Data Scientist,3.4,USI,"Southfield, MI","Saint Paul, MN",1001 to 5000 employees,1998.0,Company - Private,Construction,"Construction, Repair &amp; Maintenance",$100 to $500 million (USD),,80000.0,132000.0</t>
  </si>
  <si>
    <t>Data Scientist,3.9,GSK,"Collegeville, PA","Brentford, United Kingdom",10000+ employees,1830.0,Company - Public,Biotech &amp; Pharmaceuticals,Biotech &amp; Pharmaceuticals,$10+ billion (USD),"Pfizer, AstraZeneca, Merck",80000.0,132000.0</t>
  </si>
  <si>
    <t>Data Scientist,3.8,CIA,"Washington, DC","Langley, VA",Unknown,1947.0,Government,Federal Agencies,Government,,,80000.0,132000.0</t>
  </si>
  <si>
    <t>Data Scientist,4.5,Maven Wave Partners,"Chicago, IL","Chicago, IL",201 to 500 employees,2008.0,Company - Private,Consulting,Business Services,$50 to $100 million (USD),,80000.0,132000.0</t>
  </si>
  <si>
    <t>Data Scientist,4.3,Ovative Group,"Minneapolis, MN","Minneapolis, MN",51 to 200 employees,2009.0,Company - Private,Advertising &amp; Marketing,Business Services,$10 to $25 million (USD),,80000.0,132000.0</t>
  </si>
  <si>
    <t>Data Scientist,3.6,Kognetics,"Gahanna, OH","New York, NY",1 to 50 employees,,Company - Private,-1,-1,,,80000.0,132000.0</t>
  </si>
  <si>
    <t>Data Scientist,2.9,Envision Healthcare,"Nashville, TN","Nashville, TN",10000+ employees,2005.0,Company - Private,Health Care Services &amp; Hospitals,Health Care,,,80000.0,132000.0</t>
  </si>
  <si>
    <t>Data Scientist,2.9,"Pragmatics, Inc.",United States,"Reston, VA",201 to 500 employees,1985.0,Company - Private,IT Services,Information Technology,$100 to $500 million (USD),,80000.0,132000.0</t>
  </si>
  <si>
    <t>Data Scientist,3.2,ConsumerTrack,California,"Los Angeles, CA",51 to 200 employees,2004.0,Company - Private,Internet,Information Technology,$25 to $50 million (USD),,80000.0,132000.0</t>
  </si>
  <si>
    <t>Decision Scientist,4.5,Johns Hopkins University Applied Physics Laboratory,"Laurel, MD","Laurel, MD",5001 to 10000 employees,1942.0,Nonprofit Organization,Aerospace &amp; Defense,Aerospace &amp; Defense,$1 to $2 billion (USD),"MIT Lincoln Laboratory, Lockheed Martin, Northrop Grumman",80000.0,132000.0</t>
  </si>
  <si>
    <t>Data Scientist - TS/SCI FSP or CI Required,5.0,Phoenix Operations Group,"Annapolis Junction, MD","Woodbine, MD",1 to 50 employees,2011.0,Company - Private,IT Services,Information Technology,$1 to $5 million (USD),,80000.0,132000.0</t>
  </si>
  <si>
    <t>Data Scientist,3.5,Crossover Health,"San Clemente, CA","Aliso Viejo, CA",1 to 50 employees,2010.0,Company - Private,Health Care Services &amp; Hospitals,Health Care,$1 to $5 million (USD),,80000.0,132000.0</t>
  </si>
  <si>
    <t>Data Scientist,4.0,Lorven Technologies Inc,"New York, NY","Plainsboro, NJ",1 to 50 employees,,Company - Private,Accounting,Accounting &amp; Legal,Less than $1 million (USD),,80000.0,132000.0</t>
  </si>
  <si>
    <t>Data Scientist,4.4,Meridian Knowledge Solutions,"Washington, DC","Reston, VA",51 to 200 employees,1997.0,Subsidiary or Business Segment,Enterprise Software &amp; Network Solutions,Information Technology,$100 to $500 million (USD),,80000.0,132000.0</t>
  </si>
  <si>
    <t>Data Scientist,4.2,UST Global,"Atlanta, GA","Aliso Viejo, CA",10000+ employees,1999.0,Company - Private,IT Services,Information Technology,$1 to $2 billion (USD),"Cognizant Technology Solutions, Infosys, Wipro",80000.0,132000.0</t>
  </si>
  <si>
    <t>Data Scientist,3.2,IMG Systems,"Plano, TX","Plano, TX",1 to 50 employees,,Company - Private,Consulting,Business Services,$1 to $5 million (USD),,80000.0,132000.0</t>
  </si>
  <si>
    <t>Data Scientist,3.4,Trident Systems Inc,"Fairfax, VA","Fairfax, VA",51 to 200 employees,1985.0,Company - Private,Aerospace &amp; Defense,Aerospace &amp; Defense,$25 to $50 million (USD),,80000.0,132000.0</t>
  </si>
  <si>
    <t>Data Scientist,4.7,"Tygart Technology, Inc","Washington, DC","Fairmont, WV",1 to 50 employees,,Company - Private,-1,-1,$1 to $5 million (USD),,80000.0,132000.0</t>
  </si>
  <si>
    <t>(Sr.) Data Scientist -,3.6,Merrick Bank,Utah,"South Jordan, UT",201 to 500 employees,1997.0,Company - Private,Banks &amp; Credit Unions,Finance,,,87000.0,141000.0</t>
  </si>
  <si>
    <t>Senior Data Scientist,4.2,ManTech,"Alexandria, VA","Herndon, VA",5001 to 10000 employees,1968.0,Company - Public,Research &amp; Development,Business Services,$1 to $2 billion (USD),,87000.0,141000.0</t>
  </si>
  <si>
    <t>Data Scientist,,"GrainBridge, LLC","Omaha, NE",-1,-1,,-1,-1,-1,-1,,87000.0,141000.0</t>
  </si>
  <si>
    <t>Data Scientist,3.2,First Health Group,"Wellesley, MA","Bethesda, MD",10000+ employees,1853.0,Company - Private,Insurance Carriers,Insurance,$10+ billion (USD),Humana,87000.0,141000.0</t>
  </si>
  <si>
    <t>Data Scientist,,Sprezzatura Management Consulting,"Washington, VA","McLean, VA",Unknown,,Company - Private,-1,-1,,,87000.0,141000.0</t>
  </si>
  <si>
    <t>Data Scientist,2.8,"Progress Rail, A Caterpillar Company","Fort Worth, TX","Albertville, AL",1001 to 5000 employees,1983.0,Subsidiary or Business Segment,Rail,Transportation &amp; Logistics,$2 to $5 billion (USD),,87000.0,141000.0</t>
  </si>
  <si>
    <t>Data Scientist,4.2,UST Global,"Atlanta, GA","Aliso Viejo, CA",10000+ employees,1999.0,Company - Private,IT Services,Information Technology,$1 to $2 billion (USD),"Cognizant Technology Solutions, Infosys, Wipro",87000.0,141000.0</t>
  </si>
  <si>
    <t>Data Scientist,4.5,Axiologic Solutions,"Alexandria, VA","Fairfax, VA",51 to 200 employees,2009.0,Company - Private,Aerospace &amp; Defense,Aerospace &amp; Defense,,,87000.0,141000.0</t>
  </si>
  <si>
    <t>Data Scientist,3.0,Indigo Slate,"Bellevue, WA","Bellevue, WA",51 to 200 employees,2006.0,Company - Private,Consulting,Business Services,$10 to $25 million (USD),,87000.0,141000.0</t>
  </si>
  <si>
    <t>Data Scientist,3.3,Cubic,United States,"San Diego, CA",5001 to 10000 employees,1951.0,Company - Public,Aerospace &amp; Defense,Aerospace &amp; Defense,$1 to $2 billion (USD),"Accenture, Northrop Grumman, Xerox",87000.0,141000.0</t>
  </si>
  <si>
    <t>Data Scientist,4.0,Advanced Bio-Logic Solutions Corp,"Thousand Oaks, CA","Westlake Village, CA",1 to 50 employees,,Company - Private,-1,-1,Less than $1 million (USD),,87000.0,141000.0</t>
  </si>
  <si>
    <t>Data Engineer,3.5,Alignment Healthcare,"Orange, CA","Orange, CA",501 to 1000 employees,2013.0,Company - Private,Health Care Services &amp; Hospitals,Health Care,,,87000.0,141000.0</t>
  </si>
  <si>
    <t>Data Scientist,3.5,WGSN,"Baltimore, MD","New York, NY",1 to 50 employees,1998.0,Company - Private,Consulting,Business Services,$50 to $100 million (USD),,87000.0,141000.0</t>
  </si>
  <si>
    <t>Data Scientist,3.6,"ISYS Technologies, Inc.","Herndon, VA","Littleton, CO",51 to 200 employees,1990.0,Company - Private,Computer Hardware &amp; Software,Information Technology,$10 to $25 million (USD),,87000.0,141000.0</t>
  </si>
  <si>
    <t>Data Scientist,3.0,TransVoyant,"Alexandria, VA","Alexandria, VA",51 to 200 employees,2012.0,Company - Private,Enterprise Software &amp; Network Solutions,Information Technology,,,87000.0,141000.0</t>
  </si>
  <si>
    <t>Data Scientist/Data Analytics Practitioner,4.0,Noblis,"Bridgeport, WV","Reston, VA",1001 to 5000 employees,1996.0,Nonprofit Organization,Consulting,Business Services,$100 to $500 million (USD),"Booz Allen Hamilton, SAIC, LMI",87000.0,141000.0</t>
  </si>
  <si>
    <t>Data Scientist,4.6,Murray Resources,"The Woodlands, TX","Houston, TX",1 to 50 employees,1988.0,Company - Private,Staffing &amp; Outsourcing,Business Services,$10 to $25 million (USD),,87000.0,141000.0</t>
  </si>
  <si>
    <t>Data Scientist,4.3,Geotab,"Oakville, CA","Oakville, Canada",1001 to 5000 employees,2000.0,Company - Private,Computer Hardware &amp; Software,Information Technology,$100 to $500 million (USD),,87000.0,141000.0</t>
  </si>
  <si>
    <t>Data Scientist,4.7,CRS Group,"Chicago, IL","Itasca, IL",51 to 200 employees,1994.0,Company - Private,Staffing &amp; Outsourcing,Business Services,$10 to $25 million (USD),,87000.0,141000.0</t>
  </si>
  <si>
    <t>Data Scientist,3.7,EGlobalTech,"Arlington, VA","Vienna, VA",201 to 500 employees,2004.0,Company - Private,IT Services,Information Technology,,,87000.0,141000.0</t>
  </si>
  <si>
    <t>Data Scientist, Kinship - NYC/Portland,3.9,Mars,"New York, NY","Mc Lean, VA",10000+ employees,1911.0,Company - Private,Food &amp; Beverage Manufacturing,Manufacturing,$10+ billion (USD),,92000.0,155000.0</t>
  </si>
  <si>
    <t>Data Scientist,4.9,Avlino,New Jersey,"Holmdel, NJ",1 to 50 employees,2013.0,Company - Private,Enterprise Software &amp; Network Solutions,Information Technology,Less than $1 million (USD),,92000.0,155000.0</t>
  </si>
  <si>
    <t>Data Scientist,3.0,"Central Business Solutions, Inc","Seattle, WA","Fremont, CA",51 to 200 employees,,Company - Private,Consulting,Business Services,$5 to $10 million (USD),,92000.0,155000.0</t>
  </si>
  <si>
    <t>Data Scientist,2.5,KeHE Distributors,"Naperville, IL","Naperville, IL",5001 to 10000 employees,1954.0,Company - Private,Wholesale,Business Services,,"United Natural Foods, US Foods, DPI Specialty Foods",92000.0,155000.0</t>
  </si>
  <si>
    <t>Data Scientist,3.5,Blackstone Talent Group,"San Francisco, CA","San Francisco, CA",51 to 200 employees,1998.0,Company - Private,Consulting,Business Services,$25 to $50 million (USD),,92000.0,155000.0</t>
  </si>
  <si>
    <t>Data Scientist - TS/SCI Required,5.0,Phoenix Operations Group,"Baltimore, MD","Woodbine, MD",1 to 50 employees,2011.0,Company - Private,IT Services,Information Technology,$1 to $5 million (USD),,92000.0,155000.0</t>
  </si>
  <si>
    <t>Data Scientist,,Sophinea,"Chantilly, VA",-1,1 to 50 employees,,Unknown,-1,-1,,,92000.0,155000.0</t>
  </si>
  <si>
    <t>Senior Data Scientist,3.5,Maxar Technologies,"Herndon, VA","Westminster, CO",5001 to 10000 employees,,Company - Public,Aerospace &amp; Defense,Aerospace &amp; Defense,$2 to $5 billion (USD),,92000.0,155000.0</t>
  </si>
  <si>
    <t>Data Scientist,3.0,Moxie Software,"Bellevue, WA","San Bruno, CA",51 to 200 employees,1999.0,Company - Private,Enterprise Software &amp; Network Solutions,Information Technology,,"LivePerson, Salesforce, SAP",92000.0,155000.0</t>
  </si>
  <si>
    <t>Data Scientist(s)/Machine Learning Engineer,5.0,Blue Horizon Tek Solutions,"New York, NY","Coconut Creek, FL",1 to 50 employees,1987.0,Company - Private,Staffing &amp; Outsourcing,Business Services,,,92000.0,155000.0</t>
  </si>
  <si>
    <t>Data Scientist,4.7,Unicom Technologies INC,"Chicago, IL","Naperville, IL",51 to 200 employees,,Company - Private,IT Services,Information Technology,,,92000.0,155000.0</t>
  </si>
  <si>
    <t>Data Engineer,3.3,Americo Life,"Kansas City, MO","Kansas City, MO",201 to 500 employees,1992.0,Company - Private,Insurance Carriers,Insurance,$100 to $500 million (USD),,92000.0,155000.0</t>
  </si>
  <si>
    <t>Data Scientist,3.3,Tokio Marine HCC,"Houston, TX","Houston, TX",1001 to 5000 employees,1974.0,Company - Private,Insurance Carriers,Insurance,,"Zurich Insurance, AXA XL, Allianz",92000.0,155000.0</t>
  </si>
  <si>
    <t>Data Scientist,3.5,CACI International,"Chantilly, VA","Arlington, VA",10000+ employees,1962.0,Company - Public,Aerospace &amp; Defense,Aerospace &amp; Defense,$2 to $5 billion (USD),"CSC, ManTech, SAIC",92000.0,155000.0</t>
  </si>
  <si>
    <t>AI/ML - Machine Learning Scientist, Siri Understanding,4.1,Apple,"Santa Clara, CA","Cupertino, CA",10000+ employees,1976.0,Company - Public,Computer Hardware &amp; Software,Information Technology,$10+ billion (USD),"Google, Microsoft, Samsung Electronics",92000.0,155000.0</t>
  </si>
  <si>
    <t>Data Scientist,3.5,Maxar Technologies,"Herndon, VA","Westminster, CO",5001 to 10000 employees,,Company - Public,Aerospace &amp; Defense,Aerospace &amp; Defense,$2 to $5 billion (USD),,92000.0,155000.0</t>
  </si>
  <si>
    <t>ENGINEER - COMPUTER SCIENTIST - RESEARCH COMPUTER SCIENTIST - SIGNAL PROCESSING - SAN ANTONIO OR,3.9,Southwest Research Institute,"Oklahoma City, OK","San Antonio, TX",1001 to 5000 employees,1947.0,Nonprofit Organization,Research &amp; Development,Business Services,$500 million to $1 billion (USD),"Los Alamos National Laboratory, Battelle, SRI International",92000.0,155000.0</t>
  </si>
  <si>
    <t>Data Scientist,4.7,Compass Consulting Group,"Thousand Oaks, CA","Danville, CA",51 to 200 employees,2008.0,Company - Private,Consulting,Business Services,,,92000.0,155000.0</t>
  </si>
  <si>
    <t>Data Science Software Engineer,4.8,Klaviyo,"Boston, MA","Boston, MA",201 to 500 employees,2012.0,Company - Private,Computer Hardware &amp; Software,Information Technology,,,92000.0,155000.0</t>
  </si>
  <si>
    <t>Scientist / Group Lead, Cancer Biology,,Monte Rosa Therapeutics,"Cambridge, MA",-1,-1,,-1,-1,-1,-1,,92000.0,155000.0</t>
  </si>
  <si>
    <t>AI Ops Data Scientist,4.0,AstraZeneca,"Gaithersburg, MD","Cambridge, United Kingdom",10000+ employees,1913.0,Company - Public,Biotech &amp; Pharmaceuticals,Biotech &amp; Pharmaceuticals,$10+ billion (USD),"Roche, GlaxoSmithKline, Novartis",92000.0,155000.0</t>
  </si>
  <si>
    <t>Senior Data Scientist,3.8,GutCheck,"Denver, CO","Denver, CO",51 to 200 employees,2009.0,Company - Private,Advertising &amp; Marketing,Business Services,$10 to $25 million (USD),"Nielsen, Zappi, SurveyMonkey",105000.0,167000.0</t>
  </si>
  <si>
    <t>Sr. ML/Data Scientist - AI/NLP/Chatbot,3.8,Juniper Networks,"Cupertino, CA","Sunnyvale, CA",5001 to 10000 employees,1996.0,Company - Public,Telecommunications Services,Telecommunications,$2 to $5 billion (USD),,105000.0,167000.0</t>
  </si>
  <si>
    <t>Data Scientist,2.7,Hexagon US Federal,"Lexington Park, MD","Chantilly, VA",51 to 200 employees,2010.0,Company - Public,Aerospace &amp; Defense,Aerospace &amp; Defense,,,105000.0,167000.0</t>
  </si>
  <si>
    <t>Data Scientist,4.0,Comtech Global Inc,"Washington, DC","Columbus, OH",51 to 200 employees,,Company - Private,"Health, Beauty, &amp; Fitness",Consumer Services,$5 to $10 million (USD),,105000.0,167000.0</t>
  </si>
  <si>
    <t>Data Scientist,,Berico Technologies,"Fort Belvoir, VA",-1,-1,,-1,-1,-1,-1,,105000.0,167000.0</t>
  </si>
  <si>
    <t>Data Scientist,,Kehe Food Distributors,"Naperville, IL",-1,-1,,-1,-1,-1,-1,,105000.0,167000.0</t>
  </si>
  <si>
    <t>Data Scientist,3.8,"Aveshka, Inc.","Washington, DC","Arlington, VA",51 to 200 employees,2010.0,Company - Public,IT Services,Information Technology,$10 to $25 million (USD),,105000.0,167000.0</t>
  </si>
  <si>
    <t>Data Scientist,3.2,Perspecta,"Adelphi, MD","Chantilly, VA",10000+ employees,2018.0,Company - Public,Aerospace &amp; Defense,Aerospace &amp; Defense,,,105000.0,167000.0</t>
  </si>
  <si>
    <t>Data Scientist,,Pactera Edge,"Redmond, WA",-1,-1,,-1,-1,-1,-1,,105000.0,167000.0</t>
  </si>
  <si>
    <t>Data Scientist,3.6,Qurate Retail Group,"West Chester, PA","West Chester, PA",10000+ employees,,Company - Public,Other Retail Stores,Retail,,,105000.0,167000.0</t>
  </si>
  <si>
    <t>Data Scientist,4.4,"SolutionIT, Inc.","Edison, NJ","Wilmington, MA",51 to 200 employees,,Company - Private,-1,-1,,,105000.0,167000.0</t>
  </si>
  <si>
    <t>Data Scientist,4.1,A-Line Staffing Solutions,"Durham, NC","Utica, MI",501 to 1000 employees,2004.0,Company - Private,Staffing &amp; Outsourcing,Business Services,,,105000.0,167000.0</t>
  </si>
  <si>
    <t>Data Scientist,,Clear Ridge Defense,"Quantico, VA","Baltimore, MD",1 to 50 employees,,Company - Private,-1,-1,,,105000.0,167000.0</t>
  </si>
  <si>
    <t>Data Scientist,3.8,"Criterion Systems, Inc.","Vienna, VA","Vienna, VA",201 to 500 employees,2005.0,Company - Private,IT Services,Information Technology,$50 to $100 million (USD),,105000.0,167000.0</t>
  </si>
  <si>
    <t>Data Scientist,4.0,Foundation Medicine,"Boston, MA","Cambridge, MA",1001 to 5000 employees,2010.0,Company - Public,Biotech &amp; Pharmaceuticals,Biotech &amp; Pharmaceuticals,$100 to $500 million (USD),"Genomic Health, Myriad Genetics, The Broad Institute",105000.0,167000.0</t>
  </si>
  <si>
    <t>Data Scientist,3.6,TRANZACT,"Fort Lee, NJ","Fort Lee, NJ",1001 to 5000 employees,1989.0,Company - Private,Advertising &amp; Marketing,Business Services,,,105000.0,167000.0</t>
  </si>
  <si>
    <t>Data Scientist,,JKGT,"San Francisco, CA",-1,-1,,-1,-1,-1,-1,,105000.0,167000.0</t>
  </si>
  <si>
    <t>Data Scientist,,AccessHope,"Irwindale, CA",-1,-1,,-1,-1,-1,-1,,105000.0,167000.0</t>
  </si>
  <si>
    <t>Data Scientist,5.0,ChaTeck Incorporated,"San Francisco, CA","Santa Clara, CA",1 to 50 employees,,Company - Private,Advertising &amp; Marketing,Business Services,$1 to $5 million (USD),,105000.0,167000.0</t>
  </si>
  <si>
    <t>Data Scientist,2.7,1-800-Flowers,"New York, NY","Carle Place, NY",1001 to 5000 employees,1976.0,Company - Public,Wholesale,Business Services,$1 to $2 billion (USD),,105000.0,167000.0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</si>
</sst>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44" formatCode="_ &quot;₹&quot;\ * #,##0.00_ ;_ &quot;₹&quot;\ * \-#,##0.00_ ;_ &quot;₹&quot;\ * &quot;-&quot;??_ ;_ @_ "/>
    <numFmt numFmtId="164" formatCode="d/m/yyyy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b/>
      <sz val="14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1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1CCF0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7">
    <xf numFmtId="0" fontId="0" fillId="0" borderId="0"/>
    <xf numFmtId="0" fontId="15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3" fillId="11" borderId="13" applyFont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242">
    <xf numFmtId="0" fontId="0" fillId="0" borderId="0" xfId="0"/>
    <xf numFmtId="0" fontId="9" fillId="0" borderId="3" xfId="0" applyFont="1" applyBorder="1"/>
    <xf numFmtId="0" fontId="11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3" fillId="0" borderId="3" xfId="0" applyFont="1" applyBorder="1"/>
    <xf numFmtId="0" fontId="9" fillId="0" borderId="13" xfId="0" applyFont="1" applyBorder="1"/>
    <xf numFmtId="164" fontId="9" fillId="0" borderId="13" xfId="0" applyNumberFormat="1" applyFont="1" applyBorder="1"/>
    <xf numFmtId="20" fontId="9" fillId="0" borderId="13" xfId="0" applyNumberFormat="1" applyFont="1" applyBorder="1"/>
    <xf numFmtId="0" fontId="13" fillId="0" borderId="13" xfId="0" applyFont="1" applyBorder="1"/>
    <xf numFmtId="0" fontId="16" fillId="0" borderId="13" xfId="0" applyFont="1" applyBorder="1"/>
    <xf numFmtId="0" fontId="16" fillId="0" borderId="0" xfId="0" applyFont="1"/>
    <xf numFmtId="0" fontId="0" fillId="0" borderId="13" xfId="0" applyBorder="1"/>
    <xf numFmtId="0" fontId="17" fillId="5" borderId="13" xfId="0" applyFont="1" applyFill="1" applyBorder="1"/>
    <xf numFmtId="0" fontId="0" fillId="7" borderId="13" xfId="0" applyFill="1" applyBorder="1"/>
    <xf numFmtId="0" fontId="0" fillId="11" borderId="13" xfId="4" applyFont="1"/>
    <xf numFmtId="0" fontId="18" fillId="11" borderId="13" xfId="4" applyFont="1"/>
    <xf numFmtId="0" fontId="18" fillId="12" borderId="13" xfId="4" applyFont="1" applyFill="1"/>
    <xf numFmtId="0" fontId="0" fillId="12" borderId="13" xfId="4" applyFont="1" applyFill="1"/>
    <xf numFmtId="0" fontId="17" fillId="9" borderId="13" xfId="0" applyFont="1" applyFill="1" applyBorder="1"/>
    <xf numFmtId="0" fontId="16" fillId="8" borderId="13" xfId="0" applyFont="1" applyFill="1" applyBorder="1"/>
    <xf numFmtId="0" fontId="16" fillId="9" borderId="13" xfId="0" applyFont="1" applyFill="1" applyBorder="1"/>
    <xf numFmtId="0" fontId="16" fillId="8" borderId="14" xfId="0" applyFont="1" applyFill="1" applyBorder="1"/>
    <xf numFmtId="0" fontId="16" fillId="6" borderId="13" xfId="0" applyFont="1" applyFill="1" applyBorder="1"/>
    <xf numFmtId="0" fontId="8" fillId="4" borderId="13" xfId="3" applyBorder="1"/>
    <xf numFmtId="0" fontId="0" fillId="10" borderId="13" xfId="0" applyFill="1" applyBorder="1"/>
    <xf numFmtId="0" fontId="0" fillId="14" borderId="13" xfId="0" applyFill="1" applyBorder="1"/>
    <xf numFmtId="0" fontId="0" fillId="15" borderId="13" xfId="0" applyFill="1" applyBorder="1"/>
    <xf numFmtId="0" fontId="0" fillId="7" borderId="15" xfId="0" applyFill="1" applyBorder="1"/>
    <xf numFmtId="0" fontId="16" fillId="13" borderId="13" xfId="0" applyFont="1" applyFill="1" applyBorder="1"/>
    <xf numFmtId="0" fontId="16" fillId="10" borderId="13" xfId="0" applyFont="1" applyFill="1" applyBorder="1" applyAlignment="1">
      <alignment horizontal="center"/>
    </xf>
    <xf numFmtId="0" fontId="16" fillId="10" borderId="13" xfId="0" applyFont="1" applyFill="1" applyBorder="1"/>
    <xf numFmtId="0" fontId="15" fillId="2" borderId="13" xfId="1" applyBorder="1"/>
    <xf numFmtId="14" fontId="0" fillId="0" borderId="13" xfId="0" applyNumberFormat="1" applyBorder="1"/>
    <xf numFmtId="1" fontId="0" fillId="0" borderId="13" xfId="0" applyNumberFormat="1" applyBorder="1"/>
    <xf numFmtId="0" fontId="6" fillId="0" borderId="13" xfId="0" applyFont="1" applyBorder="1"/>
    <xf numFmtId="0" fontId="16" fillId="16" borderId="13" xfId="0" applyFont="1" applyFill="1" applyBorder="1"/>
    <xf numFmtId="0" fontId="16" fillId="16" borderId="22" xfId="0" applyFont="1" applyFill="1" applyBorder="1"/>
    <xf numFmtId="0" fontId="16" fillId="16" borderId="23" xfId="0" applyFont="1" applyFill="1" applyBorder="1"/>
    <xf numFmtId="0" fontId="16" fillId="16" borderId="24" xfId="0" applyFont="1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6" fillId="16" borderId="25" xfId="0" applyFont="1" applyFill="1" applyBorder="1"/>
    <xf numFmtId="0" fontId="16" fillId="16" borderId="26" xfId="0" applyFont="1" applyFill="1" applyBorder="1"/>
    <xf numFmtId="0" fontId="5" fillId="0" borderId="26" xfId="0" applyFont="1" applyBorder="1"/>
    <xf numFmtId="0" fontId="5" fillId="0" borderId="29" xfId="0" applyFont="1" applyBorder="1"/>
    <xf numFmtId="0" fontId="5" fillId="0" borderId="0" xfId="0" applyFont="1"/>
    <xf numFmtId="0" fontId="16" fillId="0" borderId="26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0" fillId="0" borderId="24" xfId="0" applyBorder="1"/>
    <xf numFmtId="3" fontId="0" fillId="0" borderId="25" xfId="0" applyNumberFormat="1" applyBorder="1"/>
    <xf numFmtId="3" fontId="0" fillId="0" borderId="27" xfId="0" applyNumberFormat="1" applyBorder="1"/>
    <xf numFmtId="8" fontId="0" fillId="0" borderId="13" xfId="0" applyNumberFormat="1" applyBorder="1"/>
    <xf numFmtId="9" fontId="0" fillId="0" borderId="13" xfId="0" applyNumberFormat="1" applyBorder="1"/>
    <xf numFmtId="9" fontId="0" fillId="0" borderId="28" xfId="0" applyNumberFormat="1" applyBorder="1"/>
    <xf numFmtId="8" fontId="0" fillId="0" borderId="26" xfId="0" applyNumberFormat="1" applyBorder="1"/>
    <xf numFmtId="8" fontId="0" fillId="0" borderId="28" xfId="0" applyNumberFormat="1" applyBorder="1"/>
    <xf numFmtId="8" fontId="0" fillId="0" borderId="29" xfId="0" applyNumberFormat="1" applyBorder="1"/>
    <xf numFmtId="0" fontId="4" fillId="0" borderId="0" xfId="0" applyFont="1"/>
    <xf numFmtId="0" fontId="4" fillId="0" borderId="13" xfId="0" applyFont="1" applyBorder="1"/>
    <xf numFmtId="9" fontId="0" fillId="0" borderId="13" xfId="6" applyFont="1" applyBorder="1"/>
    <xf numFmtId="0" fontId="16" fillId="0" borderId="30" xfId="0" applyFont="1" applyBorder="1"/>
    <xf numFmtId="0" fontId="0" fillId="0" borderId="31" xfId="0" applyBorder="1"/>
    <xf numFmtId="0" fontId="0" fillId="0" borderId="32" xfId="0" applyBorder="1"/>
    <xf numFmtId="14" fontId="0" fillId="0" borderId="0" xfId="0" applyNumberFormat="1"/>
    <xf numFmtId="22" fontId="0" fillId="0" borderId="0" xfId="0" applyNumberFormat="1"/>
    <xf numFmtId="14" fontId="0" fillId="0" borderId="28" xfId="0" applyNumberFormat="1" applyBorder="1"/>
    <xf numFmtId="14" fontId="0" fillId="0" borderId="26" xfId="0" applyNumberFormat="1" applyBorder="1"/>
    <xf numFmtId="22" fontId="0" fillId="0" borderId="26" xfId="0" applyNumberFormat="1" applyBorder="1"/>
    <xf numFmtId="14" fontId="0" fillId="0" borderId="25" xfId="0" applyNumberFormat="1" applyBorder="1"/>
    <xf numFmtId="14" fontId="0" fillId="0" borderId="27" xfId="0" applyNumberFormat="1" applyBorder="1"/>
    <xf numFmtId="14" fontId="0" fillId="0" borderId="29" xfId="0" applyNumberFormat="1" applyBorder="1"/>
    <xf numFmtId="14" fontId="0" fillId="0" borderId="26" xfId="5" applyNumberFormat="1" applyFont="1" applyBorder="1"/>
    <xf numFmtId="14" fontId="0" fillId="0" borderId="29" xfId="5" applyNumberFormat="1" applyFont="1" applyBorder="1"/>
    <xf numFmtId="0" fontId="16" fillId="16" borderId="27" xfId="0" applyFont="1" applyFill="1" applyBorder="1"/>
    <xf numFmtId="0" fontId="3" fillId="0" borderId="25" xfId="0" applyFont="1" applyBorder="1"/>
    <xf numFmtId="0" fontId="3" fillId="0" borderId="27" xfId="0" applyFont="1" applyBorder="1"/>
    <xf numFmtId="0" fontId="16" fillId="16" borderId="25" xfId="0" applyFont="1" applyFill="1" applyBorder="1" applyAlignment="1">
      <alignment horizontal="left"/>
    </xf>
    <xf numFmtId="0" fontId="16" fillId="16" borderId="26" xfId="0" applyFont="1" applyFill="1" applyBorder="1" applyAlignment="1">
      <alignment horizontal="left"/>
    </xf>
    <xf numFmtId="2" fontId="0" fillId="0" borderId="26" xfId="0" applyNumberFormat="1" applyBorder="1"/>
    <xf numFmtId="0" fontId="0" fillId="0" borderId="23" xfId="0" applyBorder="1"/>
    <xf numFmtId="0" fontId="0" fillId="0" borderId="33" xfId="0" applyBorder="1"/>
    <xf numFmtId="0" fontId="0" fillId="0" borderId="22" xfId="0" applyBorder="1"/>
    <xf numFmtId="0" fontId="0" fillId="0" borderId="44" xfId="0" applyBorder="1"/>
    <xf numFmtId="0" fontId="2" fillId="0" borderId="25" xfId="0" applyFont="1" applyBorder="1"/>
    <xf numFmtId="0" fontId="2" fillId="0" borderId="13" xfId="0" applyFont="1" applyBorder="1"/>
    <xf numFmtId="0" fontId="2" fillId="0" borderId="26" xfId="0" applyFont="1" applyBorder="1"/>
    <xf numFmtId="3" fontId="0" fillId="0" borderId="13" xfId="0" applyNumberFormat="1" applyBorder="1"/>
    <xf numFmtId="3" fontId="0" fillId="0" borderId="28" xfId="0" applyNumberFormat="1" applyBorder="1"/>
    <xf numFmtId="0" fontId="0" fillId="0" borderId="26" xfId="0" applyBorder="1" applyAlignment="1">
      <alignment horizontal="left"/>
    </xf>
    <xf numFmtId="0" fontId="0" fillId="0" borderId="29" xfId="0" applyBorder="1" applyAlignment="1">
      <alignment horizontal="left"/>
    </xf>
    <xf numFmtId="3" fontId="0" fillId="0" borderId="26" xfId="0" applyNumberFormat="1" applyBorder="1"/>
    <xf numFmtId="3" fontId="0" fillId="0" borderId="29" xfId="0" applyNumberFormat="1" applyBorder="1"/>
    <xf numFmtId="0" fontId="16" fillId="0" borderId="26" xfId="0" applyFont="1" applyBorder="1"/>
    <xf numFmtId="0" fontId="16" fillId="0" borderId="24" xfId="0" applyFont="1" applyBorder="1"/>
    <xf numFmtId="0" fontId="0" fillId="0" borderId="46" xfId="0" applyBorder="1"/>
    <xf numFmtId="0" fontId="16" fillId="16" borderId="47" xfId="0" applyFont="1" applyFill="1" applyBorder="1"/>
    <xf numFmtId="0" fontId="0" fillId="0" borderId="35" xfId="0" applyBorder="1"/>
    <xf numFmtId="0" fontId="1" fillId="0" borderId="0" xfId="0" applyFont="1"/>
    <xf numFmtId="0" fontId="6" fillId="0" borderId="26" xfId="0" applyFont="1" applyBorder="1"/>
    <xf numFmtId="0" fontId="6" fillId="0" borderId="28" xfId="0" applyFont="1" applyBorder="1"/>
    <xf numFmtId="0" fontId="6" fillId="0" borderId="29" xfId="0" applyFont="1" applyBorder="1"/>
    <xf numFmtId="0" fontId="0" fillId="17" borderId="15" xfId="0" applyFill="1" applyBorder="1"/>
    <xf numFmtId="0" fontId="0" fillId="17" borderId="13" xfId="0" applyFill="1" applyBorder="1"/>
    <xf numFmtId="0" fontId="0" fillId="17" borderId="18" xfId="0" applyFill="1" applyBorder="1"/>
    <xf numFmtId="0" fontId="0" fillId="17" borderId="19" xfId="0" applyFill="1" applyBorder="1"/>
    <xf numFmtId="0" fontId="0" fillId="17" borderId="20" xfId="0" applyFill="1" applyBorder="1"/>
    <xf numFmtId="0" fontId="0" fillId="17" borderId="21" xfId="0" applyFill="1" applyBorder="1"/>
    <xf numFmtId="0" fontId="22" fillId="16" borderId="16" xfId="0" applyFont="1" applyFill="1" applyBorder="1"/>
    <xf numFmtId="0" fontId="22" fillId="16" borderId="14" xfId="0" applyFont="1" applyFill="1" applyBorder="1"/>
    <xf numFmtId="0" fontId="22" fillId="16" borderId="17" xfId="0" applyFont="1" applyFill="1" applyBorder="1"/>
    <xf numFmtId="0" fontId="16" fillId="16" borderId="22" xfId="0" applyFont="1" applyFill="1" applyBorder="1" applyAlignment="1">
      <alignment horizontal="center" vertical="center" wrapText="1"/>
    </xf>
    <xf numFmtId="0" fontId="16" fillId="16" borderId="24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27" xfId="0" applyFont="1" applyBorder="1" applyAlignment="1">
      <alignment vertical="center" wrapText="1"/>
    </xf>
    <xf numFmtId="0" fontId="7" fillId="0" borderId="29" xfId="0" applyFont="1" applyBorder="1" applyAlignment="1">
      <alignment vertical="center" wrapText="1"/>
    </xf>
    <xf numFmtId="0" fontId="21" fillId="16" borderId="16" xfId="0" applyFont="1" applyFill="1" applyBorder="1" applyAlignment="1">
      <alignment horizontal="center" vertical="center" wrapText="1"/>
    </xf>
    <xf numFmtId="0" fontId="21" fillId="16" borderId="14" xfId="0" applyFont="1" applyFill="1" applyBorder="1" applyAlignment="1">
      <alignment horizontal="center" vertical="center" wrapText="1"/>
    </xf>
    <xf numFmtId="0" fontId="21" fillId="16" borderId="17" xfId="0" applyFont="1" applyFill="1" applyBorder="1" applyAlignment="1">
      <alignment horizontal="center" vertical="center" wrapText="1"/>
    </xf>
    <xf numFmtId="0" fontId="21" fillId="16" borderId="44" xfId="0" applyFont="1" applyFill="1" applyBorder="1" applyAlignment="1">
      <alignment horizontal="center" vertical="center" wrapText="1"/>
    </xf>
    <xf numFmtId="0" fontId="21" fillId="16" borderId="48" xfId="0" applyFont="1" applyFill="1" applyBorder="1" applyAlignment="1">
      <alignment horizontal="center" vertical="center" wrapText="1"/>
    </xf>
    <xf numFmtId="0" fontId="21" fillId="16" borderId="45" xfId="0" applyFont="1" applyFill="1" applyBorder="1" applyAlignment="1">
      <alignment horizontal="center" vertical="center" wrapText="1"/>
    </xf>
    <xf numFmtId="0" fontId="7" fillId="17" borderId="15" xfId="0" applyFont="1" applyFill="1" applyBorder="1" applyAlignment="1">
      <alignment vertical="center" wrapText="1"/>
    </xf>
    <xf numFmtId="0" fontId="7" fillId="17" borderId="13" xfId="0" applyFont="1" applyFill="1" applyBorder="1" applyAlignment="1">
      <alignment vertical="center" wrapText="1"/>
    </xf>
    <xf numFmtId="0" fontId="7" fillId="17" borderId="18" xfId="0" applyFont="1" applyFill="1" applyBorder="1" applyAlignment="1">
      <alignment vertical="center" wrapText="1"/>
    </xf>
    <xf numFmtId="0" fontId="7" fillId="17" borderId="19" xfId="0" applyFont="1" applyFill="1" applyBorder="1" applyAlignment="1">
      <alignment vertical="center" wrapText="1"/>
    </xf>
    <xf numFmtId="0" fontId="7" fillId="17" borderId="20" xfId="0" applyFont="1" applyFill="1" applyBorder="1" applyAlignment="1">
      <alignment vertical="center" wrapText="1"/>
    </xf>
    <xf numFmtId="0" fontId="7" fillId="17" borderId="21" xfId="0" applyFont="1" applyFill="1" applyBorder="1" applyAlignment="1">
      <alignment vertical="center" wrapText="1"/>
    </xf>
    <xf numFmtId="0" fontId="7" fillId="17" borderId="23" xfId="0" applyFont="1" applyFill="1" applyBorder="1" applyAlignment="1">
      <alignment vertical="center" wrapText="1"/>
    </xf>
    <xf numFmtId="0" fontId="22" fillId="16" borderId="0" xfId="0" applyFont="1" applyFill="1"/>
    <xf numFmtId="0" fontId="7" fillId="17" borderId="38" xfId="0" applyFont="1" applyFill="1" applyBorder="1" applyAlignment="1">
      <alignment vertical="center" wrapText="1"/>
    </xf>
    <xf numFmtId="0" fontId="7" fillId="17" borderId="49" xfId="0" applyFont="1" applyFill="1" applyBorder="1" applyAlignment="1">
      <alignment vertical="center" wrapText="1"/>
    </xf>
    <xf numFmtId="0" fontId="14" fillId="16" borderId="22" xfId="0" applyFont="1" applyFill="1" applyBorder="1"/>
    <xf numFmtId="0" fontId="14" fillId="16" borderId="23" xfId="0" applyFont="1" applyFill="1" applyBorder="1"/>
    <xf numFmtId="0" fontId="14" fillId="16" borderId="24" xfId="0" applyFont="1" applyFill="1" applyBorder="1"/>
    <xf numFmtId="0" fontId="13" fillId="0" borderId="25" xfId="0" applyFont="1" applyBorder="1"/>
    <xf numFmtId="0" fontId="13" fillId="0" borderId="26" xfId="0" applyFont="1" applyBorder="1"/>
    <xf numFmtId="0" fontId="13" fillId="0" borderId="27" xfId="0" applyFont="1" applyBorder="1"/>
    <xf numFmtId="0" fontId="13" fillId="0" borderId="28" xfId="0" applyFont="1" applyBorder="1"/>
    <xf numFmtId="0" fontId="13" fillId="0" borderId="29" xfId="0" applyFont="1" applyBorder="1"/>
    <xf numFmtId="0" fontId="16" fillId="0" borderId="29" xfId="0" applyFont="1" applyBorder="1"/>
    <xf numFmtId="0" fontId="13" fillId="0" borderId="51" xfId="0" applyFont="1" applyBorder="1"/>
    <xf numFmtId="0" fontId="13" fillId="0" borderId="52" xfId="0" applyFont="1" applyBorder="1"/>
    <xf numFmtId="0" fontId="13" fillId="0" borderId="56" xfId="0" applyFont="1" applyBorder="1"/>
    <xf numFmtId="0" fontId="13" fillId="0" borderId="57" xfId="0" applyFont="1" applyBorder="1"/>
    <xf numFmtId="0" fontId="13" fillId="0" borderId="58" xfId="0" applyFont="1" applyBorder="1"/>
    <xf numFmtId="0" fontId="13" fillId="0" borderId="59" xfId="0" applyFont="1" applyBorder="1"/>
    <xf numFmtId="0" fontId="13" fillId="0" borderId="60" xfId="0" applyFont="1" applyBorder="1"/>
    <xf numFmtId="0" fontId="11" fillId="16" borderId="53" xfId="0" applyFont="1" applyFill="1" applyBorder="1"/>
    <xf numFmtId="0" fontId="11" fillId="16" borderId="54" xfId="0" applyFont="1" applyFill="1" applyBorder="1"/>
    <xf numFmtId="0" fontId="23" fillId="16" borderId="55" xfId="0" applyFont="1" applyFill="1" applyBorder="1"/>
    <xf numFmtId="0" fontId="9" fillId="0" borderId="56" xfId="0" applyFont="1" applyBorder="1"/>
    <xf numFmtId="0" fontId="9" fillId="0" borderId="57" xfId="0" applyFont="1" applyBorder="1"/>
    <xf numFmtId="0" fontId="9" fillId="0" borderId="58" xfId="0" applyFont="1" applyBorder="1"/>
    <xf numFmtId="0" fontId="9" fillId="0" borderId="59" xfId="0" applyFont="1" applyBorder="1"/>
    <xf numFmtId="0" fontId="9" fillId="0" borderId="60" xfId="0" applyFont="1" applyBorder="1"/>
    <xf numFmtId="0" fontId="9" fillId="0" borderId="55" xfId="0" applyFont="1" applyBorder="1"/>
    <xf numFmtId="0" fontId="11" fillId="0" borderId="50" xfId="0" applyFont="1" applyBorder="1"/>
    <xf numFmtId="0" fontId="11" fillId="0" borderId="51" xfId="0" applyFont="1" applyBorder="1"/>
    <xf numFmtId="0" fontId="11" fillId="0" borderId="52" xfId="0" applyFont="1" applyBorder="1"/>
    <xf numFmtId="0" fontId="16" fillId="16" borderId="50" xfId="0" applyFont="1" applyFill="1" applyBorder="1"/>
    <xf numFmtId="0" fontId="16" fillId="16" borderId="53" xfId="0" applyFont="1" applyFill="1" applyBorder="1"/>
    <xf numFmtId="0" fontId="16" fillId="16" borderId="54" xfId="0" applyFont="1" applyFill="1" applyBorder="1"/>
    <xf numFmtId="0" fontId="16" fillId="16" borderId="55" xfId="0" applyFont="1" applyFill="1" applyBorder="1"/>
    <xf numFmtId="0" fontId="1" fillId="0" borderId="56" xfId="0" applyFont="1" applyBorder="1"/>
    <xf numFmtId="0" fontId="1" fillId="0" borderId="3" xfId="0" applyFont="1" applyBorder="1"/>
    <xf numFmtId="0" fontId="1" fillId="0" borderId="57" xfId="0" applyFont="1" applyBorder="1"/>
    <xf numFmtId="0" fontId="9" fillId="0" borderId="1" xfId="0" applyFont="1" applyBorder="1"/>
    <xf numFmtId="0" fontId="10" fillId="0" borderId="2" xfId="0" applyFont="1" applyBorder="1"/>
    <xf numFmtId="0" fontId="9" fillId="0" borderId="1" xfId="0" applyFont="1" applyBorder="1" applyAlignment="1">
      <alignment horizontal="center"/>
    </xf>
    <xf numFmtId="0" fontId="9" fillId="0" borderId="13" xfId="0" applyFont="1" applyBorder="1"/>
    <xf numFmtId="0" fontId="11" fillId="0" borderId="65" xfId="0" applyFont="1" applyBorder="1"/>
    <xf numFmtId="0" fontId="10" fillId="0" borderId="66" xfId="0" applyFont="1" applyBorder="1"/>
    <xf numFmtId="0" fontId="10" fillId="0" borderId="67" xfId="0" applyFont="1" applyBorder="1"/>
    <xf numFmtId="0" fontId="12" fillId="0" borderId="4" xfId="0" applyFont="1" applyBorder="1" applyAlignment="1">
      <alignment horizontal="center" vertical="center"/>
    </xf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0" fillId="0" borderId="0" xfId="0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1" fillId="0" borderId="61" xfId="0" applyFont="1" applyBorder="1"/>
    <xf numFmtId="0" fontId="10" fillId="0" borderId="62" xfId="0" applyFont="1" applyBorder="1"/>
    <xf numFmtId="0" fontId="10" fillId="0" borderId="63" xfId="0" applyFont="1" applyBorder="1"/>
    <xf numFmtId="0" fontId="11" fillId="0" borderId="64" xfId="0" applyFont="1" applyBorder="1"/>
    <xf numFmtId="0" fontId="10" fillId="0" borderId="12" xfId="0" applyFont="1" applyBorder="1"/>
    <xf numFmtId="0" fontId="9" fillId="0" borderId="28" xfId="0" applyFont="1" applyBorder="1"/>
    <xf numFmtId="0" fontId="9" fillId="0" borderId="23" xfId="0" applyFont="1" applyBorder="1"/>
    <xf numFmtId="0" fontId="16" fillId="16" borderId="22" xfId="0" applyFont="1" applyFill="1" applyBorder="1" applyAlignment="1">
      <alignment horizontal="center"/>
    </xf>
    <xf numFmtId="0" fontId="14" fillId="16" borderId="23" xfId="0" applyFont="1" applyFill="1" applyBorder="1" applyAlignment="1">
      <alignment horizontal="center"/>
    </xf>
    <xf numFmtId="0" fontId="14" fillId="16" borderId="24" xfId="0" applyFont="1" applyFill="1" applyBorder="1" applyAlignment="1">
      <alignment horizontal="center"/>
    </xf>
    <xf numFmtId="0" fontId="16" fillId="16" borderId="25" xfId="0" applyFont="1" applyFill="1" applyBorder="1"/>
    <xf numFmtId="0" fontId="16" fillId="16" borderId="13" xfId="0" applyFont="1" applyFill="1" applyBorder="1"/>
    <xf numFmtId="0" fontId="0" fillId="0" borderId="25" xfId="0" applyBorder="1"/>
    <xf numFmtId="0" fontId="0" fillId="0" borderId="13" xfId="0" applyBorder="1"/>
    <xf numFmtId="0" fontId="16" fillId="16" borderId="23" xfId="0" applyFont="1" applyFill="1" applyBorder="1" applyAlignment="1">
      <alignment horizontal="center"/>
    </xf>
    <xf numFmtId="0" fontId="16" fillId="16" borderId="24" xfId="0" applyFont="1" applyFill="1" applyBorder="1" applyAlignment="1">
      <alignment horizontal="center"/>
    </xf>
    <xf numFmtId="0" fontId="16" fillId="16" borderId="22" xfId="0" applyFont="1" applyFill="1" applyBorder="1"/>
    <xf numFmtId="0" fontId="16" fillId="16" borderId="23" xfId="0" applyFont="1" applyFill="1" applyBorder="1"/>
    <xf numFmtId="0" fontId="5" fillId="0" borderId="25" xfId="0" applyFont="1" applyBorder="1"/>
    <xf numFmtId="0" fontId="5" fillId="0" borderId="27" xfId="0" applyFont="1" applyBorder="1"/>
    <xf numFmtId="0" fontId="0" fillId="0" borderId="28" xfId="0" applyBorder="1"/>
    <xf numFmtId="0" fontId="0" fillId="0" borderId="27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9" xfId="0" applyBorder="1"/>
    <xf numFmtId="14" fontId="0" fillId="0" borderId="18" xfId="0" applyNumberFormat="1" applyBorder="1"/>
    <xf numFmtId="14" fontId="0" fillId="0" borderId="33" xfId="0" applyNumberFormat="1" applyBorder="1"/>
    <xf numFmtId="14" fontId="0" fillId="0" borderId="18" xfId="5" applyNumberFormat="1" applyFont="1" applyBorder="1"/>
    <xf numFmtId="14" fontId="0" fillId="0" borderId="33" xfId="5" applyNumberFormat="1" applyFont="1" applyBorder="1"/>
    <xf numFmtId="14" fontId="0" fillId="0" borderId="34" xfId="0" applyNumberFormat="1" applyBorder="1"/>
    <xf numFmtId="14" fontId="0" fillId="0" borderId="35" xfId="0" applyNumberFormat="1" applyBorder="1"/>
    <xf numFmtId="0" fontId="16" fillId="16" borderId="18" xfId="0" applyFont="1" applyFill="1" applyBorder="1"/>
    <xf numFmtId="0" fontId="16" fillId="16" borderId="33" xfId="0" applyFont="1" applyFill="1" applyBorder="1"/>
    <xf numFmtId="0" fontId="0" fillId="0" borderId="18" xfId="0" applyBorder="1"/>
    <xf numFmtId="0" fontId="0" fillId="0" borderId="33" xfId="0" applyBorder="1"/>
    <xf numFmtId="0" fontId="16" fillId="16" borderId="36" xfId="0" applyFont="1" applyFill="1" applyBorder="1"/>
    <xf numFmtId="0" fontId="16" fillId="16" borderId="37" xfId="0" applyFont="1" applyFill="1" applyBorder="1"/>
    <xf numFmtId="0" fontId="16" fillId="16" borderId="38" xfId="0" applyFont="1" applyFill="1" applyBorder="1"/>
    <xf numFmtId="0" fontId="0" fillId="0" borderId="39" xfId="0" applyBorder="1"/>
    <xf numFmtId="0" fontId="0" fillId="0" borderId="40" xfId="0" applyBorder="1"/>
    <xf numFmtId="0" fontId="0" fillId="0" borderId="15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22" xfId="0" applyBorder="1"/>
    <xf numFmtId="0" fontId="8" fillId="3" borderId="13" xfId="2" applyBorder="1" applyAlignment="1">
      <alignment horizontal="center"/>
    </xf>
    <xf numFmtId="0" fontId="16" fillId="8" borderId="13" xfId="0" applyFont="1" applyFill="1" applyBorder="1"/>
    <xf numFmtId="0" fontId="8" fillId="4" borderId="13" xfId="3" applyBorder="1"/>
    <xf numFmtId="0" fontId="3" fillId="0" borderId="13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16" fillId="16" borderId="24" xfId="0" applyFont="1" applyFill="1" applyBorder="1"/>
    <xf numFmtId="0" fontId="3" fillId="0" borderId="27" xfId="0" applyFont="1" applyBorder="1"/>
    <xf numFmtId="0" fontId="3" fillId="0" borderId="25" xfId="0" applyFont="1" applyBorder="1"/>
  </cellXfs>
  <cellStyles count="7">
    <cellStyle name="40% - Accent5" xfId="2" builtinId="47"/>
    <cellStyle name="40% - Accent6" xfId="3" builtinId="51"/>
    <cellStyle name="Currency" xfId="5" builtinId="4"/>
    <cellStyle name="Neutral" xfId="1" builtinId="28"/>
    <cellStyle name="Normal" xfId="0" builtinId="0"/>
    <cellStyle name="Percent" xfId="6" builtinId="5"/>
    <cellStyle name="Style 1" xfId="4" xr:uid="{53DCE9A4-A2F8-493C-A814-E79848A678B3}"/>
  </cellStyles>
  <dxfs count="6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C63FCE"/>
      <color rgb="FFE6F4EA"/>
      <color rgb="FFDAE8FC"/>
      <color rgb="FFD9D9D9"/>
      <color rgb="FFC6EFCE"/>
      <color rgb="FF6C3FCE"/>
      <color rgb="FFFFF2CC"/>
      <color rgb="FFCDACE6"/>
      <color rgb="FFE1C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20</xdr:row>
      <xdr:rowOff>30480</xdr:rowOff>
    </xdr:from>
    <xdr:to>
      <xdr:col>6</xdr:col>
      <xdr:colOff>571500</xdr:colOff>
      <xdr:row>25</xdr:row>
      <xdr:rowOff>147353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1DD91E-CFBD-A637-4F36-D7B0117AE939}"/>
            </a:ext>
          </a:extLst>
        </xdr:cNvPr>
        <xdr:cNvCxnSpPr/>
      </xdr:nvCxnSpPr>
      <xdr:spPr>
        <a:xfrm flipV="1">
          <a:off x="2895600" y="3771900"/>
          <a:ext cx="1790700" cy="10465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7620</xdr:rowOff>
    </xdr:from>
    <xdr:to>
      <xdr:col>6</xdr:col>
      <xdr:colOff>586740</xdr:colOff>
      <xdr:row>16</xdr:row>
      <xdr:rowOff>7620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1F90B5E-1D54-403B-F252-B4E4AA156A48}"/>
            </a:ext>
          </a:extLst>
        </xdr:cNvPr>
        <xdr:cNvCxnSpPr/>
      </xdr:nvCxnSpPr>
      <xdr:spPr>
        <a:xfrm>
          <a:off x="2895600" y="2994660"/>
          <a:ext cx="1805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609081</xdr:colOff>
      <xdr:row>12</xdr:row>
      <xdr:rowOff>173653</xdr:rowOff>
    </xdr:from>
    <xdr:to>
      <xdr:col>9</xdr:col>
      <xdr:colOff>38877</xdr:colOff>
      <xdr:row>13</xdr:row>
      <xdr:rowOff>127941</xdr:rowOff>
    </xdr:to>
    <xdr:sp macro="" textlink="">
      <xdr:nvSpPr>
        <xdr:cNvPr id="5" name="Arrow: Bent-Up 4">
          <a:extLst>
            <a:ext uri="{FF2B5EF4-FFF2-40B4-BE49-F238E27FC236}">
              <a16:creationId xmlns:a16="http://schemas.microsoft.com/office/drawing/2014/main" id="{64D1E711-ECF3-B831-40D2-EE50750D08BD}"/>
            </a:ext>
          </a:extLst>
        </xdr:cNvPr>
        <xdr:cNvSpPr/>
      </xdr:nvSpPr>
      <xdr:spPr>
        <a:xfrm>
          <a:off x="4263571" y="2381898"/>
          <a:ext cx="1386633" cy="138308"/>
        </a:xfrm>
        <a:prstGeom prst="bent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</a:t>
          </a:r>
        </a:p>
      </xdr:txBody>
    </xdr:sp>
    <xdr:clientData/>
  </xdr:twoCellAnchor>
  <xdr:twoCellAnchor>
    <xdr:from>
      <xdr:col>7</xdr:col>
      <xdr:colOff>4010</xdr:colOff>
      <xdr:row>12</xdr:row>
      <xdr:rowOff>64168</xdr:rowOff>
    </xdr:from>
    <xdr:to>
      <xdr:col>10</xdr:col>
      <xdr:colOff>356936</xdr:colOff>
      <xdr:row>15</xdr:row>
      <xdr:rowOff>123931</xdr:rowOff>
    </xdr:to>
    <xdr:sp macro="" textlink="">
      <xdr:nvSpPr>
        <xdr:cNvPr id="6" name="Arrow: Bent-Up 5">
          <a:extLst>
            <a:ext uri="{FF2B5EF4-FFF2-40B4-BE49-F238E27FC236}">
              <a16:creationId xmlns:a16="http://schemas.microsoft.com/office/drawing/2014/main" id="{01CF3F55-D751-4C12-BF51-AE07504501E1}"/>
            </a:ext>
          </a:extLst>
        </xdr:cNvPr>
        <xdr:cNvSpPr/>
      </xdr:nvSpPr>
      <xdr:spPr>
        <a:xfrm>
          <a:off x="4267581" y="2272413"/>
          <a:ext cx="2309763" cy="611824"/>
        </a:xfrm>
        <a:prstGeom prst="bentUpArrow">
          <a:avLst>
            <a:gd name="adj1" fmla="val 5511"/>
            <a:gd name="adj2" fmla="val 9137"/>
            <a:gd name="adj3" fmla="val 10967"/>
          </a:avLst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</a:t>
          </a:r>
        </a:p>
      </xdr:txBody>
    </xdr:sp>
    <xdr:clientData/>
  </xdr:twoCellAnchor>
  <xdr:twoCellAnchor>
    <xdr:from>
      <xdr:col>8</xdr:col>
      <xdr:colOff>254368</xdr:colOff>
      <xdr:row>12</xdr:row>
      <xdr:rowOff>21131</xdr:rowOff>
    </xdr:from>
    <xdr:to>
      <xdr:col>9</xdr:col>
      <xdr:colOff>353295</xdr:colOff>
      <xdr:row>12</xdr:row>
      <xdr:rowOff>173531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E0A18F7C-F1F9-C087-B039-25783584B26E}"/>
            </a:ext>
          </a:extLst>
        </xdr:cNvPr>
        <xdr:cNvSpPr/>
      </xdr:nvSpPr>
      <xdr:spPr>
        <a:xfrm rot="5400000">
          <a:off x="5534418" y="1951571"/>
          <a:ext cx="152400" cy="708009"/>
        </a:xfrm>
        <a:prstGeom prst="rightBrace">
          <a:avLst>
            <a:gd name="adj1" fmla="val 79600"/>
            <a:gd name="adj2" fmla="val 50000"/>
          </a:avLst>
        </a:prstGeom>
        <a:noFill/>
        <a:ln w="28575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15241</xdr:colOff>
      <xdr:row>13</xdr:row>
      <xdr:rowOff>76200</xdr:rowOff>
    </xdr:from>
    <xdr:to>
      <xdr:col>6</xdr:col>
      <xdr:colOff>452702</xdr:colOff>
      <xdr:row>14</xdr:row>
      <xdr:rowOff>129540</xdr:rowOff>
    </xdr:to>
    <xdr:sp macro="" textlink="">
      <xdr:nvSpPr>
        <xdr:cNvPr id="2" name="Arrow: Bent-Up 1">
          <a:extLst>
            <a:ext uri="{FF2B5EF4-FFF2-40B4-BE49-F238E27FC236}">
              <a16:creationId xmlns:a16="http://schemas.microsoft.com/office/drawing/2014/main" id="{E546E1A5-DD8A-6A5B-E908-D203AF2C1C0B}"/>
            </a:ext>
          </a:extLst>
        </xdr:cNvPr>
        <xdr:cNvSpPr/>
      </xdr:nvSpPr>
      <xdr:spPr>
        <a:xfrm>
          <a:off x="2455890" y="2452178"/>
          <a:ext cx="1657786" cy="236107"/>
        </a:xfrm>
        <a:prstGeom prst="bent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C55178-1256-482F-BAF4-0B8DCB8E9B10}" name="Table3" displayName="Table3" ref="A1:C8" totalsRowShown="0" headerRowDxfId="63" dataDxfId="62" tableBorderDxfId="61">
  <autoFilter ref="A1:C8" xr:uid="{24C55178-1256-482F-BAF4-0B8DCB8E9B10}"/>
  <tableColumns count="3">
    <tableColumn id="1" xr3:uid="{ED262602-B87A-4F94-8589-4E2BF65EF431}" name="Name" dataDxfId="60"/>
    <tableColumn id="2" xr3:uid="{2AB12155-B164-4FF4-A446-48D7DA87C9E9}" name="Department" dataDxfId="59"/>
    <tableColumn id="3" xr3:uid="{64D39C08-2789-42E2-A9C4-29ABF74561F1}" name="Salary" dataDxfId="5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BD7BEC-2EB5-4967-AE59-ACFC3141149C}" name="Table5" displayName="Table5" ref="A10:D18" totalsRowShown="0" headerRowDxfId="57" dataDxfId="55" headerRowBorderDxfId="56" tableBorderDxfId="54" totalsRowBorderDxfId="53">
  <autoFilter ref="A10:D18" xr:uid="{9BBD7BEC-2EB5-4967-AE59-ACFC3141149C}"/>
  <tableColumns count="4">
    <tableColumn id="1" xr3:uid="{75FD9C67-5EF5-45F5-AD90-7157EC2B20DD}" name="Department" dataDxfId="52"/>
    <tableColumn id="2" xr3:uid="{2F1BB63C-7270-4DB4-8043-7BB482DEDEF1}" name="Gender" dataDxfId="51"/>
    <tableColumn id="3" xr3:uid="{17DEF3CF-D136-414E-B626-0EC213596C90}" name="Salary" dataDxfId="50"/>
    <tableColumn id="4" xr3:uid="{B2B74037-40A0-4043-8006-68146AAC0D4F}" name="Performance" dataDxfId="4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A49B3A-9AEE-4406-B914-FB740B9F2D61}" name="Table6" displayName="Table6" ref="A20:D28" totalsRowShown="0" headerRowDxfId="48" dataDxfId="46" headerRowBorderDxfId="47" tableBorderDxfId="45" totalsRowBorderDxfId="44">
  <autoFilter ref="A20:D28" xr:uid="{15A49B3A-9AEE-4406-B914-FB740B9F2D61}"/>
  <tableColumns count="4">
    <tableColumn id="1" xr3:uid="{220B467B-DFB3-40F8-A01B-A4E00D569ECE}" name="Category" dataDxfId="43"/>
    <tableColumn id="2" xr3:uid="{1D4338C3-9788-4BDA-8CFC-884EBCE530E1}" name="Supplier" dataDxfId="42"/>
    <tableColumn id="3" xr3:uid="{441C2DBE-B7CC-41EB-AF57-86EA9FD9E56D}" name="Price" dataDxfId="41"/>
    <tableColumn id="4" xr3:uid="{A62C55AA-C792-4378-BEB6-62816C5F406F}" name="Stock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3A77D-3237-4BBF-BD1B-3E7E6E7ECE4A}" name="Table1" displayName="Table1" ref="B2:D9" totalsRowShown="0" headerRowDxfId="39" dataDxfId="37" headerRowBorderDxfId="38" tableBorderDxfId="36" totalsRowBorderDxfId="35">
  <autoFilter ref="B2:D9" xr:uid="{F1C3A77D-3237-4BBF-BD1B-3E7E6E7ECE4A}"/>
  <tableColumns count="3">
    <tableColumn id="1" xr3:uid="{F0F0E0B7-02A3-4F01-ADA4-3FA362C97123}" name="Name" dataDxfId="34"/>
    <tableColumn id="2" xr3:uid="{7EE238D7-6F1C-40B4-A0CD-C13FE5B2D6C1}" name="Department" dataDxfId="33"/>
    <tableColumn id="3" xr3:uid="{DF78D919-00D4-4D78-A63A-A2D317D0F956}" name="Salary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55D778-B84B-4F38-A1A7-B58D15632C77}" name="Table4" displayName="Table4" ref="B11:E20" totalsRowShown="0" headerRowDxfId="31" dataDxfId="29" headerRowBorderDxfId="30" tableBorderDxfId="28" totalsRowBorderDxfId="27">
  <autoFilter ref="B11:E20" xr:uid="{AC55D778-B84B-4F38-A1A7-B58D15632C77}"/>
  <tableColumns count="4">
    <tableColumn id="1" xr3:uid="{8D773C40-47AB-4B9A-8653-DEAABE7DC611}" name="Name" dataDxfId="26"/>
    <tableColumn id="2" xr3:uid="{E241A9CF-8651-4119-94A8-40C789CF7F55}" name="Department" dataDxfId="25"/>
    <tableColumn id="3" xr3:uid="{62FAD55A-DF32-4C52-9848-A00FB70F3808}" name="Salary" dataDxfId="24"/>
    <tableColumn id="4" xr3:uid="{B8C7A272-7749-4963-AA29-5FCFDD3D3FF4}" name="Experience" dataDxfId="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1DD20C-5069-491A-B332-7BE11C2A85DE}" name="Table2" displayName="Table2" ref="C3:G13" totalsRowShown="0" headerRowDxfId="22">
  <autoFilter ref="C3:G13" xr:uid="{321DD20C-5069-491A-B332-7BE11C2A85DE}"/>
  <tableColumns count="5">
    <tableColumn id="1" xr3:uid="{52B8C531-2F46-4165-AD00-CC9675A9AD96}" name="sr no" dataDxfId="21"/>
    <tableColumn id="2" xr3:uid="{5C60A310-FB7F-4241-88E1-06AE9F60A5A9}" name="ITEMS" dataDxfId="20"/>
    <tableColumn id="3" xr3:uid="{18D91AC6-2346-4C64-B5CF-54E2F1E5D32C}" name="QTY" dataDxfId="19"/>
    <tableColumn id="4" xr3:uid="{838D817B-EE9D-45A9-B5BE-AFFCD04D5314}" name="RATE" dataDxfId="18"/>
    <tableColumn id="5" xr3:uid="{EB5BBFA3-5803-4AFC-A8C2-B4A65875378B}" name="AMOUNT" dataDxfId="17">
      <calculatedColumnFormula>E4*F4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F8FC4F-770C-4D4A-9EB6-6F040142D375}" name="Table7" displayName="Table7" ref="B2:D21" totalsRowShown="0">
  <autoFilter ref="B2:D21" xr:uid="{17F8FC4F-770C-4D4A-9EB6-6F040142D375}"/>
  <tableColumns count="3">
    <tableColumn id="1" xr3:uid="{B0E49CD2-C3E8-40C3-A443-74791CA360B6}" name="Items" dataDxfId="16"/>
    <tableColumn id="2" xr3:uid="{86D52FC2-11AA-4A01-929A-436E001947D4}" name="Date" dataDxfId="15"/>
    <tableColumn id="3" xr3:uid="{D8310B11-B2F7-4028-9F29-CFC07071B75F}" name="Cost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00"/>
  <sheetViews>
    <sheetView workbookViewId="0">
      <selection activeCell="J16" sqref="J16"/>
    </sheetView>
  </sheetViews>
  <sheetFormatPr defaultColWidth="14.44140625" defaultRowHeight="15" customHeight="1" x14ac:dyDescent="0.3"/>
  <cols>
    <col min="1" max="1" width="8.6640625" customWidth="1"/>
    <col min="2" max="2" width="11.6640625" customWidth="1"/>
    <col min="3" max="3" width="8.6640625" customWidth="1"/>
    <col min="4" max="4" width="12.6640625" bestFit="1" customWidth="1"/>
    <col min="5" max="5" width="8" bestFit="1" customWidth="1"/>
    <col min="6" max="6" width="10.33203125" bestFit="1" customWidth="1"/>
    <col min="7" max="7" width="10.44140625" bestFit="1" customWidth="1"/>
    <col min="8" max="26" width="8.6640625" customWidth="1"/>
  </cols>
  <sheetData>
    <row r="2" spans="2:8" ht="14.4" x14ac:dyDescent="0.3">
      <c r="B2" s="172" t="s">
        <v>0</v>
      </c>
      <c r="C2" s="171"/>
      <c r="G2" s="170" t="s">
        <v>1</v>
      </c>
      <c r="H2" s="171"/>
    </row>
    <row r="3" spans="2:8" ht="14.4" x14ac:dyDescent="0.3">
      <c r="B3" s="170" t="s">
        <v>2</v>
      </c>
      <c r="C3" s="171"/>
      <c r="G3" s="170" t="s">
        <v>3</v>
      </c>
      <c r="H3" s="171"/>
    </row>
    <row r="4" spans="2:8" ht="14.4" x14ac:dyDescent="0.3">
      <c r="B4" s="170" t="s">
        <v>4</v>
      </c>
      <c r="C4" s="171"/>
      <c r="G4" s="170" t="s">
        <v>5</v>
      </c>
      <c r="H4" s="171"/>
    </row>
    <row r="5" spans="2:8" ht="14.4" x14ac:dyDescent="0.3">
      <c r="B5" s="170" t="s">
        <v>6</v>
      </c>
      <c r="C5" s="171"/>
      <c r="G5" s="170" t="s">
        <v>7</v>
      </c>
      <c r="H5" s="171"/>
    </row>
    <row r="6" spans="2:8" ht="14.4" x14ac:dyDescent="0.3">
      <c r="B6" s="170" t="s">
        <v>8</v>
      </c>
      <c r="C6" s="171"/>
      <c r="G6" s="170" t="s">
        <v>9</v>
      </c>
      <c r="H6" s="171"/>
    </row>
    <row r="7" spans="2:8" ht="14.4" x14ac:dyDescent="0.3">
      <c r="B7" s="170" t="s">
        <v>10</v>
      </c>
      <c r="C7" s="171"/>
      <c r="G7" s="170" t="s">
        <v>11</v>
      </c>
      <c r="H7" s="171"/>
    </row>
    <row r="10" spans="2:8" ht="14.4" x14ac:dyDescent="0.3">
      <c r="B10" s="173" t="s">
        <v>12</v>
      </c>
      <c r="C10" s="173"/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</row>
    <row r="11" spans="2:8" ht="14.4" x14ac:dyDescent="0.3">
      <c r="B11" s="173" t="s">
        <v>18</v>
      </c>
      <c r="C11" s="173"/>
      <c r="D11" s="5">
        <v>65</v>
      </c>
      <c r="E11" s="5">
        <v>0.2</v>
      </c>
      <c r="F11" s="6">
        <v>45658</v>
      </c>
      <c r="G11" s="5" t="s">
        <v>3</v>
      </c>
      <c r="H11" s="7">
        <v>0.41666666666666669</v>
      </c>
    </row>
    <row r="12" spans="2:8" ht="14.4" x14ac:dyDescent="0.3">
      <c r="B12" s="173" t="s">
        <v>19</v>
      </c>
      <c r="C12" s="173"/>
      <c r="D12" s="5">
        <v>45</v>
      </c>
      <c r="E12" s="5">
        <v>5</v>
      </c>
      <c r="F12" s="6">
        <v>45904</v>
      </c>
      <c r="G12" s="5" t="s">
        <v>5</v>
      </c>
      <c r="H12" s="7">
        <v>0.45833333333333331</v>
      </c>
    </row>
    <row r="13" spans="2:8" ht="14.4" x14ac:dyDescent="0.3">
      <c r="B13" s="173" t="s">
        <v>20</v>
      </c>
      <c r="C13" s="173"/>
      <c r="D13" s="5">
        <v>35</v>
      </c>
      <c r="E13" s="5">
        <v>1.6</v>
      </c>
      <c r="F13" s="6">
        <v>45749</v>
      </c>
      <c r="G13" s="5" t="s">
        <v>9</v>
      </c>
      <c r="H13" s="7">
        <v>0.5395833333333333</v>
      </c>
    </row>
    <row r="14" spans="2:8" ht="14.4" x14ac:dyDescent="0.3">
      <c r="B14" s="173" t="s">
        <v>21</v>
      </c>
      <c r="C14" s="173"/>
      <c r="D14" s="5">
        <v>99</v>
      </c>
      <c r="E14" s="5">
        <v>1.4565399999999999</v>
      </c>
      <c r="F14" s="6">
        <v>45972</v>
      </c>
      <c r="G14" s="5" t="s">
        <v>11</v>
      </c>
      <c r="H14" s="7">
        <v>0.68333333333333324</v>
      </c>
    </row>
    <row r="15" spans="2:8" ht="14.4" x14ac:dyDescent="0.3">
      <c r="B15" s="173" t="s">
        <v>22</v>
      </c>
      <c r="C15" s="173"/>
      <c r="D15" s="5">
        <v>78</v>
      </c>
      <c r="E15" s="5">
        <v>2.4860000000000002</v>
      </c>
      <c r="F15" s="6">
        <v>46003</v>
      </c>
      <c r="G15" s="5" t="s">
        <v>3</v>
      </c>
      <c r="H15" s="7">
        <v>0.56458333333333333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8">
    <mergeCell ref="B12:C12"/>
    <mergeCell ref="B13:C13"/>
    <mergeCell ref="B14:C14"/>
    <mergeCell ref="B15:C15"/>
    <mergeCell ref="G6:H6"/>
    <mergeCell ref="G7:H7"/>
    <mergeCell ref="B6:C6"/>
    <mergeCell ref="B7:C7"/>
    <mergeCell ref="B10:C10"/>
    <mergeCell ref="B11:C11"/>
    <mergeCell ref="G5:H5"/>
    <mergeCell ref="B2:C2"/>
    <mergeCell ref="G2:H2"/>
    <mergeCell ref="B3:C3"/>
    <mergeCell ref="G3:H3"/>
    <mergeCell ref="B4:C4"/>
    <mergeCell ref="G4:H4"/>
    <mergeCell ref="B5:C5"/>
  </mergeCells>
  <dataValidations count="6">
    <dataValidation type="list" allowBlank="1" showInputMessage="1" showErrorMessage="1" prompt="info - select one from give options." sqref="G11:G15" xr:uid="{00000000-0002-0000-0000-000000000000}">
      <formula1>$G$3:$G$7</formula1>
    </dataValidation>
    <dataValidation type="date" allowBlank="1" showInputMessage="1" showErrorMessage="1" prompt="info - date should lie between 01/01/25 and 01/01/26" sqref="F11:F15" xr:uid="{00000000-0002-0000-0000-000001000000}">
      <formula1>45658</formula1>
      <formula2>46023</formula2>
    </dataValidation>
    <dataValidation type="custom" allowBlank="1" showInputMessage="1" showErrorMessage="1" prompt="info - time should be between 9am to 5pm." sqref="H11:H15" xr:uid="{00000000-0002-0000-0000-000002000000}">
      <formula1>AND(GTE(H11,MIN((0.375),(0.708333333333333))),LTE(H11,MAX((0.375),(0.708333333333333))))</formula1>
    </dataValidation>
    <dataValidation type="decimal" allowBlank="1" showInputMessage="1" showErrorMessage="1" prompt="info - numbers should lie within the range of 35 to 100." sqref="D11:D15" xr:uid="{00000000-0002-0000-0000-000003000000}">
      <formula1>35</formula1>
      <formula2>100</formula2>
    </dataValidation>
    <dataValidation type="decimal" allowBlank="1" showInputMessage="1" showErrorMessage="1" prompt="info - numbers should lie within the range of 0.1 to 5.0." sqref="E11:E15" xr:uid="{00000000-0002-0000-0000-000004000000}">
      <formula1>0.1</formula1>
      <formula2>5</formula2>
    </dataValidation>
    <dataValidation type="custom" allowBlank="1" showInputMessage="1" showErrorMessage="1" prompt="info - input length should be between 3 and 10 characters." sqref="B11:B15" xr:uid="{00000000-0002-0000-0000-000005000000}">
      <formula1>AND(GTE(LEN(B11),MIN((3),(10))),LTE(LEN(B11),MAX((3),(10))))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000"/>
  <sheetViews>
    <sheetView workbookViewId="0">
      <selection activeCell="E18" sqref="E18"/>
    </sheetView>
  </sheetViews>
  <sheetFormatPr defaultColWidth="14.44140625" defaultRowHeight="15" customHeight="1" x14ac:dyDescent="0.3"/>
  <cols>
    <col min="1" max="1" width="8.6640625" customWidth="1"/>
    <col min="2" max="2" width="9.88671875" bestFit="1" customWidth="1"/>
    <col min="3" max="3" width="11.109375" bestFit="1" customWidth="1"/>
    <col min="4" max="4" width="8.6640625" customWidth="1"/>
    <col min="5" max="5" width="15.6640625" customWidth="1"/>
    <col min="6" max="26" width="8.6640625" customWidth="1"/>
  </cols>
  <sheetData>
    <row r="2" spans="2:11" ht="14.4" x14ac:dyDescent="0.3">
      <c r="B2" s="2" t="s">
        <v>23</v>
      </c>
      <c r="C2" s="2" t="s">
        <v>24</v>
      </c>
      <c r="E2" s="177" t="s">
        <v>25</v>
      </c>
      <c r="F2" s="178"/>
      <c r="G2" s="179"/>
    </row>
    <row r="3" spans="2:11" ht="14.4" x14ac:dyDescent="0.3">
      <c r="B3" s="3" t="s">
        <v>26</v>
      </c>
      <c r="C3" s="3" t="s">
        <v>27</v>
      </c>
      <c r="E3" s="180"/>
      <c r="F3" s="181"/>
      <c r="G3" s="182"/>
    </row>
    <row r="4" spans="2:11" ht="14.4" x14ac:dyDescent="0.3">
      <c r="B4" s="3" t="s">
        <v>28</v>
      </c>
      <c r="C4" s="3" t="s">
        <v>29</v>
      </c>
      <c r="E4" s="183"/>
      <c r="F4" s="184"/>
      <c r="G4" s="185"/>
    </row>
    <row r="5" spans="2:11" thickBot="1" x14ac:dyDescent="0.35">
      <c r="B5" s="3" t="s">
        <v>30</v>
      </c>
      <c r="C5" s="3" t="s">
        <v>31</v>
      </c>
    </row>
    <row r="6" spans="2:11" ht="14.4" x14ac:dyDescent="0.3">
      <c r="B6" s="3" t="s">
        <v>32</v>
      </c>
      <c r="C6" s="3" t="s">
        <v>33</v>
      </c>
      <c r="E6" s="186" t="s">
        <v>34</v>
      </c>
      <c r="F6" s="187"/>
      <c r="G6" s="188"/>
      <c r="H6" s="159">
        <f>SEARCH("ly", B4)</f>
        <v>4</v>
      </c>
      <c r="J6" s="160" t="s">
        <v>35</v>
      </c>
    </row>
    <row r="7" spans="2:11" ht="14.4" x14ac:dyDescent="0.3">
      <c r="B7" s="3" t="s">
        <v>36</v>
      </c>
      <c r="C7" s="3" t="s">
        <v>37</v>
      </c>
      <c r="E7" s="189" t="s">
        <v>38</v>
      </c>
      <c r="F7" s="190"/>
      <c r="G7" s="171"/>
      <c r="H7" s="155">
        <f>FIND("ch", B5)</f>
        <v>3</v>
      </c>
      <c r="J7" s="161" t="s">
        <v>39</v>
      </c>
    </row>
    <row r="8" spans="2:11" ht="14.4" x14ac:dyDescent="0.3">
      <c r="E8" s="189" t="s">
        <v>40</v>
      </c>
      <c r="F8" s="190"/>
      <c r="G8" s="171"/>
      <c r="H8" s="155" t="str">
        <f>LEFT(B3, 3)</f>
        <v>Joh</v>
      </c>
      <c r="J8" s="161" t="s">
        <v>41</v>
      </c>
    </row>
    <row r="9" spans="2:11" ht="14.4" x14ac:dyDescent="0.3">
      <c r="E9" s="189" t="s">
        <v>42</v>
      </c>
      <c r="F9" s="190"/>
      <c r="G9" s="171"/>
      <c r="H9" s="155" t="str">
        <f>RIGHT(B3, 3)</f>
        <v>ohn</v>
      </c>
      <c r="J9" s="161" t="s">
        <v>43</v>
      </c>
    </row>
    <row r="10" spans="2:11" thickBot="1" x14ac:dyDescent="0.35">
      <c r="E10" s="174" t="s">
        <v>44</v>
      </c>
      <c r="F10" s="175"/>
      <c r="G10" s="176"/>
      <c r="H10" s="158" t="str">
        <f>MID(B5, 4, 3)</f>
        <v>hae</v>
      </c>
      <c r="J10" s="162" t="s">
        <v>45</v>
      </c>
    </row>
    <row r="11" spans="2:11" ht="15" customHeight="1" thickBot="1" x14ac:dyDescent="0.35"/>
    <row r="12" spans="2:11" ht="14.4" x14ac:dyDescent="0.3">
      <c r="E12" s="151" t="s">
        <v>46</v>
      </c>
      <c r="F12" s="152" t="s">
        <v>47</v>
      </c>
      <c r="G12" s="152" t="s">
        <v>48</v>
      </c>
      <c r="H12" s="152" t="s">
        <v>49</v>
      </c>
      <c r="I12" s="152" t="s">
        <v>50</v>
      </c>
      <c r="J12" s="152" t="s">
        <v>51</v>
      </c>
      <c r="K12" s="153" t="s">
        <v>634</v>
      </c>
    </row>
    <row r="13" spans="2:11" ht="14.4" x14ac:dyDescent="0.3">
      <c r="E13" s="154" t="str">
        <f>_xlfn.CONCAT(B3, "-", C3)</f>
        <v>John-Sales</v>
      </c>
      <c r="F13" s="1" t="str">
        <f t="shared" ref="F13:F17" si="0">TRIM(B3)</f>
        <v>John</v>
      </c>
      <c r="G13" s="1">
        <f t="shared" ref="G13:G17" si="1">LEN(B3)</f>
        <v>4</v>
      </c>
      <c r="H13" s="1" t="str">
        <f t="shared" ref="H13:H17" si="2">LOWER(B3)</f>
        <v>john</v>
      </c>
      <c r="I13" s="1" t="str">
        <f t="shared" ref="I13:I17" si="3">UPPER(B3)</f>
        <v>JOHN</v>
      </c>
      <c r="J13" s="1" t="str">
        <f t="shared" ref="J13:J17" si="4">PROPER(B3)</f>
        <v>John</v>
      </c>
      <c r="K13" s="155" t="b">
        <f t="shared" ref="K13:K17" si="5">EXACT(B3,C3)</f>
        <v>0</v>
      </c>
    </row>
    <row r="14" spans="2:11" ht="14.4" x14ac:dyDescent="0.3">
      <c r="E14" s="154" t="str">
        <f t="shared" ref="E14:E17" si="6">_xlfn.CONCAT(B4, "-", C4)</f>
        <v>Emily-Marketing</v>
      </c>
      <c r="F14" s="1" t="str">
        <f t="shared" si="0"/>
        <v>Emily</v>
      </c>
      <c r="G14" s="1">
        <f t="shared" si="1"/>
        <v>5</v>
      </c>
      <c r="H14" s="1" t="str">
        <f t="shared" si="2"/>
        <v>emily</v>
      </c>
      <c r="I14" s="1" t="str">
        <f t="shared" si="3"/>
        <v>EMILY</v>
      </c>
      <c r="J14" s="1" t="str">
        <f t="shared" si="4"/>
        <v>Emily</v>
      </c>
      <c r="K14" s="155" t="b">
        <f t="shared" si="5"/>
        <v>0</v>
      </c>
    </row>
    <row r="15" spans="2:11" ht="14.4" x14ac:dyDescent="0.3">
      <c r="E15" s="154" t="str">
        <f t="shared" si="6"/>
        <v>Michael-IT</v>
      </c>
      <c r="F15" s="1" t="str">
        <f t="shared" si="0"/>
        <v>Michael</v>
      </c>
      <c r="G15" s="1">
        <f t="shared" si="1"/>
        <v>7</v>
      </c>
      <c r="H15" s="1" t="str">
        <f t="shared" si="2"/>
        <v>michael</v>
      </c>
      <c r="I15" s="1" t="str">
        <f t="shared" si="3"/>
        <v>MICHAEL</v>
      </c>
      <c r="J15" s="1" t="str">
        <f t="shared" si="4"/>
        <v>Michael</v>
      </c>
      <c r="K15" s="155" t="b">
        <f t="shared" si="5"/>
        <v>0</v>
      </c>
    </row>
    <row r="16" spans="2:11" ht="14.4" x14ac:dyDescent="0.3">
      <c r="E16" s="154" t="str">
        <f t="shared" si="6"/>
        <v>Sarah-HR</v>
      </c>
      <c r="F16" s="1" t="str">
        <f t="shared" si="0"/>
        <v>Sarah</v>
      </c>
      <c r="G16" s="1">
        <f t="shared" si="1"/>
        <v>5</v>
      </c>
      <c r="H16" s="1" t="str">
        <f t="shared" si="2"/>
        <v>sarah</v>
      </c>
      <c r="I16" s="1" t="str">
        <f t="shared" si="3"/>
        <v>SARAH</v>
      </c>
      <c r="J16" s="1" t="str">
        <f t="shared" si="4"/>
        <v>Sarah</v>
      </c>
      <c r="K16" s="155" t="b">
        <f t="shared" si="5"/>
        <v>0</v>
      </c>
    </row>
    <row r="17" spans="5:11" thickBot="1" x14ac:dyDescent="0.35">
      <c r="E17" s="156" t="str">
        <f t="shared" si="6"/>
        <v>David-Finance</v>
      </c>
      <c r="F17" s="157" t="str">
        <f t="shared" si="0"/>
        <v>David</v>
      </c>
      <c r="G17" s="157">
        <f t="shared" si="1"/>
        <v>5</v>
      </c>
      <c r="H17" s="157" t="str">
        <f t="shared" si="2"/>
        <v>david</v>
      </c>
      <c r="I17" s="157" t="str">
        <f t="shared" si="3"/>
        <v>DAVID</v>
      </c>
      <c r="J17" s="157" t="str">
        <f t="shared" si="4"/>
        <v>David</v>
      </c>
      <c r="K17" s="158" t="b">
        <f t="shared" si="5"/>
        <v>0</v>
      </c>
    </row>
    <row r="21" spans="5:11" ht="15.75" customHeight="1" x14ac:dyDescent="0.3"/>
    <row r="22" spans="5:11" ht="15.75" customHeight="1" x14ac:dyDescent="0.3"/>
    <row r="23" spans="5:11" ht="15.75" customHeight="1" x14ac:dyDescent="0.3"/>
    <row r="24" spans="5:11" ht="15.75" customHeight="1" x14ac:dyDescent="0.3"/>
    <row r="25" spans="5:11" ht="15.75" customHeight="1" x14ac:dyDescent="0.3"/>
    <row r="26" spans="5:11" ht="15.75" customHeight="1" x14ac:dyDescent="0.3"/>
    <row r="27" spans="5:11" ht="15.75" customHeight="1" x14ac:dyDescent="0.3"/>
    <row r="28" spans="5:11" ht="15.75" customHeight="1" x14ac:dyDescent="0.3"/>
    <row r="29" spans="5:11" ht="15.75" customHeight="1" x14ac:dyDescent="0.3"/>
    <row r="30" spans="5:11" ht="15.75" customHeight="1" x14ac:dyDescent="0.3"/>
    <row r="31" spans="5:11" ht="15.75" customHeight="1" x14ac:dyDescent="0.3"/>
    <row r="32" spans="5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6">
    <mergeCell ref="E10:G10"/>
    <mergeCell ref="E2:G4"/>
    <mergeCell ref="E6:G6"/>
    <mergeCell ref="E7:G7"/>
    <mergeCell ref="E8:G8"/>
    <mergeCell ref="E9:G9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F15"/>
  <sheetViews>
    <sheetView workbookViewId="0">
      <selection activeCell="G12" sqref="G12"/>
    </sheetView>
  </sheetViews>
  <sheetFormatPr defaultColWidth="14.44140625" defaultRowHeight="15" customHeight="1" x14ac:dyDescent="0.3"/>
  <cols>
    <col min="1" max="1" width="12.21875" customWidth="1"/>
    <col min="2" max="2" width="24.44140625" customWidth="1"/>
    <col min="3" max="3" width="16.21875" customWidth="1"/>
    <col min="4" max="4" width="13.5546875" bestFit="1" customWidth="1"/>
    <col min="5" max="5" width="35.44140625" bestFit="1" customWidth="1"/>
    <col min="6" max="6" width="33.33203125" bestFit="1" customWidth="1"/>
  </cols>
  <sheetData>
    <row r="1" spans="2:6" thickBot="1" x14ac:dyDescent="0.35"/>
    <row r="2" spans="2:6" ht="14.4" x14ac:dyDescent="0.3">
      <c r="B2" s="163" t="s">
        <v>52</v>
      </c>
      <c r="D2" s="164" t="s">
        <v>53</v>
      </c>
      <c r="E2" s="165" t="s">
        <v>54</v>
      </c>
      <c r="F2" s="166" t="s">
        <v>55</v>
      </c>
    </row>
    <row r="3" spans="2:6" ht="14.4" x14ac:dyDescent="0.3">
      <c r="B3" s="144" t="s">
        <v>56</v>
      </c>
      <c r="D3" s="167" t="s">
        <v>57</v>
      </c>
      <c r="E3" s="168" t="s">
        <v>58</v>
      </c>
      <c r="F3" s="169">
        <f>SEARCH("HR",B3)</f>
        <v>9</v>
      </c>
    </row>
    <row r="4" spans="2:6" ht="14.4" x14ac:dyDescent="0.3">
      <c r="B4" s="144" t="s">
        <v>59</v>
      </c>
      <c r="D4" s="167" t="s">
        <v>57</v>
      </c>
      <c r="E4" s="168" t="s">
        <v>60</v>
      </c>
      <c r="F4" s="169">
        <f>SEARCH("-", B4)</f>
        <v>7</v>
      </c>
    </row>
    <row r="5" spans="2:6" ht="14.4" x14ac:dyDescent="0.3">
      <c r="B5" s="144" t="s">
        <v>61</v>
      </c>
      <c r="D5" s="146" t="s">
        <v>62</v>
      </c>
      <c r="E5" s="4" t="s">
        <v>63</v>
      </c>
      <c r="F5" s="147">
        <f>FIND("Finance", B7)</f>
        <v>9</v>
      </c>
    </row>
    <row r="6" spans="2:6" ht="14.4" x14ac:dyDescent="0.3">
      <c r="B6" s="144" t="s">
        <v>64</v>
      </c>
      <c r="D6" s="146" t="s">
        <v>65</v>
      </c>
      <c r="E6" s="4" t="s">
        <v>66</v>
      </c>
      <c r="F6" s="147" t="str">
        <f>LEFT(B3, 5)</f>
        <v>Namrt</v>
      </c>
    </row>
    <row r="7" spans="2:6" thickBot="1" x14ac:dyDescent="0.35">
      <c r="B7" s="145" t="s">
        <v>67</v>
      </c>
      <c r="D7" s="146" t="s">
        <v>68</v>
      </c>
      <c r="E7" s="4" t="s">
        <v>69</v>
      </c>
      <c r="F7" s="147" t="str">
        <f>RIGHT(B3, 4)</f>
        <v xml:space="preserve"> -HR</v>
      </c>
    </row>
    <row r="8" spans="2:6" ht="14.4" x14ac:dyDescent="0.3">
      <c r="D8" s="146" t="s">
        <v>70</v>
      </c>
      <c r="E8" s="4" t="s">
        <v>71</v>
      </c>
      <c r="F8" s="147" t="str">
        <f>MID(B4, 8,2)</f>
        <v>Fi</v>
      </c>
    </row>
    <row r="9" spans="2:6" ht="14.4" x14ac:dyDescent="0.3">
      <c r="D9" s="146" t="s">
        <v>72</v>
      </c>
      <c r="E9" s="4" t="s">
        <v>73</v>
      </c>
      <c r="F9" s="147" t="str">
        <f>_xlfn.CONCAT(B3,B4)</f>
        <v>Namrta -HRRahul -Finance Department</v>
      </c>
    </row>
    <row r="10" spans="2:6" ht="14.4" x14ac:dyDescent="0.3">
      <c r="D10" s="146" t="s">
        <v>74</v>
      </c>
      <c r="E10" s="4" t="s">
        <v>75</v>
      </c>
      <c r="F10" s="147" t="str">
        <f>TRIM(B3)</f>
        <v>Namrta -HR</v>
      </c>
    </row>
    <row r="11" spans="2:6" ht="14.4" x14ac:dyDescent="0.3">
      <c r="D11" s="146" t="s">
        <v>76</v>
      </c>
      <c r="E11" s="4" t="s">
        <v>77</v>
      </c>
      <c r="F11" s="147">
        <f>LEN(B3)</f>
        <v>10</v>
      </c>
    </row>
    <row r="12" spans="2:6" ht="14.4" x14ac:dyDescent="0.3">
      <c r="D12" s="146" t="s">
        <v>78</v>
      </c>
      <c r="E12" s="4" t="s">
        <v>79</v>
      </c>
      <c r="F12" s="147" t="str">
        <f>LOWER(B3)</f>
        <v>namrta -hr</v>
      </c>
    </row>
    <row r="13" spans="2:6" ht="14.4" x14ac:dyDescent="0.3">
      <c r="D13" s="146" t="s">
        <v>80</v>
      </c>
      <c r="E13" s="4" t="s">
        <v>81</v>
      </c>
      <c r="F13" s="147" t="str">
        <f>UPPER(B3)</f>
        <v>NAMRTA -HR</v>
      </c>
    </row>
    <row r="14" spans="2:6" ht="14.4" x14ac:dyDescent="0.3">
      <c r="D14" s="146" t="s">
        <v>82</v>
      </c>
      <c r="E14" s="4" t="s">
        <v>83</v>
      </c>
      <c r="F14" s="147" t="str">
        <f>PROPER(B3)</f>
        <v>Namrta -Hr</v>
      </c>
    </row>
    <row r="15" spans="2:6" ht="15" customHeight="1" thickBot="1" x14ac:dyDescent="0.35">
      <c r="D15" s="148" t="s">
        <v>84</v>
      </c>
      <c r="E15" s="149" t="s">
        <v>85</v>
      </c>
      <c r="F15" s="150" t="b">
        <f>EXACT(B3,B4)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F23"/>
  <sheetViews>
    <sheetView zoomScale="79" workbookViewId="0">
      <selection activeCell="E9" sqref="E9"/>
    </sheetView>
  </sheetViews>
  <sheetFormatPr defaultColWidth="14.44140625" defaultRowHeight="15" customHeight="1" x14ac:dyDescent="0.3"/>
  <cols>
    <col min="1" max="1" width="15.21875" customWidth="1"/>
    <col min="6" max="6" width="18" bestFit="1" customWidth="1"/>
  </cols>
  <sheetData>
    <row r="1" spans="2:6" thickBot="1" x14ac:dyDescent="0.35"/>
    <row r="2" spans="2:6" ht="14.4" x14ac:dyDescent="0.3">
      <c r="B2" s="36" t="s">
        <v>86</v>
      </c>
      <c r="C2" s="37" t="s">
        <v>24</v>
      </c>
      <c r="D2" s="37" t="s">
        <v>87</v>
      </c>
      <c r="E2" s="37" t="s">
        <v>88</v>
      </c>
      <c r="F2" s="38" t="s">
        <v>89</v>
      </c>
    </row>
    <row r="3" spans="2:6" ht="14.4" x14ac:dyDescent="0.3">
      <c r="B3" s="138" t="s">
        <v>90</v>
      </c>
      <c r="C3" s="8" t="s">
        <v>33</v>
      </c>
      <c r="D3" s="8">
        <v>50000</v>
      </c>
      <c r="E3" s="8" t="s">
        <v>91</v>
      </c>
      <c r="F3" s="139">
        <v>3</v>
      </c>
    </row>
    <row r="4" spans="2:6" ht="14.4" x14ac:dyDescent="0.3">
      <c r="B4" s="138" t="s">
        <v>92</v>
      </c>
      <c r="C4" s="8" t="s">
        <v>37</v>
      </c>
      <c r="D4" s="8">
        <v>60000</v>
      </c>
      <c r="E4" s="8" t="s">
        <v>93</v>
      </c>
      <c r="F4" s="139">
        <v>4</v>
      </c>
    </row>
    <row r="5" spans="2:6" ht="14.4" x14ac:dyDescent="0.3">
      <c r="B5" s="138" t="s">
        <v>94</v>
      </c>
      <c r="C5" s="8" t="s">
        <v>33</v>
      </c>
      <c r="D5" s="8">
        <v>55000</v>
      </c>
      <c r="E5" s="8" t="s">
        <v>93</v>
      </c>
      <c r="F5" s="139">
        <v>5</v>
      </c>
    </row>
    <row r="6" spans="2:6" ht="14.4" x14ac:dyDescent="0.3">
      <c r="B6" s="138" t="s">
        <v>95</v>
      </c>
      <c r="C6" s="8" t="s">
        <v>31</v>
      </c>
      <c r="D6" s="8">
        <v>70000</v>
      </c>
      <c r="E6" s="8" t="s">
        <v>91</v>
      </c>
      <c r="F6" s="139">
        <v>5</v>
      </c>
    </row>
    <row r="7" spans="2:6" ht="14.4" x14ac:dyDescent="0.3">
      <c r="B7" s="138" t="s">
        <v>96</v>
      </c>
      <c r="C7" s="8" t="s">
        <v>37</v>
      </c>
      <c r="D7" s="8">
        <v>65000</v>
      </c>
      <c r="E7" s="8" t="s">
        <v>93</v>
      </c>
      <c r="F7" s="139">
        <v>2</v>
      </c>
    </row>
    <row r="8" spans="2:6" ht="14.4" x14ac:dyDescent="0.3">
      <c r="B8" s="138" t="s">
        <v>97</v>
      </c>
      <c r="C8" s="8" t="s">
        <v>31</v>
      </c>
      <c r="D8" s="8">
        <v>72000</v>
      </c>
      <c r="E8" s="8" t="s">
        <v>91</v>
      </c>
      <c r="F8" s="139">
        <v>3</v>
      </c>
    </row>
    <row r="9" spans="2:6" ht="15" customHeight="1" thickBot="1" x14ac:dyDescent="0.35">
      <c r="B9" s="140" t="s">
        <v>98</v>
      </c>
      <c r="C9" s="141" t="s">
        <v>33</v>
      </c>
      <c r="D9" s="141">
        <v>48000</v>
      </c>
      <c r="E9" s="141" t="s">
        <v>93</v>
      </c>
      <c r="F9" s="142">
        <v>4</v>
      </c>
    </row>
    <row r="11" spans="2:6" thickBot="1" x14ac:dyDescent="0.35"/>
    <row r="12" spans="2:6" ht="14.4" x14ac:dyDescent="0.3">
      <c r="B12" s="193" t="s">
        <v>632</v>
      </c>
      <c r="C12" s="194"/>
      <c r="D12" s="194"/>
      <c r="E12" s="194"/>
      <c r="F12" s="195"/>
    </row>
    <row r="13" spans="2:6" ht="14.4" x14ac:dyDescent="0.3">
      <c r="B13" s="44" t="s">
        <v>99</v>
      </c>
      <c r="C13" s="173" t="s">
        <v>100</v>
      </c>
      <c r="D13" s="173"/>
      <c r="E13" s="173"/>
      <c r="F13" s="95">
        <f>SUM(D3:D9)</f>
        <v>420000</v>
      </c>
    </row>
    <row r="14" spans="2:6" ht="14.4" x14ac:dyDescent="0.3">
      <c r="B14" s="44" t="s">
        <v>101</v>
      </c>
      <c r="C14" s="173" t="s">
        <v>102</v>
      </c>
      <c r="D14" s="173"/>
      <c r="E14" s="173"/>
      <c r="F14" s="95">
        <f>SUMIF(C3:C9,"HR",D3:D9)</f>
        <v>153000</v>
      </c>
    </row>
    <row r="15" spans="2:6" ht="15" customHeight="1" thickBot="1" x14ac:dyDescent="0.35">
      <c r="B15" s="76" t="s">
        <v>103</v>
      </c>
      <c r="C15" s="191" t="s">
        <v>104</v>
      </c>
      <c r="D15" s="191"/>
      <c r="E15" s="191"/>
      <c r="F15" s="143">
        <f>SUMIFS(D3:D9,C3:C9,"HR")</f>
        <v>153000</v>
      </c>
    </row>
    <row r="16" spans="2:6" thickBot="1" x14ac:dyDescent="0.35">
      <c r="B16" s="10"/>
    </row>
    <row r="17" spans="2:6" ht="14.4" x14ac:dyDescent="0.3">
      <c r="B17" s="36" t="s">
        <v>105</v>
      </c>
      <c r="C17" s="192" t="s">
        <v>106</v>
      </c>
      <c r="D17" s="192"/>
      <c r="E17" s="192"/>
      <c r="F17" s="96">
        <f>AVERAGE(D3:D9)</f>
        <v>60000</v>
      </c>
    </row>
    <row r="18" spans="2:6" ht="14.4" x14ac:dyDescent="0.3">
      <c r="B18" s="44" t="s">
        <v>107</v>
      </c>
      <c r="C18" s="173" t="s">
        <v>108</v>
      </c>
      <c r="D18" s="173"/>
      <c r="E18" s="173"/>
      <c r="F18" s="95">
        <f>AVERAGEIF(C3:C9, "Finance", D3:D9)</f>
        <v>62500</v>
      </c>
    </row>
    <row r="19" spans="2:6" ht="15" customHeight="1" thickBot="1" x14ac:dyDescent="0.35">
      <c r="B19" s="76" t="s">
        <v>109</v>
      </c>
      <c r="C19" s="191" t="s">
        <v>110</v>
      </c>
      <c r="D19" s="191"/>
      <c r="E19" s="191"/>
      <c r="F19" s="143">
        <f>AVERAGEIFS(D3:D9, E3:E9, "M", C3:C9, "Finance")</f>
        <v>62500</v>
      </c>
    </row>
    <row r="20" spans="2:6" thickBot="1" x14ac:dyDescent="0.35">
      <c r="B20" s="10"/>
    </row>
    <row r="21" spans="2:6" ht="14.4" x14ac:dyDescent="0.3">
      <c r="B21" s="36" t="s">
        <v>111</v>
      </c>
      <c r="C21" s="192" t="s">
        <v>112</v>
      </c>
      <c r="D21" s="192"/>
      <c r="E21" s="192"/>
      <c r="F21" s="96">
        <f>COUNTA(C3:C9)</f>
        <v>7</v>
      </c>
    </row>
    <row r="22" spans="2:6" ht="14.4" x14ac:dyDescent="0.3">
      <c r="B22" s="44" t="s">
        <v>113</v>
      </c>
      <c r="C22" s="173" t="s">
        <v>114</v>
      </c>
      <c r="D22" s="173"/>
      <c r="E22" s="173"/>
      <c r="F22" s="95">
        <f>COUNTIF(C3:C9, "Finance")</f>
        <v>2</v>
      </c>
    </row>
    <row r="23" spans="2:6" ht="15" customHeight="1" thickBot="1" x14ac:dyDescent="0.35">
      <c r="B23" s="76" t="s">
        <v>115</v>
      </c>
      <c r="C23" s="191" t="s">
        <v>116</v>
      </c>
      <c r="D23" s="191"/>
      <c r="E23" s="191"/>
      <c r="F23" s="143">
        <f>COUNTIFS(E3:E9, "F", C3:C9, "IT")</f>
        <v>2</v>
      </c>
    </row>
  </sheetData>
  <mergeCells count="10">
    <mergeCell ref="B12:F12"/>
    <mergeCell ref="C23:E23"/>
    <mergeCell ref="C17:E17"/>
    <mergeCell ref="C18:E18"/>
    <mergeCell ref="C19:E19"/>
    <mergeCell ref="C13:E13"/>
    <mergeCell ref="C14:E14"/>
    <mergeCell ref="C15:E15"/>
    <mergeCell ref="C21:E21"/>
    <mergeCell ref="C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D5"/>
  <sheetViews>
    <sheetView zoomScale="73" workbookViewId="0">
      <selection activeCell="C12" sqref="C12"/>
    </sheetView>
  </sheetViews>
  <sheetFormatPr defaultColWidth="14.44140625" defaultRowHeight="15" customHeight="1" x14ac:dyDescent="0.3"/>
  <cols>
    <col min="1" max="1" width="9.5546875" customWidth="1"/>
    <col min="2" max="2" width="16.33203125" bestFit="1" customWidth="1"/>
    <col min="3" max="3" width="59" bestFit="1" customWidth="1"/>
    <col min="4" max="4" width="12" bestFit="1" customWidth="1"/>
    <col min="5" max="5" width="14" customWidth="1"/>
  </cols>
  <sheetData>
    <row r="1" spans="2:4" thickBot="1" x14ac:dyDescent="0.35"/>
    <row r="2" spans="2:4" ht="14.4" x14ac:dyDescent="0.3">
      <c r="B2" s="135" t="s">
        <v>117</v>
      </c>
      <c r="C2" s="136" t="s">
        <v>54</v>
      </c>
      <c r="D2" s="137" t="s">
        <v>118</v>
      </c>
    </row>
    <row r="3" spans="2:4" ht="14.4" x14ac:dyDescent="0.3">
      <c r="B3" s="138" t="s">
        <v>119</v>
      </c>
      <c r="C3" s="8" t="s">
        <v>120</v>
      </c>
      <c r="D3" s="139">
        <f ca="1">RAND()</f>
        <v>0.21348684606732538</v>
      </c>
    </row>
    <row r="4" spans="2:4" ht="14.4" x14ac:dyDescent="0.3">
      <c r="B4" s="138" t="s">
        <v>121</v>
      </c>
      <c r="C4" s="8" t="s">
        <v>122</v>
      </c>
      <c r="D4" s="139">
        <f ca="1">RANDBETWEEN(2,10)</f>
        <v>9</v>
      </c>
    </row>
    <row r="5" spans="2:4" ht="15" customHeight="1" thickBot="1" x14ac:dyDescent="0.35">
      <c r="B5" s="140" t="s">
        <v>123</v>
      </c>
      <c r="C5" s="141" t="s">
        <v>124</v>
      </c>
      <c r="D5" s="142">
        <f>ROUND(10.34985749, 3)</f>
        <v>10.35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9BB2-938D-455D-97FF-7AD01804209E}">
  <dimension ref="A1:G32"/>
  <sheetViews>
    <sheetView zoomScale="73" workbookViewId="0">
      <selection activeCell="D32" sqref="D32"/>
    </sheetView>
  </sheetViews>
  <sheetFormatPr defaultRowHeight="14.4" x14ac:dyDescent="0.3"/>
  <cols>
    <col min="1" max="1" width="15.5546875" bestFit="1" customWidth="1"/>
    <col min="2" max="2" width="13.33203125" bestFit="1" customWidth="1"/>
    <col min="3" max="3" width="10.5546875" bestFit="1" customWidth="1"/>
    <col min="4" max="4" width="16.33203125" bestFit="1" customWidth="1"/>
    <col min="5" max="5" width="9.21875" customWidth="1"/>
    <col min="6" max="6" width="66.88671875" bestFit="1" customWidth="1"/>
  </cols>
  <sheetData>
    <row r="1" spans="1:7" x14ac:dyDescent="0.3">
      <c r="A1" s="132" t="s">
        <v>216</v>
      </c>
      <c r="B1" s="132" t="s">
        <v>24</v>
      </c>
      <c r="C1" s="132" t="s">
        <v>87</v>
      </c>
      <c r="F1" s="36" t="s">
        <v>134</v>
      </c>
      <c r="G1" s="38" t="s">
        <v>55</v>
      </c>
    </row>
    <row r="2" spans="1:7" x14ac:dyDescent="0.3">
      <c r="A2" s="104" t="s">
        <v>26</v>
      </c>
      <c r="B2" s="105" t="s">
        <v>27</v>
      </c>
      <c r="C2" s="106">
        <v>55000</v>
      </c>
      <c r="F2" s="39" t="s">
        <v>220</v>
      </c>
      <c r="G2" s="40">
        <f>_xlfn.MINIFS(Table3[Salary], Table3[Department], "Sales")</f>
        <v>52000</v>
      </c>
    </row>
    <row r="3" spans="1:7" x14ac:dyDescent="0.3">
      <c r="A3" s="104" t="s">
        <v>90</v>
      </c>
      <c r="B3" s="105" t="s">
        <v>33</v>
      </c>
      <c r="C3" s="106">
        <v>60000</v>
      </c>
      <c r="F3" s="39" t="s">
        <v>221</v>
      </c>
      <c r="G3" s="40">
        <f>_xlfn.MAXIFS(Table3[Salary],Table3[Department],"HR")</f>
        <v>60000</v>
      </c>
    </row>
    <row r="4" spans="1:7" x14ac:dyDescent="0.3">
      <c r="A4" s="104" t="s">
        <v>92</v>
      </c>
      <c r="B4" s="105" t="s">
        <v>27</v>
      </c>
      <c r="C4" s="106">
        <v>52000</v>
      </c>
      <c r="F4" s="39" t="s">
        <v>222</v>
      </c>
      <c r="G4" s="40">
        <f>_xlfn.MAXIFS(Table3[Salary],Table3[Department], "IT")</f>
        <v>70000</v>
      </c>
    </row>
    <row r="5" spans="1:7" x14ac:dyDescent="0.3">
      <c r="A5" s="104" t="s">
        <v>217</v>
      </c>
      <c r="B5" s="105" t="s">
        <v>31</v>
      </c>
      <c r="C5" s="106">
        <v>70000</v>
      </c>
      <c r="F5" s="39" t="s">
        <v>223</v>
      </c>
      <c r="G5" s="40">
        <f>_xlfn.MAXIFS(Table3[Salary],Table3[Department], "Sales")</f>
        <v>61000</v>
      </c>
    </row>
    <row r="6" spans="1:7" x14ac:dyDescent="0.3">
      <c r="A6" s="104" t="s">
        <v>36</v>
      </c>
      <c r="B6" s="105" t="s">
        <v>33</v>
      </c>
      <c r="C6" s="106">
        <v>58000</v>
      </c>
      <c r="F6" s="39" t="s">
        <v>224</v>
      </c>
      <c r="G6" s="40">
        <f>_xlfn.MINIFS(Table3[Salary],Table3[Department],"IT",Table3[Name],"Emma")</f>
        <v>70000</v>
      </c>
    </row>
    <row r="7" spans="1:7" ht="15" thickBot="1" x14ac:dyDescent="0.35">
      <c r="A7" s="104" t="s">
        <v>218</v>
      </c>
      <c r="B7" s="105" t="s">
        <v>27</v>
      </c>
      <c r="C7" s="106">
        <v>61000</v>
      </c>
      <c r="F7" s="41" t="s">
        <v>225</v>
      </c>
      <c r="G7" s="43">
        <f>_xlfn.MINIFS(Table3[Salary],Table3[Name],"Emma")</f>
        <v>70000</v>
      </c>
    </row>
    <row r="8" spans="1:7" x14ac:dyDescent="0.3">
      <c r="A8" s="107" t="s">
        <v>217</v>
      </c>
      <c r="B8" s="108" t="s">
        <v>219</v>
      </c>
      <c r="C8" s="109">
        <v>95000</v>
      </c>
    </row>
    <row r="9" spans="1:7" ht="15" thickBot="1" x14ac:dyDescent="0.35"/>
    <row r="10" spans="1:7" x14ac:dyDescent="0.3">
      <c r="A10" s="119" t="s">
        <v>24</v>
      </c>
      <c r="B10" s="120" t="s">
        <v>88</v>
      </c>
      <c r="C10" s="120" t="s">
        <v>87</v>
      </c>
      <c r="D10" s="121" t="s">
        <v>227</v>
      </c>
      <c r="F10" s="36" t="s">
        <v>134</v>
      </c>
      <c r="G10" s="38" t="s">
        <v>55</v>
      </c>
    </row>
    <row r="11" spans="1:7" x14ac:dyDescent="0.3">
      <c r="A11" s="125" t="s">
        <v>27</v>
      </c>
      <c r="B11" s="126" t="s">
        <v>93</v>
      </c>
      <c r="C11" s="126">
        <v>55000</v>
      </c>
      <c r="D11" s="127">
        <v>3.8</v>
      </c>
      <c r="F11" s="39" t="s">
        <v>137</v>
      </c>
      <c r="G11" s="40">
        <f>_xlfn.MAXIFS(Table5[Salary],Table5[Gender],"F")</f>
        <v>70000</v>
      </c>
    </row>
    <row r="12" spans="1:7" x14ac:dyDescent="0.3">
      <c r="A12" s="125" t="s">
        <v>33</v>
      </c>
      <c r="B12" s="126" t="s">
        <v>91</v>
      </c>
      <c r="C12" s="126">
        <v>60000</v>
      </c>
      <c r="D12" s="127">
        <v>4.2</v>
      </c>
      <c r="F12" s="39" t="s">
        <v>226</v>
      </c>
      <c r="G12" s="40">
        <f>_xlfn.MINIFS(Table5[Salary],Table5[Gender],"M",Table5[Department],"HR")</f>
        <v>58000</v>
      </c>
    </row>
    <row r="13" spans="1:7" x14ac:dyDescent="0.3">
      <c r="A13" s="125" t="s">
        <v>27</v>
      </c>
      <c r="B13" s="126" t="s">
        <v>93</v>
      </c>
      <c r="C13" s="126">
        <v>52000</v>
      </c>
      <c r="D13" s="127">
        <v>4</v>
      </c>
      <c r="F13" s="39" t="s">
        <v>141</v>
      </c>
      <c r="G13" s="40">
        <f>_xlfn.MAXIFS(Table5[Salary],Table5[Department],"IT",Table5[Performance],"&gt;4.0")</f>
        <v>70000</v>
      </c>
    </row>
    <row r="14" spans="1:7" x14ac:dyDescent="0.3">
      <c r="A14" s="125" t="s">
        <v>31</v>
      </c>
      <c r="B14" s="126" t="s">
        <v>91</v>
      </c>
      <c r="C14" s="126">
        <v>70000</v>
      </c>
      <c r="D14" s="127">
        <v>4.5</v>
      </c>
      <c r="F14" s="39" t="s">
        <v>142</v>
      </c>
      <c r="G14" s="40">
        <f>_xlfn.MINIFS(Table5[Salary],Table5[Performance],"&gt;4.0")</f>
        <v>60000</v>
      </c>
    </row>
    <row r="15" spans="1:7" ht="15" thickBot="1" x14ac:dyDescent="0.35">
      <c r="A15" s="125" t="s">
        <v>33</v>
      </c>
      <c r="B15" s="126" t="s">
        <v>93</v>
      </c>
      <c r="C15" s="126">
        <v>58000</v>
      </c>
      <c r="D15" s="127">
        <v>3.6</v>
      </c>
      <c r="F15" s="41" t="s">
        <v>145</v>
      </c>
      <c r="G15" s="43">
        <f>_xlfn.MAXIFS(Table5[Salary],Table5[Gender],"F", Table5[Performance],"&gt;4.0")</f>
        <v>70000</v>
      </c>
    </row>
    <row r="16" spans="1:7" x14ac:dyDescent="0.3">
      <c r="A16" s="125" t="s">
        <v>27</v>
      </c>
      <c r="B16" s="126" t="s">
        <v>91</v>
      </c>
      <c r="C16" s="126">
        <v>61000</v>
      </c>
      <c r="D16" s="127">
        <v>4.3</v>
      </c>
    </row>
    <row r="17" spans="1:7" x14ac:dyDescent="0.3">
      <c r="A17" s="125" t="s">
        <v>31</v>
      </c>
      <c r="B17" s="126" t="s">
        <v>93</v>
      </c>
      <c r="C17" s="126">
        <v>68000</v>
      </c>
      <c r="D17" s="127">
        <v>4</v>
      </c>
    </row>
    <row r="18" spans="1:7" x14ac:dyDescent="0.3">
      <c r="A18" s="128" t="s">
        <v>27</v>
      </c>
      <c r="B18" s="129" t="s">
        <v>91</v>
      </c>
      <c r="C18" s="129">
        <v>63000</v>
      </c>
      <c r="D18" s="130">
        <v>3.9</v>
      </c>
    </row>
    <row r="19" spans="1:7" ht="15" thickBot="1" x14ac:dyDescent="0.35"/>
    <row r="20" spans="1:7" ht="15" thickBot="1" x14ac:dyDescent="0.35">
      <c r="A20" s="122" t="s">
        <v>130</v>
      </c>
      <c r="B20" s="123" t="s">
        <v>131</v>
      </c>
      <c r="C20" s="123" t="s">
        <v>132</v>
      </c>
      <c r="D20" s="124" t="s">
        <v>133</v>
      </c>
      <c r="F20" s="113" t="s">
        <v>134</v>
      </c>
      <c r="G20" s="114" t="s">
        <v>55</v>
      </c>
    </row>
    <row r="21" spans="1:7" x14ac:dyDescent="0.3">
      <c r="A21" s="133" t="s">
        <v>135</v>
      </c>
      <c r="B21" s="131" t="s">
        <v>136</v>
      </c>
      <c r="C21" s="131">
        <v>1200</v>
      </c>
      <c r="D21" s="134">
        <v>15</v>
      </c>
      <c r="F21" s="115" t="s">
        <v>146</v>
      </c>
      <c r="G21" s="116">
        <f>_xlfn.MINIFS(Table6[Price],Table6[Category],"Electronics")</f>
        <v>80</v>
      </c>
    </row>
    <row r="22" spans="1:7" x14ac:dyDescent="0.3">
      <c r="A22" s="125" t="s">
        <v>138</v>
      </c>
      <c r="B22" s="126" t="s">
        <v>136</v>
      </c>
      <c r="C22" s="126">
        <v>25</v>
      </c>
      <c r="D22" s="127">
        <v>200</v>
      </c>
      <c r="F22" s="115" t="s">
        <v>228</v>
      </c>
      <c r="G22" s="116">
        <f>_xlfn.MAXIFS(Table6[Price],Table6[Supplier],"GearHouse")</f>
        <v>75</v>
      </c>
    </row>
    <row r="23" spans="1:7" x14ac:dyDescent="0.3">
      <c r="A23" s="125" t="s">
        <v>135</v>
      </c>
      <c r="B23" s="126" t="s">
        <v>140</v>
      </c>
      <c r="C23" s="126">
        <v>300</v>
      </c>
      <c r="D23" s="127">
        <v>50</v>
      </c>
      <c r="F23" s="115" t="s">
        <v>229</v>
      </c>
      <c r="G23" s="116">
        <f>_xlfn.MINIFS(Table6[Stock],Table6[Category],"Accessories")</f>
        <v>120</v>
      </c>
    </row>
    <row r="24" spans="1:7" x14ac:dyDescent="0.3">
      <c r="A24" s="125" t="s">
        <v>138</v>
      </c>
      <c r="B24" s="126" t="s">
        <v>139</v>
      </c>
      <c r="C24" s="126">
        <v>45</v>
      </c>
      <c r="D24" s="127">
        <v>120</v>
      </c>
      <c r="F24" s="115" t="s">
        <v>230</v>
      </c>
      <c r="G24" s="116">
        <f>_xlfn.MAXIFS(Table6[Price],Table6[Stock],"&gt;25",Table6[Category],"Furniture")</f>
        <v>150</v>
      </c>
    </row>
    <row r="25" spans="1:7" x14ac:dyDescent="0.3">
      <c r="A25" s="125" t="s">
        <v>143</v>
      </c>
      <c r="B25" s="126" t="s">
        <v>144</v>
      </c>
      <c r="C25" s="126">
        <v>150</v>
      </c>
      <c r="D25" s="127">
        <v>40</v>
      </c>
      <c r="F25" s="115" t="s">
        <v>147</v>
      </c>
      <c r="G25" s="116">
        <f>_xlfn.MINIFS(Table6[Price],Table6[Stock],"&gt;100")</f>
        <v>25</v>
      </c>
    </row>
    <row r="26" spans="1:7" x14ac:dyDescent="0.3">
      <c r="A26" s="125" t="s">
        <v>143</v>
      </c>
      <c r="B26" s="126" t="s">
        <v>144</v>
      </c>
      <c r="C26" s="126">
        <v>350</v>
      </c>
      <c r="D26" s="127">
        <v>20</v>
      </c>
      <c r="F26" s="115" t="s">
        <v>231</v>
      </c>
      <c r="G26" s="116">
        <f>_xlfn.MAXIFS(Table6[Price],Table6[Category],"Electronics",Table6[Stock],"&lt;20")</f>
        <v>1200</v>
      </c>
    </row>
    <row r="27" spans="1:7" x14ac:dyDescent="0.3">
      <c r="A27" s="125" t="s">
        <v>135</v>
      </c>
      <c r="B27" s="126" t="s">
        <v>136</v>
      </c>
      <c r="C27" s="126">
        <v>80</v>
      </c>
      <c r="D27" s="127">
        <v>90</v>
      </c>
      <c r="F27" s="115" t="s">
        <v>232</v>
      </c>
      <c r="G27" s="116">
        <f>_xlfn.MINIFS(Table6[Price],Table6[Category],"Furniture",Table6[Stock],"&gt;20",Table6[Stock],"&lt;60")</f>
        <v>150</v>
      </c>
    </row>
    <row r="28" spans="1:7" x14ac:dyDescent="0.3">
      <c r="A28" s="128" t="s">
        <v>138</v>
      </c>
      <c r="B28" s="129" t="s">
        <v>139</v>
      </c>
      <c r="C28" s="129">
        <v>75</v>
      </c>
      <c r="D28" s="130">
        <v>150</v>
      </c>
      <c r="F28" s="115" t="s">
        <v>233</v>
      </c>
      <c r="G28" s="116">
        <f>_xlfn.MAXIFS(Table6[Price],Table6[Price],"&lt;50")</f>
        <v>45</v>
      </c>
    </row>
    <row r="29" spans="1:7" ht="28.8" x14ac:dyDescent="0.3">
      <c r="F29" s="115" t="s">
        <v>234</v>
      </c>
      <c r="G29" s="116">
        <f>_xlfn.MINIFS(Table6[Price],Table6[Stock],"&gt;87.6")</f>
        <v>25</v>
      </c>
    </row>
    <row r="30" spans="1:7" x14ac:dyDescent="0.3">
      <c r="F30" s="115" t="s">
        <v>235</v>
      </c>
      <c r="G30" s="116">
        <f>_xlfn.MINIFS(Table6[Stock],Table6[Category],"Electronics",Table6[Price],"&gt;500")</f>
        <v>15</v>
      </c>
    </row>
    <row r="31" spans="1:7" x14ac:dyDescent="0.3">
      <c r="F31" s="115" t="s">
        <v>236</v>
      </c>
      <c r="G31" s="116">
        <f>_xlfn.MAXIFS(Table6[Stock],Table6[Price],"&gt;100",Table6[Price],"&lt;800")</f>
        <v>50</v>
      </c>
    </row>
    <row r="32" spans="1:7" ht="29.4" thickBot="1" x14ac:dyDescent="0.35">
      <c r="F32" s="117" t="s">
        <v>237</v>
      </c>
      <c r="G32" s="118">
        <f>_xlfn.MINIFS(Table6[Stock],Table6[Category],"Accessories",Table6[Supplier],"&lt;&gt;Gearhouse")</f>
        <v>200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7CA9-339B-499E-992E-808919A377AC}">
  <dimension ref="B1:L80"/>
  <sheetViews>
    <sheetView zoomScale="82" workbookViewId="0">
      <selection activeCell="F8" sqref="F8"/>
    </sheetView>
  </sheetViews>
  <sheetFormatPr defaultRowHeight="14.4" x14ac:dyDescent="0.3"/>
  <cols>
    <col min="2" max="2" width="7.88671875" customWidth="1"/>
    <col min="3" max="3" width="13" customWidth="1"/>
    <col min="4" max="4" width="8.21875" customWidth="1"/>
    <col min="5" max="5" width="12" customWidth="1"/>
    <col min="6" max="6" width="9.6640625" customWidth="1"/>
    <col min="7" max="7" width="8.77734375" bestFit="1" customWidth="1"/>
    <col min="8" max="8" width="13.109375" bestFit="1" customWidth="1"/>
    <col min="9" max="9" width="75.21875" bestFit="1" customWidth="1"/>
    <col min="10" max="10" width="72.77734375" bestFit="1" customWidth="1"/>
    <col min="11" max="11" width="16.33203125" bestFit="1" customWidth="1"/>
    <col min="12" max="12" width="12.5546875" bestFit="1" customWidth="1"/>
  </cols>
  <sheetData>
    <row r="1" spans="2:12" ht="15" thickBot="1" x14ac:dyDescent="0.35"/>
    <row r="2" spans="2:12" x14ac:dyDescent="0.3">
      <c r="B2" s="110" t="s">
        <v>216</v>
      </c>
      <c r="C2" s="111" t="s">
        <v>24</v>
      </c>
      <c r="D2" s="112" t="s">
        <v>87</v>
      </c>
      <c r="H2" s="36" t="s">
        <v>117</v>
      </c>
      <c r="I2" s="37" t="s">
        <v>266</v>
      </c>
      <c r="J2" s="37" t="s">
        <v>134</v>
      </c>
      <c r="K2" s="37" t="s">
        <v>55</v>
      </c>
      <c r="L2" s="98" t="s">
        <v>278</v>
      </c>
    </row>
    <row r="3" spans="2:12" x14ac:dyDescent="0.3">
      <c r="B3" s="104" t="s">
        <v>254</v>
      </c>
      <c r="C3" s="105" t="s">
        <v>33</v>
      </c>
      <c r="D3" s="106">
        <v>50000</v>
      </c>
      <c r="H3" s="39" t="s">
        <v>255</v>
      </c>
      <c r="I3" s="11">
        <v>1</v>
      </c>
      <c r="J3" s="11" t="s">
        <v>267</v>
      </c>
      <c r="K3" s="11">
        <f>DSUM(B2:D9,"Salary",L3:L4)</f>
        <v>187000</v>
      </c>
      <c r="L3" s="83" t="s">
        <v>24</v>
      </c>
    </row>
    <row r="4" spans="2:12" ht="15" thickBot="1" x14ac:dyDescent="0.35">
      <c r="B4" s="104" t="s">
        <v>256</v>
      </c>
      <c r="C4" s="105" t="s">
        <v>31</v>
      </c>
      <c r="D4" s="106">
        <v>60000</v>
      </c>
      <c r="H4" s="39" t="s">
        <v>257</v>
      </c>
      <c r="I4" s="11">
        <v>2</v>
      </c>
      <c r="J4" s="11" t="s">
        <v>268</v>
      </c>
      <c r="K4" s="11">
        <f>DCOUNTA(B2:D9,"Name",L3:L4)</f>
        <v>3</v>
      </c>
      <c r="L4" s="99" t="s">
        <v>31</v>
      </c>
    </row>
    <row r="5" spans="2:12" x14ac:dyDescent="0.3">
      <c r="B5" s="104" t="s">
        <v>258</v>
      </c>
      <c r="C5" s="105" t="s">
        <v>31</v>
      </c>
      <c r="D5" s="106">
        <v>65000</v>
      </c>
      <c r="H5" s="39" t="s">
        <v>259</v>
      </c>
      <c r="I5" s="11">
        <v>3</v>
      </c>
      <c r="J5" s="11" t="s">
        <v>269</v>
      </c>
      <c r="K5" s="40">
        <f>DMIN(B2:D9,"Salary",L3:L4)</f>
        <v>60000</v>
      </c>
    </row>
    <row r="6" spans="2:12" x14ac:dyDescent="0.3">
      <c r="B6" s="104" t="s">
        <v>260</v>
      </c>
      <c r="C6" s="105" t="s">
        <v>33</v>
      </c>
      <c r="D6" s="106">
        <v>55000</v>
      </c>
      <c r="H6" s="39" t="s">
        <v>261</v>
      </c>
      <c r="I6" s="11">
        <v>4</v>
      </c>
      <c r="J6" s="11" t="s">
        <v>270</v>
      </c>
      <c r="K6" s="40">
        <f>DMAX(B2:D9,"Salary",L3:L4)</f>
        <v>65000</v>
      </c>
    </row>
    <row r="7" spans="2:12" ht="15" thickBot="1" x14ac:dyDescent="0.35">
      <c r="B7" s="104" t="s">
        <v>262</v>
      </c>
      <c r="C7" s="105" t="s">
        <v>27</v>
      </c>
      <c r="D7" s="106">
        <v>70000</v>
      </c>
      <c r="H7" s="41" t="s">
        <v>263</v>
      </c>
      <c r="I7" s="42">
        <v>5</v>
      </c>
      <c r="J7" s="42" t="s">
        <v>271</v>
      </c>
      <c r="K7" s="43">
        <f>DAVERAGE(B2:D9,"Salary",L3:L4)</f>
        <v>62333.333333333336</v>
      </c>
    </row>
    <row r="8" spans="2:12" x14ac:dyDescent="0.3">
      <c r="B8" s="104" t="s">
        <v>264</v>
      </c>
      <c r="C8" s="105" t="s">
        <v>27</v>
      </c>
      <c r="D8" s="106">
        <v>68000</v>
      </c>
    </row>
    <row r="9" spans="2:12" x14ac:dyDescent="0.3">
      <c r="B9" s="107" t="s">
        <v>265</v>
      </c>
      <c r="C9" s="108" t="s">
        <v>31</v>
      </c>
      <c r="D9" s="109">
        <v>62000</v>
      </c>
    </row>
    <row r="10" spans="2:12" ht="15" thickBot="1" x14ac:dyDescent="0.35"/>
    <row r="11" spans="2:12" x14ac:dyDescent="0.3">
      <c r="B11" s="110" t="s">
        <v>216</v>
      </c>
      <c r="C11" s="111" t="s">
        <v>24</v>
      </c>
      <c r="D11" s="111" t="s">
        <v>87</v>
      </c>
      <c r="E11" s="112" t="s">
        <v>272</v>
      </c>
      <c r="H11" s="36" t="s">
        <v>53</v>
      </c>
      <c r="I11" s="38" t="s">
        <v>266</v>
      </c>
      <c r="J11" s="36" t="s">
        <v>134</v>
      </c>
      <c r="K11" s="38" t="s">
        <v>55</v>
      </c>
    </row>
    <row r="12" spans="2:12" x14ac:dyDescent="0.3">
      <c r="B12" s="104" t="s">
        <v>254</v>
      </c>
      <c r="C12" s="105" t="s">
        <v>33</v>
      </c>
      <c r="D12" s="105">
        <v>50000</v>
      </c>
      <c r="E12" s="106">
        <v>3</v>
      </c>
      <c r="H12" s="39" t="s">
        <v>255</v>
      </c>
      <c r="I12" s="11">
        <v>1</v>
      </c>
      <c r="J12" s="11" t="s">
        <v>274</v>
      </c>
      <c r="K12" s="40">
        <f>DSUM(B11:E20,D11,I13:J14)</f>
        <v>196000</v>
      </c>
    </row>
    <row r="13" spans="2:12" ht="15" thickBot="1" x14ac:dyDescent="0.35">
      <c r="B13" s="104" t="s">
        <v>256</v>
      </c>
      <c r="C13" s="105" t="s">
        <v>31</v>
      </c>
      <c r="D13" s="105">
        <v>60000</v>
      </c>
      <c r="E13" s="106">
        <v>5</v>
      </c>
      <c r="H13" s="41" t="s">
        <v>278</v>
      </c>
      <c r="I13" s="11" t="s">
        <v>24</v>
      </c>
      <c r="J13" s="11" t="s">
        <v>272</v>
      </c>
      <c r="K13" s="43"/>
    </row>
    <row r="14" spans="2:12" ht="15" thickBot="1" x14ac:dyDescent="0.35">
      <c r="B14" s="104" t="s">
        <v>258</v>
      </c>
      <c r="C14" s="105" t="s">
        <v>31</v>
      </c>
      <c r="D14" s="105">
        <v>65000</v>
      </c>
      <c r="E14" s="106">
        <v>6</v>
      </c>
      <c r="I14" s="97" t="s">
        <v>31</v>
      </c>
      <c r="J14" s="64" t="s">
        <v>279</v>
      </c>
    </row>
    <row r="15" spans="2:12" ht="15" thickBot="1" x14ac:dyDescent="0.35">
      <c r="B15" s="104" t="s">
        <v>260</v>
      </c>
      <c r="C15" s="105" t="s">
        <v>33</v>
      </c>
      <c r="D15" s="105">
        <v>55000</v>
      </c>
      <c r="E15" s="106">
        <v>2</v>
      </c>
    </row>
    <row r="16" spans="2:12" x14ac:dyDescent="0.3">
      <c r="B16" s="104" t="s">
        <v>262</v>
      </c>
      <c r="C16" s="105" t="s">
        <v>27</v>
      </c>
      <c r="D16" s="105">
        <v>70000</v>
      </c>
      <c r="E16" s="106">
        <v>4</v>
      </c>
      <c r="H16" s="84" t="s">
        <v>261</v>
      </c>
      <c r="I16" s="82">
        <v>2</v>
      </c>
      <c r="J16" s="82" t="s">
        <v>275</v>
      </c>
      <c r="K16" s="51">
        <f>DCOUNTA(B11:E20,B11,I17:J18)</f>
        <v>3</v>
      </c>
    </row>
    <row r="17" spans="2:11" ht="15" thickBot="1" x14ac:dyDescent="0.35">
      <c r="B17" s="104" t="s">
        <v>264</v>
      </c>
      <c r="C17" s="105" t="s">
        <v>27</v>
      </c>
      <c r="D17" s="105">
        <v>68000</v>
      </c>
      <c r="E17" s="106">
        <v>3</v>
      </c>
      <c r="H17" s="41" t="s">
        <v>278</v>
      </c>
      <c r="I17" s="11" t="s">
        <v>24</v>
      </c>
      <c r="J17" s="11" t="s">
        <v>272</v>
      </c>
      <c r="K17" s="43"/>
    </row>
    <row r="18" spans="2:11" ht="15" thickBot="1" x14ac:dyDescent="0.35">
      <c r="B18" s="104" t="s">
        <v>265</v>
      </c>
      <c r="C18" s="105" t="s">
        <v>31</v>
      </c>
      <c r="D18" s="105">
        <v>62000</v>
      </c>
      <c r="E18" s="106">
        <v>2</v>
      </c>
      <c r="I18" s="97" t="s">
        <v>31</v>
      </c>
      <c r="J18" s="64" t="s">
        <v>279</v>
      </c>
    </row>
    <row r="19" spans="2:11" ht="15" thickBot="1" x14ac:dyDescent="0.35">
      <c r="B19" s="104" t="s">
        <v>273</v>
      </c>
      <c r="C19" s="105" t="s">
        <v>31</v>
      </c>
      <c r="D19" s="105">
        <v>71000</v>
      </c>
      <c r="E19" s="106">
        <v>7</v>
      </c>
    </row>
    <row r="20" spans="2:11" x14ac:dyDescent="0.3">
      <c r="B20" s="107" t="s">
        <v>258</v>
      </c>
      <c r="C20" s="108" t="s">
        <v>33</v>
      </c>
      <c r="D20" s="108">
        <v>53000</v>
      </c>
      <c r="E20" s="109">
        <v>4</v>
      </c>
      <c r="H20" s="84" t="s">
        <v>257</v>
      </c>
      <c r="I20" s="82">
        <v>3</v>
      </c>
      <c r="J20" s="82" t="s">
        <v>276</v>
      </c>
      <c r="K20" s="51">
        <f>DMIN(B11:E20,D11,I21:J22)</f>
        <v>60000</v>
      </c>
    </row>
    <row r="21" spans="2:11" ht="15" thickBot="1" x14ac:dyDescent="0.35">
      <c r="H21" s="41" t="s">
        <v>278</v>
      </c>
      <c r="I21" s="11" t="s">
        <v>24</v>
      </c>
      <c r="J21" s="11" t="s">
        <v>272</v>
      </c>
      <c r="K21" s="43"/>
    </row>
    <row r="22" spans="2:11" ht="15" thickBot="1" x14ac:dyDescent="0.35">
      <c r="I22" s="97" t="s">
        <v>31</v>
      </c>
      <c r="J22" s="64" t="s">
        <v>279</v>
      </c>
    </row>
    <row r="23" spans="2:11" ht="15" thickBot="1" x14ac:dyDescent="0.35"/>
    <row r="24" spans="2:11" x14ac:dyDescent="0.3">
      <c r="H24" s="84" t="s">
        <v>259</v>
      </c>
      <c r="I24" s="82">
        <v>4</v>
      </c>
      <c r="J24" s="82" t="s">
        <v>277</v>
      </c>
      <c r="K24" s="51">
        <f>DMAX(B11:E20,D11,I25:J26)</f>
        <v>71000</v>
      </c>
    </row>
    <row r="25" spans="2:11" ht="15" thickBot="1" x14ac:dyDescent="0.35">
      <c r="H25" s="41" t="s">
        <v>278</v>
      </c>
      <c r="I25" s="11" t="s">
        <v>24</v>
      </c>
      <c r="J25" s="11" t="s">
        <v>272</v>
      </c>
      <c r="K25" s="43"/>
    </row>
    <row r="26" spans="2:11" ht="15" thickBot="1" x14ac:dyDescent="0.35">
      <c r="I26" s="97" t="s">
        <v>31</v>
      </c>
      <c r="J26" s="64" t="s">
        <v>279</v>
      </c>
    </row>
    <row r="28" spans="2:11" ht="15" thickBot="1" x14ac:dyDescent="0.35"/>
    <row r="29" spans="2:11" x14ac:dyDescent="0.3">
      <c r="B29" s="36" t="s">
        <v>24</v>
      </c>
      <c r="C29" s="37" t="s">
        <v>216</v>
      </c>
      <c r="D29" s="37" t="s">
        <v>87</v>
      </c>
      <c r="E29" s="37" t="s">
        <v>280</v>
      </c>
      <c r="F29" s="38" t="s">
        <v>88</v>
      </c>
      <c r="H29" s="36" t="s">
        <v>298</v>
      </c>
      <c r="I29" s="38" t="s">
        <v>266</v>
      </c>
      <c r="J29" s="36" t="s">
        <v>134</v>
      </c>
      <c r="K29" s="38" t="s">
        <v>55</v>
      </c>
    </row>
    <row r="30" spans="2:11" x14ac:dyDescent="0.3">
      <c r="B30" s="39" t="s">
        <v>33</v>
      </c>
      <c r="C30" s="11" t="s">
        <v>281</v>
      </c>
      <c r="D30" s="11">
        <v>50000</v>
      </c>
      <c r="E30" s="11">
        <v>28</v>
      </c>
      <c r="F30" s="40" t="s">
        <v>91</v>
      </c>
      <c r="H30" s="39" t="s">
        <v>255</v>
      </c>
      <c r="I30" s="11">
        <v>1</v>
      </c>
      <c r="J30" s="11" t="s">
        <v>285</v>
      </c>
      <c r="K30" s="40">
        <f>DMIN($B$29:$F$35,D29,I31:J32)</f>
        <v>50000</v>
      </c>
    </row>
    <row r="31" spans="2:11" ht="15" thickBot="1" x14ac:dyDescent="0.35">
      <c r="B31" s="39" t="s">
        <v>31</v>
      </c>
      <c r="C31" s="11" t="s">
        <v>282</v>
      </c>
      <c r="D31" s="11">
        <v>60000</v>
      </c>
      <c r="E31" s="11">
        <v>35</v>
      </c>
      <c r="F31" s="40" t="s">
        <v>93</v>
      </c>
      <c r="H31" s="41" t="s">
        <v>278</v>
      </c>
      <c r="I31" s="11" t="s">
        <v>24</v>
      </c>
      <c r="J31" s="11" t="s">
        <v>88</v>
      </c>
      <c r="K31" s="43"/>
    </row>
    <row r="32" spans="2:11" ht="15" thickBot="1" x14ac:dyDescent="0.35">
      <c r="B32" s="39" t="s">
        <v>33</v>
      </c>
      <c r="C32" s="34" t="s">
        <v>300</v>
      </c>
      <c r="D32" s="11">
        <v>55000</v>
      </c>
      <c r="E32" s="11">
        <v>32</v>
      </c>
      <c r="F32" s="101" t="s">
        <v>93</v>
      </c>
      <c r="I32" s="97" t="s">
        <v>33</v>
      </c>
      <c r="J32" s="64" t="s">
        <v>91</v>
      </c>
    </row>
    <row r="33" spans="2:11" ht="15" thickBot="1" x14ac:dyDescent="0.35">
      <c r="B33" s="39" t="s">
        <v>31</v>
      </c>
      <c r="C33" s="11" t="s">
        <v>283</v>
      </c>
      <c r="D33" s="11">
        <v>70000</v>
      </c>
      <c r="E33" s="11">
        <v>45</v>
      </c>
      <c r="F33" s="40" t="s">
        <v>93</v>
      </c>
    </row>
    <row r="34" spans="2:11" x14ac:dyDescent="0.3">
      <c r="B34" s="39" t="s">
        <v>33</v>
      </c>
      <c r="C34" s="11" t="s">
        <v>284</v>
      </c>
      <c r="D34" s="11">
        <v>52000</v>
      </c>
      <c r="E34" s="11">
        <v>29</v>
      </c>
      <c r="F34" s="40" t="s">
        <v>91</v>
      </c>
      <c r="H34" s="84" t="s">
        <v>255</v>
      </c>
      <c r="I34" s="82">
        <v>2</v>
      </c>
      <c r="J34" s="82" t="s">
        <v>286</v>
      </c>
      <c r="K34" s="51">
        <f>DMAX($B$29:$F$35,D29,I35:J36)</f>
        <v>52000</v>
      </c>
    </row>
    <row r="35" spans="2:11" ht="15" thickBot="1" x14ac:dyDescent="0.35">
      <c r="B35" s="41" t="s">
        <v>31</v>
      </c>
      <c r="C35" s="102" t="s">
        <v>299</v>
      </c>
      <c r="D35" s="42">
        <v>68000</v>
      </c>
      <c r="E35" s="42">
        <v>41</v>
      </c>
      <c r="F35" s="103" t="s">
        <v>91</v>
      </c>
      <c r="H35" s="41" t="s">
        <v>278</v>
      </c>
      <c r="I35" s="11" t="s">
        <v>24</v>
      </c>
      <c r="J35" s="11" t="s">
        <v>88</v>
      </c>
      <c r="K35" s="43"/>
    </row>
    <row r="36" spans="2:11" ht="15" thickBot="1" x14ac:dyDescent="0.35">
      <c r="I36" s="97" t="s">
        <v>33</v>
      </c>
      <c r="J36" s="64" t="s">
        <v>91</v>
      </c>
    </row>
    <row r="37" spans="2:11" ht="15" thickBot="1" x14ac:dyDescent="0.35"/>
    <row r="38" spans="2:11" x14ac:dyDescent="0.3">
      <c r="H38" s="84" t="s">
        <v>255</v>
      </c>
      <c r="I38" s="82">
        <v>3</v>
      </c>
      <c r="J38" s="82" t="s">
        <v>287</v>
      </c>
      <c r="K38" s="51">
        <f>DSUM($B$29:$F$35,D29,I39:J40)</f>
        <v>102000</v>
      </c>
    </row>
    <row r="39" spans="2:11" ht="15" thickBot="1" x14ac:dyDescent="0.35">
      <c r="H39" s="41" t="s">
        <v>278</v>
      </c>
      <c r="I39" s="11" t="s">
        <v>24</v>
      </c>
      <c r="J39" s="11" t="s">
        <v>88</v>
      </c>
      <c r="K39" s="43"/>
    </row>
    <row r="40" spans="2:11" ht="15" thickBot="1" x14ac:dyDescent="0.35">
      <c r="I40" s="97" t="s">
        <v>33</v>
      </c>
      <c r="J40" s="64" t="s">
        <v>91</v>
      </c>
    </row>
    <row r="41" spans="2:11" ht="15" thickBot="1" x14ac:dyDescent="0.35"/>
    <row r="42" spans="2:11" x14ac:dyDescent="0.3">
      <c r="H42" s="84" t="s">
        <v>255</v>
      </c>
      <c r="I42" s="82">
        <v>4</v>
      </c>
      <c r="J42" s="82" t="s">
        <v>288</v>
      </c>
      <c r="K42" s="51">
        <f>DCOUNT($B$29:$F$35,D29,I43:J44)</f>
        <v>2</v>
      </c>
    </row>
    <row r="43" spans="2:11" ht="15" thickBot="1" x14ac:dyDescent="0.35">
      <c r="H43" s="41" t="s">
        <v>278</v>
      </c>
      <c r="I43" s="11" t="s">
        <v>24</v>
      </c>
      <c r="J43" s="11" t="s">
        <v>88</v>
      </c>
      <c r="K43" s="43"/>
    </row>
    <row r="44" spans="2:11" ht="15" thickBot="1" x14ac:dyDescent="0.35">
      <c r="I44" s="97" t="s">
        <v>31</v>
      </c>
      <c r="J44" s="64" t="s">
        <v>93</v>
      </c>
    </row>
    <row r="45" spans="2:11" ht="15" thickBot="1" x14ac:dyDescent="0.35"/>
    <row r="46" spans="2:11" x14ac:dyDescent="0.3">
      <c r="H46" s="84" t="s">
        <v>255</v>
      </c>
      <c r="I46" s="82">
        <v>5</v>
      </c>
      <c r="J46" s="82" t="s">
        <v>289</v>
      </c>
      <c r="K46" s="51">
        <f>DAVERAGE($B$29:$F$35,D29,I47:J48)</f>
        <v>65000</v>
      </c>
    </row>
    <row r="47" spans="2:11" ht="15" thickBot="1" x14ac:dyDescent="0.35">
      <c r="H47" s="41" t="s">
        <v>278</v>
      </c>
      <c r="I47" s="11" t="s">
        <v>24</v>
      </c>
      <c r="J47" s="11" t="s">
        <v>88</v>
      </c>
      <c r="K47" s="43"/>
    </row>
    <row r="48" spans="2:11" ht="15" thickBot="1" x14ac:dyDescent="0.35">
      <c r="I48" s="97" t="s">
        <v>31</v>
      </c>
      <c r="J48" s="64" t="s">
        <v>93</v>
      </c>
    </row>
    <row r="49" spans="8:11" ht="15" thickBot="1" x14ac:dyDescent="0.35"/>
    <row r="50" spans="8:11" x14ac:dyDescent="0.3">
      <c r="H50" s="84" t="s">
        <v>255</v>
      </c>
      <c r="I50" s="82">
        <v>6</v>
      </c>
      <c r="J50" s="82" t="s">
        <v>290</v>
      </c>
      <c r="K50" s="51">
        <f>DMIN($B$29:$F$35,E29,I51:J52)</f>
        <v>41</v>
      </c>
    </row>
    <row r="51" spans="8:11" ht="15" thickBot="1" x14ac:dyDescent="0.35">
      <c r="H51" s="41" t="s">
        <v>278</v>
      </c>
      <c r="I51" s="11" t="s">
        <v>24</v>
      </c>
      <c r="J51" s="11" t="s">
        <v>88</v>
      </c>
      <c r="K51" s="43"/>
    </row>
    <row r="52" spans="8:11" ht="15" thickBot="1" x14ac:dyDescent="0.35">
      <c r="I52" s="97" t="s">
        <v>31</v>
      </c>
      <c r="J52" s="64" t="s">
        <v>91</v>
      </c>
    </row>
    <row r="53" spans="8:11" ht="15" thickBot="1" x14ac:dyDescent="0.35"/>
    <row r="54" spans="8:11" x14ac:dyDescent="0.3">
      <c r="H54" s="84" t="s">
        <v>255</v>
      </c>
      <c r="I54" s="82">
        <v>7</v>
      </c>
      <c r="J54" s="82" t="s">
        <v>291</v>
      </c>
      <c r="K54" s="51">
        <f>DMIN($B$29:$F$35,E29,I55:J56)</f>
        <v>32</v>
      </c>
    </row>
    <row r="55" spans="8:11" ht="15" thickBot="1" x14ac:dyDescent="0.35">
      <c r="H55" s="41" t="s">
        <v>278</v>
      </c>
      <c r="I55" s="11" t="s">
        <v>24</v>
      </c>
      <c r="J55" s="11" t="s">
        <v>88</v>
      </c>
      <c r="K55" s="43"/>
    </row>
    <row r="56" spans="8:11" ht="15" thickBot="1" x14ac:dyDescent="0.35">
      <c r="I56" s="97" t="s">
        <v>33</v>
      </c>
      <c r="J56" s="64" t="s">
        <v>93</v>
      </c>
    </row>
    <row r="57" spans="8:11" ht="15" thickBot="1" x14ac:dyDescent="0.35"/>
    <row r="58" spans="8:11" x14ac:dyDescent="0.3">
      <c r="H58" s="84" t="s">
        <v>255</v>
      </c>
      <c r="I58" s="82">
        <v>8</v>
      </c>
      <c r="J58" s="82" t="s">
        <v>292</v>
      </c>
      <c r="K58" s="51">
        <f>DMAX($B$29:$F$35,E29,I59:J60)</f>
        <v>41</v>
      </c>
    </row>
    <row r="59" spans="8:11" ht="15" thickBot="1" x14ac:dyDescent="0.35">
      <c r="H59" s="41" t="s">
        <v>278</v>
      </c>
      <c r="I59" s="11" t="s">
        <v>24</v>
      </c>
      <c r="J59" s="11" t="s">
        <v>88</v>
      </c>
      <c r="K59" s="43"/>
    </row>
    <row r="60" spans="8:11" ht="15" thickBot="1" x14ac:dyDescent="0.35">
      <c r="I60" s="97" t="s">
        <v>31</v>
      </c>
      <c r="J60" s="64" t="s">
        <v>91</v>
      </c>
    </row>
    <row r="61" spans="8:11" ht="15" thickBot="1" x14ac:dyDescent="0.35"/>
    <row r="62" spans="8:11" x14ac:dyDescent="0.3">
      <c r="H62" s="84" t="s">
        <v>255</v>
      </c>
      <c r="I62" s="82">
        <v>9</v>
      </c>
      <c r="J62" s="82" t="s">
        <v>293</v>
      </c>
      <c r="K62" s="51">
        <f>DMAX($B$29:$F$35,E29,I63:J64)</f>
        <v>32</v>
      </c>
    </row>
    <row r="63" spans="8:11" ht="15" thickBot="1" x14ac:dyDescent="0.35">
      <c r="H63" s="41" t="s">
        <v>278</v>
      </c>
      <c r="I63" s="11" t="s">
        <v>24</v>
      </c>
      <c r="J63" s="11" t="s">
        <v>88</v>
      </c>
      <c r="K63" s="43"/>
    </row>
    <row r="64" spans="8:11" ht="15" thickBot="1" x14ac:dyDescent="0.35">
      <c r="I64" s="97" t="s">
        <v>33</v>
      </c>
      <c r="J64" s="64" t="s">
        <v>93</v>
      </c>
    </row>
    <row r="65" spans="8:11" ht="15" thickBot="1" x14ac:dyDescent="0.35"/>
    <row r="66" spans="8:11" x14ac:dyDescent="0.3">
      <c r="H66" s="84" t="s">
        <v>255</v>
      </c>
      <c r="I66" s="82">
        <v>10</v>
      </c>
      <c r="J66" s="82" t="s">
        <v>294</v>
      </c>
      <c r="K66" s="51">
        <f>DSUM($B$29:$F$35,E29,I67:J68)</f>
        <v>57</v>
      </c>
    </row>
    <row r="67" spans="8:11" ht="15" thickBot="1" x14ac:dyDescent="0.35">
      <c r="H67" s="41" t="s">
        <v>278</v>
      </c>
      <c r="I67" s="11" t="s">
        <v>24</v>
      </c>
      <c r="J67" s="11" t="s">
        <v>88</v>
      </c>
      <c r="K67" s="43"/>
    </row>
    <row r="68" spans="8:11" ht="15" thickBot="1" x14ac:dyDescent="0.35">
      <c r="I68" s="97" t="s">
        <v>33</v>
      </c>
      <c r="J68" s="64" t="s">
        <v>91</v>
      </c>
    </row>
    <row r="69" spans="8:11" ht="15" thickBot="1" x14ac:dyDescent="0.35"/>
    <row r="70" spans="8:11" x14ac:dyDescent="0.3">
      <c r="H70" s="84" t="s">
        <v>255</v>
      </c>
      <c r="I70" s="82">
        <v>11</v>
      </c>
      <c r="J70" s="82" t="s">
        <v>295</v>
      </c>
      <c r="K70" s="51">
        <f>DSUM($B$29:$F$35,E29,I71:J72)</f>
        <v>80</v>
      </c>
    </row>
    <row r="71" spans="8:11" ht="15" thickBot="1" x14ac:dyDescent="0.35">
      <c r="H71" s="41" t="s">
        <v>278</v>
      </c>
      <c r="I71" s="11" t="s">
        <v>24</v>
      </c>
      <c r="J71" s="11" t="s">
        <v>88</v>
      </c>
      <c r="K71" s="43"/>
    </row>
    <row r="72" spans="8:11" ht="15" thickBot="1" x14ac:dyDescent="0.35">
      <c r="I72" s="97" t="s">
        <v>31</v>
      </c>
      <c r="J72" s="64" t="s">
        <v>93</v>
      </c>
    </row>
    <row r="73" spans="8:11" ht="15" thickBot="1" x14ac:dyDescent="0.35"/>
    <row r="74" spans="8:11" x14ac:dyDescent="0.3">
      <c r="H74" s="84" t="s">
        <v>255</v>
      </c>
      <c r="I74" s="82">
        <v>12</v>
      </c>
      <c r="J74" s="82" t="s">
        <v>296</v>
      </c>
      <c r="K74" s="51">
        <f>DCOUNT($B$29:$F$35,E29,I75:J76)</f>
        <v>2</v>
      </c>
    </row>
    <row r="75" spans="8:11" ht="15" thickBot="1" x14ac:dyDescent="0.35">
      <c r="H75" s="41" t="s">
        <v>278</v>
      </c>
      <c r="I75" s="11" t="s">
        <v>24</v>
      </c>
      <c r="J75" s="11" t="s">
        <v>88</v>
      </c>
      <c r="K75" s="43"/>
    </row>
    <row r="76" spans="8:11" ht="15" thickBot="1" x14ac:dyDescent="0.35">
      <c r="I76" s="97" t="s">
        <v>33</v>
      </c>
      <c r="J76" s="64" t="s">
        <v>91</v>
      </c>
    </row>
    <row r="77" spans="8:11" ht="15" thickBot="1" x14ac:dyDescent="0.35"/>
    <row r="78" spans="8:11" x14ac:dyDescent="0.3">
      <c r="H78" s="84" t="s">
        <v>255</v>
      </c>
      <c r="I78" s="82">
        <v>13</v>
      </c>
      <c r="J78" s="82" t="s">
        <v>297</v>
      </c>
      <c r="K78" s="51">
        <f>DAVERAGE($B$29:$F$35,E29,I79:J80)</f>
        <v>28.5</v>
      </c>
    </row>
    <row r="79" spans="8:11" ht="15" thickBot="1" x14ac:dyDescent="0.35">
      <c r="H79" s="41" t="s">
        <v>278</v>
      </c>
      <c r="I79" s="11" t="s">
        <v>24</v>
      </c>
      <c r="J79" s="11" t="s">
        <v>88</v>
      </c>
      <c r="K79" s="43"/>
    </row>
    <row r="80" spans="8:11" ht="15" thickBot="1" x14ac:dyDescent="0.35">
      <c r="I80" s="97" t="s">
        <v>33</v>
      </c>
      <c r="J80" s="64" t="s">
        <v>91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5C6C-5CCD-4D8D-B06E-4CB51491BC71}">
  <dimension ref="B1:P29"/>
  <sheetViews>
    <sheetView zoomScale="92" workbookViewId="0">
      <selection activeCell="J11" sqref="J11:O11"/>
    </sheetView>
  </sheetViews>
  <sheetFormatPr defaultRowHeight="14.4" x14ac:dyDescent="0.3"/>
  <cols>
    <col min="7" max="7" width="10.88671875" customWidth="1"/>
    <col min="10" max="10" width="14.88671875" bestFit="1" customWidth="1"/>
    <col min="11" max="11" width="14.21875" bestFit="1" customWidth="1"/>
  </cols>
  <sheetData>
    <row r="1" spans="2:16" ht="15" thickBot="1" x14ac:dyDescent="0.35"/>
    <row r="2" spans="2:16" x14ac:dyDescent="0.3">
      <c r="B2" s="36" t="s">
        <v>216</v>
      </c>
      <c r="C2" s="37" t="s">
        <v>301</v>
      </c>
      <c r="D2" s="37" t="s">
        <v>302</v>
      </c>
      <c r="E2" s="37" t="s">
        <v>303</v>
      </c>
      <c r="F2" s="37" t="s">
        <v>304</v>
      </c>
      <c r="G2" s="37" t="s">
        <v>305</v>
      </c>
      <c r="H2" s="38" t="s">
        <v>200</v>
      </c>
      <c r="J2" s="36" t="s">
        <v>331</v>
      </c>
      <c r="K2" s="37" t="s">
        <v>332</v>
      </c>
      <c r="L2" s="38" t="s">
        <v>118</v>
      </c>
      <c r="N2" s="202" t="s">
        <v>354</v>
      </c>
      <c r="O2" s="203"/>
      <c r="P2" s="38" t="s">
        <v>55</v>
      </c>
    </row>
    <row r="3" spans="2:16" x14ac:dyDescent="0.3">
      <c r="B3" s="39" t="s">
        <v>90</v>
      </c>
      <c r="C3" s="11">
        <v>78</v>
      </c>
      <c r="D3" s="11">
        <v>85</v>
      </c>
      <c r="E3" s="11">
        <v>92</v>
      </c>
      <c r="F3" s="11">
        <v>255</v>
      </c>
      <c r="G3" s="11">
        <v>85</v>
      </c>
      <c r="H3" s="40" t="s">
        <v>126</v>
      </c>
      <c r="J3" s="39" t="s">
        <v>333</v>
      </c>
      <c r="K3" s="11" t="s">
        <v>334</v>
      </c>
      <c r="L3" s="40" t="s">
        <v>335</v>
      </c>
      <c r="N3" s="204" t="s">
        <v>348</v>
      </c>
      <c r="O3" s="199"/>
      <c r="P3" s="40" t="b">
        <f>C3=60</f>
        <v>0</v>
      </c>
    </row>
    <row r="4" spans="2:16" x14ac:dyDescent="0.3">
      <c r="B4" s="39" t="s">
        <v>92</v>
      </c>
      <c r="C4" s="11">
        <v>65</v>
      </c>
      <c r="D4" s="11">
        <v>70</v>
      </c>
      <c r="E4" s="11">
        <v>60</v>
      </c>
      <c r="F4" s="11">
        <v>195</v>
      </c>
      <c r="G4" s="11">
        <v>65</v>
      </c>
      <c r="H4" s="40" t="s">
        <v>129</v>
      </c>
      <c r="J4" s="39"/>
      <c r="K4" s="11" t="s">
        <v>336</v>
      </c>
      <c r="L4" s="40" t="s">
        <v>337</v>
      </c>
      <c r="N4" s="204" t="s">
        <v>349</v>
      </c>
      <c r="O4" s="199"/>
      <c r="P4" s="40" t="b">
        <f>D4&gt;50</f>
        <v>1</v>
      </c>
    </row>
    <row r="5" spans="2:16" x14ac:dyDescent="0.3">
      <c r="B5" s="39" t="s">
        <v>94</v>
      </c>
      <c r="C5" s="11">
        <v>90</v>
      </c>
      <c r="D5" s="11">
        <v>88</v>
      </c>
      <c r="E5" s="11">
        <v>95</v>
      </c>
      <c r="F5" s="11">
        <v>273</v>
      </c>
      <c r="G5" s="11">
        <v>91</v>
      </c>
      <c r="H5" s="40" t="s">
        <v>126</v>
      </c>
      <c r="J5" s="39" t="s">
        <v>338</v>
      </c>
      <c r="K5" s="11" t="s">
        <v>339</v>
      </c>
      <c r="L5" s="40" t="s">
        <v>335</v>
      </c>
      <c r="N5" s="204" t="s">
        <v>350</v>
      </c>
      <c r="O5" s="199"/>
      <c r="P5" s="40" t="b">
        <f>E5&lt;70</f>
        <v>0</v>
      </c>
    </row>
    <row r="6" spans="2:16" x14ac:dyDescent="0.3">
      <c r="B6" s="39" t="s">
        <v>36</v>
      </c>
      <c r="C6" s="11">
        <v>55</v>
      </c>
      <c r="D6" s="11">
        <v>60</v>
      </c>
      <c r="E6" s="11">
        <v>58</v>
      </c>
      <c r="F6" s="11">
        <v>173</v>
      </c>
      <c r="G6" s="11">
        <v>57.67</v>
      </c>
      <c r="H6" s="40" t="s">
        <v>127</v>
      </c>
      <c r="J6" s="39"/>
      <c r="K6" s="11" t="s">
        <v>340</v>
      </c>
      <c r="L6" s="40" t="s">
        <v>337</v>
      </c>
      <c r="N6" s="204" t="s">
        <v>351</v>
      </c>
      <c r="O6" s="199"/>
      <c r="P6" s="40" t="b">
        <f>F6&lt;&gt;60</f>
        <v>1</v>
      </c>
    </row>
    <row r="7" spans="2:16" ht="15" thickBot="1" x14ac:dyDescent="0.35">
      <c r="B7" s="41" t="s">
        <v>96</v>
      </c>
      <c r="C7" s="42">
        <v>88</v>
      </c>
      <c r="D7" s="42">
        <v>90</v>
      </c>
      <c r="E7" s="42">
        <v>85</v>
      </c>
      <c r="F7" s="42">
        <v>263</v>
      </c>
      <c r="G7" s="42">
        <v>87.67</v>
      </c>
      <c r="H7" s="43" t="s">
        <v>126</v>
      </c>
      <c r="J7" s="39" t="s">
        <v>341</v>
      </c>
      <c r="K7" s="11" t="s">
        <v>342</v>
      </c>
      <c r="L7" s="40" t="s">
        <v>335</v>
      </c>
      <c r="N7" s="204" t="s">
        <v>352</v>
      </c>
      <c r="O7" s="199"/>
      <c r="P7" s="40" t="b">
        <f>G7&gt;=60</f>
        <v>1</v>
      </c>
    </row>
    <row r="8" spans="2:16" ht="15" thickBot="1" x14ac:dyDescent="0.35">
      <c r="J8" s="41"/>
      <c r="K8" s="42" t="s">
        <v>343</v>
      </c>
      <c r="L8" s="43" t="s">
        <v>337</v>
      </c>
      <c r="N8" s="205" t="s">
        <v>353</v>
      </c>
      <c r="O8" s="206"/>
      <c r="P8" s="43" t="b">
        <f>E3&lt;=70</f>
        <v>0</v>
      </c>
    </row>
    <row r="9" spans="2:16" x14ac:dyDescent="0.3">
      <c r="B9" s="193" t="s">
        <v>306</v>
      </c>
      <c r="C9" s="200"/>
      <c r="D9" s="200"/>
      <c r="E9" s="200"/>
      <c r="F9" s="200"/>
      <c r="G9" s="200"/>
      <c r="H9" s="201"/>
      <c r="J9" s="193" t="s">
        <v>344</v>
      </c>
      <c r="K9" s="200"/>
      <c r="L9" s="200"/>
      <c r="M9" s="200"/>
      <c r="N9" s="200"/>
      <c r="O9" s="200"/>
      <c r="P9" s="201"/>
    </row>
    <row r="10" spans="2:16" x14ac:dyDescent="0.3">
      <c r="B10" s="196" t="s">
        <v>246</v>
      </c>
      <c r="C10" s="197"/>
      <c r="D10" s="197"/>
      <c r="E10" s="197"/>
      <c r="F10" s="197"/>
      <c r="G10" s="197"/>
      <c r="H10" s="45" t="s">
        <v>118</v>
      </c>
      <c r="J10" s="196" t="s">
        <v>246</v>
      </c>
      <c r="K10" s="197"/>
      <c r="L10" s="197"/>
      <c r="M10" s="197"/>
      <c r="N10" s="197"/>
      <c r="O10" s="197"/>
      <c r="P10" s="45" t="s">
        <v>118</v>
      </c>
    </row>
    <row r="11" spans="2:16" x14ac:dyDescent="0.3">
      <c r="B11" s="204" t="s">
        <v>309</v>
      </c>
      <c r="C11" s="199"/>
      <c r="D11" s="199"/>
      <c r="E11" s="199"/>
      <c r="F11" s="199"/>
      <c r="G11" s="199"/>
      <c r="H11" s="40" t="b">
        <f>AND(C3&gt;70,D3&gt;80)</f>
        <v>1</v>
      </c>
      <c r="J11" s="198" t="s">
        <v>321</v>
      </c>
      <c r="K11" s="199"/>
      <c r="L11" s="199"/>
      <c r="M11" s="199"/>
      <c r="N11" s="199"/>
      <c r="O11" s="199"/>
      <c r="P11" s="40" t="b">
        <f>IF(G3&gt;=70,TRUE,FALSE)</f>
        <v>1</v>
      </c>
    </row>
    <row r="12" spans="2:16" x14ac:dyDescent="0.3">
      <c r="B12" s="204" t="s">
        <v>310</v>
      </c>
      <c r="C12" s="199"/>
      <c r="D12" s="199"/>
      <c r="E12" s="199"/>
      <c r="F12" s="199"/>
      <c r="G12" s="199"/>
      <c r="H12" s="40" t="b">
        <f>AND(G6&lt;60,H6="B")</f>
        <v>0</v>
      </c>
      <c r="J12" s="198" t="s">
        <v>322</v>
      </c>
      <c r="K12" s="199"/>
      <c r="L12" s="199"/>
      <c r="M12" s="199"/>
      <c r="N12" s="199"/>
      <c r="O12" s="199"/>
      <c r="P12" s="40" t="b">
        <f>IF(E4&gt;=65,TRUE,FALSE)</f>
        <v>0</v>
      </c>
    </row>
    <row r="13" spans="2:16" x14ac:dyDescent="0.3">
      <c r="B13" s="204" t="s">
        <v>311</v>
      </c>
      <c r="C13" s="199"/>
      <c r="D13" s="199"/>
      <c r="E13" s="199"/>
      <c r="F13" s="199"/>
      <c r="G13" s="199"/>
      <c r="H13" s="40" t="b">
        <f>AND(E5&gt;90,H5="C")</f>
        <v>0</v>
      </c>
      <c r="J13" s="198" t="s">
        <v>323</v>
      </c>
      <c r="K13" s="199"/>
      <c r="L13" s="199"/>
      <c r="M13" s="199"/>
      <c r="N13" s="199"/>
      <c r="O13" s="199"/>
      <c r="P13" s="40" t="b">
        <f>IF(F6&gt;=210,TRUE,FALSE)</f>
        <v>0</v>
      </c>
    </row>
    <row r="14" spans="2:16" ht="15" thickBot="1" x14ac:dyDescent="0.35">
      <c r="B14" s="205" t="s">
        <v>312</v>
      </c>
      <c r="C14" s="206"/>
      <c r="D14" s="206"/>
      <c r="E14" s="206"/>
      <c r="F14" s="206"/>
      <c r="G14" s="206"/>
      <c r="H14" s="43" t="b">
        <f>AND(F4=200,H4="A")</f>
        <v>0</v>
      </c>
      <c r="J14" s="207" t="s">
        <v>324</v>
      </c>
      <c r="K14" s="206"/>
      <c r="L14" s="206"/>
      <c r="M14" s="206"/>
      <c r="N14" s="206"/>
      <c r="O14" s="206"/>
      <c r="P14" s="43" t="b">
        <f>IF(D7&gt;=60,TRUE,FALSE)</f>
        <v>1</v>
      </c>
    </row>
    <row r="15" spans="2:16" ht="15" thickBot="1" x14ac:dyDescent="0.35"/>
    <row r="16" spans="2:16" x14ac:dyDescent="0.3">
      <c r="B16" s="193" t="s">
        <v>307</v>
      </c>
      <c r="C16" s="200"/>
      <c r="D16" s="200"/>
      <c r="E16" s="200"/>
      <c r="F16" s="200"/>
      <c r="G16" s="200"/>
      <c r="H16" s="201"/>
      <c r="J16" s="193" t="s">
        <v>345</v>
      </c>
      <c r="K16" s="200"/>
      <c r="L16" s="200"/>
      <c r="M16" s="200"/>
      <c r="N16" s="200"/>
      <c r="O16" s="200"/>
      <c r="P16" s="201"/>
    </row>
    <row r="17" spans="2:16" x14ac:dyDescent="0.3">
      <c r="B17" s="196" t="s">
        <v>246</v>
      </c>
      <c r="C17" s="197"/>
      <c r="D17" s="197"/>
      <c r="E17" s="197"/>
      <c r="F17" s="197"/>
      <c r="G17" s="197"/>
      <c r="H17" s="45" t="s">
        <v>118</v>
      </c>
      <c r="J17" s="196" t="s">
        <v>246</v>
      </c>
      <c r="K17" s="197"/>
      <c r="L17" s="197"/>
      <c r="M17" s="197"/>
      <c r="N17" s="197"/>
      <c r="O17" s="197"/>
      <c r="P17" s="45" t="s">
        <v>118</v>
      </c>
    </row>
    <row r="18" spans="2:16" x14ac:dyDescent="0.3">
      <c r="B18" s="204" t="s">
        <v>313</v>
      </c>
      <c r="C18" s="199"/>
      <c r="D18" s="199"/>
      <c r="E18" s="199"/>
      <c r="F18" s="199"/>
      <c r="G18" s="199"/>
      <c r="H18" s="40" t="b">
        <f>OR(C3&lt;60,H3="B")</f>
        <v>0</v>
      </c>
      <c r="J18" s="198" t="s">
        <v>325</v>
      </c>
      <c r="K18" s="199"/>
      <c r="L18" s="199"/>
      <c r="M18" s="199"/>
      <c r="N18" s="199"/>
      <c r="O18" s="199"/>
      <c r="P18" s="46" t="b">
        <f>IF(AND(C5&gt;85,D5&gt;85),TRUE,FALSE)</f>
        <v>1</v>
      </c>
    </row>
    <row r="19" spans="2:16" ht="15" thickBot="1" x14ac:dyDescent="0.35">
      <c r="B19" s="204" t="s">
        <v>314</v>
      </c>
      <c r="C19" s="199"/>
      <c r="D19" s="199"/>
      <c r="E19" s="199"/>
      <c r="F19" s="199"/>
      <c r="G19" s="199"/>
      <c r="H19" s="40" t="b">
        <f>OR(D4&gt;75,G4&gt;70)</f>
        <v>0</v>
      </c>
      <c r="J19" s="207" t="s">
        <v>326</v>
      </c>
      <c r="K19" s="206"/>
      <c r="L19" s="206"/>
      <c r="M19" s="206"/>
      <c r="N19" s="206"/>
      <c r="O19" s="206"/>
      <c r="P19" s="47" t="b">
        <f>IF(AND(C4&gt;70,E4&gt;60),TRUE,FALSE)</f>
        <v>0</v>
      </c>
    </row>
    <row r="20" spans="2:16" ht="15" thickBot="1" x14ac:dyDescent="0.35">
      <c r="B20" s="204" t="s">
        <v>315</v>
      </c>
      <c r="C20" s="199"/>
      <c r="D20" s="199"/>
      <c r="E20" s="199"/>
      <c r="F20" s="199"/>
      <c r="G20" s="199"/>
      <c r="H20" s="40" t="b">
        <f>OR(H5="B",E5&gt;90)</f>
        <v>1</v>
      </c>
    </row>
    <row r="21" spans="2:16" ht="15" thickBot="1" x14ac:dyDescent="0.35">
      <c r="B21" s="205" t="s">
        <v>316</v>
      </c>
      <c r="C21" s="206"/>
      <c r="D21" s="206"/>
      <c r="E21" s="206"/>
      <c r="F21" s="206"/>
      <c r="G21" s="206"/>
      <c r="H21" s="43" t="b">
        <f>OR(G6&gt;80,F6&lt;200)</f>
        <v>1</v>
      </c>
      <c r="J21" s="193" t="s">
        <v>346</v>
      </c>
      <c r="K21" s="200"/>
      <c r="L21" s="200"/>
      <c r="M21" s="200"/>
      <c r="N21" s="200"/>
      <c r="O21" s="200"/>
      <c r="P21" s="201"/>
    </row>
    <row r="22" spans="2:16" ht="15" thickBot="1" x14ac:dyDescent="0.35">
      <c r="J22" s="196" t="s">
        <v>246</v>
      </c>
      <c r="K22" s="197"/>
      <c r="L22" s="197"/>
      <c r="M22" s="197"/>
      <c r="N22" s="197"/>
      <c r="O22" s="197"/>
      <c r="P22" s="45" t="s">
        <v>118</v>
      </c>
    </row>
    <row r="23" spans="2:16" x14ac:dyDescent="0.3">
      <c r="B23" s="193" t="s">
        <v>308</v>
      </c>
      <c r="C23" s="200"/>
      <c r="D23" s="200"/>
      <c r="E23" s="200"/>
      <c r="F23" s="200"/>
      <c r="G23" s="200"/>
      <c r="H23" s="201"/>
      <c r="J23" s="198" t="s">
        <v>327</v>
      </c>
      <c r="K23" s="199"/>
      <c r="L23" s="199"/>
      <c r="M23" s="199"/>
      <c r="N23" s="199"/>
      <c r="O23" s="199"/>
      <c r="P23" s="46" t="b">
        <f>IF(OR(G7&gt;85,E7&gt;90),TRUE,FALSE)</f>
        <v>1</v>
      </c>
    </row>
    <row r="24" spans="2:16" ht="15" thickBot="1" x14ac:dyDescent="0.35">
      <c r="B24" s="196" t="s">
        <v>246</v>
      </c>
      <c r="C24" s="197"/>
      <c r="D24" s="197"/>
      <c r="E24" s="197"/>
      <c r="F24" s="197"/>
      <c r="G24" s="197"/>
      <c r="H24" s="45" t="s">
        <v>118</v>
      </c>
      <c r="J24" s="207" t="s">
        <v>328</v>
      </c>
      <c r="K24" s="206"/>
      <c r="L24" s="206"/>
      <c r="M24" s="206"/>
      <c r="N24" s="206"/>
      <c r="O24" s="206"/>
      <c r="P24" s="47" t="b">
        <f>IF(OR(C6&lt;50,D6&lt;55),TRUE,FALSE)</f>
        <v>0</v>
      </c>
    </row>
    <row r="25" spans="2:16" ht="15" thickBot="1" x14ac:dyDescent="0.35">
      <c r="B25" s="204" t="s">
        <v>317</v>
      </c>
      <c r="C25" s="199"/>
      <c r="D25" s="199"/>
      <c r="E25" s="199"/>
      <c r="F25" s="199"/>
      <c r="G25" s="199"/>
      <c r="H25" s="40" t="b">
        <f>NOT(H3="B")</f>
        <v>1</v>
      </c>
    </row>
    <row r="26" spans="2:16" x14ac:dyDescent="0.3">
      <c r="B26" s="204" t="s">
        <v>318</v>
      </c>
      <c r="C26" s="199"/>
      <c r="D26" s="199"/>
      <c r="E26" s="199"/>
      <c r="F26" s="199"/>
      <c r="G26" s="199"/>
      <c r="H26" s="40" t="b">
        <f>NOT(G5&lt;90)</f>
        <v>1</v>
      </c>
      <c r="J26" s="193" t="s">
        <v>347</v>
      </c>
      <c r="K26" s="200"/>
      <c r="L26" s="200"/>
      <c r="M26" s="200"/>
      <c r="N26" s="200"/>
      <c r="O26" s="200"/>
      <c r="P26" s="201"/>
    </row>
    <row r="27" spans="2:16" x14ac:dyDescent="0.3">
      <c r="B27" s="204" t="s">
        <v>319</v>
      </c>
      <c r="C27" s="199"/>
      <c r="D27" s="199"/>
      <c r="E27" s="199"/>
      <c r="F27" s="199"/>
      <c r="G27" s="199"/>
      <c r="H27" s="40" t="b">
        <f>NOT(E4&gt;65)</f>
        <v>1</v>
      </c>
      <c r="J27" s="196" t="s">
        <v>246</v>
      </c>
      <c r="K27" s="197"/>
      <c r="L27" s="197"/>
      <c r="M27" s="197"/>
      <c r="N27" s="197"/>
      <c r="O27" s="197"/>
      <c r="P27" s="45" t="s">
        <v>118</v>
      </c>
    </row>
    <row r="28" spans="2:16" ht="15" thickBot="1" x14ac:dyDescent="0.35">
      <c r="B28" s="205" t="s">
        <v>320</v>
      </c>
      <c r="C28" s="206"/>
      <c r="D28" s="206"/>
      <c r="E28" s="206"/>
      <c r="F28" s="206"/>
      <c r="G28" s="206"/>
      <c r="H28" s="43" t="b">
        <f>NOT(F6&gt;180)</f>
        <v>1</v>
      </c>
      <c r="J28" s="198" t="s">
        <v>329</v>
      </c>
      <c r="K28" s="199"/>
      <c r="L28" s="199"/>
      <c r="M28" s="199"/>
      <c r="N28" s="199"/>
      <c r="O28" s="199"/>
      <c r="P28" s="40" t="b">
        <f>IF(NOT(H5&lt;&gt;"B"),TRUE,FALSE)</f>
        <v>0</v>
      </c>
    </row>
    <row r="29" spans="2:16" ht="15" thickBot="1" x14ac:dyDescent="0.35">
      <c r="J29" s="207" t="s">
        <v>330</v>
      </c>
      <c r="K29" s="206"/>
      <c r="L29" s="206"/>
      <c r="M29" s="206"/>
      <c r="N29" s="206"/>
      <c r="O29" s="206"/>
      <c r="P29" s="43" t="b">
        <f>IF(NOT(C3&lt;=60),TRUE,FALSE)</f>
        <v>1</v>
      </c>
    </row>
  </sheetData>
  <mergeCells count="43">
    <mergeCell ref="B9:H9"/>
    <mergeCell ref="B10:G10"/>
    <mergeCell ref="B11:G11"/>
    <mergeCell ref="B12:G12"/>
    <mergeCell ref="B13:G13"/>
    <mergeCell ref="B14:G14"/>
    <mergeCell ref="B16:H16"/>
    <mergeCell ref="B23:H23"/>
    <mergeCell ref="B24:G24"/>
    <mergeCell ref="B25:G25"/>
    <mergeCell ref="B26:G26"/>
    <mergeCell ref="B28:G28"/>
    <mergeCell ref="B17:G17"/>
    <mergeCell ref="B18:G18"/>
    <mergeCell ref="B19:G19"/>
    <mergeCell ref="B20:G20"/>
    <mergeCell ref="B21:G21"/>
    <mergeCell ref="B27:G27"/>
    <mergeCell ref="J13:O13"/>
    <mergeCell ref="J14:O14"/>
    <mergeCell ref="J27:O27"/>
    <mergeCell ref="J28:O28"/>
    <mergeCell ref="J29:O29"/>
    <mergeCell ref="J22:O22"/>
    <mergeCell ref="J23:O23"/>
    <mergeCell ref="J24:O24"/>
    <mergeCell ref="J26:P26"/>
    <mergeCell ref="J21:P21"/>
    <mergeCell ref="J16:P16"/>
    <mergeCell ref="J17:O17"/>
    <mergeCell ref="J18:O18"/>
    <mergeCell ref="J19:O19"/>
    <mergeCell ref="J10:O10"/>
    <mergeCell ref="J11:O11"/>
    <mergeCell ref="J12:O12"/>
    <mergeCell ref="J9:P9"/>
    <mergeCell ref="N2:O2"/>
    <mergeCell ref="N3:O3"/>
    <mergeCell ref="N4:O4"/>
    <mergeCell ref="N5:O5"/>
    <mergeCell ref="N6:O6"/>
    <mergeCell ref="N7:O7"/>
    <mergeCell ref="N8:O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64E4-B0B4-48C5-A0CC-DA2B0A8397E4}">
  <dimension ref="B1:L10"/>
  <sheetViews>
    <sheetView workbookViewId="0">
      <selection activeCell="G2" sqref="G2:L2"/>
    </sheetView>
  </sheetViews>
  <sheetFormatPr defaultRowHeight="14.4" x14ac:dyDescent="0.3"/>
  <cols>
    <col min="7" max="7" width="11.88671875" bestFit="1" customWidth="1"/>
    <col min="8" max="8" width="17.6640625" bestFit="1" customWidth="1"/>
    <col min="9" max="9" width="18.6640625" bestFit="1" customWidth="1"/>
    <col min="10" max="11" width="10.109375" bestFit="1" customWidth="1"/>
    <col min="12" max="12" width="8.6640625" bestFit="1" customWidth="1"/>
  </cols>
  <sheetData>
    <row r="1" spans="2:12" ht="15" thickBot="1" x14ac:dyDescent="0.35"/>
    <row r="2" spans="2:12" x14ac:dyDescent="0.3">
      <c r="B2" s="36" t="s">
        <v>375</v>
      </c>
      <c r="C2" s="208" t="s">
        <v>378</v>
      </c>
      <c r="D2" s="208"/>
      <c r="E2" s="209"/>
      <c r="G2" s="36" t="s">
        <v>381</v>
      </c>
      <c r="H2" s="37" t="s">
        <v>382</v>
      </c>
      <c r="I2" s="37" t="s">
        <v>383</v>
      </c>
      <c r="J2" s="37" t="s">
        <v>375</v>
      </c>
      <c r="K2" s="37" t="s">
        <v>376</v>
      </c>
      <c r="L2" s="38" t="s">
        <v>377</v>
      </c>
    </row>
    <row r="3" spans="2:12" x14ac:dyDescent="0.3">
      <c r="B3" s="44" t="s">
        <v>376</v>
      </c>
      <c r="C3" s="199" t="s">
        <v>379</v>
      </c>
      <c r="D3" s="199"/>
      <c r="E3" s="210"/>
      <c r="G3" s="52">
        <v>100000</v>
      </c>
      <c r="H3" s="55">
        <v>0.05</v>
      </c>
      <c r="I3" s="11">
        <v>15</v>
      </c>
      <c r="J3" s="54">
        <f>PMT(H3/12,I3*15,G3)</f>
        <v>-685.72330879290666</v>
      </c>
      <c r="K3" s="54">
        <f>IPMT(H3/12,1,I3*12,G3)</f>
        <v>-416.66666666666669</v>
      </c>
      <c r="L3" s="57">
        <f>PPMT(H3/12,1,I3*12,G3)</f>
        <v>-374.12696007487796</v>
      </c>
    </row>
    <row r="4" spans="2:12" ht="15" thickBot="1" x14ac:dyDescent="0.35">
      <c r="B4" s="76" t="s">
        <v>377</v>
      </c>
      <c r="C4" s="206" t="s">
        <v>380</v>
      </c>
      <c r="D4" s="206"/>
      <c r="E4" s="211"/>
      <c r="G4" s="52">
        <v>150000</v>
      </c>
      <c r="H4" s="55">
        <v>4.4999999999999998E-2</v>
      </c>
      <c r="I4" s="11">
        <v>20</v>
      </c>
      <c r="J4" s="54">
        <f t="shared" ref="J4:J10" si="0">PMT(H4/12,I4*15,G4)</f>
        <v>-833.74871694298349</v>
      </c>
      <c r="K4" s="54">
        <f t="shared" ref="K4:K10" si="1">IPMT(H4/12,1,I4*12,G4)</f>
        <v>-562.5</v>
      </c>
      <c r="L4" s="57">
        <f t="shared" ref="L4:L10" si="2">PPMT(H4/12,1,I4*12,G4)</f>
        <v>-386.4740643299437</v>
      </c>
    </row>
    <row r="5" spans="2:12" x14ac:dyDescent="0.3">
      <c r="G5" s="52">
        <v>200000</v>
      </c>
      <c r="H5" s="55">
        <v>0.06</v>
      </c>
      <c r="I5" s="11">
        <v>30</v>
      </c>
      <c r="J5" s="54">
        <f t="shared" si="0"/>
        <v>-1118.5579552390261</v>
      </c>
      <c r="K5" s="54">
        <f t="shared" si="1"/>
        <v>-1000</v>
      </c>
      <c r="L5" s="57">
        <f t="shared" si="2"/>
        <v>-199.10105030550469</v>
      </c>
    </row>
    <row r="6" spans="2:12" x14ac:dyDescent="0.3">
      <c r="G6" s="52">
        <v>120000</v>
      </c>
      <c r="H6" s="55">
        <v>3.7499999999999999E-2</v>
      </c>
      <c r="I6" s="11">
        <v>10</v>
      </c>
      <c r="J6" s="54">
        <f t="shared" si="0"/>
        <v>-1003.3218301717345</v>
      </c>
      <c r="K6" s="54">
        <f t="shared" si="1"/>
        <v>-374.99999999999994</v>
      </c>
      <c r="L6" s="57">
        <f t="shared" si="2"/>
        <v>-825.7349183638521</v>
      </c>
    </row>
    <row r="7" spans="2:12" x14ac:dyDescent="0.3">
      <c r="G7" s="52">
        <v>180000</v>
      </c>
      <c r="H7" s="55">
        <v>5.2499999999999998E-2</v>
      </c>
      <c r="I7" s="11">
        <v>25</v>
      </c>
      <c r="J7" s="54">
        <f t="shared" si="0"/>
        <v>-977.71892952859014</v>
      </c>
      <c r="K7" s="54">
        <f t="shared" si="1"/>
        <v>-787.49999999999989</v>
      </c>
      <c r="L7" s="57">
        <f t="shared" si="2"/>
        <v>-291.14588730829655</v>
      </c>
    </row>
    <row r="8" spans="2:12" x14ac:dyDescent="0.3">
      <c r="G8" s="52">
        <v>250000</v>
      </c>
      <c r="H8" s="55">
        <v>0.04</v>
      </c>
      <c r="I8" s="11">
        <v>30</v>
      </c>
      <c r="J8" s="54">
        <f t="shared" si="0"/>
        <v>-1073.4507984920542</v>
      </c>
      <c r="K8" s="54">
        <f t="shared" si="1"/>
        <v>-833.33333333333348</v>
      </c>
      <c r="L8" s="57">
        <f t="shared" si="2"/>
        <v>-360.2049053303154</v>
      </c>
    </row>
    <row r="9" spans="2:12" x14ac:dyDescent="0.3">
      <c r="G9" s="52">
        <v>90000</v>
      </c>
      <c r="H9" s="55">
        <v>6.5000000000000002E-2</v>
      </c>
      <c r="I9" s="11">
        <v>15</v>
      </c>
      <c r="J9" s="54">
        <f t="shared" si="0"/>
        <v>-693.03589913324959</v>
      </c>
      <c r="K9" s="54">
        <f t="shared" si="1"/>
        <v>-487.5</v>
      </c>
      <c r="L9" s="57">
        <f t="shared" si="2"/>
        <v>-296.4966287676254</v>
      </c>
    </row>
    <row r="10" spans="2:12" ht="15" thickBot="1" x14ac:dyDescent="0.35">
      <c r="G10" s="53">
        <v>300000</v>
      </c>
      <c r="H10" s="56">
        <v>4.8000000000000001E-2</v>
      </c>
      <c r="I10" s="42">
        <v>20</v>
      </c>
      <c r="J10" s="58">
        <f t="shared" si="0"/>
        <v>-1718.9908862005691</v>
      </c>
      <c r="K10" s="58">
        <f t="shared" si="1"/>
        <v>-1200</v>
      </c>
      <c r="L10" s="59">
        <f t="shared" si="2"/>
        <v>-746.87240953643163</v>
      </c>
    </row>
  </sheetData>
  <mergeCells count="3">
    <mergeCell ref="C2:E2"/>
    <mergeCell ref="C3:E3"/>
    <mergeCell ref="C4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686B-AC8F-4556-9169-E8DFC83C1C48}">
  <dimension ref="B1:K23"/>
  <sheetViews>
    <sheetView workbookViewId="0">
      <selection activeCell="H9" sqref="H9"/>
    </sheetView>
  </sheetViews>
  <sheetFormatPr defaultRowHeight="14.4" x14ac:dyDescent="0.3"/>
  <cols>
    <col min="2" max="2" width="10.33203125" bestFit="1" customWidth="1"/>
    <col min="3" max="3" width="17.33203125" bestFit="1" customWidth="1"/>
    <col min="4" max="4" width="15.44140625" bestFit="1" customWidth="1"/>
    <col min="5" max="5" width="14.5546875" bestFit="1" customWidth="1"/>
    <col min="8" max="8" width="20.6640625" bestFit="1" customWidth="1"/>
    <col min="9" max="9" width="44.33203125" bestFit="1" customWidth="1"/>
    <col min="10" max="10" width="11.33203125" bestFit="1" customWidth="1"/>
  </cols>
  <sheetData>
    <row r="1" spans="2:11" ht="15" thickBot="1" x14ac:dyDescent="0.35"/>
    <row r="2" spans="2:11" x14ac:dyDescent="0.3">
      <c r="B2" s="193" t="s">
        <v>440</v>
      </c>
      <c r="C2" s="200"/>
      <c r="D2" s="201"/>
      <c r="E2" s="60"/>
      <c r="H2" s="193" t="s">
        <v>443</v>
      </c>
      <c r="I2" s="200"/>
      <c r="J2" s="200"/>
      <c r="K2" s="201"/>
    </row>
    <row r="3" spans="2:11" x14ac:dyDescent="0.3">
      <c r="B3" s="44" t="s">
        <v>441</v>
      </c>
      <c r="C3" s="35" t="s">
        <v>54</v>
      </c>
      <c r="D3" s="45" t="s">
        <v>416</v>
      </c>
      <c r="H3" s="44" t="s">
        <v>423</v>
      </c>
      <c r="I3" s="35" t="s">
        <v>54</v>
      </c>
      <c r="J3" s="218" t="s">
        <v>416</v>
      </c>
      <c r="K3" s="219"/>
    </row>
    <row r="4" spans="2:11" x14ac:dyDescent="0.3">
      <c r="B4" s="39" t="s">
        <v>404</v>
      </c>
      <c r="C4" s="11" t="s">
        <v>405</v>
      </c>
      <c r="D4" s="69">
        <f ca="1">TODAY()</f>
        <v>45922</v>
      </c>
      <c r="E4" s="67"/>
      <c r="H4" s="39" t="s">
        <v>424</v>
      </c>
      <c r="I4" s="11" t="s">
        <v>425</v>
      </c>
      <c r="J4" s="220" t="str">
        <f ca="1">TEXT(D4,"ddd")</f>
        <v>Mon</v>
      </c>
      <c r="K4" s="221"/>
    </row>
    <row r="5" spans="2:11" x14ac:dyDescent="0.3">
      <c r="B5" s="39" t="s">
        <v>406</v>
      </c>
      <c r="C5" s="11" t="s">
        <v>407</v>
      </c>
      <c r="D5" s="70">
        <f ca="1">NOW()</f>
        <v>45922.542365393521</v>
      </c>
      <c r="H5" s="39" t="s">
        <v>426</v>
      </c>
      <c r="I5" s="11" t="s">
        <v>427</v>
      </c>
      <c r="J5" s="220" t="str">
        <f ca="1">TEXT(D4,"mmmm")</f>
        <v>September</v>
      </c>
      <c r="K5" s="221"/>
    </row>
    <row r="6" spans="2:11" x14ac:dyDescent="0.3">
      <c r="B6" s="39" t="s">
        <v>408</v>
      </c>
      <c r="C6" s="11" t="s">
        <v>409</v>
      </c>
      <c r="D6" s="40">
        <f ca="1">DAY(D4)</f>
        <v>22</v>
      </c>
      <c r="H6" s="39" t="s">
        <v>428</v>
      </c>
      <c r="I6" s="11" t="s">
        <v>429</v>
      </c>
      <c r="J6" s="220" t="str">
        <f ca="1">TEXT(D4,"yyyy")</f>
        <v>2025</v>
      </c>
      <c r="K6" s="221"/>
    </row>
    <row r="7" spans="2:11" x14ac:dyDescent="0.3">
      <c r="B7" s="39" t="s">
        <v>410</v>
      </c>
      <c r="C7" s="11" t="s">
        <v>411</v>
      </c>
      <c r="D7" s="40">
        <f ca="1">MONTH(D4)</f>
        <v>9</v>
      </c>
      <c r="H7" s="39" t="s">
        <v>430</v>
      </c>
      <c r="I7" s="11" t="s">
        <v>431</v>
      </c>
      <c r="J7" s="220" t="str">
        <f ca="1">TEXT(D4,"d mmmm yyyy")</f>
        <v>22 September 2025</v>
      </c>
      <c r="K7" s="221"/>
    </row>
    <row r="8" spans="2:11" ht="15" thickBot="1" x14ac:dyDescent="0.35">
      <c r="B8" s="41" t="s">
        <v>412</v>
      </c>
      <c r="C8" s="42" t="s">
        <v>413</v>
      </c>
      <c r="D8" s="43">
        <f ca="1">YEAR(D4)</f>
        <v>2025</v>
      </c>
      <c r="H8" s="39" t="s">
        <v>432</v>
      </c>
      <c r="I8" s="11" t="s">
        <v>433</v>
      </c>
      <c r="J8" s="212">
        <f ca="1">EOMONTH(D4,0)</f>
        <v>45930</v>
      </c>
      <c r="K8" s="213"/>
    </row>
    <row r="9" spans="2:11" ht="15" thickBot="1" x14ac:dyDescent="0.35">
      <c r="H9" s="39" t="s">
        <v>434</v>
      </c>
      <c r="I9" s="11" t="s">
        <v>435</v>
      </c>
      <c r="J9" s="214">
        <f ca="1">EOMONTH(D4,3)</f>
        <v>46022</v>
      </c>
      <c r="K9" s="215"/>
    </row>
    <row r="10" spans="2:11" ht="15" thickBot="1" x14ac:dyDescent="0.35">
      <c r="B10" s="193" t="s">
        <v>439</v>
      </c>
      <c r="C10" s="200"/>
      <c r="D10" s="201"/>
      <c r="H10" s="41" t="s">
        <v>436</v>
      </c>
      <c r="I10" s="42" t="s">
        <v>437</v>
      </c>
      <c r="J10" s="216">
        <f ca="1">EOMONTH(D4,-3)</f>
        <v>45838</v>
      </c>
      <c r="K10" s="217"/>
    </row>
    <row r="11" spans="2:11" x14ac:dyDescent="0.3">
      <c r="B11" s="44" t="s">
        <v>414</v>
      </c>
      <c r="C11" s="35" t="s">
        <v>415</v>
      </c>
      <c r="D11" s="45" t="s">
        <v>416</v>
      </c>
      <c r="E11" s="66"/>
    </row>
    <row r="12" spans="2:11" x14ac:dyDescent="0.3">
      <c r="B12" s="71">
        <v>42565</v>
      </c>
      <c r="C12" s="11" t="s">
        <v>417</v>
      </c>
      <c r="D12" s="69">
        <f>B12+5</f>
        <v>42570</v>
      </c>
      <c r="E12" s="66"/>
      <c r="I12" t="e" cm="1">
        <f t="array" ref="I12">dat</f>
        <v>#NAME?</v>
      </c>
    </row>
    <row r="13" spans="2:11" ht="15" thickBot="1" x14ac:dyDescent="0.35">
      <c r="B13" s="72">
        <v>42565</v>
      </c>
      <c r="C13" s="42" t="s">
        <v>418</v>
      </c>
      <c r="D13" s="73">
        <f>B13-5</f>
        <v>42560</v>
      </c>
    </row>
    <row r="14" spans="2:11" ht="15" thickBot="1" x14ac:dyDescent="0.35">
      <c r="E14" s="10"/>
    </row>
    <row r="15" spans="2:11" x14ac:dyDescent="0.3">
      <c r="B15" s="193" t="s">
        <v>438</v>
      </c>
      <c r="C15" s="200"/>
      <c r="D15" s="201"/>
    </row>
    <row r="16" spans="2:11" x14ac:dyDescent="0.3">
      <c r="B16" s="44" t="s">
        <v>414</v>
      </c>
      <c r="C16" s="35" t="s">
        <v>415</v>
      </c>
      <c r="D16" s="45" t="s">
        <v>416</v>
      </c>
      <c r="E16" s="66"/>
    </row>
    <row r="17" spans="2:5" x14ac:dyDescent="0.3">
      <c r="B17" s="71">
        <v>42565</v>
      </c>
      <c r="C17" s="11" t="s">
        <v>419</v>
      </c>
      <c r="D17" s="74">
        <f>EDATE(B17,3)</f>
        <v>42657</v>
      </c>
      <c r="E17" s="66"/>
    </row>
    <row r="18" spans="2:5" ht="15" thickBot="1" x14ac:dyDescent="0.35">
      <c r="B18" s="72">
        <v>42565</v>
      </c>
      <c r="C18" s="42" t="s">
        <v>420</v>
      </c>
      <c r="D18" s="75">
        <f>EDATE(B18,-3)</f>
        <v>42474</v>
      </c>
    </row>
    <row r="19" spans="2:5" ht="15" thickBot="1" x14ac:dyDescent="0.35"/>
    <row r="20" spans="2:5" x14ac:dyDescent="0.3">
      <c r="B20" s="193" t="s">
        <v>442</v>
      </c>
      <c r="C20" s="200"/>
      <c r="D20" s="201"/>
    </row>
    <row r="21" spans="2:5" x14ac:dyDescent="0.3">
      <c r="B21" s="44" t="s">
        <v>414</v>
      </c>
      <c r="C21" s="35" t="s">
        <v>415</v>
      </c>
      <c r="D21" s="45" t="s">
        <v>416</v>
      </c>
      <c r="E21" s="66"/>
    </row>
    <row r="22" spans="2:5" x14ac:dyDescent="0.3">
      <c r="B22" s="71">
        <v>42565</v>
      </c>
      <c r="C22" s="11" t="s">
        <v>421</v>
      </c>
      <c r="D22" s="69">
        <f>EDATE(B22,3*12)</f>
        <v>43660</v>
      </c>
      <c r="E22" s="66"/>
    </row>
    <row r="23" spans="2:5" ht="15" thickBot="1" x14ac:dyDescent="0.35">
      <c r="B23" s="72">
        <v>42565</v>
      </c>
      <c r="C23" s="42" t="s">
        <v>422</v>
      </c>
      <c r="D23" s="73">
        <f>EDATE(B23,-3*12)</f>
        <v>41469</v>
      </c>
    </row>
  </sheetData>
  <mergeCells count="13">
    <mergeCell ref="B15:D15"/>
    <mergeCell ref="B20:D20"/>
    <mergeCell ref="B2:D2"/>
    <mergeCell ref="B10:D10"/>
    <mergeCell ref="J8:K8"/>
    <mergeCell ref="J9:K9"/>
    <mergeCell ref="J10:K10"/>
    <mergeCell ref="H2:K2"/>
    <mergeCell ref="J3:K3"/>
    <mergeCell ref="J4:K4"/>
    <mergeCell ref="J5:K5"/>
    <mergeCell ref="J6:K6"/>
    <mergeCell ref="J7:K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0EC9-F833-49FD-A377-71E33D8C3501}">
  <dimension ref="B1:W29"/>
  <sheetViews>
    <sheetView zoomScale="89" workbookViewId="0">
      <selection activeCell="K19" sqref="K19"/>
    </sheetView>
  </sheetViews>
  <sheetFormatPr defaultRowHeight="14.4" x14ac:dyDescent="0.3"/>
  <cols>
    <col min="2" max="2" width="12.6640625" bestFit="1" customWidth="1"/>
    <col min="3" max="3" width="8" bestFit="1" customWidth="1"/>
    <col min="4" max="4" width="12.6640625" bestFit="1" customWidth="1"/>
    <col min="10" max="10" width="10.88671875" customWidth="1"/>
  </cols>
  <sheetData>
    <row r="1" spans="2:20" ht="15" thickBot="1" x14ac:dyDescent="0.35"/>
    <row r="2" spans="2:20" ht="15" thickBot="1" x14ac:dyDescent="0.35">
      <c r="B2" s="193" t="s">
        <v>471</v>
      </c>
      <c r="C2" s="200"/>
      <c r="D2" s="201"/>
      <c r="L2" s="85"/>
      <c r="N2" s="193" t="s">
        <v>471</v>
      </c>
      <c r="O2" s="200"/>
      <c r="P2" s="201"/>
      <c r="R2" s="193" t="s">
        <v>581</v>
      </c>
      <c r="S2" s="200"/>
      <c r="T2" s="201"/>
    </row>
    <row r="3" spans="2:20" x14ac:dyDescent="0.3">
      <c r="B3" s="44" t="s">
        <v>462</v>
      </c>
      <c r="C3" s="35" t="s">
        <v>463</v>
      </c>
      <c r="D3" s="45" t="s">
        <v>464</v>
      </c>
      <c r="H3" s="222" t="s">
        <v>246</v>
      </c>
      <c r="I3" s="223"/>
      <c r="J3" s="224"/>
      <c r="K3" s="38" t="s">
        <v>55</v>
      </c>
      <c r="L3" s="85"/>
      <c r="N3" s="44" t="s">
        <v>472</v>
      </c>
      <c r="O3" s="35" t="s">
        <v>571</v>
      </c>
      <c r="P3" s="45" t="s">
        <v>572</v>
      </c>
      <c r="R3" s="44" t="s">
        <v>472</v>
      </c>
      <c r="S3" s="35" t="s">
        <v>571</v>
      </c>
      <c r="T3" s="45" t="s">
        <v>572</v>
      </c>
    </row>
    <row r="4" spans="2:20" x14ac:dyDescent="0.3">
      <c r="B4" s="39">
        <v>101</v>
      </c>
      <c r="C4" s="11" t="s">
        <v>465</v>
      </c>
      <c r="D4" s="40">
        <v>56</v>
      </c>
      <c r="H4" s="225" t="s">
        <v>466</v>
      </c>
      <c r="I4" s="226"/>
      <c r="J4" s="227"/>
      <c r="K4" s="40">
        <f>VLOOKUP(B6,B3:D7,3,0)</f>
        <v>58</v>
      </c>
      <c r="L4" s="85"/>
      <c r="N4" s="39">
        <v>101</v>
      </c>
      <c r="O4" s="11" t="s">
        <v>573</v>
      </c>
      <c r="P4" s="40" t="s">
        <v>574</v>
      </c>
      <c r="R4" s="39">
        <v>101</v>
      </c>
      <c r="S4" s="11" t="str">
        <f>VLOOKUP(R4, $N$3:$P$7, 2, 0)</f>
        <v>Dell</v>
      </c>
      <c r="T4" s="40" t="str">
        <f>VLOOKUP(R4, $N$3:$P$7, 3, 0)</f>
        <v>Computer</v>
      </c>
    </row>
    <row r="5" spans="2:20" x14ac:dyDescent="0.3">
      <c r="B5" s="39">
        <v>102</v>
      </c>
      <c r="C5" s="11" t="s">
        <v>26</v>
      </c>
      <c r="D5" s="40">
        <v>78</v>
      </c>
      <c r="H5" s="225" t="s">
        <v>467</v>
      </c>
      <c r="I5" s="226"/>
      <c r="J5" s="227"/>
      <c r="K5" s="40" t="str">
        <f>VLOOKUP(B6,B3:D7,2,0)</f>
        <v>Arthur</v>
      </c>
      <c r="L5" s="85"/>
      <c r="N5" s="39">
        <v>102</v>
      </c>
      <c r="O5" s="11" t="s">
        <v>575</v>
      </c>
      <c r="P5" s="40" t="s">
        <v>576</v>
      </c>
      <c r="R5" s="39">
        <v>103</v>
      </c>
      <c r="S5" s="11" t="str">
        <f t="shared" ref="S5:S12" si="0">VLOOKUP(R5, $N$3:$P$7, 2, 0)</f>
        <v>Logitech</v>
      </c>
      <c r="T5" s="40" t="str">
        <f t="shared" ref="T5:T12" si="1">VLOOKUP(R5, $N$3:$P$7, 3, 0)</f>
        <v>Mouse</v>
      </c>
    </row>
    <row r="6" spans="2:20" ht="15" thickBot="1" x14ac:dyDescent="0.35">
      <c r="B6" s="39">
        <v>103</v>
      </c>
      <c r="C6" s="11" t="s">
        <v>468</v>
      </c>
      <c r="D6" s="40">
        <v>58</v>
      </c>
      <c r="H6" s="228" t="s">
        <v>469</v>
      </c>
      <c r="I6" s="229"/>
      <c r="J6" s="230"/>
      <c r="K6" s="43">
        <f>VLOOKUP(C7,C3:D7,2,0)</f>
        <v>73</v>
      </c>
      <c r="L6" s="85"/>
      <c r="N6" s="39">
        <v>103</v>
      </c>
      <c r="O6" s="11" t="s">
        <v>575</v>
      </c>
      <c r="P6" s="40" t="s">
        <v>577</v>
      </c>
      <c r="R6" s="39">
        <v>101</v>
      </c>
      <c r="S6" s="11" t="str">
        <f t="shared" si="0"/>
        <v>Dell</v>
      </c>
      <c r="T6" s="40" t="str">
        <f t="shared" si="1"/>
        <v>Computer</v>
      </c>
    </row>
    <row r="7" spans="2:20" ht="15" thickBot="1" x14ac:dyDescent="0.35">
      <c r="B7" s="41">
        <v>104</v>
      </c>
      <c r="C7" s="42" t="s">
        <v>470</v>
      </c>
      <c r="D7" s="43">
        <v>73</v>
      </c>
      <c r="L7" s="85"/>
      <c r="N7" s="41">
        <v>104</v>
      </c>
      <c r="O7" s="42" t="s">
        <v>578</v>
      </c>
      <c r="P7" s="43" t="s">
        <v>579</v>
      </c>
      <c r="R7" s="39">
        <v>102</v>
      </c>
      <c r="S7" s="11" t="str">
        <f t="shared" si="0"/>
        <v>Logitech</v>
      </c>
      <c r="T7" s="40" t="str">
        <f t="shared" si="1"/>
        <v>Keyboard</v>
      </c>
    </row>
    <row r="8" spans="2:20" ht="15" thickBot="1" x14ac:dyDescent="0.35">
      <c r="L8" s="85"/>
      <c r="R8" s="39">
        <v>103</v>
      </c>
      <c r="S8" s="11" t="str">
        <f t="shared" si="0"/>
        <v>Logitech</v>
      </c>
      <c r="T8" s="40" t="str">
        <f t="shared" si="1"/>
        <v>Mouse</v>
      </c>
    </row>
    <row r="9" spans="2:20" x14ac:dyDescent="0.3">
      <c r="B9" s="193" t="s">
        <v>373</v>
      </c>
      <c r="C9" s="200"/>
      <c r="D9" s="200"/>
      <c r="E9" s="200"/>
      <c r="F9" s="201"/>
      <c r="H9" s="202" t="s">
        <v>246</v>
      </c>
      <c r="I9" s="203"/>
      <c r="J9" s="203"/>
      <c r="K9" s="38" t="s">
        <v>55</v>
      </c>
      <c r="L9" s="85"/>
      <c r="R9" s="39">
        <v>101</v>
      </c>
      <c r="S9" s="11" t="str">
        <f t="shared" si="0"/>
        <v>Dell</v>
      </c>
      <c r="T9" s="40" t="str">
        <f t="shared" si="1"/>
        <v>Computer</v>
      </c>
    </row>
    <row r="10" spans="2:20" x14ac:dyDescent="0.3">
      <c r="B10" s="44" t="s">
        <v>472</v>
      </c>
      <c r="C10" s="11">
        <v>101</v>
      </c>
      <c r="D10" s="11">
        <v>102</v>
      </c>
      <c r="E10" s="11">
        <v>103</v>
      </c>
      <c r="F10" s="40">
        <v>104</v>
      </c>
      <c r="H10" s="198" t="s">
        <v>466</v>
      </c>
      <c r="I10" s="199"/>
      <c r="J10" s="199"/>
      <c r="K10" s="40">
        <f>HLOOKUP(E10,B10:F12,3,0)</f>
        <v>84</v>
      </c>
      <c r="L10" s="85"/>
      <c r="R10" s="39">
        <v>104</v>
      </c>
      <c r="S10" s="11" t="str">
        <f t="shared" si="0"/>
        <v>HP</v>
      </c>
      <c r="T10" s="40" t="str">
        <f t="shared" si="1"/>
        <v>Printer</v>
      </c>
    </row>
    <row r="11" spans="2:20" x14ac:dyDescent="0.3">
      <c r="B11" s="44" t="s">
        <v>463</v>
      </c>
      <c r="C11" s="11" t="s">
        <v>465</v>
      </c>
      <c r="D11" s="11" t="s">
        <v>26</v>
      </c>
      <c r="E11" s="11" t="s">
        <v>468</v>
      </c>
      <c r="F11" s="40" t="s">
        <v>470</v>
      </c>
      <c r="H11" s="198" t="s">
        <v>467</v>
      </c>
      <c r="I11" s="199"/>
      <c r="J11" s="199"/>
      <c r="K11" s="40" t="str">
        <f>HLOOKUP(E10,B10:F12,2,0)</f>
        <v>Arthur</v>
      </c>
      <c r="L11" s="85"/>
      <c r="R11" s="39">
        <v>101</v>
      </c>
      <c r="S11" s="11" t="str">
        <f t="shared" si="0"/>
        <v>Dell</v>
      </c>
      <c r="T11" s="40" t="str">
        <f t="shared" si="1"/>
        <v>Computer</v>
      </c>
    </row>
    <row r="12" spans="2:20" ht="15" thickBot="1" x14ac:dyDescent="0.35">
      <c r="B12" s="76" t="s">
        <v>464</v>
      </c>
      <c r="C12" s="42">
        <v>56</v>
      </c>
      <c r="D12" s="42">
        <v>53</v>
      </c>
      <c r="E12" s="42">
        <v>84</v>
      </c>
      <c r="F12" s="43">
        <v>75</v>
      </c>
      <c r="H12" s="207" t="s">
        <v>469</v>
      </c>
      <c r="I12" s="206"/>
      <c r="J12" s="206"/>
      <c r="K12" s="43">
        <f>HLOOKUP(F11,B11:F12,2,0)</f>
        <v>75</v>
      </c>
      <c r="L12" s="85"/>
      <c r="R12" s="41">
        <v>102</v>
      </c>
      <c r="S12" s="42" t="str">
        <f t="shared" si="0"/>
        <v>Logitech</v>
      </c>
      <c r="T12" s="43" t="str">
        <f t="shared" si="1"/>
        <v>Keyboard</v>
      </c>
    </row>
    <row r="13" spans="2:20" ht="15" thickBot="1" x14ac:dyDescent="0.35">
      <c r="L13" s="85"/>
    </row>
    <row r="14" spans="2:20" ht="15" thickBot="1" x14ac:dyDescent="0.35">
      <c r="B14" s="193" t="s">
        <v>482</v>
      </c>
      <c r="C14" s="200"/>
      <c r="D14" s="201"/>
      <c r="L14" s="85"/>
      <c r="N14" s="193" t="s">
        <v>373</v>
      </c>
      <c r="O14" s="200"/>
      <c r="P14" s="200"/>
      <c r="Q14" s="200"/>
      <c r="R14" s="201"/>
    </row>
    <row r="15" spans="2:20" x14ac:dyDescent="0.3">
      <c r="B15" s="44" t="s">
        <v>473</v>
      </c>
      <c r="C15" s="35" t="s">
        <v>474</v>
      </c>
      <c r="D15" s="45" t="s">
        <v>132</v>
      </c>
      <c r="H15" s="202" t="s">
        <v>246</v>
      </c>
      <c r="I15" s="203"/>
      <c r="J15" s="203"/>
      <c r="K15" s="38" t="s">
        <v>55</v>
      </c>
      <c r="L15" s="85"/>
      <c r="N15" s="44"/>
      <c r="O15" s="35" t="s">
        <v>126</v>
      </c>
      <c r="P15" s="35" t="s">
        <v>129</v>
      </c>
      <c r="Q15" s="35" t="s">
        <v>127</v>
      </c>
      <c r="R15" s="45" t="s">
        <v>128</v>
      </c>
    </row>
    <row r="16" spans="2:20" x14ac:dyDescent="0.3">
      <c r="B16" s="39" t="s">
        <v>476</v>
      </c>
      <c r="C16" s="11">
        <v>20</v>
      </c>
      <c r="D16" s="40">
        <v>20000</v>
      </c>
      <c r="H16" s="198" t="s">
        <v>475</v>
      </c>
      <c r="I16" s="199"/>
      <c r="J16" s="199"/>
      <c r="K16" s="40">
        <f>VLOOKUP(B20,B15:D21,3,0)</f>
        <v>36000</v>
      </c>
      <c r="L16" s="85"/>
      <c r="N16" s="39" t="s">
        <v>580</v>
      </c>
      <c r="O16" s="11">
        <v>101</v>
      </c>
      <c r="P16" s="11">
        <v>102</v>
      </c>
      <c r="Q16" s="11">
        <v>103</v>
      </c>
      <c r="R16" s="40">
        <v>104</v>
      </c>
    </row>
    <row r="17" spans="2:23" ht="15" thickBot="1" x14ac:dyDescent="0.35">
      <c r="B17" s="39" t="s">
        <v>196</v>
      </c>
      <c r="C17" s="11">
        <v>55</v>
      </c>
      <c r="D17" s="40">
        <v>50000</v>
      </c>
      <c r="H17" s="207" t="s">
        <v>477</v>
      </c>
      <c r="I17" s="206"/>
      <c r="J17" s="206"/>
      <c r="K17" s="43">
        <f>VLOOKUP(B18,B15:D21,2,0)</f>
        <v>106</v>
      </c>
      <c r="L17" s="85"/>
      <c r="N17" s="39" t="s">
        <v>571</v>
      </c>
      <c r="O17" s="11" t="s">
        <v>573</v>
      </c>
      <c r="P17" s="11" t="s">
        <v>575</v>
      </c>
      <c r="Q17" s="11" t="s">
        <v>575</v>
      </c>
      <c r="R17" s="40" t="s">
        <v>578</v>
      </c>
    </row>
    <row r="18" spans="2:23" ht="15" thickBot="1" x14ac:dyDescent="0.35">
      <c r="B18" s="39" t="s">
        <v>479</v>
      </c>
      <c r="C18" s="11">
        <v>106</v>
      </c>
      <c r="D18" s="40">
        <v>65000</v>
      </c>
      <c r="L18" s="85"/>
      <c r="N18" s="41" t="s">
        <v>572</v>
      </c>
      <c r="O18" s="42" t="s">
        <v>574</v>
      </c>
      <c r="P18" s="42" t="s">
        <v>576</v>
      </c>
      <c r="Q18" s="42" t="s">
        <v>577</v>
      </c>
      <c r="R18" s="43" t="s">
        <v>579</v>
      </c>
    </row>
    <row r="19" spans="2:23" ht="15" thickBot="1" x14ac:dyDescent="0.35">
      <c r="B19" s="39" t="s">
        <v>195</v>
      </c>
      <c r="C19" s="11">
        <v>6</v>
      </c>
      <c r="D19" s="40">
        <v>5000</v>
      </c>
      <c r="H19" s="231" t="s">
        <v>478</v>
      </c>
      <c r="I19" s="208"/>
      <c r="J19" s="208"/>
      <c r="K19" s="51" t="str">
        <f>VLOOKUP(C24,C23:D29,2,0)</f>
        <v>PC</v>
      </c>
      <c r="L19" s="85"/>
    </row>
    <row r="20" spans="2:23" ht="15" thickBot="1" x14ac:dyDescent="0.35">
      <c r="B20" s="39" t="s">
        <v>199</v>
      </c>
      <c r="C20" s="11">
        <v>8</v>
      </c>
      <c r="D20" s="40">
        <v>36000</v>
      </c>
      <c r="H20" s="207" t="s">
        <v>480</v>
      </c>
      <c r="I20" s="206"/>
      <c r="J20" s="206"/>
      <c r="K20" s="43" t="str">
        <f>VLOOKUP(B29,B23:D29,3,0)</f>
        <v>FAN</v>
      </c>
      <c r="L20" s="85"/>
      <c r="N20" s="193" t="s">
        <v>581</v>
      </c>
      <c r="O20" s="200"/>
      <c r="P20" s="200"/>
      <c r="Q20" s="200"/>
      <c r="R20" s="200"/>
      <c r="S20" s="200"/>
      <c r="T20" s="200"/>
      <c r="U20" s="200"/>
      <c r="V20" s="200"/>
      <c r="W20" s="201"/>
    </row>
    <row r="21" spans="2:23" ht="15" thickBot="1" x14ac:dyDescent="0.35">
      <c r="B21" s="41" t="s">
        <v>481</v>
      </c>
      <c r="C21" s="42">
        <v>2</v>
      </c>
      <c r="D21" s="43">
        <v>1000</v>
      </c>
      <c r="L21" s="85"/>
      <c r="N21" s="44" t="s">
        <v>580</v>
      </c>
      <c r="O21" s="87">
        <v>103</v>
      </c>
      <c r="P21" s="87">
        <v>104</v>
      </c>
      <c r="Q21" s="87">
        <v>101</v>
      </c>
      <c r="R21" s="87">
        <v>102</v>
      </c>
      <c r="S21" s="87">
        <v>103</v>
      </c>
      <c r="T21" s="87">
        <v>101</v>
      </c>
      <c r="U21" s="87">
        <v>104</v>
      </c>
      <c r="V21" s="87">
        <v>101</v>
      </c>
      <c r="W21" s="88">
        <v>102</v>
      </c>
    </row>
    <row r="22" spans="2:23" ht="15" thickBot="1" x14ac:dyDescent="0.35">
      <c r="L22" s="85"/>
      <c r="N22" s="44" t="s">
        <v>571</v>
      </c>
      <c r="O22" s="11" t="str">
        <f>HLOOKUP(O21, $N$16:$R$18, 2, 0)</f>
        <v>Logitech</v>
      </c>
      <c r="P22" s="11" t="str">
        <f t="shared" ref="P22:W22" si="2">HLOOKUP(P21, $N$16:$R$18, 2, 0)</f>
        <v>HP</v>
      </c>
      <c r="Q22" s="11" t="str">
        <f t="shared" si="2"/>
        <v>Dell</v>
      </c>
      <c r="R22" s="11" t="str">
        <f t="shared" si="2"/>
        <v>Logitech</v>
      </c>
      <c r="S22" s="11" t="str">
        <f t="shared" si="2"/>
        <v>Logitech</v>
      </c>
      <c r="T22" s="11" t="str">
        <f t="shared" si="2"/>
        <v>Dell</v>
      </c>
      <c r="U22" s="11" t="str">
        <f t="shared" si="2"/>
        <v>HP</v>
      </c>
      <c r="V22" s="11" t="str">
        <f t="shared" si="2"/>
        <v>Dell</v>
      </c>
      <c r="W22" s="40" t="str">
        <f t="shared" si="2"/>
        <v>Logitech</v>
      </c>
    </row>
    <row r="23" spans="2:23" ht="15" thickBot="1" x14ac:dyDescent="0.35">
      <c r="B23" s="36" t="s">
        <v>132</v>
      </c>
      <c r="C23" s="37" t="s">
        <v>474</v>
      </c>
      <c r="D23" s="38" t="s">
        <v>473</v>
      </c>
      <c r="L23" s="85"/>
      <c r="N23" s="76" t="s">
        <v>572</v>
      </c>
      <c r="O23" s="42" t="str">
        <f>HLOOKUP(O21, $N$16:$R$18, 3, 0)</f>
        <v>Mouse</v>
      </c>
      <c r="P23" s="42" t="str">
        <f t="shared" ref="P23:W23" si="3">HLOOKUP(P21, $N$16:$R$18, 3, 0)</f>
        <v>Printer</v>
      </c>
      <c r="Q23" s="42" t="str">
        <f t="shared" si="3"/>
        <v>Computer</v>
      </c>
      <c r="R23" s="42" t="str">
        <f t="shared" si="3"/>
        <v>Keyboard</v>
      </c>
      <c r="S23" s="42" t="str">
        <f t="shared" si="3"/>
        <v>Mouse</v>
      </c>
      <c r="T23" s="42" t="str">
        <f t="shared" si="3"/>
        <v>Computer</v>
      </c>
      <c r="U23" s="42" t="str">
        <f t="shared" si="3"/>
        <v>Printer</v>
      </c>
      <c r="V23" s="42" t="str">
        <f t="shared" si="3"/>
        <v>Computer</v>
      </c>
      <c r="W23" s="43" t="str">
        <f t="shared" si="3"/>
        <v>Keyboard</v>
      </c>
    </row>
    <row r="24" spans="2:23" x14ac:dyDescent="0.3">
      <c r="B24" s="39">
        <v>20000</v>
      </c>
      <c r="C24" s="11">
        <v>20</v>
      </c>
      <c r="D24" s="40" t="s">
        <v>476</v>
      </c>
      <c r="L24" s="85"/>
    </row>
    <row r="25" spans="2:23" x14ac:dyDescent="0.3">
      <c r="B25" s="39">
        <v>50000</v>
      </c>
      <c r="C25" s="11">
        <v>55</v>
      </c>
      <c r="D25" s="40" t="s">
        <v>196</v>
      </c>
      <c r="L25" s="85"/>
    </row>
    <row r="26" spans="2:23" x14ac:dyDescent="0.3">
      <c r="B26" s="39">
        <v>65000</v>
      </c>
      <c r="C26" s="11">
        <v>106</v>
      </c>
      <c r="D26" s="40" t="s">
        <v>479</v>
      </c>
      <c r="L26" s="85"/>
    </row>
    <row r="27" spans="2:23" x14ac:dyDescent="0.3">
      <c r="B27" s="39">
        <v>5000</v>
      </c>
      <c r="C27" s="11">
        <v>6</v>
      </c>
      <c r="D27" s="40" t="s">
        <v>195</v>
      </c>
      <c r="L27" s="85"/>
    </row>
    <row r="28" spans="2:23" x14ac:dyDescent="0.3">
      <c r="B28" s="39">
        <v>36000</v>
      </c>
      <c r="C28" s="11">
        <v>8</v>
      </c>
      <c r="D28" s="40" t="s">
        <v>199</v>
      </c>
      <c r="L28" s="85"/>
    </row>
    <row r="29" spans="2:23" ht="15" thickBot="1" x14ac:dyDescent="0.35">
      <c r="B29" s="41">
        <v>1000</v>
      </c>
      <c r="C29" s="42">
        <v>2</v>
      </c>
      <c r="D29" s="43" t="s">
        <v>481</v>
      </c>
      <c r="L29" s="85"/>
    </row>
  </sheetData>
  <mergeCells count="20">
    <mergeCell ref="N2:P2"/>
    <mergeCell ref="N14:R14"/>
    <mergeCell ref="N20:W20"/>
    <mergeCell ref="R2:T2"/>
    <mergeCell ref="H3:J3"/>
    <mergeCell ref="H4:J4"/>
    <mergeCell ref="H5:J5"/>
    <mergeCell ref="H6:J6"/>
    <mergeCell ref="H17:J17"/>
    <mergeCell ref="H19:J19"/>
    <mergeCell ref="H20:J20"/>
    <mergeCell ref="H15:J15"/>
    <mergeCell ref="B14:D14"/>
    <mergeCell ref="H16:J16"/>
    <mergeCell ref="B2:D2"/>
    <mergeCell ref="H9:J9"/>
    <mergeCell ref="H10:J10"/>
    <mergeCell ref="H11:J11"/>
    <mergeCell ref="H12:J12"/>
    <mergeCell ref="B9:F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DE86-5C4E-4F3E-9873-F4A2E2BA3DA8}">
  <dimension ref="B2:N9"/>
  <sheetViews>
    <sheetView zoomScale="121" workbookViewId="0">
      <selection activeCell="K1" sqref="K1"/>
    </sheetView>
  </sheetViews>
  <sheetFormatPr defaultRowHeight="14.4" x14ac:dyDescent="0.3"/>
  <sheetData>
    <row r="2" spans="2:14" ht="15" thickBot="1" x14ac:dyDescent="0.35"/>
    <row r="3" spans="2:14" x14ac:dyDescent="0.3">
      <c r="B3" s="36" t="s">
        <v>216</v>
      </c>
      <c r="C3" s="37">
        <v>2019</v>
      </c>
      <c r="D3" s="37">
        <v>2020</v>
      </c>
      <c r="E3" s="38">
        <v>2021</v>
      </c>
      <c r="G3" s="36" t="s">
        <v>565</v>
      </c>
      <c r="H3" s="203" t="s">
        <v>246</v>
      </c>
      <c r="I3" s="203"/>
      <c r="J3" s="203"/>
      <c r="K3" s="203"/>
      <c r="L3" s="203"/>
      <c r="M3" s="203"/>
      <c r="N3" s="38" t="s">
        <v>55</v>
      </c>
    </row>
    <row r="4" spans="2:14" x14ac:dyDescent="0.3">
      <c r="B4" s="39" t="s">
        <v>559</v>
      </c>
      <c r="C4" s="11">
        <v>50000</v>
      </c>
      <c r="D4" s="11">
        <v>784512</v>
      </c>
      <c r="E4" s="40">
        <v>78523</v>
      </c>
      <c r="G4" s="39">
        <v>1</v>
      </c>
      <c r="H4" s="199" t="s">
        <v>566</v>
      </c>
      <c r="I4" s="199"/>
      <c r="J4" s="199"/>
      <c r="K4" s="199"/>
      <c r="L4" s="199"/>
      <c r="M4" s="199"/>
      <c r="N4" s="40">
        <f>INDEX(B4:E9, MATCH("Niya", B4:B9, 0), MATCH(2021, B3:E3, 0))</f>
        <v>35741</v>
      </c>
    </row>
    <row r="5" spans="2:14" x14ac:dyDescent="0.3">
      <c r="B5" s="39" t="s">
        <v>560</v>
      </c>
      <c r="C5" s="11">
        <v>25000</v>
      </c>
      <c r="D5" s="11">
        <v>25946</v>
      </c>
      <c r="E5" s="40">
        <v>98521</v>
      </c>
      <c r="G5" s="39">
        <v>2</v>
      </c>
      <c r="H5" s="199" t="s">
        <v>567</v>
      </c>
      <c r="I5" s="199"/>
      <c r="J5" s="199"/>
      <c r="K5" s="199"/>
      <c r="L5" s="199"/>
      <c r="M5" s="199"/>
      <c r="N5" s="40">
        <f>INDEX(C3:C9,MATCH("Siya",B3:B9,0))</f>
        <v>14252</v>
      </c>
    </row>
    <row r="6" spans="2:14" x14ac:dyDescent="0.3">
      <c r="B6" s="39" t="s">
        <v>561</v>
      </c>
      <c r="C6" s="11">
        <v>35000</v>
      </c>
      <c r="D6" s="11">
        <v>45829</v>
      </c>
      <c r="E6" s="40">
        <v>15963</v>
      </c>
      <c r="G6" s="39">
        <v>3</v>
      </c>
      <c r="H6" s="199" t="s">
        <v>568</v>
      </c>
      <c r="I6" s="199"/>
      <c r="J6" s="199"/>
      <c r="K6" s="199"/>
      <c r="L6" s="199"/>
      <c r="M6" s="199"/>
      <c r="N6" s="40" t="str">
        <f>INDEX(B4:E9,MATCH(MAX(E4:E9),E4:E9,0),MATCH("Name",B3:E3,0))</f>
        <v>Maya</v>
      </c>
    </row>
    <row r="7" spans="2:14" x14ac:dyDescent="0.3">
      <c r="B7" s="39" t="s">
        <v>562</v>
      </c>
      <c r="C7" s="11">
        <v>89000</v>
      </c>
      <c r="D7" s="11">
        <v>458962</v>
      </c>
      <c r="E7" s="40">
        <v>35741</v>
      </c>
      <c r="G7" s="39">
        <v>4</v>
      </c>
      <c r="H7" s="199" t="s">
        <v>569</v>
      </c>
      <c r="I7" s="199"/>
      <c r="J7" s="199"/>
      <c r="K7" s="199"/>
      <c r="L7" s="199"/>
      <c r="M7" s="199"/>
      <c r="N7" s="40">
        <f>SUM(INDEX(B4:E9,MATCH("Chhaya", B4:B9, 0), 0))</f>
        <v>96792</v>
      </c>
    </row>
    <row r="8" spans="2:14" x14ac:dyDescent="0.3">
      <c r="B8" s="39" t="s">
        <v>563</v>
      </c>
      <c r="C8" s="11">
        <v>56489</v>
      </c>
      <c r="D8" s="11">
        <v>1526</v>
      </c>
      <c r="E8" s="40">
        <v>74159</v>
      </c>
      <c r="G8" s="39">
        <v>5</v>
      </c>
      <c r="H8" s="199" t="s">
        <v>570</v>
      </c>
      <c r="I8" s="199"/>
      <c r="J8" s="199"/>
      <c r="K8" s="199"/>
      <c r="L8" s="199"/>
      <c r="M8" s="199"/>
      <c r="N8" s="40" t="str">
        <f>INDEX(B4:E9,MATCH(MIN(E4:E9),E4:E9,0),MATCH("Name",B3:E3,0))</f>
        <v>Chhaya</v>
      </c>
    </row>
    <row r="9" spans="2:14" ht="15" thickBot="1" x14ac:dyDescent="0.35">
      <c r="B9" s="41" t="s">
        <v>564</v>
      </c>
      <c r="C9" s="42">
        <v>14252</v>
      </c>
      <c r="D9" s="42">
        <v>24586</v>
      </c>
      <c r="E9" s="43">
        <v>96357</v>
      </c>
      <c r="G9" s="41">
        <v>6</v>
      </c>
      <c r="H9" s="206" t="s">
        <v>623</v>
      </c>
      <c r="I9" s="206"/>
      <c r="J9" s="206"/>
      <c r="K9" s="206"/>
      <c r="L9" s="206"/>
      <c r="M9" s="206"/>
      <c r="N9" s="43" t="str">
        <f>INDEX(B4:E9,MATCH(MAX(D4:D9),D4:D9,0),MATCH("Name",B3:E3,0))</f>
        <v>Riya</v>
      </c>
    </row>
  </sheetData>
  <mergeCells count="7">
    <mergeCell ref="H9:M9"/>
    <mergeCell ref="H3:M3"/>
    <mergeCell ref="H4:M4"/>
    <mergeCell ref="H5:M5"/>
    <mergeCell ref="H6:M6"/>
    <mergeCell ref="H7:M7"/>
    <mergeCell ref="H8:M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2F85-C18B-4F84-A805-A5BB2A5382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CBBC-6F1B-49E3-945C-879410AC01B3}">
  <dimension ref="B2:B674"/>
  <sheetViews>
    <sheetView tabSelected="1" zoomScale="58" workbookViewId="0">
      <selection activeCell="B2" sqref="B2"/>
    </sheetView>
  </sheetViews>
  <sheetFormatPr defaultRowHeight="14.4" x14ac:dyDescent="0.3"/>
  <sheetData>
    <row r="2" spans="2:2" x14ac:dyDescent="0.3">
      <c r="B2" t="s">
        <v>636</v>
      </c>
    </row>
    <row r="3" spans="2:2" x14ac:dyDescent="0.3">
      <c r="B3" t="s">
        <v>637</v>
      </c>
    </row>
    <row r="4" spans="2:2" x14ac:dyDescent="0.3">
      <c r="B4" t="s">
        <v>638</v>
      </c>
    </row>
    <row r="5" spans="2:2" x14ac:dyDescent="0.3">
      <c r="B5" t="s">
        <v>639</v>
      </c>
    </row>
    <row r="6" spans="2:2" x14ac:dyDescent="0.3">
      <c r="B6" t="s">
        <v>640</v>
      </c>
    </row>
    <row r="7" spans="2:2" x14ac:dyDescent="0.3">
      <c r="B7" t="s">
        <v>641</v>
      </c>
    </row>
    <row r="8" spans="2:2" x14ac:dyDescent="0.3">
      <c r="B8" t="s">
        <v>642</v>
      </c>
    </row>
    <row r="9" spans="2:2" x14ac:dyDescent="0.3">
      <c r="B9" t="s">
        <v>643</v>
      </c>
    </row>
    <row r="10" spans="2:2" x14ac:dyDescent="0.3">
      <c r="B10" t="s">
        <v>644</v>
      </c>
    </row>
    <row r="11" spans="2:2" x14ac:dyDescent="0.3">
      <c r="B11" t="s">
        <v>645</v>
      </c>
    </row>
    <row r="12" spans="2:2" x14ac:dyDescent="0.3">
      <c r="B12" t="s">
        <v>646</v>
      </c>
    </row>
    <row r="13" spans="2:2" x14ac:dyDescent="0.3">
      <c r="B13" t="s">
        <v>647</v>
      </c>
    </row>
    <row r="14" spans="2:2" x14ac:dyDescent="0.3">
      <c r="B14" t="s">
        <v>648</v>
      </c>
    </row>
    <row r="15" spans="2:2" x14ac:dyDescent="0.3">
      <c r="B15" t="s">
        <v>649</v>
      </c>
    </row>
    <row r="16" spans="2:2" x14ac:dyDescent="0.3">
      <c r="B16" t="s">
        <v>650</v>
      </c>
    </row>
    <row r="17" spans="2:2" x14ac:dyDescent="0.3">
      <c r="B17" t="s">
        <v>651</v>
      </c>
    </row>
    <row r="18" spans="2:2" x14ac:dyDescent="0.3">
      <c r="B18" t="s">
        <v>652</v>
      </c>
    </row>
    <row r="19" spans="2:2" x14ac:dyDescent="0.3">
      <c r="B19" t="s">
        <v>653</v>
      </c>
    </row>
    <row r="20" spans="2:2" x14ac:dyDescent="0.3">
      <c r="B20" t="s">
        <v>654</v>
      </c>
    </row>
    <row r="21" spans="2:2" x14ac:dyDescent="0.3">
      <c r="B21" t="s">
        <v>655</v>
      </c>
    </row>
    <row r="22" spans="2:2" x14ac:dyDescent="0.3">
      <c r="B22" t="s">
        <v>656</v>
      </c>
    </row>
    <row r="23" spans="2:2" x14ac:dyDescent="0.3">
      <c r="B23" t="s">
        <v>657</v>
      </c>
    </row>
    <row r="24" spans="2:2" x14ac:dyDescent="0.3">
      <c r="B24" t="s">
        <v>658</v>
      </c>
    </row>
    <row r="25" spans="2:2" x14ac:dyDescent="0.3">
      <c r="B25" t="s">
        <v>659</v>
      </c>
    </row>
    <row r="26" spans="2:2" x14ac:dyDescent="0.3">
      <c r="B26" t="s">
        <v>660</v>
      </c>
    </row>
    <row r="27" spans="2:2" x14ac:dyDescent="0.3">
      <c r="B27" t="s">
        <v>661</v>
      </c>
    </row>
    <row r="28" spans="2:2" x14ac:dyDescent="0.3">
      <c r="B28" t="s">
        <v>662</v>
      </c>
    </row>
    <row r="29" spans="2:2" x14ac:dyDescent="0.3">
      <c r="B29" t="s">
        <v>663</v>
      </c>
    </row>
    <row r="30" spans="2:2" x14ac:dyDescent="0.3">
      <c r="B30" t="s">
        <v>664</v>
      </c>
    </row>
    <row r="31" spans="2:2" x14ac:dyDescent="0.3">
      <c r="B31" t="s">
        <v>665</v>
      </c>
    </row>
    <row r="32" spans="2:2" x14ac:dyDescent="0.3">
      <c r="B32" t="s">
        <v>666</v>
      </c>
    </row>
    <row r="33" spans="2:2" x14ac:dyDescent="0.3">
      <c r="B33" t="s">
        <v>667</v>
      </c>
    </row>
    <row r="34" spans="2:2" x14ac:dyDescent="0.3">
      <c r="B34" t="s">
        <v>668</v>
      </c>
    </row>
    <row r="35" spans="2:2" x14ac:dyDescent="0.3">
      <c r="B35" t="s">
        <v>669</v>
      </c>
    </row>
    <row r="36" spans="2:2" x14ac:dyDescent="0.3">
      <c r="B36" t="s">
        <v>670</v>
      </c>
    </row>
    <row r="37" spans="2:2" x14ac:dyDescent="0.3">
      <c r="B37" t="s">
        <v>671</v>
      </c>
    </row>
    <row r="38" spans="2:2" x14ac:dyDescent="0.3">
      <c r="B38" t="s">
        <v>672</v>
      </c>
    </row>
    <row r="39" spans="2:2" x14ac:dyDescent="0.3">
      <c r="B39" t="s">
        <v>673</v>
      </c>
    </row>
    <row r="40" spans="2:2" x14ac:dyDescent="0.3">
      <c r="B40" t="s">
        <v>674</v>
      </c>
    </row>
    <row r="41" spans="2:2" x14ac:dyDescent="0.3">
      <c r="B41" t="s">
        <v>675</v>
      </c>
    </row>
    <row r="42" spans="2:2" x14ac:dyDescent="0.3">
      <c r="B42" t="s">
        <v>676</v>
      </c>
    </row>
    <row r="43" spans="2:2" x14ac:dyDescent="0.3">
      <c r="B43" t="s">
        <v>677</v>
      </c>
    </row>
    <row r="44" spans="2:2" x14ac:dyDescent="0.3">
      <c r="B44" t="s">
        <v>678</v>
      </c>
    </row>
    <row r="45" spans="2:2" x14ac:dyDescent="0.3">
      <c r="B45" t="s">
        <v>679</v>
      </c>
    </row>
    <row r="46" spans="2:2" x14ac:dyDescent="0.3">
      <c r="B46" t="s">
        <v>680</v>
      </c>
    </row>
    <row r="47" spans="2:2" x14ac:dyDescent="0.3">
      <c r="B47" t="s">
        <v>681</v>
      </c>
    </row>
    <row r="48" spans="2:2" x14ac:dyDescent="0.3">
      <c r="B48" t="s">
        <v>682</v>
      </c>
    </row>
    <row r="49" spans="2:2" x14ac:dyDescent="0.3">
      <c r="B49" t="s">
        <v>683</v>
      </c>
    </row>
    <row r="50" spans="2:2" x14ac:dyDescent="0.3">
      <c r="B50" t="s">
        <v>684</v>
      </c>
    </row>
    <row r="51" spans="2:2" x14ac:dyDescent="0.3">
      <c r="B51" t="s">
        <v>685</v>
      </c>
    </row>
    <row r="52" spans="2:2" x14ac:dyDescent="0.3">
      <c r="B52" t="s">
        <v>686</v>
      </c>
    </row>
    <row r="53" spans="2:2" x14ac:dyDescent="0.3">
      <c r="B53" t="s">
        <v>687</v>
      </c>
    </row>
    <row r="54" spans="2:2" x14ac:dyDescent="0.3">
      <c r="B54" t="s">
        <v>688</v>
      </c>
    </row>
    <row r="55" spans="2:2" x14ac:dyDescent="0.3">
      <c r="B55" t="s">
        <v>689</v>
      </c>
    </row>
    <row r="56" spans="2:2" x14ac:dyDescent="0.3">
      <c r="B56" t="s">
        <v>690</v>
      </c>
    </row>
    <row r="57" spans="2:2" x14ac:dyDescent="0.3">
      <c r="B57" t="s">
        <v>691</v>
      </c>
    </row>
    <row r="58" spans="2:2" x14ac:dyDescent="0.3">
      <c r="B58" t="s">
        <v>692</v>
      </c>
    </row>
    <row r="59" spans="2:2" x14ac:dyDescent="0.3">
      <c r="B59" t="s">
        <v>693</v>
      </c>
    </row>
    <row r="60" spans="2:2" x14ac:dyDescent="0.3">
      <c r="B60" t="s">
        <v>694</v>
      </c>
    </row>
    <row r="61" spans="2:2" x14ac:dyDescent="0.3">
      <c r="B61" t="s">
        <v>695</v>
      </c>
    </row>
    <row r="62" spans="2:2" x14ac:dyDescent="0.3">
      <c r="B62" t="s">
        <v>696</v>
      </c>
    </row>
    <row r="63" spans="2:2" x14ac:dyDescent="0.3">
      <c r="B63" t="s">
        <v>697</v>
      </c>
    </row>
    <row r="64" spans="2:2" x14ac:dyDescent="0.3">
      <c r="B64" t="s">
        <v>698</v>
      </c>
    </row>
    <row r="65" spans="2:2" x14ac:dyDescent="0.3">
      <c r="B65" t="s">
        <v>699</v>
      </c>
    </row>
    <row r="66" spans="2:2" x14ac:dyDescent="0.3">
      <c r="B66" t="s">
        <v>700</v>
      </c>
    </row>
    <row r="67" spans="2:2" x14ac:dyDescent="0.3">
      <c r="B67" t="s">
        <v>701</v>
      </c>
    </row>
    <row r="68" spans="2:2" x14ac:dyDescent="0.3">
      <c r="B68" t="s">
        <v>702</v>
      </c>
    </row>
    <row r="69" spans="2:2" x14ac:dyDescent="0.3">
      <c r="B69" t="s">
        <v>703</v>
      </c>
    </row>
    <row r="70" spans="2:2" x14ac:dyDescent="0.3">
      <c r="B70" t="s">
        <v>704</v>
      </c>
    </row>
    <row r="71" spans="2:2" x14ac:dyDescent="0.3">
      <c r="B71" t="s">
        <v>705</v>
      </c>
    </row>
    <row r="72" spans="2:2" x14ac:dyDescent="0.3">
      <c r="B72" t="s">
        <v>706</v>
      </c>
    </row>
    <row r="73" spans="2:2" x14ac:dyDescent="0.3">
      <c r="B73" t="s">
        <v>707</v>
      </c>
    </row>
    <row r="74" spans="2:2" x14ac:dyDescent="0.3">
      <c r="B74" t="s">
        <v>708</v>
      </c>
    </row>
    <row r="75" spans="2:2" x14ac:dyDescent="0.3">
      <c r="B75" t="s">
        <v>709</v>
      </c>
    </row>
    <row r="76" spans="2:2" x14ac:dyDescent="0.3">
      <c r="B76" t="s">
        <v>710</v>
      </c>
    </row>
    <row r="77" spans="2:2" x14ac:dyDescent="0.3">
      <c r="B77" t="s">
        <v>711</v>
      </c>
    </row>
    <row r="78" spans="2:2" x14ac:dyDescent="0.3">
      <c r="B78" t="s">
        <v>712</v>
      </c>
    </row>
    <row r="79" spans="2:2" x14ac:dyDescent="0.3">
      <c r="B79" t="s">
        <v>713</v>
      </c>
    </row>
    <row r="80" spans="2:2" x14ac:dyDescent="0.3">
      <c r="B80" t="s">
        <v>714</v>
      </c>
    </row>
    <row r="81" spans="2:2" x14ac:dyDescent="0.3">
      <c r="B81" t="s">
        <v>715</v>
      </c>
    </row>
    <row r="82" spans="2:2" x14ac:dyDescent="0.3">
      <c r="B82" t="s">
        <v>716</v>
      </c>
    </row>
    <row r="83" spans="2:2" x14ac:dyDescent="0.3">
      <c r="B83" t="s">
        <v>717</v>
      </c>
    </row>
    <row r="84" spans="2:2" x14ac:dyDescent="0.3">
      <c r="B84" t="s">
        <v>718</v>
      </c>
    </row>
    <row r="85" spans="2:2" x14ac:dyDescent="0.3">
      <c r="B85" t="s">
        <v>719</v>
      </c>
    </row>
    <row r="86" spans="2:2" x14ac:dyDescent="0.3">
      <c r="B86" t="s">
        <v>720</v>
      </c>
    </row>
    <row r="87" spans="2:2" x14ac:dyDescent="0.3">
      <c r="B87" t="s">
        <v>721</v>
      </c>
    </row>
    <row r="88" spans="2:2" x14ac:dyDescent="0.3">
      <c r="B88" t="s">
        <v>722</v>
      </c>
    </row>
    <row r="89" spans="2:2" x14ac:dyDescent="0.3">
      <c r="B89" t="s">
        <v>723</v>
      </c>
    </row>
    <row r="90" spans="2:2" x14ac:dyDescent="0.3">
      <c r="B90" t="s">
        <v>724</v>
      </c>
    </row>
    <row r="91" spans="2:2" x14ac:dyDescent="0.3">
      <c r="B91" t="s">
        <v>725</v>
      </c>
    </row>
    <row r="92" spans="2:2" x14ac:dyDescent="0.3">
      <c r="B92" t="s">
        <v>726</v>
      </c>
    </row>
    <row r="93" spans="2:2" x14ac:dyDescent="0.3">
      <c r="B93" t="s">
        <v>727</v>
      </c>
    </row>
    <row r="94" spans="2:2" x14ac:dyDescent="0.3">
      <c r="B94" t="s">
        <v>728</v>
      </c>
    </row>
    <row r="95" spans="2:2" x14ac:dyDescent="0.3">
      <c r="B95" t="s">
        <v>729</v>
      </c>
    </row>
    <row r="96" spans="2:2" x14ac:dyDescent="0.3">
      <c r="B96" t="s">
        <v>730</v>
      </c>
    </row>
    <row r="97" spans="2:2" x14ac:dyDescent="0.3">
      <c r="B97" t="s">
        <v>731</v>
      </c>
    </row>
    <row r="98" spans="2:2" x14ac:dyDescent="0.3">
      <c r="B98" t="s">
        <v>732</v>
      </c>
    </row>
    <row r="99" spans="2:2" x14ac:dyDescent="0.3">
      <c r="B99" t="s">
        <v>733</v>
      </c>
    </row>
    <row r="100" spans="2:2" x14ac:dyDescent="0.3">
      <c r="B100" t="s">
        <v>734</v>
      </c>
    </row>
    <row r="101" spans="2:2" x14ac:dyDescent="0.3">
      <c r="B101" t="s">
        <v>735</v>
      </c>
    </row>
    <row r="102" spans="2:2" x14ac:dyDescent="0.3">
      <c r="B102" t="s">
        <v>736</v>
      </c>
    </row>
    <row r="103" spans="2:2" x14ac:dyDescent="0.3">
      <c r="B103" t="s">
        <v>737</v>
      </c>
    </row>
    <row r="104" spans="2:2" x14ac:dyDescent="0.3">
      <c r="B104" t="s">
        <v>738</v>
      </c>
    </row>
    <row r="105" spans="2:2" x14ac:dyDescent="0.3">
      <c r="B105" t="s">
        <v>739</v>
      </c>
    </row>
    <row r="106" spans="2:2" x14ac:dyDescent="0.3">
      <c r="B106" t="s">
        <v>740</v>
      </c>
    </row>
    <row r="107" spans="2:2" x14ac:dyDescent="0.3">
      <c r="B107" t="s">
        <v>741</v>
      </c>
    </row>
    <row r="108" spans="2:2" x14ac:dyDescent="0.3">
      <c r="B108" t="s">
        <v>742</v>
      </c>
    </row>
    <row r="109" spans="2:2" x14ac:dyDescent="0.3">
      <c r="B109" t="s">
        <v>743</v>
      </c>
    </row>
    <row r="110" spans="2:2" x14ac:dyDescent="0.3">
      <c r="B110" t="s">
        <v>744</v>
      </c>
    </row>
    <row r="111" spans="2:2" x14ac:dyDescent="0.3">
      <c r="B111" t="s">
        <v>745</v>
      </c>
    </row>
    <row r="112" spans="2:2" x14ac:dyDescent="0.3">
      <c r="B112" t="s">
        <v>746</v>
      </c>
    </row>
    <row r="113" spans="2:2" x14ac:dyDescent="0.3">
      <c r="B113" t="s">
        <v>747</v>
      </c>
    </row>
    <row r="114" spans="2:2" x14ac:dyDescent="0.3">
      <c r="B114" t="s">
        <v>748</v>
      </c>
    </row>
    <row r="115" spans="2:2" x14ac:dyDescent="0.3">
      <c r="B115" t="s">
        <v>749</v>
      </c>
    </row>
    <row r="116" spans="2:2" x14ac:dyDescent="0.3">
      <c r="B116" t="s">
        <v>750</v>
      </c>
    </row>
    <row r="117" spans="2:2" x14ac:dyDescent="0.3">
      <c r="B117" t="s">
        <v>751</v>
      </c>
    </row>
    <row r="118" spans="2:2" x14ac:dyDescent="0.3">
      <c r="B118" t="s">
        <v>752</v>
      </c>
    </row>
    <row r="119" spans="2:2" x14ac:dyDescent="0.3">
      <c r="B119" t="s">
        <v>753</v>
      </c>
    </row>
    <row r="120" spans="2:2" x14ac:dyDescent="0.3">
      <c r="B120" t="s">
        <v>754</v>
      </c>
    </row>
    <row r="121" spans="2:2" x14ac:dyDescent="0.3">
      <c r="B121" t="s">
        <v>755</v>
      </c>
    </row>
    <row r="122" spans="2:2" x14ac:dyDescent="0.3">
      <c r="B122" t="s">
        <v>756</v>
      </c>
    </row>
    <row r="123" spans="2:2" x14ac:dyDescent="0.3">
      <c r="B123" t="s">
        <v>757</v>
      </c>
    </row>
    <row r="124" spans="2:2" x14ac:dyDescent="0.3">
      <c r="B124" t="s">
        <v>758</v>
      </c>
    </row>
    <row r="125" spans="2:2" x14ac:dyDescent="0.3">
      <c r="B125" t="s">
        <v>759</v>
      </c>
    </row>
    <row r="126" spans="2:2" x14ac:dyDescent="0.3">
      <c r="B126" t="s">
        <v>760</v>
      </c>
    </row>
    <row r="127" spans="2:2" x14ac:dyDescent="0.3">
      <c r="B127" t="s">
        <v>761</v>
      </c>
    </row>
    <row r="128" spans="2:2" x14ac:dyDescent="0.3">
      <c r="B128" t="s">
        <v>762</v>
      </c>
    </row>
    <row r="129" spans="2:2" x14ac:dyDescent="0.3">
      <c r="B129" t="s">
        <v>763</v>
      </c>
    </row>
    <row r="130" spans="2:2" x14ac:dyDescent="0.3">
      <c r="B130" t="s">
        <v>764</v>
      </c>
    </row>
    <row r="131" spans="2:2" x14ac:dyDescent="0.3">
      <c r="B131" t="s">
        <v>765</v>
      </c>
    </row>
    <row r="132" spans="2:2" x14ac:dyDescent="0.3">
      <c r="B132" t="s">
        <v>766</v>
      </c>
    </row>
    <row r="133" spans="2:2" x14ac:dyDescent="0.3">
      <c r="B133" t="s">
        <v>767</v>
      </c>
    </row>
    <row r="134" spans="2:2" x14ac:dyDescent="0.3">
      <c r="B134" t="s">
        <v>768</v>
      </c>
    </row>
    <row r="135" spans="2:2" x14ac:dyDescent="0.3">
      <c r="B135" t="s">
        <v>769</v>
      </c>
    </row>
    <row r="136" spans="2:2" x14ac:dyDescent="0.3">
      <c r="B136" t="s">
        <v>770</v>
      </c>
    </row>
    <row r="137" spans="2:2" x14ac:dyDescent="0.3">
      <c r="B137" t="s">
        <v>771</v>
      </c>
    </row>
    <row r="138" spans="2:2" x14ac:dyDescent="0.3">
      <c r="B138" t="s">
        <v>771</v>
      </c>
    </row>
    <row r="139" spans="2:2" x14ac:dyDescent="0.3">
      <c r="B139" t="s">
        <v>768</v>
      </c>
    </row>
    <row r="140" spans="2:2" x14ac:dyDescent="0.3">
      <c r="B140" t="s">
        <v>772</v>
      </c>
    </row>
    <row r="141" spans="2:2" x14ac:dyDescent="0.3">
      <c r="B141" t="s">
        <v>773</v>
      </c>
    </row>
    <row r="142" spans="2:2" x14ac:dyDescent="0.3">
      <c r="B142" t="s">
        <v>774</v>
      </c>
    </row>
    <row r="143" spans="2:2" x14ac:dyDescent="0.3">
      <c r="B143" t="s">
        <v>775</v>
      </c>
    </row>
    <row r="144" spans="2:2" x14ac:dyDescent="0.3">
      <c r="B144" t="s">
        <v>776</v>
      </c>
    </row>
    <row r="145" spans="2:2" x14ac:dyDescent="0.3">
      <c r="B145" t="s">
        <v>777</v>
      </c>
    </row>
    <row r="146" spans="2:2" x14ac:dyDescent="0.3">
      <c r="B146" t="s">
        <v>778</v>
      </c>
    </row>
    <row r="147" spans="2:2" x14ac:dyDescent="0.3">
      <c r="B147" t="s">
        <v>779</v>
      </c>
    </row>
    <row r="148" spans="2:2" x14ac:dyDescent="0.3">
      <c r="B148" t="s">
        <v>780</v>
      </c>
    </row>
    <row r="149" spans="2:2" x14ac:dyDescent="0.3">
      <c r="B149" t="s">
        <v>781</v>
      </c>
    </row>
    <row r="150" spans="2:2" x14ac:dyDescent="0.3">
      <c r="B150" t="s">
        <v>782</v>
      </c>
    </row>
    <row r="151" spans="2:2" x14ac:dyDescent="0.3">
      <c r="B151" t="s">
        <v>783</v>
      </c>
    </row>
    <row r="152" spans="2:2" x14ac:dyDescent="0.3">
      <c r="B152" t="s">
        <v>784</v>
      </c>
    </row>
    <row r="153" spans="2:2" x14ac:dyDescent="0.3">
      <c r="B153" t="s">
        <v>785</v>
      </c>
    </row>
    <row r="154" spans="2:2" x14ac:dyDescent="0.3">
      <c r="B154" t="s">
        <v>786</v>
      </c>
    </row>
    <row r="155" spans="2:2" x14ac:dyDescent="0.3">
      <c r="B155" t="s">
        <v>787</v>
      </c>
    </row>
    <row r="156" spans="2:2" x14ac:dyDescent="0.3">
      <c r="B156" t="s">
        <v>788</v>
      </c>
    </row>
    <row r="157" spans="2:2" x14ac:dyDescent="0.3">
      <c r="B157" t="s">
        <v>789</v>
      </c>
    </row>
    <row r="158" spans="2:2" x14ac:dyDescent="0.3">
      <c r="B158" t="s">
        <v>790</v>
      </c>
    </row>
    <row r="159" spans="2:2" x14ac:dyDescent="0.3">
      <c r="B159" t="s">
        <v>791</v>
      </c>
    </row>
    <row r="160" spans="2:2" x14ac:dyDescent="0.3">
      <c r="B160" t="s">
        <v>792</v>
      </c>
    </row>
    <row r="161" spans="2:2" x14ac:dyDescent="0.3">
      <c r="B161" t="s">
        <v>793</v>
      </c>
    </row>
    <row r="162" spans="2:2" x14ac:dyDescent="0.3">
      <c r="B162" t="s">
        <v>794</v>
      </c>
    </row>
    <row r="163" spans="2:2" x14ac:dyDescent="0.3">
      <c r="B163" t="s">
        <v>795</v>
      </c>
    </row>
    <row r="164" spans="2:2" x14ac:dyDescent="0.3">
      <c r="B164" t="s">
        <v>796</v>
      </c>
    </row>
    <row r="165" spans="2:2" x14ac:dyDescent="0.3">
      <c r="B165" t="s">
        <v>797</v>
      </c>
    </row>
    <row r="166" spans="2:2" x14ac:dyDescent="0.3">
      <c r="B166" t="s">
        <v>798</v>
      </c>
    </row>
    <row r="167" spans="2:2" x14ac:dyDescent="0.3">
      <c r="B167" t="s">
        <v>799</v>
      </c>
    </row>
    <row r="168" spans="2:2" x14ac:dyDescent="0.3">
      <c r="B168" t="s">
        <v>800</v>
      </c>
    </row>
    <row r="169" spans="2:2" x14ac:dyDescent="0.3">
      <c r="B169" t="s">
        <v>801</v>
      </c>
    </row>
    <row r="170" spans="2:2" x14ac:dyDescent="0.3">
      <c r="B170" t="s">
        <v>802</v>
      </c>
    </row>
    <row r="171" spans="2:2" x14ac:dyDescent="0.3">
      <c r="B171" t="s">
        <v>803</v>
      </c>
    </row>
    <row r="172" spans="2:2" x14ac:dyDescent="0.3">
      <c r="B172" t="s">
        <v>804</v>
      </c>
    </row>
    <row r="173" spans="2:2" x14ac:dyDescent="0.3">
      <c r="B173" t="s">
        <v>805</v>
      </c>
    </row>
    <row r="174" spans="2:2" x14ac:dyDescent="0.3">
      <c r="B174" t="s">
        <v>806</v>
      </c>
    </row>
    <row r="175" spans="2:2" x14ac:dyDescent="0.3">
      <c r="B175" t="s">
        <v>807</v>
      </c>
    </row>
    <row r="176" spans="2:2" x14ac:dyDescent="0.3">
      <c r="B176" t="s">
        <v>808</v>
      </c>
    </row>
    <row r="177" spans="2:2" x14ac:dyDescent="0.3">
      <c r="B177" t="s">
        <v>809</v>
      </c>
    </row>
    <row r="178" spans="2:2" x14ac:dyDescent="0.3">
      <c r="B178" t="s">
        <v>810</v>
      </c>
    </row>
    <row r="179" spans="2:2" x14ac:dyDescent="0.3">
      <c r="B179" t="s">
        <v>811</v>
      </c>
    </row>
    <row r="180" spans="2:2" x14ac:dyDescent="0.3">
      <c r="B180" t="s">
        <v>812</v>
      </c>
    </row>
    <row r="181" spans="2:2" x14ac:dyDescent="0.3">
      <c r="B181" t="s">
        <v>813</v>
      </c>
    </row>
    <row r="182" spans="2:2" x14ac:dyDescent="0.3">
      <c r="B182" t="s">
        <v>814</v>
      </c>
    </row>
    <row r="183" spans="2:2" x14ac:dyDescent="0.3">
      <c r="B183" t="s">
        <v>815</v>
      </c>
    </row>
    <row r="184" spans="2:2" x14ac:dyDescent="0.3">
      <c r="B184" t="s">
        <v>816</v>
      </c>
    </row>
    <row r="185" spans="2:2" x14ac:dyDescent="0.3">
      <c r="B185" t="s">
        <v>817</v>
      </c>
    </row>
    <row r="186" spans="2:2" x14ac:dyDescent="0.3">
      <c r="B186" t="s">
        <v>818</v>
      </c>
    </row>
    <row r="187" spans="2:2" x14ac:dyDescent="0.3">
      <c r="B187" t="s">
        <v>819</v>
      </c>
    </row>
    <row r="188" spans="2:2" x14ac:dyDescent="0.3">
      <c r="B188" t="s">
        <v>820</v>
      </c>
    </row>
    <row r="189" spans="2:2" x14ac:dyDescent="0.3">
      <c r="B189" t="s">
        <v>821</v>
      </c>
    </row>
    <row r="190" spans="2:2" x14ac:dyDescent="0.3">
      <c r="B190" t="s">
        <v>822</v>
      </c>
    </row>
    <row r="191" spans="2:2" x14ac:dyDescent="0.3">
      <c r="B191" t="s">
        <v>823</v>
      </c>
    </row>
    <row r="192" spans="2:2" x14ac:dyDescent="0.3">
      <c r="B192" t="s">
        <v>824</v>
      </c>
    </row>
    <row r="193" spans="2:2" x14ac:dyDescent="0.3">
      <c r="B193" t="s">
        <v>825</v>
      </c>
    </row>
    <row r="194" spans="2:2" x14ac:dyDescent="0.3">
      <c r="B194" t="s">
        <v>826</v>
      </c>
    </row>
    <row r="195" spans="2:2" x14ac:dyDescent="0.3">
      <c r="B195" t="s">
        <v>827</v>
      </c>
    </row>
    <row r="196" spans="2:2" x14ac:dyDescent="0.3">
      <c r="B196" t="s">
        <v>828</v>
      </c>
    </row>
    <row r="197" spans="2:2" x14ac:dyDescent="0.3">
      <c r="B197" t="s">
        <v>829</v>
      </c>
    </row>
    <row r="198" spans="2:2" x14ac:dyDescent="0.3">
      <c r="B198" t="s">
        <v>830</v>
      </c>
    </row>
    <row r="199" spans="2:2" x14ac:dyDescent="0.3">
      <c r="B199" t="s">
        <v>831</v>
      </c>
    </row>
    <row r="200" spans="2:2" x14ac:dyDescent="0.3">
      <c r="B200" t="s">
        <v>832</v>
      </c>
    </row>
    <row r="201" spans="2:2" x14ac:dyDescent="0.3">
      <c r="B201" t="s">
        <v>833</v>
      </c>
    </row>
    <row r="202" spans="2:2" x14ac:dyDescent="0.3">
      <c r="B202" t="s">
        <v>834</v>
      </c>
    </row>
    <row r="203" spans="2:2" x14ac:dyDescent="0.3">
      <c r="B203" t="s">
        <v>835</v>
      </c>
    </row>
    <row r="204" spans="2:2" x14ac:dyDescent="0.3">
      <c r="B204" t="s">
        <v>836</v>
      </c>
    </row>
    <row r="205" spans="2:2" x14ac:dyDescent="0.3">
      <c r="B205" t="s">
        <v>837</v>
      </c>
    </row>
    <row r="206" spans="2:2" x14ac:dyDescent="0.3">
      <c r="B206" t="s">
        <v>838</v>
      </c>
    </row>
    <row r="207" spans="2:2" x14ac:dyDescent="0.3">
      <c r="B207" t="s">
        <v>839</v>
      </c>
    </row>
    <row r="208" spans="2:2" x14ac:dyDescent="0.3">
      <c r="B208" t="s">
        <v>840</v>
      </c>
    </row>
    <row r="209" spans="2:2" x14ac:dyDescent="0.3">
      <c r="B209" t="s">
        <v>841</v>
      </c>
    </row>
    <row r="210" spans="2:2" x14ac:dyDescent="0.3">
      <c r="B210" t="s">
        <v>842</v>
      </c>
    </row>
    <row r="211" spans="2:2" x14ac:dyDescent="0.3">
      <c r="B211" t="s">
        <v>843</v>
      </c>
    </row>
    <row r="212" spans="2:2" x14ac:dyDescent="0.3">
      <c r="B212" t="s">
        <v>844</v>
      </c>
    </row>
    <row r="213" spans="2:2" x14ac:dyDescent="0.3">
      <c r="B213" t="s">
        <v>845</v>
      </c>
    </row>
    <row r="214" spans="2:2" x14ac:dyDescent="0.3">
      <c r="B214" t="s">
        <v>846</v>
      </c>
    </row>
    <row r="215" spans="2:2" x14ac:dyDescent="0.3">
      <c r="B215" t="s">
        <v>847</v>
      </c>
    </row>
    <row r="216" spans="2:2" x14ac:dyDescent="0.3">
      <c r="B216" t="s">
        <v>848</v>
      </c>
    </row>
    <row r="217" spans="2:2" x14ac:dyDescent="0.3">
      <c r="B217" t="s">
        <v>849</v>
      </c>
    </row>
    <row r="218" spans="2:2" x14ac:dyDescent="0.3">
      <c r="B218" t="s">
        <v>850</v>
      </c>
    </row>
    <row r="219" spans="2:2" x14ac:dyDescent="0.3">
      <c r="B219" t="s">
        <v>851</v>
      </c>
    </row>
    <row r="220" spans="2:2" x14ac:dyDescent="0.3">
      <c r="B220" t="s">
        <v>852</v>
      </c>
    </row>
    <row r="221" spans="2:2" x14ac:dyDescent="0.3">
      <c r="B221" t="s">
        <v>853</v>
      </c>
    </row>
    <row r="222" spans="2:2" x14ac:dyDescent="0.3">
      <c r="B222" t="s">
        <v>854</v>
      </c>
    </row>
    <row r="223" spans="2:2" x14ac:dyDescent="0.3">
      <c r="B223" t="s">
        <v>855</v>
      </c>
    </row>
    <row r="224" spans="2:2" x14ac:dyDescent="0.3">
      <c r="B224" t="s">
        <v>856</v>
      </c>
    </row>
    <row r="225" spans="2:2" x14ac:dyDescent="0.3">
      <c r="B225" t="s">
        <v>857</v>
      </c>
    </row>
    <row r="226" spans="2:2" x14ac:dyDescent="0.3">
      <c r="B226" t="s">
        <v>858</v>
      </c>
    </row>
    <row r="227" spans="2:2" x14ac:dyDescent="0.3">
      <c r="B227" t="s">
        <v>859</v>
      </c>
    </row>
    <row r="228" spans="2:2" x14ac:dyDescent="0.3">
      <c r="B228" t="s">
        <v>860</v>
      </c>
    </row>
    <row r="229" spans="2:2" x14ac:dyDescent="0.3">
      <c r="B229" t="s">
        <v>861</v>
      </c>
    </row>
    <row r="230" spans="2:2" x14ac:dyDescent="0.3">
      <c r="B230" t="s">
        <v>862</v>
      </c>
    </row>
    <row r="231" spans="2:2" x14ac:dyDescent="0.3">
      <c r="B231" t="s">
        <v>863</v>
      </c>
    </row>
    <row r="232" spans="2:2" x14ac:dyDescent="0.3">
      <c r="B232" t="s">
        <v>864</v>
      </c>
    </row>
    <row r="233" spans="2:2" x14ac:dyDescent="0.3">
      <c r="B233" t="s">
        <v>865</v>
      </c>
    </row>
    <row r="234" spans="2:2" x14ac:dyDescent="0.3">
      <c r="B234" t="s">
        <v>866</v>
      </c>
    </row>
    <row r="235" spans="2:2" x14ac:dyDescent="0.3">
      <c r="B235" t="s">
        <v>867</v>
      </c>
    </row>
    <row r="236" spans="2:2" x14ac:dyDescent="0.3">
      <c r="B236" t="s">
        <v>868</v>
      </c>
    </row>
    <row r="237" spans="2:2" x14ac:dyDescent="0.3">
      <c r="B237" t="s">
        <v>869</v>
      </c>
    </row>
    <row r="238" spans="2:2" x14ac:dyDescent="0.3">
      <c r="B238" t="s">
        <v>870</v>
      </c>
    </row>
    <row r="239" spans="2:2" x14ac:dyDescent="0.3">
      <c r="B239" t="s">
        <v>871</v>
      </c>
    </row>
    <row r="240" spans="2:2" x14ac:dyDescent="0.3">
      <c r="B240" t="s">
        <v>872</v>
      </c>
    </row>
    <row r="241" spans="2:2" x14ac:dyDescent="0.3">
      <c r="B241" t="s">
        <v>873</v>
      </c>
    </row>
    <row r="242" spans="2:2" x14ac:dyDescent="0.3">
      <c r="B242" t="s">
        <v>874</v>
      </c>
    </row>
    <row r="243" spans="2:2" x14ac:dyDescent="0.3">
      <c r="B243" t="s">
        <v>875</v>
      </c>
    </row>
    <row r="244" spans="2:2" x14ac:dyDescent="0.3">
      <c r="B244" t="s">
        <v>876</v>
      </c>
    </row>
    <row r="245" spans="2:2" x14ac:dyDescent="0.3">
      <c r="B245" t="s">
        <v>877</v>
      </c>
    </row>
    <row r="246" spans="2:2" x14ac:dyDescent="0.3">
      <c r="B246" t="s">
        <v>878</v>
      </c>
    </row>
    <row r="247" spans="2:2" x14ac:dyDescent="0.3">
      <c r="B247" t="s">
        <v>879</v>
      </c>
    </row>
    <row r="248" spans="2:2" x14ac:dyDescent="0.3">
      <c r="B248" t="s">
        <v>880</v>
      </c>
    </row>
    <row r="249" spans="2:2" x14ac:dyDescent="0.3">
      <c r="B249" t="s">
        <v>881</v>
      </c>
    </row>
    <row r="250" spans="2:2" x14ac:dyDescent="0.3">
      <c r="B250" t="s">
        <v>882</v>
      </c>
    </row>
    <row r="251" spans="2:2" x14ac:dyDescent="0.3">
      <c r="B251" t="s">
        <v>883</v>
      </c>
    </row>
    <row r="252" spans="2:2" x14ac:dyDescent="0.3">
      <c r="B252" t="s">
        <v>884</v>
      </c>
    </row>
    <row r="253" spans="2:2" x14ac:dyDescent="0.3">
      <c r="B253" t="s">
        <v>885</v>
      </c>
    </row>
    <row r="254" spans="2:2" x14ac:dyDescent="0.3">
      <c r="B254" t="s">
        <v>886</v>
      </c>
    </row>
    <row r="255" spans="2:2" x14ac:dyDescent="0.3">
      <c r="B255" t="s">
        <v>887</v>
      </c>
    </row>
    <row r="256" spans="2:2" x14ac:dyDescent="0.3">
      <c r="B256" t="s">
        <v>888</v>
      </c>
    </row>
    <row r="257" spans="2:2" x14ac:dyDescent="0.3">
      <c r="B257" t="s">
        <v>889</v>
      </c>
    </row>
    <row r="258" spans="2:2" x14ac:dyDescent="0.3">
      <c r="B258" t="s">
        <v>890</v>
      </c>
    </row>
    <row r="259" spans="2:2" x14ac:dyDescent="0.3">
      <c r="B259" t="s">
        <v>891</v>
      </c>
    </row>
    <row r="260" spans="2:2" x14ac:dyDescent="0.3">
      <c r="B260" t="s">
        <v>892</v>
      </c>
    </row>
    <row r="261" spans="2:2" x14ac:dyDescent="0.3">
      <c r="B261" t="s">
        <v>893</v>
      </c>
    </row>
    <row r="262" spans="2:2" x14ac:dyDescent="0.3">
      <c r="B262" t="s">
        <v>894</v>
      </c>
    </row>
    <row r="263" spans="2:2" x14ac:dyDescent="0.3">
      <c r="B263" t="s">
        <v>895</v>
      </c>
    </row>
    <row r="264" spans="2:2" x14ac:dyDescent="0.3">
      <c r="B264" t="s">
        <v>896</v>
      </c>
    </row>
    <row r="265" spans="2:2" x14ac:dyDescent="0.3">
      <c r="B265" t="s">
        <v>897</v>
      </c>
    </row>
    <row r="266" spans="2:2" x14ac:dyDescent="0.3">
      <c r="B266" t="s">
        <v>898</v>
      </c>
    </row>
    <row r="267" spans="2:2" x14ac:dyDescent="0.3">
      <c r="B267" t="s">
        <v>899</v>
      </c>
    </row>
    <row r="268" spans="2:2" x14ac:dyDescent="0.3">
      <c r="B268" t="s">
        <v>900</v>
      </c>
    </row>
    <row r="269" spans="2:2" x14ac:dyDescent="0.3">
      <c r="B269" t="s">
        <v>901</v>
      </c>
    </row>
    <row r="270" spans="2:2" x14ac:dyDescent="0.3">
      <c r="B270" t="s">
        <v>902</v>
      </c>
    </row>
    <row r="271" spans="2:2" x14ac:dyDescent="0.3">
      <c r="B271" t="s">
        <v>903</v>
      </c>
    </row>
    <row r="272" spans="2:2" x14ac:dyDescent="0.3">
      <c r="B272" t="s">
        <v>904</v>
      </c>
    </row>
    <row r="273" spans="2:2" x14ac:dyDescent="0.3">
      <c r="B273" t="s">
        <v>905</v>
      </c>
    </row>
    <row r="274" spans="2:2" x14ac:dyDescent="0.3">
      <c r="B274" t="s">
        <v>906</v>
      </c>
    </row>
    <row r="275" spans="2:2" x14ac:dyDescent="0.3">
      <c r="B275" t="s">
        <v>907</v>
      </c>
    </row>
    <row r="276" spans="2:2" x14ac:dyDescent="0.3">
      <c r="B276" t="s">
        <v>908</v>
      </c>
    </row>
    <row r="277" spans="2:2" x14ac:dyDescent="0.3">
      <c r="B277" t="s">
        <v>909</v>
      </c>
    </row>
    <row r="278" spans="2:2" x14ac:dyDescent="0.3">
      <c r="B278" t="s">
        <v>910</v>
      </c>
    </row>
    <row r="279" spans="2:2" x14ac:dyDescent="0.3">
      <c r="B279" t="s">
        <v>911</v>
      </c>
    </row>
    <row r="280" spans="2:2" x14ac:dyDescent="0.3">
      <c r="B280" t="s">
        <v>912</v>
      </c>
    </row>
    <row r="281" spans="2:2" x14ac:dyDescent="0.3">
      <c r="B281" t="s">
        <v>913</v>
      </c>
    </row>
    <row r="282" spans="2:2" x14ac:dyDescent="0.3">
      <c r="B282" t="s">
        <v>914</v>
      </c>
    </row>
    <row r="283" spans="2:2" x14ac:dyDescent="0.3">
      <c r="B283" t="s">
        <v>915</v>
      </c>
    </row>
    <row r="284" spans="2:2" x14ac:dyDescent="0.3">
      <c r="B284" t="s">
        <v>916</v>
      </c>
    </row>
    <row r="285" spans="2:2" x14ac:dyDescent="0.3">
      <c r="B285" t="s">
        <v>917</v>
      </c>
    </row>
    <row r="286" spans="2:2" x14ac:dyDescent="0.3">
      <c r="B286" t="s">
        <v>918</v>
      </c>
    </row>
    <row r="287" spans="2:2" x14ac:dyDescent="0.3">
      <c r="B287" t="s">
        <v>919</v>
      </c>
    </row>
    <row r="288" spans="2:2" x14ac:dyDescent="0.3">
      <c r="B288" t="s">
        <v>920</v>
      </c>
    </row>
    <row r="289" spans="2:2" x14ac:dyDescent="0.3">
      <c r="B289" t="s">
        <v>921</v>
      </c>
    </row>
    <row r="290" spans="2:2" x14ac:dyDescent="0.3">
      <c r="B290" t="s">
        <v>922</v>
      </c>
    </row>
    <row r="291" spans="2:2" x14ac:dyDescent="0.3">
      <c r="B291" t="s">
        <v>923</v>
      </c>
    </row>
    <row r="292" spans="2:2" x14ac:dyDescent="0.3">
      <c r="B292" t="s">
        <v>924</v>
      </c>
    </row>
    <row r="293" spans="2:2" x14ac:dyDescent="0.3">
      <c r="B293" t="s">
        <v>925</v>
      </c>
    </row>
    <row r="294" spans="2:2" x14ac:dyDescent="0.3">
      <c r="B294" t="s">
        <v>926</v>
      </c>
    </row>
    <row r="295" spans="2:2" x14ac:dyDescent="0.3">
      <c r="B295" t="s">
        <v>927</v>
      </c>
    </row>
    <row r="296" spans="2:2" x14ac:dyDescent="0.3">
      <c r="B296" t="s">
        <v>928</v>
      </c>
    </row>
    <row r="297" spans="2:2" x14ac:dyDescent="0.3">
      <c r="B297" t="s">
        <v>929</v>
      </c>
    </row>
    <row r="298" spans="2:2" x14ac:dyDescent="0.3">
      <c r="B298" t="s">
        <v>930</v>
      </c>
    </row>
    <row r="299" spans="2:2" x14ac:dyDescent="0.3">
      <c r="B299" t="s">
        <v>931</v>
      </c>
    </row>
    <row r="300" spans="2:2" x14ac:dyDescent="0.3">
      <c r="B300" t="s">
        <v>932</v>
      </c>
    </row>
    <row r="301" spans="2:2" x14ac:dyDescent="0.3">
      <c r="B301" t="s">
        <v>933</v>
      </c>
    </row>
    <row r="302" spans="2:2" x14ac:dyDescent="0.3">
      <c r="B302" t="s">
        <v>934</v>
      </c>
    </row>
    <row r="303" spans="2:2" x14ac:dyDescent="0.3">
      <c r="B303" t="s">
        <v>935</v>
      </c>
    </row>
    <row r="304" spans="2:2" x14ac:dyDescent="0.3">
      <c r="B304" t="s">
        <v>936</v>
      </c>
    </row>
    <row r="305" spans="2:2" x14ac:dyDescent="0.3">
      <c r="B305" t="s">
        <v>937</v>
      </c>
    </row>
    <row r="306" spans="2:2" x14ac:dyDescent="0.3">
      <c r="B306" t="s">
        <v>938</v>
      </c>
    </row>
    <row r="307" spans="2:2" x14ac:dyDescent="0.3">
      <c r="B307" t="s">
        <v>939</v>
      </c>
    </row>
    <row r="308" spans="2:2" x14ac:dyDescent="0.3">
      <c r="B308" t="s">
        <v>940</v>
      </c>
    </row>
    <row r="309" spans="2:2" x14ac:dyDescent="0.3">
      <c r="B309" t="s">
        <v>941</v>
      </c>
    </row>
    <row r="310" spans="2:2" x14ac:dyDescent="0.3">
      <c r="B310" t="s">
        <v>942</v>
      </c>
    </row>
    <row r="311" spans="2:2" x14ac:dyDescent="0.3">
      <c r="B311" t="s">
        <v>943</v>
      </c>
    </row>
    <row r="312" spans="2:2" x14ac:dyDescent="0.3">
      <c r="B312" t="s">
        <v>944</v>
      </c>
    </row>
    <row r="313" spans="2:2" x14ac:dyDescent="0.3">
      <c r="B313" t="s">
        <v>945</v>
      </c>
    </row>
    <row r="314" spans="2:2" x14ac:dyDescent="0.3">
      <c r="B314" t="s">
        <v>946</v>
      </c>
    </row>
    <row r="315" spans="2:2" x14ac:dyDescent="0.3">
      <c r="B315" t="s">
        <v>947</v>
      </c>
    </row>
    <row r="316" spans="2:2" x14ac:dyDescent="0.3">
      <c r="B316" t="s">
        <v>948</v>
      </c>
    </row>
    <row r="317" spans="2:2" x14ac:dyDescent="0.3">
      <c r="B317" t="s">
        <v>949</v>
      </c>
    </row>
    <row r="318" spans="2:2" x14ac:dyDescent="0.3">
      <c r="B318" t="s">
        <v>950</v>
      </c>
    </row>
    <row r="319" spans="2:2" x14ac:dyDescent="0.3">
      <c r="B319" t="s">
        <v>951</v>
      </c>
    </row>
    <row r="320" spans="2:2" x14ac:dyDescent="0.3">
      <c r="B320" t="s">
        <v>952</v>
      </c>
    </row>
    <row r="321" spans="2:2" x14ac:dyDescent="0.3">
      <c r="B321" t="s">
        <v>953</v>
      </c>
    </row>
    <row r="322" spans="2:2" x14ac:dyDescent="0.3">
      <c r="B322" t="s">
        <v>954</v>
      </c>
    </row>
    <row r="323" spans="2:2" x14ac:dyDescent="0.3">
      <c r="B323" t="s">
        <v>955</v>
      </c>
    </row>
    <row r="324" spans="2:2" x14ac:dyDescent="0.3">
      <c r="B324" t="s">
        <v>956</v>
      </c>
    </row>
    <row r="325" spans="2:2" x14ac:dyDescent="0.3">
      <c r="B325" t="s">
        <v>957</v>
      </c>
    </row>
    <row r="326" spans="2:2" x14ac:dyDescent="0.3">
      <c r="B326" t="s">
        <v>958</v>
      </c>
    </row>
    <row r="327" spans="2:2" x14ac:dyDescent="0.3">
      <c r="B327" t="s">
        <v>959</v>
      </c>
    </row>
    <row r="328" spans="2:2" x14ac:dyDescent="0.3">
      <c r="B328" t="s">
        <v>960</v>
      </c>
    </row>
    <row r="329" spans="2:2" x14ac:dyDescent="0.3">
      <c r="B329" t="s">
        <v>961</v>
      </c>
    </row>
    <row r="330" spans="2:2" x14ac:dyDescent="0.3">
      <c r="B330" t="s">
        <v>962</v>
      </c>
    </row>
    <row r="331" spans="2:2" x14ac:dyDescent="0.3">
      <c r="B331" t="s">
        <v>963</v>
      </c>
    </row>
    <row r="332" spans="2:2" x14ac:dyDescent="0.3">
      <c r="B332" t="s">
        <v>964</v>
      </c>
    </row>
    <row r="333" spans="2:2" x14ac:dyDescent="0.3">
      <c r="B333" t="s">
        <v>965</v>
      </c>
    </row>
    <row r="334" spans="2:2" x14ac:dyDescent="0.3">
      <c r="B334" t="s">
        <v>966</v>
      </c>
    </row>
    <row r="335" spans="2:2" x14ac:dyDescent="0.3">
      <c r="B335" t="s">
        <v>967</v>
      </c>
    </row>
    <row r="336" spans="2:2" x14ac:dyDescent="0.3">
      <c r="B336" t="s">
        <v>968</v>
      </c>
    </row>
    <row r="337" spans="2:2" x14ac:dyDescent="0.3">
      <c r="B337" t="s">
        <v>969</v>
      </c>
    </row>
    <row r="338" spans="2:2" x14ac:dyDescent="0.3">
      <c r="B338" t="s">
        <v>970</v>
      </c>
    </row>
    <row r="339" spans="2:2" x14ac:dyDescent="0.3">
      <c r="B339" t="s">
        <v>971</v>
      </c>
    </row>
    <row r="340" spans="2:2" x14ac:dyDescent="0.3">
      <c r="B340" t="s">
        <v>972</v>
      </c>
    </row>
    <row r="341" spans="2:2" x14ac:dyDescent="0.3">
      <c r="B341" t="s">
        <v>973</v>
      </c>
    </row>
    <row r="342" spans="2:2" x14ac:dyDescent="0.3">
      <c r="B342" t="s">
        <v>974</v>
      </c>
    </row>
    <row r="343" spans="2:2" x14ac:dyDescent="0.3">
      <c r="B343" t="s">
        <v>975</v>
      </c>
    </row>
    <row r="344" spans="2:2" x14ac:dyDescent="0.3">
      <c r="B344" t="s">
        <v>976</v>
      </c>
    </row>
    <row r="345" spans="2:2" x14ac:dyDescent="0.3">
      <c r="B345" t="s">
        <v>977</v>
      </c>
    </row>
    <row r="346" spans="2:2" x14ac:dyDescent="0.3">
      <c r="B346" t="s">
        <v>978</v>
      </c>
    </row>
    <row r="347" spans="2:2" x14ac:dyDescent="0.3">
      <c r="B347" t="s">
        <v>979</v>
      </c>
    </row>
    <row r="348" spans="2:2" x14ac:dyDescent="0.3">
      <c r="B348" t="s">
        <v>980</v>
      </c>
    </row>
    <row r="349" spans="2:2" x14ac:dyDescent="0.3">
      <c r="B349" t="s">
        <v>981</v>
      </c>
    </row>
    <row r="350" spans="2:2" x14ac:dyDescent="0.3">
      <c r="B350" t="s">
        <v>982</v>
      </c>
    </row>
    <row r="351" spans="2:2" x14ac:dyDescent="0.3">
      <c r="B351" t="s">
        <v>983</v>
      </c>
    </row>
    <row r="352" spans="2:2" x14ac:dyDescent="0.3">
      <c r="B352" t="s">
        <v>984</v>
      </c>
    </row>
    <row r="353" spans="2:2" x14ac:dyDescent="0.3">
      <c r="B353" t="s">
        <v>985</v>
      </c>
    </row>
    <row r="354" spans="2:2" x14ac:dyDescent="0.3">
      <c r="B354" t="s">
        <v>986</v>
      </c>
    </row>
    <row r="355" spans="2:2" x14ac:dyDescent="0.3">
      <c r="B355" t="s">
        <v>987</v>
      </c>
    </row>
    <row r="356" spans="2:2" x14ac:dyDescent="0.3">
      <c r="B356" t="s">
        <v>988</v>
      </c>
    </row>
    <row r="357" spans="2:2" x14ac:dyDescent="0.3">
      <c r="B357" t="s">
        <v>989</v>
      </c>
    </row>
    <row r="358" spans="2:2" x14ac:dyDescent="0.3">
      <c r="B358" t="s">
        <v>990</v>
      </c>
    </row>
    <row r="359" spans="2:2" x14ac:dyDescent="0.3">
      <c r="B359" t="s">
        <v>991</v>
      </c>
    </row>
    <row r="360" spans="2:2" x14ac:dyDescent="0.3">
      <c r="B360" t="s">
        <v>992</v>
      </c>
    </row>
    <row r="361" spans="2:2" x14ac:dyDescent="0.3">
      <c r="B361" t="s">
        <v>992</v>
      </c>
    </row>
    <row r="362" spans="2:2" x14ac:dyDescent="0.3">
      <c r="B362" t="s">
        <v>992</v>
      </c>
    </row>
    <row r="363" spans="2:2" x14ac:dyDescent="0.3">
      <c r="B363" t="s">
        <v>992</v>
      </c>
    </row>
    <row r="364" spans="2:2" x14ac:dyDescent="0.3">
      <c r="B364" t="s">
        <v>992</v>
      </c>
    </row>
    <row r="365" spans="2:2" x14ac:dyDescent="0.3">
      <c r="B365" t="s">
        <v>992</v>
      </c>
    </row>
    <row r="366" spans="2:2" x14ac:dyDescent="0.3">
      <c r="B366" t="s">
        <v>993</v>
      </c>
    </row>
    <row r="367" spans="2:2" x14ac:dyDescent="0.3">
      <c r="B367" t="s">
        <v>994</v>
      </c>
    </row>
    <row r="368" spans="2:2" x14ac:dyDescent="0.3">
      <c r="B368" t="s">
        <v>995</v>
      </c>
    </row>
    <row r="369" spans="2:2" x14ac:dyDescent="0.3">
      <c r="B369" t="s">
        <v>996</v>
      </c>
    </row>
    <row r="370" spans="2:2" x14ac:dyDescent="0.3">
      <c r="B370" t="s">
        <v>997</v>
      </c>
    </row>
    <row r="371" spans="2:2" x14ac:dyDescent="0.3">
      <c r="B371" t="s">
        <v>998</v>
      </c>
    </row>
    <row r="372" spans="2:2" x14ac:dyDescent="0.3">
      <c r="B372" t="s">
        <v>999</v>
      </c>
    </row>
    <row r="373" spans="2:2" x14ac:dyDescent="0.3">
      <c r="B373" t="s">
        <v>1000</v>
      </c>
    </row>
    <row r="374" spans="2:2" x14ac:dyDescent="0.3">
      <c r="B374" t="s">
        <v>1001</v>
      </c>
    </row>
    <row r="375" spans="2:2" x14ac:dyDescent="0.3">
      <c r="B375" t="s">
        <v>1002</v>
      </c>
    </row>
    <row r="376" spans="2:2" x14ac:dyDescent="0.3">
      <c r="B376" t="s">
        <v>1003</v>
      </c>
    </row>
    <row r="377" spans="2:2" x14ac:dyDescent="0.3">
      <c r="B377" t="s">
        <v>1004</v>
      </c>
    </row>
    <row r="378" spans="2:2" x14ac:dyDescent="0.3">
      <c r="B378" t="s">
        <v>1005</v>
      </c>
    </row>
    <row r="379" spans="2:2" x14ac:dyDescent="0.3">
      <c r="B379" t="s">
        <v>1006</v>
      </c>
    </row>
    <row r="380" spans="2:2" x14ac:dyDescent="0.3">
      <c r="B380" t="s">
        <v>1007</v>
      </c>
    </row>
    <row r="381" spans="2:2" x14ac:dyDescent="0.3">
      <c r="B381" t="s">
        <v>1008</v>
      </c>
    </row>
    <row r="382" spans="2:2" x14ac:dyDescent="0.3">
      <c r="B382" t="s">
        <v>1009</v>
      </c>
    </row>
    <row r="383" spans="2:2" x14ac:dyDescent="0.3">
      <c r="B383" t="s">
        <v>1010</v>
      </c>
    </row>
    <row r="384" spans="2:2" x14ac:dyDescent="0.3">
      <c r="B384" t="s">
        <v>1011</v>
      </c>
    </row>
    <row r="385" spans="2:2" x14ac:dyDescent="0.3">
      <c r="B385" t="s">
        <v>1012</v>
      </c>
    </row>
    <row r="386" spans="2:2" x14ac:dyDescent="0.3">
      <c r="B386" t="s">
        <v>1013</v>
      </c>
    </row>
    <row r="387" spans="2:2" x14ac:dyDescent="0.3">
      <c r="B387" t="s">
        <v>1014</v>
      </c>
    </row>
    <row r="388" spans="2:2" x14ac:dyDescent="0.3">
      <c r="B388" t="s">
        <v>1015</v>
      </c>
    </row>
    <row r="389" spans="2:2" x14ac:dyDescent="0.3">
      <c r="B389" t="s">
        <v>1016</v>
      </c>
    </row>
    <row r="390" spans="2:2" x14ac:dyDescent="0.3">
      <c r="B390" t="s">
        <v>1017</v>
      </c>
    </row>
    <row r="391" spans="2:2" x14ac:dyDescent="0.3">
      <c r="B391" t="s">
        <v>1018</v>
      </c>
    </row>
    <row r="392" spans="2:2" x14ac:dyDescent="0.3">
      <c r="B392" t="s">
        <v>1018</v>
      </c>
    </row>
    <row r="393" spans="2:2" x14ac:dyDescent="0.3">
      <c r="B393" t="s">
        <v>1019</v>
      </c>
    </row>
    <row r="394" spans="2:2" x14ac:dyDescent="0.3">
      <c r="B394" t="s">
        <v>1020</v>
      </c>
    </row>
    <row r="395" spans="2:2" x14ac:dyDescent="0.3">
      <c r="B395" t="s">
        <v>1021</v>
      </c>
    </row>
    <row r="396" spans="2:2" x14ac:dyDescent="0.3">
      <c r="B396" t="s">
        <v>1022</v>
      </c>
    </row>
    <row r="397" spans="2:2" x14ac:dyDescent="0.3">
      <c r="B397" t="s">
        <v>1023</v>
      </c>
    </row>
    <row r="398" spans="2:2" x14ac:dyDescent="0.3">
      <c r="B398" t="s">
        <v>1024</v>
      </c>
    </row>
    <row r="399" spans="2:2" x14ac:dyDescent="0.3">
      <c r="B399" t="s">
        <v>1025</v>
      </c>
    </row>
    <row r="400" spans="2:2" x14ac:dyDescent="0.3">
      <c r="B400" t="s">
        <v>1026</v>
      </c>
    </row>
    <row r="401" spans="2:2" x14ac:dyDescent="0.3">
      <c r="B401" t="s">
        <v>1027</v>
      </c>
    </row>
    <row r="402" spans="2:2" x14ac:dyDescent="0.3">
      <c r="B402" t="s">
        <v>1028</v>
      </c>
    </row>
    <row r="403" spans="2:2" x14ac:dyDescent="0.3">
      <c r="B403" t="s">
        <v>1029</v>
      </c>
    </row>
    <row r="404" spans="2:2" x14ac:dyDescent="0.3">
      <c r="B404" t="s">
        <v>1030</v>
      </c>
    </row>
    <row r="405" spans="2:2" x14ac:dyDescent="0.3">
      <c r="B405" t="s">
        <v>1031</v>
      </c>
    </row>
    <row r="406" spans="2:2" x14ac:dyDescent="0.3">
      <c r="B406" t="s">
        <v>1032</v>
      </c>
    </row>
    <row r="407" spans="2:2" x14ac:dyDescent="0.3">
      <c r="B407" t="s">
        <v>1033</v>
      </c>
    </row>
    <row r="408" spans="2:2" x14ac:dyDescent="0.3">
      <c r="B408" t="s">
        <v>1034</v>
      </c>
    </row>
    <row r="409" spans="2:2" x14ac:dyDescent="0.3">
      <c r="B409" t="s">
        <v>1035</v>
      </c>
    </row>
    <row r="410" spans="2:2" x14ac:dyDescent="0.3">
      <c r="B410" t="s">
        <v>1036</v>
      </c>
    </row>
    <row r="411" spans="2:2" x14ac:dyDescent="0.3">
      <c r="B411" t="s">
        <v>1037</v>
      </c>
    </row>
    <row r="412" spans="2:2" x14ac:dyDescent="0.3">
      <c r="B412" t="s">
        <v>1038</v>
      </c>
    </row>
    <row r="413" spans="2:2" x14ac:dyDescent="0.3">
      <c r="B413" t="s">
        <v>1039</v>
      </c>
    </row>
    <row r="414" spans="2:2" x14ac:dyDescent="0.3">
      <c r="B414" t="s">
        <v>1040</v>
      </c>
    </row>
    <row r="415" spans="2:2" x14ac:dyDescent="0.3">
      <c r="B415" t="s">
        <v>1041</v>
      </c>
    </row>
    <row r="416" spans="2:2" x14ac:dyDescent="0.3">
      <c r="B416" t="s">
        <v>1042</v>
      </c>
    </row>
    <row r="417" spans="2:2" x14ac:dyDescent="0.3">
      <c r="B417" t="s">
        <v>1043</v>
      </c>
    </row>
    <row r="418" spans="2:2" x14ac:dyDescent="0.3">
      <c r="B418" t="s">
        <v>1044</v>
      </c>
    </row>
    <row r="419" spans="2:2" x14ac:dyDescent="0.3">
      <c r="B419" t="s">
        <v>1045</v>
      </c>
    </row>
    <row r="420" spans="2:2" x14ac:dyDescent="0.3">
      <c r="B420" t="s">
        <v>1046</v>
      </c>
    </row>
    <row r="421" spans="2:2" x14ac:dyDescent="0.3">
      <c r="B421" t="s">
        <v>1047</v>
      </c>
    </row>
    <row r="422" spans="2:2" x14ac:dyDescent="0.3">
      <c r="B422" t="s">
        <v>1048</v>
      </c>
    </row>
    <row r="423" spans="2:2" x14ac:dyDescent="0.3">
      <c r="B423" t="s">
        <v>1049</v>
      </c>
    </row>
    <row r="424" spans="2:2" x14ac:dyDescent="0.3">
      <c r="B424" t="s">
        <v>1050</v>
      </c>
    </row>
    <row r="425" spans="2:2" x14ac:dyDescent="0.3">
      <c r="B425" t="s">
        <v>1051</v>
      </c>
    </row>
    <row r="426" spans="2:2" x14ac:dyDescent="0.3">
      <c r="B426" t="s">
        <v>1052</v>
      </c>
    </row>
    <row r="427" spans="2:2" x14ac:dyDescent="0.3">
      <c r="B427" t="s">
        <v>1053</v>
      </c>
    </row>
    <row r="428" spans="2:2" x14ac:dyDescent="0.3">
      <c r="B428" t="s">
        <v>1054</v>
      </c>
    </row>
    <row r="429" spans="2:2" x14ac:dyDescent="0.3">
      <c r="B429" t="s">
        <v>1055</v>
      </c>
    </row>
    <row r="430" spans="2:2" x14ac:dyDescent="0.3">
      <c r="B430" t="s">
        <v>1056</v>
      </c>
    </row>
    <row r="431" spans="2:2" x14ac:dyDescent="0.3">
      <c r="B431" t="s">
        <v>1057</v>
      </c>
    </row>
    <row r="432" spans="2:2" x14ac:dyDescent="0.3">
      <c r="B432" t="s">
        <v>1058</v>
      </c>
    </row>
    <row r="433" spans="2:2" x14ac:dyDescent="0.3">
      <c r="B433" t="s">
        <v>1059</v>
      </c>
    </row>
    <row r="434" spans="2:2" x14ac:dyDescent="0.3">
      <c r="B434" t="s">
        <v>1060</v>
      </c>
    </row>
    <row r="435" spans="2:2" x14ac:dyDescent="0.3">
      <c r="B435" t="s">
        <v>1061</v>
      </c>
    </row>
    <row r="436" spans="2:2" x14ac:dyDescent="0.3">
      <c r="B436" t="s">
        <v>1062</v>
      </c>
    </row>
    <row r="437" spans="2:2" x14ac:dyDescent="0.3">
      <c r="B437" t="s">
        <v>1063</v>
      </c>
    </row>
    <row r="438" spans="2:2" x14ac:dyDescent="0.3">
      <c r="B438" t="s">
        <v>1064</v>
      </c>
    </row>
    <row r="439" spans="2:2" x14ac:dyDescent="0.3">
      <c r="B439" t="s">
        <v>1065</v>
      </c>
    </row>
    <row r="440" spans="2:2" x14ac:dyDescent="0.3">
      <c r="B440" t="s">
        <v>1066</v>
      </c>
    </row>
    <row r="441" spans="2:2" x14ac:dyDescent="0.3">
      <c r="B441" t="s">
        <v>1067</v>
      </c>
    </row>
    <row r="442" spans="2:2" x14ac:dyDescent="0.3">
      <c r="B442" t="s">
        <v>1068</v>
      </c>
    </row>
    <row r="443" spans="2:2" x14ac:dyDescent="0.3">
      <c r="B443" t="s">
        <v>1069</v>
      </c>
    </row>
    <row r="444" spans="2:2" x14ac:dyDescent="0.3">
      <c r="B444" t="s">
        <v>1070</v>
      </c>
    </row>
    <row r="445" spans="2:2" x14ac:dyDescent="0.3">
      <c r="B445" t="s">
        <v>1071</v>
      </c>
    </row>
    <row r="446" spans="2:2" x14ac:dyDescent="0.3">
      <c r="B446" t="s">
        <v>1072</v>
      </c>
    </row>
    <row r="447" spans="2:2" x14ac:dyDescent="0.3">
      <c r="B447" t="s">
        <v>1073</v>
      </c>
    </row>
    <row r="448" spans="2:2" x14ac:dyDescent="0.3">
      <c r="B448" t="s">
        <v>1074</v>
      </c>
    </row>
    <row r="449" spans="2:2" x14ac:dyDescent="0.3">
      <c r="B449" t="s">
        <v>1075</v>
      </c>
    </row>
    <row r="450" spans="2:2" x14ac:dyDescent="0.3">
      <c r="B450" t="s">
        <v>1076</v>
      </c>
    </row>
    <row r="451" spans="2:2" x14ac:dyDescent="0.3">
      <c r="B451" t="s">
        <v>1077</v>
      </c>
    </row>
    <row r="452" spans="2:2" x14ac:dyDescent="0.3">
      <c r="B452" t="s">
        <v>1078</v>
      </c>
    </row>
    <row r="453" spans="2:2" x14ac:dyDescent="0.3">
      <c r="B453" t="s">
        <v>1079</v>
      </c>
    </row>
    <row r="454" spans="2:2" x14ac:dyDescent="0.3">
      <c r="B454" t="s">
        <v>1080</v>
      </c>
    </row>
    <row r="455" spans="2:2" x14ac:dyDescent="0.3">
      <c r="B455" t="s">
        <v>1081</v>
      </c>
    </row>
    <row r="456" spans="2:2" x14ac:dyDescent="0.3">
      <c r="B456" t="s">
        <v>1082</v>
      </c>
    </row>
    <row r="457" spans="2:2" x14ac:dyDescent="0.3">
      <c r="B457" t="s">
        <v>1083</v>
      </c>
    </row>
    <row r="458" spans="2:2" x14ac:dyDescent="0.3">
      <c r="B458" t="s">
        <v>1084</v>
      </c>
    </row>
    <row r="459" spans="2:2" x14ac:dyDescent="0.3">
      <c r="B459" t="s">
        <v>1085</v>
      </c>
    </row>
    <row r="460" spans="2:2" x14ac:dyDescent="0.3">
      <c r="B460" t="s">
        <v>1086</v>
      </c>
    </row>
    <row r="461" spans="2:2" x14ac:dyDescent="0.3">
      <c r="B461" t="s">
        <v>1087</v>
      </c>
    </row>
    <row r="462" spans="2:2" x14ac:dyDescent="0.3">
      <c r="B462" t="s">
        <v>1088</v>
      </c>
    </row>
    <row r="463" spans="2:2" x14ac:dyDescent="0.3">
      <c r="B463" t="s">
        <v>1089</v>
      </c>
    </row>
    <row r="464" spans="2:2" x14ac:dyDescent="0.3">
      <c r="B464" t="s">
        <v>1090</v>
      </c>
    </row>
    <row r="465" spans="2:2" x14ac:dyDescent="0.3">
      <c r="B465" t="s">
        <v>1091</v>
      </c>
    </row>
    <row r="466" spans="2:2" x14ac:dyDescent="0.3">
      <c r="B466" t="s">
        <v>1092</v>
      </c>
    </row>
    <row r="467" spans="2:2" x14ac:dyDescent="0.3">
      <c r="B467" t="s">
        <v>1093</v>
      </c>
    </row>
    <row r="468" spans="2:2" x14ac:dyDescent="0.3">
      <c r="B468" t="s">
        <v>1094</v>
      </c>
    </row>
    <row r="469" spans="2:2" x14ac:dyDescent="0.3">
      <c r="B469" t="s">
        <v>1095</v>
      </c>
    </row>
    <row r="470" spans="2:2" x14ac:dyDescent="0.3">
      <c r="B470" t="s">
        <v>1096</v>
      </c>
    </row>
    <row r="471" spans="2:2" x14ac:dyDescent="0.3">
      <c r="B471" t="s">
        <v>1097</v>
      </c>
    </row>
    <row r="472" spans="2:2" x14ac:dyDescent="0.3">
      <c r="B472" t="s">
        <v>1098</v>
      </c>
    </row>
    <row r="473" spans="2:2" x14ac:dyDescent="0.3">
      <c r="B473" t="s">
        <v>1099</v>
      </c>
    </row>
    <row r="474" spans="2:2" x14ac:dyDescent="0.3">
      <c r="B474" t="s">
        <v>1100</v>
      </c>
    </row>
    <row r="475" spans="2:2" x14ac:dyDescent="0.3">
      <c r="B475" t="s">
        <v>1101</v>
      </c>
    </row>
    <row r="476" spans="2:2" x14ac:dyDescent="0.3">
      <c r="B476" t="s">
        <v>1102</v>
      </c>
    </row>
    <row r="477" spans="2:2" x14ac:dyDescent="0.3">
      <c r="B477" t="s">
        <v>1103</v>
      </c>
    </row>
    <row r="478" spans="2:2" x14ac:dyDescent="0.3">
      <c r="B478" t="s">
        <v>1104</v>
      </c>
    </row>
    <row r="479" spans="2:2" x14ac:dyDescent="0.3">
      <c r="B479" t="s">
        <v>1105</v>
      </c>
    </row>
    <row r="480" spans="2:2" x14ac:dyDescent="0.3">
      <c r="B480" t="s">
        <v>1106</v>
      </c>
    </row>
    <row r="481" spans="2:2" x14ac:dyDescent="0.3">
      <c r="B481" t="s">
        <v>1107</v>
      </c>
    </row>
    <row r="482" spans="2:2" x14ac:dyDescent="0.3">
      <c r="B482" t="s">
        <v>1108</v>
      </c>
    </row>
    <row r="483" spans="2:2" x14ac:dyDescent="0.3">
      <c r="B483" t="s">
        <v>1109</v>
      </c>
    </row>
    <row r="484" spans="2:2" x14ac:dyDescent="0.3">
      <c r="B484" t="s">
        <v>1110</v>
      </c>
    </row>
    <row r="485" spans="2:2" x14ac:dyDescent="0.3">
      <c r="B485" t="s">
        <v>1111</v>
      </c>
    </row>
    <row r="486" spans="2:2" x14ac:dyDescent="0.3">
      <c r="B486" t="s">
        <v>1112</v>
      </c>
    </row>
    <row r="487" spans="2:2" x14ac:dyDescent="0.3">
      <c r="B487" t="s">
        <v>1113</v>
      </c>
    </row>
    <row r="488" spans="2:2" x14ac:dyDescent="0.3">
      <c r="B488" t="s">
        <v>1114</v>
      </c>
    </row>
    <row r="489" spans="2:2" x14ac:dyDescent="0.3">
      <c r="B489" t="s">
        <v>1115</v>
      </c>
    </row>
    <row r="490" spans="2:2" x14ac:dyDescent="0.3">
      <c r="B490" t="s">
        <v>1116</v>
      </c>
    </row>
    <row r="491" spans="2:2" x14ac:dyDescent="0.3">
      <c r="B491" t="s">
        <v>1117</v>
      </c>
    </row>
    <row r="492" spans="2:2" x14ac:dyDescent="0.3">
      <c r="B492" t="s">
        <v>1118</v>
      </c>
    </row>
    <row r="493" spans="2:2" x14ac:dyDescent="0.3">
      <c r="B493" t="s">
        <v>1119</v>
      </c>
    </row>
    <row r="494" spans="2:2" x14ac:dyDescent="0.3">
      <c r="B494" t="s">
        <v>1120</v>
      </c>
    </row>
    <row r="495" spans="2:2" x14ac:dyDescent="0.3">
      <c r="B495" t="s">
        <v>1121</v>
      </c>
    </row>
    <row r="496" spans="2:2" x14ac:dyDescent="0.3">
      <c r="B496" t="s">
        <v>1122</v>
      </c>
    </row>
    <row r="497" spans="2:2" x14ac:dyDescent="0.3">
      <c r="B497" t="s">
        <v>1123</v>
      </c>
    </row>
    <row r="498" spans="2:2" x14ac:dyDescent="0.3">
      <c r="B498" t="s">
        <v>1124</v>
      </c>
    </row>
    <row r="499" spans="2:2" x14ac:dyDescent="0.3">
      <c r="B499" t="s">
        <v>1124</v>
      </c>
    </row>
    <row r="500" spans="2:2" x14ac:dyDescent="0.3">
      <c r="B500" t="s">
        <v>1124</v>
      </c>
    </row>
    <row r="501" spans="2:2" x14ac:dyDescent="0.3">
      <c r="B501" t="s">
        <v>1124</v>
      </c>
    </row>
    <row r="502" spans="2:2" x14ac:dyDescent="0.3">
      <c r="B502" t="s">
        <v>1124</v>
      </c>
    </row>
    <row r="503" spans="2:2" x14ac:dyDescent="0.3">
      <c r="B503" t="s">
        <v>1124</v>
      </c>
    </row>
    <row r="504" spans="2:2" x14ac:dyDescent="0.3">
      <c r="B504" t="s">
        <v>1125</v>
      </c>
    </row>
    <row r="505" spans="2:2" x14ac:dyDescent="0.3">
      <c r="B505" t="s">
        <v>1126</v>
      </c>
    </row>
    <row r="506" spans="2:2" x14ac:dyDescent="0.3">
      <c r="B506" t="s">
        <v>1127</v>
      </c>
    </row>
    <row r="507" spans="2:2" x14ac:dyDescent="0.3">
      <c r="B507" t="s">
        <v>1128</v>
      </c>
    </row>
    <row r="508" spans="2:2" x14ac:dyDescent="0.3">
      <c r="B508" t="s">
        <v>1129</v>
      </c>
    </row>
    <row r="509" spans="2:2" x14ac:dyDescent="0.3">
      <c r="B509" t="s">
        <v>1130</v>
      </c>
    </row>
    <row r="510" spans="2:2" x14ac:dyDescent="0.3">
      <c r="B510" t="s">
        <v>1131</v>
      </c>
    </row>
    <row r="511" spans="2:2" x14ac:dyDescent="0.3">
      <c r="B511" t="s">
        <v>1132</v>
      </c>
    </row>
    <row r="512" spans="2:2" x14ac:dyDescent="0.3">
      <c r="B512" t="s">
        <v>1133</v>
      </c>
    </row>
    <row r="513" spans="2:2" x14ac:dyDescent="0.3">
      <c r="B513" t="s">
        <v>1134</v>
      </c>
    </row>
    <row r="514" spans="2:2" x14ac:dyDescent="0.3">
      <c r="B514" t="s">
        <v>1135</v>
      </c>
    </row>
    <row r="515" spans="2:2" x14ac:dyDescent="0.3">
      <c r="B515" t="s">
        <v>1136</v>
      </c>
    </row>
    <row r="516" spans="2:2" x14ac:dyDescent="0.3">
      <c r="B516" t="s">
        <v>1137</v>
      </c>
    </row>
    <row r="517" spans="2:2" x14ac:dyDescent="0.3">
      <c r="B517" t="s">
        <v>1138</v>
      </c>
    </row>
    <row r="518" spans="2:2" x14ac:dyDescent="0.3">
      <c r="B518" t="s">
        <v>1139</v>
      </c>
    </row>
    <row r="519" spans="2:2" x14ac:dyDescent="0.3">
      <c r="B519" t="s">
        <v>1140</v>
      </c>
    </row>
    <row r="520" spans="2:2" x14ac:dyDescent="0.3">
      <c r="B520" t="s">
        <v>1141</v>
      </c>
    </row>
    <row r="521" spans="2:2" x14ac:dyDescent="0.3">
      <c r="B521" t="s">
        <v>1142</v>
      </c>
    </row>
    <row r="522" spans="2:2" x14ac:dyDescent="0.3">
      <c r="B522" t="s">
        <v>1143</v>
      </c>
    </row>
    <row r="523" spans="2:2" x14ac:dyDescent="0.3">
      <c r="B523" t="s">
        <v>1144</v>
      </c>
    </row>
    <row r="524" spans="2:2" x14ac:dyDescent="0.3">
      <c r="B524" t="s">
        <v>1145</v>
      </c>
    </row>
    <row r="525" spans="2:2" x14ac:dyDescent="0.3">
      <c r="B525" t="s">
        <v>1146</v>
      </c>
    </row>
    <row r="526" spans="2:2" x14ac:dyDescent="0.3">
      <c r="B526" t="s">
        <v>1147</v>
      </c>
    </row>
    <row r="527" spans="2:2" x14ac:dyDescent="0.3">
      <c r="B527" t="s">
        <v>1148</v>
      </c>
    </row>
    <row r="528" spans="2:2" x14ac:dyDescent="0.3">
      <c r="B528" t="s">
        <v>1149</v>
      </c>
    </row>
    <row r="529" spans="2:2" x14ac:dyDescent="0.3">
      <c r="B529" t="s">
        <v>1150</v>
      </c>
    </row>
    <row r="530" spans="2:2" x14ac:dyDescent="0.3">
      <c r="B530" t="s">
        <v>1151</v>
      </c>
    </row>
    <row r="531" spans="2:2" x14ac:dyDescent="0.3">
      <c r="B531" t="s">
        <v>1152</v>
      </c>
    </row>
    <row r="532" spans="2:2" x14ac:dyDescent="0.3">
      <c r="B532" t="s">
        <v>1153</v>
      </c>
    </row>
    <row r="533" spans="2:2" x14ac:dyDescent="0.3">
      <c r="B533" t="s">
        <v>1154</v>
      </c>
    </row>
    <row r="534" spans="2:2" x14ac:dyDescent="0.3">
      <c r="B534" t="s">
        <v>1155</v>
      </c>
    </row>
    <row r="535" spans="2:2" x14ac:dyDescent="0.3">
      <c r="B535" t="s">
        <v>1156</v>
      </c>
    </row>
    <row r="536" spans="2:2" x14ac:dyDescent="0.3">
      <c r="B536" t="s">
        <v>1157</v>
      </c>
    </row>
    <row r="537" spans="2:2" x14ac:dyDescent="0.3">
      <c r="B537" t="s">
        <v>1158</v>
      </c>
    </row>
    <row r="538" spans="2:2" x14ac:dyDescent="0.3">
      <c r="B538" t="s">
        <v>1159</v>
      </c>
    </row>
    <row r="539" spans="2:2" x14ac:dyDescent="0.3">
      <c r="B539" t="s">
        <v>1160</v>
      </c>
    </row>
    <row r="540" spans="2:2" x14ac:dyDescent="0.3">
      <c r="B540" t="s">
        <v>1161</v>
      </c>
    </row>
    <row r="541" spans="2:2" x14ac:dyDescent="0.3">
      <c r="B541" t="s">
        <v>1162</v>
      </c>
    </row>
    <row r="542" spans="2:2" x14ac:dyDescent="0.3">
      <c r="B542" t="s">
        <v>1163</v>
      </c>
    </row>
    <row r="543" spans="2:2" x14ac:dyDescent="0.3">
      <c r="B543" t="s">
        <v>1164</v>
      </c>
    </row>
    <row r="544" spans="2:2" x14ac:dyDescent="0.3">
      <c r="B544" t="s">
        <v>1165</v>
      </c>
    </row>
    <row r="545" spans="2:2" x14ac:dyDescent="0.3">
      <c r="B545" t="s">
        <v>1166</v>
      </c>
    </row>
    <row r="546" spans="2:2" x14ac:dyDescent="0.3">
      <c r="B546" t="s">
        <v>1167</v>
      </c>
    </row>
    <row r="547" spans="2:2" x14ac:dyDescent="0.3">
      <c r="B547" t="s">
        <v>1168</v>
      </c>
    </row>
    <row r="548" spans="2:2" x14ac:dyDescent="0.3">
      <c r="B548" t="s">
        <v>1169</v>
      </c>
    </row>
    <row r="549" spans="2:2" x14ac:dyDescent="0.3">
      <c r="B549" t="s">
        <v>1170</v>
      </c>
    </row>
    <row r="550" spans="2:2" x14ac:dyDescent="0.3">
      <c r="B550" t="s">
        <v>1171</v>
      </c>
    </row>
    <row r="551" spans="2:2" x14ac:dyDescent="0.3">
      <c r="B551" t="s">
        <v>1172</v>
      </c>
    </row>
    <row r="552" spans="2:2" x14ac:dyDescent="0.3">
      <c r="B552" t="s">
        <v>1173</v>
      </c>
    </row>
    <row r="553" spans="2:2" x14ac:dyDescent="0.3">
      <c r="B553" t="s">
        <v>1174</v>
      </c>
    </row>
    <row r="554" spans="2:2" x14ac:dyDescent="0.3">
      <c r="B554" t="s">
        <v>1175</v>
      </c>
    </row>
    <row r="555" spans="2:2" x14ac:dyDescent="0.3">
      <c r="B555" t="s">
        <v>1176</v>
      </c>
    </row>
    <row r="556" spans="2:2" x14ac:dyDescent="0.3">
      <c r="B556" t="s">
        <v>1177</v>
      </c>
    </row>
    <row r="557" spans="2:2" x14ac:dyDescent="0.3">
      <c r="B557" t="s">
        <v>1178</v>
      </c>
    </row>
    <row r="558" spans="2:2" x14ac:dyDescent="0.3">
      <c r="B558" t="s">
        <v>1179</v>
      </c>
    </row>
    <row r="559" spans="2:2" x14ac:dyDescent="0.3">
      <c r="B559" t="s">
        <v>1180</v>
      </c>
    </row>
    <row r="560" spans="2:2" x14ac:dyDescent="0.3">
      <c r="B560" t="s">
        <v>1181</v>
      </c>
    </row>
    <row r="561" spans="2:2" x14ac:dyDescent="0.3">
      <c r="B561" t="s">
        <v>1182</v>
      </c>
    </row>
    <row r="562" spans="2:2" x14ac:dyDescent="0.3">
      <c r="B562" t="s">
        <v>1183</v>
      </c>
    </row>
    <row r="563" spans="2:2" x14ac:dyDescent="0.3">
      <c r="B563" t="s">
        <v>1184</v>
      </c>
    </row>
    <row r="564" spans="2:2" x14ac:dyDescent="0.3">
      <c r="B564" t="s">
        <v>1185</v>
      </c>
    </row>
    <row r="565" spans="2:2" x14ac:dyDescent="0.3">
      <c r="B565" t="s">
        <v>1186</v>
      </c>
    </row>
    <row r="566" spans="2:2" x14ac:dyDescent="0.3">
      <c r="B566" t="s">
        <v>1187</v>
      </c>
    </row>
    <row r="567" spans="2:2" x14ac:dyDescent="0.3">
      <c r="B567" t="s">
        <v>1188</v>
      </c>
    </row>
    <row r="568" spans="2:2" x14ac:dyDescent="0.3">
      <c r="B568" t="s">
        <v>1189</v>
      </c>
    </row>
    <row r="569" spans="2:2" x14ac:dyDescent="0.3">
      <c r="B569" t="s">
        <v>1190</v>
      </c>
    </row>
    <row r="570" spans="2:2" x14ac:dyDescent="0.3">
      <c r="B570" t="s">
        <v>1191</v>
      </c>
    </row>
    <row r="571" spans="2:2" x14ac:dyDescent="0.3">
      <c r="B571" t="s">
        <v>1192</v>
      </c>
    </row>
    <row r="572" spans="2:2" x14ac:dyDescent="0.3">
      <c r="B572" t="s">
        <v>1193</v>
      </c>
    </row>
    <row r="573" spans="2:2" x14ac:dyDescent="0.3">
      <c r="B573" t="s">
        <v>1194</v>
      </c>
    </row>
    <row r="574" spans="2:2" x14ac:dyDescent="0.3">
      <c r="B574" t="s">
        <v>1195</v>
      </c>
    </row>
    <row r="575" spans="2:2" x14ac:dyDescent="0.3">
      <c r="B575" t="s">
        <v>1196</v>
      </c>
    </row>
    <row r="576" spans="2:2" x14ac:dyDescent="0.3">
      <c r="B576" t="s">
        <v>1197</v>
      </c>
    </row>
    <row r="577" spans="2:2" x14ac:dyDescent="0.3">
      <c r="B577" t="s">
        <v>1198</v>
      </c>
    </row>
    <row r="578" spans="2:2" x14ac:dyDescent="0.3">
      <c r="B578" t="s">
        <v>1199</v>
      </c>
    </row>
    <row r="579" spans="2:2" x14ac:dyDescent="0.3">
      <c r="B579" t="s">
        <v>1200</v>
      </c>
    </row>
    <row r="580" spans="2:2" x14ac:dyDescent="0.3">
      <c r="B580" t="s">
        <v>1201</v>
      </c>
    </row>
    <row r="581" spans="2:2" x14ac:dyDescent="0.3">
      <c r="B581" t="s">
        <v>1202</v>
      </c>
    </row>
    <row r="582" spans="2:2" x14ac:dyDescent="0.3">
      <c r="B582" t="s">
        <v>1203</v>
      </c>
    </row>
    <row r="583" spans="2:2" x14ac:dyDescent="0.3">
      <c r="B583" t="s">
        <v>1204</v>
      </c>
    </row>
    <row r="584" spans="2:2" x14ac:dyDescent="0.3">
      <c r="B584" t="s">
        <v>1205</v>
      </c>
    </row>
    <row r="585" spans="2:2" x14ac:dyDescent="0.3">
      <c r="B585" t="s">
        <v>1206</v>
      </c>
    </row>
    <row r="586" spans="2:2" x14ac:dyDescent="0.3">
      <c r="B586" t="s">
        <v>1207</v>
      </c>
    </row>
    <row r="587" spans="2:2" x14ac:dyDescent="0.3">
      <c r="B587" t="s">
        <v>1208</v>
      </c>
    </row>
    <row r="588" spans="2:2" x14ac:dyDescent="0.3">
      <c r="B588" t="s">
        <v>1209</v>
      </c>
    </row>
    <row r="589" spans="2:2" x14ac:dyDescent="0.3">
      <c r="B589" t="s">
        <v>1210</v>
      </c>
    </row>
    <row r="590" spans="2:2" x14ac:dyDescent="0.3">
      <c r="B590" t="s">
        <v>1211</v>
      </c>
    </row>
    <row r="591" spans="2:2" x14ac:dyDescent="0.3">
      <c r="B591" t="s">
        <v>1212</v>
      </c>
    </row>
    <row r="592" spans="2:2" x14ac:dyDescent="0.3">
      <c r="B592" t="s">
        <v>1213</v>
      </c>
    </row>
    <row r="593" spans="2:2" x14ac:dyDescent="0.3">
      <c r="B593" t="s">
        <v>1214</v>
      </c>
    </row>
    <row r="594" spans="2:2" x14ac:dyDescent="0.3">
      <c r="B594" t="s">
        <v>1215</v>
      </c>
    </row>
    <row r="595" spans="2:2" x14ac:dyDescent="0.3">
      <c r="B595" t="s">
        <v>1216</v>
      </c>
    </row>
    <row r="596" spans="2:2" x14ac:dyDescent="0.3">
      <c r="B596" t="s">
        <v>1217</v>
      </c>
    </row>
    <row r="597" spans="2:2" x14ac:dyDescent="0.3">
      <c r="B597" t="s">
        <v>1218</v>
      </c>
    </row>
    <row r="598" spans="2:2" x14ac:dyDescent="0.3">
      <c r="B598" t="s">
        <v>1219</v>
      </c>
    </row>
    <row r="599" spans="2:2" x14ac:dyDescent="0.3">
      <c r="B599" t="s">
        <v>1220</v>
      </c>
    </row>
    <row r="600" spans="2:2" x14ac:dyDescent="0.3">
      <c r="B600" t="s">
        <v>1221</v>
      </c>
    </row>
    <row r="601" spans="2:2" x14ac:dyDescent="0.3">
      <c r="B601" t="s">
        <v>1222</v>
      </c>
    </row>
    <row r="602" spans="2:2" x14ac:dyDescent="0.3">
      <c r="B602" t="s">
        <v>1223</v>
      </c>
    </row>
    <row r="603" spans="2:2" x14ac:dyDescent="0.3">
      <c r="B603" t="s">
        <v>1224</v>
      </c>
    </row>
    <row r="604" spans="2:2" x14ac:dyDescent="0.3">
      <c r="B604" t="s">
        <v>1225</v>
      </c>
    </row>
    <row r="605" spans="2:2" x14ac:dyDescent="0.3">
      <c r="B605" t="s">
        <v>1226</v>
      </c>
    </row>
    <row r="606" spans="2:2" x14ac:dyDescent="0.3">
      <c r="B606" t="s">
        <v>1227</v>
      </c>
    </row>
    <row r="607" spans="2:2" x14ac:dyDescent="0.3">
      <c r="B607" t="s">
        <v>1228</v>
      </c>
    </row>
    <row r="608" spans="2:2" x14ac:dyDescent="0.3">
      <c r="B608" t="s">
        <v>1229</v>
      </c>
    </row>
    <row r="609" spans="2:2" x14ac:dyDescent="0.3">
      <c r="B609" t="s">
        <v>1230</v>
      </c>
    </row>
    <row r="610" spans="2:2" x14ac:dyDescent="0.3">
      <c r="B610" t="s">
        <v>1231</v>
      </c>
    </row>
    <row r="611" spans="2:2" x14ac:dyDescent="0.3">
      <c r="B611" t="s">
        <v>1232</v>
      </c>
    </row>
    <row r="612" spans="2:2" x14ac:dyDescent="0.3">
      <c r="B612" t="s">
        <v>1233</v>
      </c>
    </row>
    <row r="613" spans="2:2" x14ac:dyDescent="0.3">
      <c r="B613" t="s">
        <v>1234</v>
      </c>
    </row>
    <row r="614" spans="2:2" x14ac:dyDescent="0.3">
      <c r="B614" t="s">
        <v>1235</v>
      </c>
    </row>
    <row r="615" spans="2:2" x14ac:dyDescent="0.3">
      <c r="B615" t="s">
        <v>1236</v>
      </c>
    </row>
    <row r="616" spans="2:2" x14ac:dyDescent="0.3">
      <c r="B616" t="s">
        <v>1237</v>
      </c>
    </row>
    <row r="617" spans="2:2" x14ac:dyDescent="0.3">
      <c r="B617" t="s">
        <v>1238</v>
      </c>
    </row>
    <row r="618" spans="2:2" x14ac:dyDescent="0.3">
      <c r="B618" t="s">
        <v>1239</v>
      </c>
    </row>
    <row r="619" spans="2:2" x14ac:dyDescent="0.3">
      <c r="B619" t="s">
        <v>1240</v>
      </c>
    </row>
    <row r="620" spans="2:2" x14ac:dyDescent="0.3">
      <c r="B620" t="s">
        <v>1241</v>
      </c>
    </row>
    <row r="621" spans="2:2" x14ac:dyDescent="0.3">
      <c r="B621" t="s">
        <v>1242</v>
      </c>
    </row>
    <row r="622" spans="2:2" x14ac:dyDescent="0.3">
      <c r="B622" t="s">
        <v>1243</v>
      </c>
    </row>
    <row r="623" spans="2:2" x14ac:dyDescent="0.3">
      <c r="B623" t="s">
        <v>1244</v>
      </c>
    </row>
    <row r="624" spans="2:2" x14ac:dyDescent="0.3">
      <c r="B624" t="s">
        <v>1245</v>
      </c>
    </row>
    <row r="625" spans="2:2" x14ac:dyDescent="0.3">
      <c r="B625" t="s">
        <v>1246</v>
      </c>
    </row>
    <row r="626" spans="2:2" x14ac:dyDescent="0.3">
      <c r="B626" t="s">
        <v>1247</v>
      </c>
    </row>
    <row r="627" spans="2:2" x14ac:dyDescent="0.3">
      <c r="B627" t="s">
        <v>1248</v>
      </c>
    </row>
    <row r="628" spans="2:2" x14ac:dyDescent="0.3">
      <c r="B628" t="s">
        <v>1249</v>
      </c>
    </row>
    <row r="629" spans="2:2" x14ac:dyDescent="0.3">
      <c r="B629" t="s">
        <v>1250</v>
      </c>
    </row>
    <row r="630" spans="2:2" x14ac:dyDescent="0.3">
      <c r="B630" t="s">
        <v>1251</v>
      </c>
    </row>
    <row r="631" spans="2:2" x14ac:dyDescent="0.3">
      <c r="B631" t="s">
        <v>1252</v>
      </c>
    </row>
    <row r="632" spans="2:2" x14ac:dyDescent="0.3">
      <c r="B632" t="s">
        <v>1253</v>
      </c>
    </row>
    <row r="633" spans="2:2" x14ac:dyDescent="0.3">
      <c r="B633" t="s">
        <v>1254</v>
      </c>
    </row>
    <row r="634" spans="2:2" x14ac:dyDescent="0.3">
      <c r="B634" t="s">
        <v>1255</v>
      </c>
    </row>
    <row r="635" spans="2:2" x14ac:dyDescent="0.3">
      <c r="B635" t="s">
        <v>1256</v>
      </c>
    </row>
    <row r="636" spans="2:2" x14ac:dyDescent="0.3">
      <c r="B636" t="s">
        <v>1257</v>
      </c>
    </row>
    <row r="637" spans="2:2" x14ac:dyDescent="0.3">
      <c r="B637" t="s">
        <v>1258</v>
      </c>
    </row>
    <row r="638" spans="2:2" x14ac:dyDescent="0.3">
      <c r="B638" t="s">
        <v>1259</v>
      </c>
    </row>
    <row r="639" spans="2:2" x14ac:dyDescent="0.3">
      <c r="B639" t="s">
        <v>1260</v>
      </c>
    </row>
    <row r="640" spans="2:2" x14ac:dyDescent="0.3">
      <c r="B640" t="s">
        <v>1261</v>
      </c>
    </row>
    <row r="641" spans="2:2" x14ac:dyDescent="0.3">
      <c r="B641" t="s">
        <v>1262</v>
      </c>
    </row>
    <row r="642" spans="2:2" x14ac:dyDescent="0.3">
      <c r="B642" t="s">
        <v>1263</v>
      </c>
    </row>
    <row r="643" spans="2:2" x14ac:dyDescent="0.3">
      <c r="B643" t="s">
        <v>1264</v>
      </c>
    </row>
    <row r="644" spans="2:2" x14ac:dyDescent="0.3">
      <c r="B644" t="s">
        <v>1265</v>
      </c>
    </row>
    <row r="645" spans="2:2" x14ac:dyDescent="0.3">
      <c r="B645" t="s">
        <v>1266</v>
      </c>
    </row>
    <row r="646" spans="2:2" x14ac:dyDescent="0.3">
      <c r="B646" t="s">
        <v>1267</v>
      </c>
    </row>
    <row r="647" spans="2:2" x14ac:dyDescent="0.3">
      <c r="B647" t="s">
        <v>1268</v>
      </c>
    </row>
    <row r="648" spans="2:2" x14ac:dyDescent="0.3">
      <c r="B648" t="s">
        <v>1269</v>
      </c>
    </row>
    <row r="649" spans="2:2" x14ac:dyDescent="0.3">
      <c r="B649" t="s">
        <v>1270</v>
      </c>
    </row>
    <row r="650" spans="2:2" x14ac:dyDescent="0.3">
      <c r="B650" t="s">
        <v>1271</v>
      </c>
    </row>
    <row r="651" spans="2:2" x14ac:dyDescent="0.3">
      <c r="B651" t="s">
        <v>1272</v>
      </c>
    </row>
    <row r="652" spans="2:2" x14ac:dyDescent="0.3">
      <c r="B652" t="s">
        <v>1273</v>
      </c>
    </row>
    <row r="653" spans="2:2" x14ac:dyDescent="0.3">
      <c r="B653" t="s">
        <v>1274</v>
      </c>
    </row>
    <row r="654" spans="2:2" x14ac:dyDescent="0.3">
      <c r="B654" t="s">
        <v>1275</v>
      </c>
    </row>
    <row r="655" spans="2:2" x14ac:dyDescent="0.3">
      <c r="B655" t="s">
        <v>1276</v>
      </c>
    </row>
    <row r="656" spans="2:2" x14ac:dyDescent="0.3">
      <c r="B656" t="s">
        <v>1277</v>
      </c>
    </row>
    <row r="657" spans="2:2" x14ac:dyDescent="0.3">
      <c r="B657" t="s">
        <v>1278</v>
      </c>
    </row>
    <row r="658" spans="2:2" x14ac:dyDescent="0.3">
      <c r="B658" t="s">
        <v>1279</v>
      </c>
    </row>
    <row r="659" spans="2:2" x14ac:dyDescent="0.3">
      <c r="B659" t="s">
        <v>1280</v>
      </c>
    </row>
    <row r="660" spans="2:2" x14ac:dyDescent="0.3">
      <c r="B660" t="s">
        <v>1281</v>
      </c>
    </row>
    <row r="661" spans="2:2" x14ac:dyDescent="0.3">
      <c r="B661" t="s">
        <v>1282</v>
      </c>
    </row>
    <row r="662" spans="2:2" x14ac:dyDescent="0.3">
      <c r="B662" t="s">
        <v>1283</v>
      </c>
    </row>
    <row r="663" spans="2:2" x14ac:dyDescent="0.3">
      <c r="B663" t="s">
        <v>1284</v>
      </c>
    </row>
    <row r="664" spans="2:2" x14ac:dyDescent="0.3">
      <c r="B664" t="s">
        <v>1285</v>
      </c>
    </row>
    <row r="665" spans="2:2" x14ac:dyDescent="0.3">
      <c r="B665" t="s">
        <v>1286</v>
      </c>
    </row>
    <row r="666" spans="2:2" x14ac:dyDescent="0.3">
      <c r="B666" t="s">
        <v>1287</v>
      </c>
    </row>
    <row r="667" spans="2:2" x14ac:dyDescent="0.3">
      <c r="B667" t="s">
        <v>1288</v>
      </c>
    </row>
    <row r="668" spans="2:2" x14ac:dyDescent="0.3">
      <c r="B668" t="s">
        <v>1289</v>
      </c>
    </row>
    <row r="669" spans="2:2" x14ac:dyDescent="0.3">
      <c r="B669" t="s">
        <v>1290</v>
      </c>
    </row>
    <row r="670" spans="2:2" x14ac:dyDescent="0.3">
      <c r="B670" t="s">
        <v>1291</v>
      </c>
    </row>
    <row r="671" spans="2:2" x14ac:dyDescent="0.3">
      <c r="B671" t="s">
        <v>1292</v>
      </c>
    </row>
    <row r="672" spans="2:2" x14ac:dyDescent="0.3">
      <c r="B672" t="s">
        <v>1293</v>
      </c>
    </row>
    <row r="673" spans="2:2" x14ac:dyDescent="0.3">
      <c r="B673" t="s">
        <v>1294</v>
      </c>
    </row>
    <row r="674" spans="2:2" x14ac:dyDescent="0.3">
      <c r="B674" t="s">
        <v>1295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0518-BBF4-4866-833D-F49031F02450}">
  <dimension ref="B2:K34"/>
  <sheetViews>
    <sheetView topLeftCell="A2" zoomScale="81" workbookViewId="0">
      <selection activeCell="L26" sqref="L26"/>
    </sheetView>
  </sheetViews>
  <sheetFormatPr defaultRowHeight="14.4" x14ac:dyDescent="0.3"/>
  <cols>
    <col min="3" max="3" width="10.109375" bestFit="1" customWidth="1"/>
    <col min="4" max="4" width="7.33203125" bestFit="1" customWidth="1"/>
    <col min="5" max="5" width="12.21875" bestFit="1" customWidth="1"/>
    <col min="8" max="8" width="10.77734375" bestFit="1" customWidth="1"/>
  </cols>
  <sheetData>
    <row r="2" spans="2:11" x14ac:dyDescent="0.3">
      <c r="B2" s="18" t="s">
        <v>148</v>
      </c>
      <c r="C2" s="18" t="s">
        <v>149</v>
      </c>
      <c r="D2" s="18" t="s">
        <v>150</v>
      </c>
      <c r="E2" s="18" t="s">
        <v>151</v>
      </c>
      <c r="F2" s="18" t="s">
        <v>152</v>
      </c>
      <c r="G2" s="18" t="s">
        <v>153</v>
      </c>
      <c r="H2" s="18" t="s">
        <v>154</v>
      </c>
      <c r="I2" s="12" t="s">
        <v>155</v>
      </c>
      <c r="J2" s="12" t="s">
        <v>156</v>
      </c>
      <c r="K2" s="12" t="s">
        <v>125</v>
      </c>
    </row>
    <row r="3" spans="2:11" x14ac:dyDescent="0.3">
      <c r="B3" s="14">
        <v>1</v>
      </c>
      <c r="C3" s="17" t="s">
        <v>157</v>
      </c>
      <c r="D3" s="15">
        <v>98</v>
      </c>
      <c r="E3" s="16">
        <v>86</v>
      </c>
      <c r="F3" s="15">
        <v>53</v>
      </c>
      <c r="G3" s="16">
        <v>51</v>
      </c>
      <c r="H3" s="15">
        <v>52</v>
      </c>
      <c r="I3" s="13">
        <f>SUM(D3:H3)</f>
        <v>340</v>
      </c>
      <c r="J3" s="13">
        <f>AVERAGE(D3:H3)</f>
        <v>68</v>
      </c>
      <c r="K3" s="13" t="str">
        <f>IF(J3&gt;80,"A","B")</f>
        <v>B</v>
      </c>
    </row>
    <row r="4" spans="2:11" x14ac:dyDescent="0.3">
      <c r="B4" s="14">
        <v>2</v>
      </c>
      <c r="C4" s="17" t="s">
        <v>158</v>
      </c>
      <c r="D4" s="15">
        <v>97</v>
      </c>
      <c r="E4" s="16">
        <v>84</v>
      </c>
      <c r="F4" s="15">
        <v>88</v>
      </c>
      <c r="G4" s="16">
        <v>78</v>
      </c>
      <c r="H4" s="15">
        <v>59</v>
      </c>
      <c r="I4" s="13">
        <f t="shared" ref="I4:I12" si="0">SUM(D4:H4)</f>
        <v>406</v>
      </c>
      <c r="J4" s="13">
        <f t="shared" ref="J4:J12" si="1">AVERAGE(D4:H4)</f>
        <v>81.2</v>
      </c>
      <c r="K4" s="13" t="str">
        <f t="shared" ref="K4:K12" si="2">IF(J4&gt;80,"A","B")</f>
        <v>A</v>
      </c>
    </row>
    <row r="5" spans="2:11" x14ac:dyDescent="0.3">
      <c r="B5" s="14">
        <v>3</v>
      </c>
      <c r="C5" s="17" t="s">
        <v>159</v>
      </c>
      <c r="D5" s="15">
        <v>96</v>
      </c>
      <c r="E5" s="16">
        <v>58</v>
      </c>
      <c r="F5" s="15">
        <v>43</v>
      </c>
      <c r="G5" s="16">
        <v>67</v>
      </c>
      <c r="H5" s="15">
        <v>59</v>
      </c>
      <c r="I5" s="13">
        <f t="shared" si="0"/>
        <v>323</v>
      </c>
      <c r="J5" s="13">
        <f t="shared" si="1"/>
        <v>64.599999999999994</v>
      </c>
      <c r="K5" s="13" t="str">
        <f t="shared" si="2"/>
        <v>B</v>
      </c>
    </row>
    <row r="6" spans="2:11" x14ac:dyDescent="0.3">
      <c r="B6" s="14">
        <v>4</v>
      </c>
      <c r="C6" s="17" t="s">
        <v>160</v>
      </c>
      <c r="D6" s="15">
        <v>94</v>
      </c>
      <c r="E6" s="16">
        <v>62</v>
      </c>
      <c r="F6" s="15">
        <v>72</v>
      </c>
      <c r="G6" s="16">
        <v>44</v>
      </c>
      <c r="H6" s="15">
        <v>51</v>
      </c>
      <c r="I6" s="13">
        <f t="shared" si="0"/>
        <v>323</v>
      </c>
      <c r="J6" s="13">
        <f t="shared" si="1"/>
        <v>64.599999999999994</v>
      </c>
      <c r="K6" s="13" t="str">
        <f t="shared" si="2"/>
        <v>B</v>
      </c>
    </row>
    <row r="7" spans="2:11" x14ac:dyDescent="0.3">
      <c r="B7" s="14">
        <v>5</v>
      </c>
      <c r="C7" s="17" t="s">
        <v>161</v>
      </c>
      <c r="D7" s="15">
        <v>94</v>
      </c>
      <c r="E7" s="16">
        <v>44</v>
      </c>
      <c r="F7" s="15">
        <v>42</v>
      </c>
      <c r="G7" s="16">
        <v>45</v>
      </c>
      <c r="H7" s="15">
        <v>91</v>
      </c>
      <c r="I7" s="13">
        <f t="shared" si="0"/>
        <v>316</v>
      </c>
      <c r="J7" s="13">
        <f t="shared" si="1"/>
        <v>63.2</v>
      </c>
      <c r="K7" s="13" t="str">
        <f t="shared" si="2"/>
        <v>B</v>
      </c>
    </row>
    <row r="8" spans="2:11" x14ac:dyDescent="0.3">
      <c r="B8" s="14">
        <v>6</v>
      </c>
      <c r="C8" s="17" t="s">
        <v>162</v>
      </c>
      <c r="D8" s="15">
        <v>87</v>
      </c>
      <c r="E8" s="16">
        <v>48</v>
      </c>
      <c r="F8" s="15">
        <v>57</v>
      </c>
      <c r="G8" s="16">
        <v>61</v>
      </c>
      <c r="H8" s="15">
        <v>76</v>
      </c>
      <c r="I8" s="13">
        <f t="shared" si="0"/>
        <v>329</v>
      </c>
      <c r="J8" s="13">
        <f t="shared" si="1"/>
        <v>65.8</v>
      </c>
      <c r="K8" s="13" t="str">
        <f t="shared" si="2"/>
        <v>B</v>
      </c>
    </row>
    <row r="9" spans="2:11" x14ac:dyDescent="0.3">
      <c r="B9" s="14">
        <v>7</v>
      </c>
      <c r="C9" s="17" t="s">
        <v>163</v>
      </c>
      <c r="D9" s="15">
        <v>79</v>
      </c>
      <c r="E9" s="16">
        <v>100</v>
      </c>
      <c r="F9" s="15">
        <v>99</v>
      </c>
      <c r="G9" s="16">
        <v>87</v>
      </c>
      <c r="H9" s="15">
        <v>85</v>
      </c>
      <c r="I9" s="13">
        <f t="shared" si="0"/>
        <v>450</v>
      </c>
      <c r="J9" s="13">
        <f t="shared" si="1"/>
        <v>90</v>
      </c>
      <c r="K9" s="13" t="str">
        <f t="shared" si="2"/>
        <v>A</v>
      </c>
    </row>
    <row r="10" spans="2:11" x14ac:dyDescent="0.3">
      <c r="B10" s="14">
        <v>8</v>
      </c>
      <c r="C10" s="17" t="s">
        <v>164</v>
      </c>
      <c r="D10" s="15">
        <v>78</v>
      </c>
      <c r="E10" s="16">
        <v>94</v>
      </c>
      <c r="F10" s="15">
        <v>99</v>
      </c>
      <c r="G10" s="16">
        <v>67</v>
      </c>
      <c r="H10" s="15">
        <v>62</v>
      </c>
      <c r="I10" s="13">
        <f t="shared" si="0"/>
        <v>400</v>
      </c>
      <c r="J10" s="13">
        <f t="shared" si="1"/>
        <v>80</v>
      </c>
      <c r="K10" s="13" t="str">
        <f t="shared" si="2"/>
        <v>B</v>
      </c>
    </row>
    <row r="11" spans="2:11" x14ac:dyDescent="0.3">
      <c r="B11" s="14">
        <v>9</v>
      </c>
      <c r="C11" s="17" t="s">
        <v>165</v>
      </c>
      <c r="D11" s="15">
        <v>69</v>
      </c>
      <c r="E11" s="16">
        <v>69</v>
      </c>
      <c r="F11" s="15">
        <v>44</v>
      </c>
      <c r="G11" s="16">
        <v>65</v>
      </c>
      <c r="H11" s="15">
        <v>89</v>
      </c>
      <c r="I11" s="13">
        <f t="shared" si="0"/>
        <v>336</v>
      </c>
      <c r="J11" s="13">
        <f t="shared" si="1"/>
        <v>67.2</v>
      </c>
      <c r="K11" s="13" t="str">
        <f t="shared" si="2"/>
        <v>B</v>
      </c>
    </row>
    <row r="12" spans="2:11" x14ac:dyDescent="0.3">
      <c r="B12" s="14">
        <v>10</v>
      </c>
      <c r="C12" s="17" t="s">
        <v>166</v>
      </c>
      <c r="D12" s="15">
        <v>65</v>
      </c>
      <c r="E12" s="16">
        <v>81</v>
      </c>
      <c r="F12" s="15">
        <v>40</v>
      </c>
      <c r="G12" s="16">
        <v>49</v>
      </c>
      <c r="H12" s="15">
        <v>88</v>
      </c>
      <c r="I12" s="13">
        <f t="shared" si="0"/>
        <v>323</v>
      </c>
      <c r="J12" s="13">
        <f t="shared" si="1"/>
        <v>64.599999999999994</v>
      </c>
      <c r="K12" s="13" t="str">
        <f t="shared" si="2"/>
        <v>B</v>
      </c>
    </row>
    <row r="14" spans="2:11" x14ac:dyDescent="0.3">
      <c r="B14" s="9" t="s">
        <v>167</v>
      </c>
      <c r="C14" s="232" t="s">
        <v>168</v>
      </c>
      <c r="D14" s="232"/>
      <c r="E14" s="232"/>
      <c r="F14" s="232"/>
      <c r="G14" s="232"/>
    </row>
    <row r="16" spans="2:11" x14ac:dyDescent="0.3">
      <c r="B16" s="9" t="s">
        <v>169</v>
      </c>
      <c r="C16" s="232" t="s">
        <v>170</v>
      </c>
      <c r="D16" s="232"/>
      <c r="E16" s="232"/>
      <c r="F16" s="232"/>
      <c r="G16" s="232"/>
    </row>
    <row r="18" spans="2:9" x14ac:dyDescent="0.3">
      <c r="B18" s="9" t="s">
        <v>171</v>
      </c>
      <c r="C18" s="232" t="s">
        <v>172</v>
      </c>
      <c r="D18" s="232"/>
      <c r="E18" s="232"/>
      <c r="F18" s="232"/>
      <c r="G18" s="232"/>
    </row>
    <row r="19" spans="2:9" x14ac:dyDescent="0.3">
      <c r="D19" s="19" t="s">
        <v>125</v>
      </c>
      <c r="E19" s="233" t="s">
        <v>173</v>
      </c>
      <c r="F19" s="233"/>
    </row>
    <row r="20" spans="2:9" x14ac:dyDescent="0.3">
      <c r="D20" s="23" t="s">
        <v>126</v>
      </c>
      <c r="E20" s="234">
        <f>COUNTIF(K3:K12,"A")</f>
        <v>2</v>
      </c>
      <c r="F20" s="234"/>
    </row>
    <row r="21" spans="2:9" x14ac:dyDescent="0.3">
      <c r="D21" s="23" t="s">
        <v>129</v>
      </c>
      <c r="E21" s="234">
        <f>COUNTIF(K3:K12,"B")</f>
        <v>8</v>
      </c>
      <c r="F21" s="234"/>
    </row>
    <row r="23" spans="2:9" x14ac:dyDescent="0.3">
      <c r="B23" s="9" t="s">
        <v>174</v>
      </c>
      <c r="C23" s="232" t="s">
        <v>175</v>
      </c>
      <c r="D23" s="232"/>
      <c r="E23" s="232"/>
      <c r="F23" s="232"/>
      <c r="G23" s="232"/>
    </row>
    <row r="24" spans="2:9" x14ac:dyDescent="0.3">
      <c r="E24" s="19" t="s">
        <v>176</v>
      </c>
      <c r="F24" s="19" t="s">
        <v>156</v>
      </c>
    </row>
    <row r="25" spans="2:9" x14ac:dyDescent="0.3">
      <c r="D25" s="22" t="s">
        <v>158</v>
      </c>
      <c r="E25" s="13">
        <f>SUM(D4:H4)</f>
        <v>406</v>
      </c>
      <c r="F25" s="13">
        <f>AVERAGE(D4:H4)</f>
        <v>81.2</v>
      </c>
    </row>
    <row r="26" spans="2:9" x14ac:dyDescent="0.3">
      <c r="D26" s="22" t="s">
        <v>159</v>
      </c>
      <c r="E26" s="13">
        <f>SUM(D5:H5)</f>
        <v>323</v>
      </c>
      <c r="F26" s="13">
        <f>AVERAGE(D5:H5)</f>
        <v>64.599999999999994</v>
      </c>
    </row>
    <row r="28" spans="2:9" x14ac:dyDescent="0.3">
      <c r="B28" s="9" t="s">
        <v>177</v>
      </c>
      <c r="C28" s="232" t="s">
        <v>178</v>
      </c>
      <c r="D28" s="232"/>
      <c r="E28" s="232"/>
      <c r="F28" s="232"/>
      <c r="G28" s="232"/>
    </row>
    <row r="29" spans="2:9" x14ac:dyDescent="0.3">
      <c r="D29" s="9" t="s">
        <v>183</v>
      </c>
      <c r="E29" s="13">
        <f>COUNTA(C3:C12)</f>
        <v>10</v>
      </c>
    </row>
    <row r="31" spans="2:9" x14ac:dyDescent="0.3">
      <c r="B31" s="9" t="s">
        <v>179</v>
      </c>
      <c r="C31" s="232" t="s">
        <v>180</v>
      </c>
      <c r="D31" s="232"/>
      <c r="E31" s="232"/>
      <c r="F31" s="232"/>
      <c r="G31" s="232"/>
      <c r="H31" s="232"/>
      <c r="I31" s="232"/>
    </row>
    <row r="32" spans="2:9" x14ac:dyDescent="0.3">
      <c r="E32" s="19" t="s">
        <v>181</v>
      </c>
      <c r="F32" s="19" t="s">
        <v>182</v>
      </c>
    </row>
    <row r="33" spans="4:6" x14ac:dyDescent="0.3">
      <c r="D33" s="20" t="s">
        <v>150</v>
      </c>
      <c r="E33" s="13">
        <f>COUNTIF(D3:D12,"&gt;65")</f>
        <v>9</v>
      </c>
      <c r="F33" s="13">
        <f>COUNTIF(D3:D12,"&lt;80")</f>
        <v>4</v>
      </c>
    </row>
    <row r="34" spans="4:6" x14ac:dyDescent="0.3">
      <c r="D34" s="20" t="s">
        <v>151</v>
      </c>
      <c r="E34" s="13">
        <f>COUNTIF(E3:E12,"&gt;65")</f>
        <v>6</v>
      </c>
      <c r="F34" s="13">
        <f>COUNTIF(E3:E12,"&gt;80")</f>
        <v>5</v>
      </c>
    </row>
  </sheetData>
  <mergeCells count="9">
    <mergeCell ref="C31:I31"/>
    <mergeCell ref="E19:F19"/>
    <mergeCell ref="E20:F20"/>
    <mergeCell ref="E21:F21"/>
    <mergeCell ref="C14:G14"/>
    <mergeCell ref="C16:G16"/>
    <mergeCell ref="C18:G18"/>
    <mergeCell ref="C23:G23"/>
    <mergeCell ref="C28:G28"/>
  </mergeCells>
  <conditionalFormatting sqref="I3:I12">
    <cfRule type="cellIs" dxfId="13" priority="1" operator="lessThan">
      <formula>400</formula>
    </cfRule>
    <cfRule type="cellIs" dxfId="12" priority="2" operator="greaterThan">
      <formula>400</formula>
    </cfRule>
  </conditionalFormatting>
  <conditionalFormatting sqref="J3:J12">
    <cfRule type="cellIs" dxfId="11" priority="4" operator="greaterThan">
      <formula>70</formula>
    </cfRule>
    <cfRule type="cellIs" dxfId="10" priority="5" operator="lessThan">
      <formula>70</formula>
    </cfRule>
  </conditionalFormatting>
  <conditionalFormatting sqref="K3:K12">
    <cfRule type="cellIs" dxfId="9" priority="3" operator="equal">
      <formula>"B"</formula>
    </cfRule>
    <cfRule type="cellIs" dxfId="8" priority="6" operator="equal">
      <formula>"A"</formula>
    </cfRule>
    <cfRule type="cellIs" dxfId="7" priority="7" operator="equal">
      <formula>"B"</formula>
    </cfRule>
    <cfRule type="cellIs" dxfId="6" priority="8" operator="equal">
      <formula>"A"</formula>
    </cfRule>
    <cfRule type="cellIs" dxfId="5" priority="9" operator="equal">
      <formula>"""A"""</formula>
    </cfRule>
  </conditionalFormatting>
  <dataValidations disablePrompts="1" count="1">
    <dataValidation type="whole" allowBlank="1" showInputMessage="1" showErrorMessage="1" errorTitle="error" error="exceeded limit_x000a_" sqref="H3:H12" xr:uid="{16DD4DA5-1FE9-4ECB-B733-BD05F7E2B3C7}">
      <formula1>0</formula1>
      <formula2>100</formula2>
    </dataValidation>
  </dataValidation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321B-3DC6-4AAC-93BC-F9B613E9A917}">
  <dimension ref="C3:G46"/>
  <sheetViews>
    <sheetView topLeftCell="A16" zoomScale="103" zoomScaleNormal="133" workbookViewId="0">
      <selection activeCell="E21" sqref="E21"/>
    </sheetView>
  </sheetViews>
  <sheetFormatPr defaultRowHeight="14.4" x14ac:dyDescent="0.3"/>
  <cols>
    <col min="4" max="4" width="61.77734375" bestFit="1" customWidth="1"/>
    <col min="5" max="5" width="13.88671875" bestFit="1" customWidth="1"/>
    <col min="7" max="7" width="10.88671875" customWidth="1"/>
  </cols>
  <sheetData>
    <row r="3" spans="3:7" x14ac:dyDescent="0.3">
      <c r="C3" s="9" t="s">
        <v>213</v>
      </c>
      <c r="D3" s="9" t="s">
        <v>202</v>
      </c>
      <c r="E3" s="9" t="s">
        <v>212</v>
      </c>
      <c r="F3" s="9" t="s">
        <v>211</v>
      </c>
      <c r="G3" s="9" t="s">
        <v>201</v>
      </c>
    </row>
    <row r="4" spans="3:7" x14ac:dyDescent="0.3">
      <c r="C4" s="9">
        <v>1</v>
      </c>
      <c r="D4" s="11" t="s">
        <v>199</v>
      </c>
      <c r="E4" s="11">
        <v>20</v>
      </c>
      <c r="F4" s="11">
        <v>40000</v>
      </c>
      <c r="G4" s="11">
        <f t="shared" ref="G4:G13" si="0">E4*F4</f>
        <v>800000</v>
      </c>
    </row>
    <row r="5" spans="3:7" x14ac:dyDescent="0.3">
      <c r="C5" s="9">
        <v>2</v>
      </c>
      <c r="D5" s="11" t="s">
        <v>198</v>
      </c>
      <c r="E5" s="11">
        <v>30</v>
      </c>
      <c r="F5" s="11">
        <v>20000</v>
      </c>
      <c r="G5" s="11">
        <f t="shared" si="0"/>
        <v>600000</v>
      </c>
    </row>
    <row r="6" spans="3:7" x14ac:dyDescent="0.3">
      <c r="C6" s="9">
        <v>3</v>
      </c>
      <c r="D6" s="11" t="s">
        <v>195</v>
      </c>
      <c r="E6" s="11">
        <v>15</v>
      </c>
      <c r="F6" s="11">
        <v>10000</v>
      </c>
      <c r="G6" s="11">
        <f t="shared" si="0"/>
        <v>150000</v>
      </c>
    </row>
    <row r="7" spans="3:7" x14ac:dyDescent="0.3">
      <c r="C7" s="9">
        <v>4</v>
      </c>
      <c r="D7" s="11" t="s">
        <v>197</v>
      </c>
      <c r="E7" s="11">
        <v>14</v>
      </c>
      <c r="F7" s="11">
        <v>15000</v>
      </c>
      <c r="G7" s="11">
        <f t="shared" si="0"/>
        <v>210000</v>
      </c>
    </row>
    <row r="8" spans="3:7" x14ac:dyDescent="0.3">
      <c r="C8" s="9">
        <v>5</v>
      </c>
      <c r="D8" s="11" t="s">
        <v>196</v>
      </c>
      <c r="E8" s="11">
        <v>18</v>
      </c>
      <c r="F8" s="11">
        <v>20000</v>
      </c>
      <c r="G8" s="11">
        <f t="shared" si="0"/>
        <v>360000</v>
      </c>
    </row>
    <row r="9" spans="3:7" x14ac:dyDescent="0.3">
      <c r="C9" s="9">
        <v>6</v>
      </c>
      <c r="D9" s="11" t="s">
        <v>195</v>
      </c>
      <c r="E9" s="11">
        <v>17</v>
      </c>
      <c r="F9" s="11">
        <v>2000</v>
      </c>
      <c r="G9" s="11">
        <f t="shared" si="0"/>
        <v>34000</v>
      </c>
    </row>
    <row r="10" spans="3:7" x14ac:dyDescent="0.3">
      <c r="C10" s="9">
        <v>7</v>
      </c>
      <c r="D10" s="11" t="s">
        <v>194</v>
      </c>
      <c r="E10" s="11">
        <v>10</v>
      </c>
      <c r="F10" s="11">
        <v>25000</v>
      </c>
      <c r="G10" s="11">
        <f t="shared" si="0"/>
        <v>250000</v>
      </c>
    </row>
    <row r="11" spans="3:7" x14ac:dyDescent="0.3">
      <c r="C11" s="9">
        <v>8</v>
      </c>
      <c r="D11" s="11" t="s">
        <v>193</v>
      </c>
      <c r="E11" s="11">
        <v>5</v>
      </c>
      <c r="F11" s="11">
        <v>250</v>
      </c>
      <c r="G11" s="11">
        <f t="shared" si="0"/>
        <v>1250</v>
      </c>
    </row>
    <row r="12" spans="3:7" x14ac:dyDescent="0.3">
      <c r="C12" s="9">
        <v>9</v>
      </c>
      <c r="D12" s="11" t="s">
        <v>192</v>
      </c>
      <c r="E12" s="11">
        <v>25</v>
      </c>
      <c r="F12" s="11">
        <v>100</v>
      </c>
      <c r="G12" s="11">
        <f t="shared" si="0"/>
        <v>2500</v>
      </c>
    </row>
    <row r="13" spans="3:7" x14ac:dyDescent="0.3">
      <c r="C13" s="9">
        <v>10</v>
      </c>
      <c r="D13" s="11" t="s">
        <v>191</v>
      </c>
      <c r="E13" s="11">
        <v>30</v>
      </c>
      <c r="F13" s="11">
        <v>12000</v>
      </c>
      <c r="G13" s="11">
        <f t="shared" si="0"/>
        <v>360000</v>
      </c>
    </row>
    <row r="15" spans="3:7" x14ac:dyDescent="0.3">
      <c r="C15" s="28" t="s">
        <v>167</v>
      </c>
      <c r="D15" s="30" t="s">
        <v>214</v>
      </c>
    </row>
    <row r="17" spans="3:7" x14ac:dyDescent="0.3">
      <c r="C17" s="28" t="s">
        <v>169</v>
      </c>
      <c r="D17" s="30" t="s">
        <v>215</v>
      </c>
      <c r="E17" s="27">
        <f>COUNTA(D4:D13)</f>
        <v>10</v>
      </c>
    </row>
    <row r="19" spans="3:7" x14ac:dyDescent="0.3">
      <c r="C19" s="28" t="s">
        <v>210</v>
      </c>
      <c r="D19" s="29" t="s">
        <v>209</v>
      </c>
    </row>
    <row r="20" spans="3:7" x14ac:dyDescent="0.3">
      <c r="D20" s="24" t="s">
        <v>208</v>
      </c>
      <c r="E20" s="13">
        <f>COUNTIF(E4:E13,"&gt;20")</f>
        <v>3</v>
      </c>
    </row>
    <row r="21" spans="3:7" x14ac:dyDescent="0.3">
      <c r="D21" s="24" t="s">
        <v>207</v>
      </c>
      <c r="E21" s="13">
        <f>COUNTIF(E4:E13,"&lt;20")</f>
        <v>6</v>
      </c>
    </row>
    <row r="23" spans="3:7" x14ac:dyDescent="0.3">
      <c r="C23" s="28" t="s">
        <v>174</v>
      </c>
      <c r="D23" s="29" t="s">
        <v>206</v>
      </c>
    </row>
    <row r="24" spans="3:7" x14ac:dyDescent="0.3">
      <c r="E24" s="28" t="s">
        <v>212</v>
      </c>
      <c r="F24" s="28" t="s">
        <v>205</v>
      </c>
      <c r="G24" s="28" t="s">
        <v>204</v>
      </c>
    </row>
    <row r="25" spans="3:7" x14ac:dyDescent="0.3">
      <c r="D25" s="19" t="s">
        <v>194</v>
      </c>
      <c r="E25" s="13">
        <f>SUMIF(D4:D13,"COMPUTER",E4:E13)</f>
        <v>10</v>
      </c>
      <c r="F25" s="13">
        <f>SUMIF(D4:D13,"COMPUTER",F4:F13)</f>
        <v>25000</v>
      </c>
      <c r="G25" s="13">
        <f>SUMIF(D4:D13,"COMPUTER",G4:G13)</f>
        <v>250000</v>
      </c>
    </row>
    <row r="27" spans="3:7" x14ac:dyDescent="0.3">
      <c r="C27" s="28" t="s">
        <v>177</v>
      </c>
      <c r="D27" s="29" t="s">
        <v>203</v>
      </c>
    </row>
    <row r="28" spans="3:7" x14ac:dyDescent="0.3">
      <c r="D28" s="21" t="s">
        <v>202</v>
      </c>
      <c r="E28" s="19" t="s">
        <v>201</v>
      </c>
      <c r="F28" s="19" t="s">
        <v>200</v>
      </c>
    </row>
    <row r="29" spans="3:7" x14ac:dyDescent="0.3">
      <c r="D29" s="24" t="s">
        <v>199</v>
      </c>
      <c r="E29" s="31">
        <f t="shared" ref="E29:E38" si="1">E4*F4</f>
        <v>800000</v>
      </c>
      <c r="F29" s="25" t="str">
        <f t="shared" ref="F29:F38" si="2">IF(E29&gt;50000,"Expensive","lets buy it")</f>
        <v>Expensive</v>
      </c>
    </row>
    <row r="30" spans="3:7" x14ac:dyDescent="0.3">
      <c r="D30" s="24" t="s">
        <v>198</v>
      </c>
      <c r="E30" s="31">
        <f t="shared" si="1"/>
        <v>600000</v>
      </c>
      <c r="F30" s="25" t="str">
        <f t="shared" si="2"/>
        <v>Expensive</v>
      </c>
    </row>
    <row r="31" spans="3:7" x14ac:dyDescent="0.3">
      <c r="D31" s="24" t="s">
        <v>195</v>
      </c>
      <c r="E31" s="31">
        <f t="shared" si="1"/>
        <v>150000</v>
      </c>
      <c r="F31" s="25" t="str">
        <f t="shared" si="2"/>
        <v>Expensive</v>
      </c>
    </row>
    <row r="32" spans="3:7" x14ac:dyDescent="0.3">
      <c r="D32" s="24" t="s">
        <v>197</v>
      </c>
      <c r="E32" s="31">
        <f t="shared" si="1"/>
        <v>210000</v>
      </c>
      <c r="F32" s="25" t="str">
        <f t="shared" si="2"/>
        <v>Expensive</v>
      </c>
    </row>
    <row r="33" spans="3:6" x14ac:dyDescent="0.3">
      <c r="D33" s="24" t="s">
        <v>196</v>
      </c>
      <c r="E33" s="31">
        <f t="shared" si="1"/>
        <v>360000</v>
      </c>
      <c r="F33" s="25" t="str">
        <f t="shared" si="2"/>
        <v>Expensive</v>
      </c>
    </row>
    <row r="34" spans="3:6" x14ac:dyDescent="0.3">
      <c r="D34" s="24" t="s">
        <v>195</v>
      </c>
      <c r="E34" s="31">
        <f t="shared" si="1"/>
        <v>34000</v>
      </c>
      <c r="F34" s="26" t="str">
        <f t="shared" si="2"/>
        <v>lets buy it</v>
      </c>
    </row>
    <row r="35" spans="3:6" x14ac:dyDescent="0.3">
      <c r="D35" s="24" t="s">
        <v>194</v>
      </c>
      <c r="E35" s="31">
        <f t="shared" si="1"/>
        <v>250000</v>
      </c>
      <c r="F35" s="25" t="str">
        <f t="shared" si="2"/>
        <v>Expensive</v>
      </c>
    </row>
    <row r="36" spans="3:6" x14ac:dyDescent="0.3">
      <c r="D36" s="24" t="s">
        <v>193</v>
      </c>
      <c r="E36" s="31">
        <f t="shared" si="1"/>
        <v>1250</v>
      </c>
      <c r="F36" s="26" t="str">
        <f t="shared" si="2"/>
        <v>lets buy it</v>
      </c>
    </row>
    <row r="37" spans="3:6" x14ac:dyDescent="0.3">
      <c r="D37" s="24" t="s">
        <v>192</v>
      </c>
      <c r="E37" s="31">
        <f t="shared" si="1"/>
        <v>2500</v>
      </c>
      <c r="F37" s="26" t="str">
        <f t="shared" si="2"/>
        <v>lets buy it</v>
      </c>
    </row>
    <row r="38" spans="3:6" x14ac:dyDescent="0.3">
      <c r="D38" s="24" t="s">
        <v>191</v>
      </c>
      <c r="E38" s="31">
        <f t="shared" si="1"/>
        <v>360000</v>
      </c>
      <c r="F38" s="25" t="str">
        <f t="shared" si="2"/>
        <v>Expensive</v>
      </c>
    </row>
    <row r="40" spans="3:6" x14ac:dyDescent="0.3">
      <c r="C40" s="28" t="s">
        <v>179</v>
      </c>
      <c r="D40" s="29" t="s">
        <v>190</v>
      </c>
      <c r="E40" s="13">
        <f>COUNTIF(D4:D13,"COOLER")</f>
        <v>2</v>
      </c>
    </row>
    <row r="42" spans="3:6" x14ac:dyDescent="0.3">
      <c r="C42" s="28" t="s">
        <v>189</v>
      </c>
      <c r="D42" s="29" t="s">
        <v>188</v>
      </c>
      <c r="E42" s="13">
        <f>SUMIF(D4:D13,"COOLER",E4:E13)</f>
        <v>32</v>
      </c>
    </row>
    <row r="44" spans="3:6" x14ac:dyDescent="0.3">
      <c r="C44" s="28" t="s">
        <v>187</v>
      </c>
      <c r="D44" s="29" t="s">
        <v>186</v>
      </c>
      <c r="E44" s="13">
        <f>COUNTIF(D4:D13,"COOLER")</f>
        <v>2</v>
      </c>
    </row>
    <row r="46" spans="3:6" x14ac:dyDescent="0.3">
      <c r="C46" s="28" t="s">
        <v>185</v>
      </c>
      <c r="D46" s="29" t="s">
        <v>184</v>
      </c>
      <c r="E46" s="13">
        <f>COUNTIFS(D4:D13,"COOLER",F4:F13,"&lt;10000")</f>
        <v>1</v>
      </c>
    </row>
  </sheetData>
  <phoneticPr fontId="19" type="noConversion"/>
  <conditionalFormatting sqref="F29:F38">
    <cfRule type="cellIs" dxfId="4" priority="1" operator="equal">
      <formula>"lets buy it"</formula>
    </cfRule>
    <cfRule type="cellIs" dxfId="3" priority="2" operator="equal">
      <formula>"Expensive"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8E6A-211E-41DE-9543-FB0738C3EE8D}">
  <dimension ref="B2:D29"/>
  <sheetViews>
    <sheetView zoomScale="91" workbookViewId="0">
      <selection activeCell="C11" sqref="C11"/>
    </sheetView>
  </sheetViews>
  <sheetFormatPr defaultRowHeight="14.4" x14ac:dyDescent="0.3"/>
  <cols>
    <col min="2" max="2" width="54.6640625" bestFit="1" customWidth="1"/>
    <col min="3" max="3" width="20.109375" bestFit="1" customWidth="1"/>
  </cols>
  <sheetData>
    <row r="2" spans="2:4" x14ac:dyDescent="0.3">
      <c r="B2" t="s">
        <v>238</v>
      </c>
      <c r="C2" t="s">
        <v>239</v>
      </c>
      <c r="D2" t="s">
        <v>240</v>
      </c>
    </row>
    <row r="3" spans="2:4" x14ac:dyDescent="0.3">
      <c r="B3" s="11" t="s">
        <v>241</v>
      </c>
      <c r="C3" s="32">
        <v>42370</v>
      </c>
      <c r="D3" s="33">
        <v>800</v>
      </c>
    </row>
    <row r="4" spans="2:4" x14ac:dyDescent="0.3">
      <c r="B4" s="11" t="s">
        <v>242</v>
      </c>
      <c r="C4" s="32">
        <v>42502</v>
      </c>
      <c r="D4" s="33">
        <v>2000</v>
      </c>
    </row>
    <row r="5" spans="2:4" x14ac:dyDescent="0.3">
      <c r="B5" s="11" t="s">
        <v>241</v>
      </c>
      <c r="C5" s="32">
        <v>42508</v>
      </c>
      <c r="D5" s="33">
        <v>500</v>
      </c>
    </row>
    <row r="6" spans="2:4" x14ac:dyDescent="0.3">
      <c r="B6" s="11" t="s">
        <v>243</v>
      </c>
      <c r="C6" s="32">
        <v>42510</v>
      </c>
      <c r="D6" s="33">
        <v>800</v>
      </c>
    </row>
    <row r="7" spans="2:4" x14ac:dyDescent="0.3">
      <c r="B7" s="11" t="s">
        <v>243</v>
      </c>
      <c r="C7" s="32">
        <v>42410</v>
      </c>
      <c r="D7" s="33">
        <v>1000</v>
      </c>
    </row>
    <row r="8" spans="2:4" x14ac:dyDescent="0.3">
      <c r="B8" s="11" t="s">
        <v>244</v>
      </c>
      <c r="C8" s="32">
        <v>42498</v>
      </c>
      <c r="D8" s="33">
        <v>1200</v>
      </c>
    </row>
    <row r="9" spans="2:4" x14ac:dyDescent="0.3">
      <c r="B9" s="11" t="s">
        <v>242</v>
      </c>
      <c r="C9" s="32">
        <v>42500</v>
      </c>
      <c r="D9" s="33">
        <v>1200</v>
      </c>
    </row>
    <row r="10" spans="2:4" x14ac:dyDescent="0.3">
      <c r="B10" s="11" t="s">
        <v>242</v>
      </c>
      <c r="C10" s="32">
        <v>42515</v>
      </c>
      <c r="D10" s="33">
        <v>1500</v>
      </c>
    </row>
    <row r="11" spans="2:4" x14ac:dyDescent="0.3">
      <c r="B11" s="11" t="s">
        <v>245</v>
      </c>
      <c r="C11" s="32">
        <v>42581</v>
      </c>
      <c r="D11" s="33">
        <v>1800</v>
      </c>
    </row>
    <row r="12" spans="2:4" x14ac:dyDescent="0.3">
      <c r="B12" s="11" t="s">
        <v>242</v>
      </c>
      <c r="C12" s="32">
        <v>42561</v>
      </c>
      <c r="D12" s="33">
        <v>2000</v>
      </c>
    </row>
    <row r="13" spans="2:4" x14ac:dyDescent="0.3">
      <c r="B13" s="11" t="s">
        <v>245</v>
      </c>
      <c r="C13" s="32">
        <v>42536</v>
      </c>
      <c r="D13" s="33">
        <v>1500</v>
      </c>
    </row>
    <row r="14" spans="2:4" x14ac:dyDescent="0.3">
      <c r="B14" s="11" t="s">
        <v>245</v>
      </c>
      <c r="C14" s="32">
        <v>42381</v>
      </c>
      <c r="D14" s="33">
        <v>1000</v>
      </c>
    </row>
    <row r="15" spans="2:4" x14ac:dyDescent="0.3">
      <c r="B15" s="11" t="s">
        <v>244</v>
      </c>
      <c r="C15" s="32">
        <v>42401</v>
      </c>
      <c r="D15" s="33">
        <v>1200</v>
      </c>
    </row>
    <row r="16" spans="2:4" x14ac:dyDescent="0.3">
      <c r="B16" s="11" t="s">
        <v>244</v>
      </c>
      <c r="C16" s="32">
        <v>42500</v>
      </c>
      <c r="D16" s="33">
        <v>1500</v>
      </c>
    </row>
    <row r="17" spans="2:4" x14ac:dyDescent="0.3">
      <c r="B17" s="11" t="s">
        <v>244</v>
      </c>
      <c r="C17" s="32">
        <v>42663</v>
      </c>
      <c r="D17" s="33">
        <v>1800</v>
      </c>
    </row>
    <row r="18" spans="2:4" x14ac:dyDescent="0.3">
      <c r="B18" s="11" t="s">
        <v>241</v>
      </c>
      <c r="C18" s="32">
        <v>42500</v>
      </c>
      <c r="D18" s="33">
        <v>1000</v>
      </c>
    </row>
    <row r="19" spans="2:4" x14ac:dyDescent="0.3">
      <c r="B19" s="11" t="s">
        <v>241</v>
      </c>
      <c r="C19" s="32">
        <v>42508</v>
      </c>
      <c r="D19" s="33">
        <v>1200</v>
      </c>
    </row>
    <row r="20" spans="2:4" x14ac:dyDescent="0.3">
      <c r="B20" s="11" t="s">
        <v>242</v>
      </c>
      <c r="C20" s="32">
        <v>42596</v>
      </c>
      <c r="D20" s="33">
        <v>1500</v>
      </c>
    </row>
    <row r="21" spans="2:4" x14ac:dyDescent="0.3">
      <c r="B21" s="11" t="s">
        <v>244</v>
      </c>
      <c r="C21" s="32">
        <v>42602</v>
      </c>
      <c r="D21" s="33">
        <v>1800</v>
      </c>
    </row>
    <row r="23" spans="2:4" x14ac:dyDescent="0.3">
      <c r="B23" s="9" t="s">
        <v>246</v>
      </c>
      <c r="C23" s="9" t="s">
        <v>247</v>
      </c>
    </row>
    <row r="24" spans="2:4" x14ac:dyDescent="0.3">
      <c r="B24" s="9" t="s">
        <v>248</v>
      </c>
      <c r="C24" s="11">
        <f>COUNTA(Table7[Items])</f>
        <v>19</v>
      </c>
    </row>
    <row r="25" spans="2:4" x14ac:dyDescent="0.3">
      <c r="B25" s="9" t="s">
        <v>249</v>
      </c>
      <c r="C25">
        <f>COUNTIF(Table7[Items],"BRAKES")+COUNTIF(Table7[Items],"WINDOWS")+COUNTIF(Table7[Items],"TYRES")</f>
        <v>9</v>
      </c>
    </row>
    <row r="26" spans="2:4" x14ac:dyDescent="0.3">
      <c r="B26" s="9" t="s">
        <v>250</v>
      </c>
      <c r="C26" s="11">
        <f>COUNTIF(Table7[Cost],"&gt;1000")</f>
        <v>13</v>
      </c>
      <c r="D26">
        <f>COUNTIF(Table7[Cost],"&lt;1000")</f>
        <v>3</v>
      </c>
    </row>
    <row r="27" spans="2:4" x14ac:dyDescent="0.3">
      <c r="B27" s="9" t="s">
        <v>251</v>
      </c>
      <c r="C27" s="11">
        <f>COUNTIFS(Table7[Items],"TYRES", Table7[Cost], "&gt;500", Table7[Cost], "&lt;2000")</f>
        <v>3</v>
      </c>
    </row>
    <row r="28" spans="2:4" x14ac:dyDescent="0.3">
      <c r="B28" s="9" t="s">
        <v>252</v>
      </c>
      <c r="C28" s="9" t="s">
        <v>373</v>
      </c>
    </row>
    <row r="29" spans="2:4" x14ac:dyDescent="0.3">
      <c r="B29" s="9" t="s">
        <v>253</v>
      </c>
      <c r="C29" s="11">
        <f>SUM(SUMIF(Table7[Items],"BRAKES",Table7[Cost]), SUMIF(Table7[Items],"WINDOW", Table7[Cost]))</f>
        <v>11000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C9E7-5D9E-4D6F-8817-865D4674DD13}">
  <dimension ref="A1:I17"/>
  <sheetViews>
    <sheetView zoomScale="115" workbookViewId="0">
      <selection activeCell="J21" sqref="J21"/>
    </sheetView>
  </sheetViews>
  <sheetFormatPr defaultRowHeight="14.4" x14ac:dyDescent="0.3"/>
  <cols>
    <col min="9" max="9" width="16.44140625" bestFit="1" customWidth="1"/>
  </cols>
  <sheetData>
    <row r="1" spans="1:9" ht="15" thickBot="1" x14ac:dyDescent="0.35">
      <c r="A1" s="48"/>
    </row>
    <row r="2" spans="1:9" x14ac:dyDescent="0.3">
      <c r="B2" s="36" t="s">
        <v>355</v>
      </c>
      <c r="C2" s="37" t="s">
        <v>356</v>
      </c>
      <c r="D2" s="37" t="s">
        <v>357</v>
      </c>
      <c r="E2" s="37" t="s">
        <v>358</v>
      </c>
      <c r="F2" s="37" t="s">
        <v>304</v>
      </c>
      <c r="G2" s="37" t="s">
        <v>359</v>
      </c>
      <c r="H2" s="38" t="s">
        <v>200</v>
      </c>
    </row>
    <row r="3" spans="1:9" x14ac:dyDescent="0.3">
      <c r="B3" s="39" t="s">
        <v>360</v>
      </c>
      <c r="C3" s="11">
        <v>25</v>
      </c>
      <c r="D3" s="11">
        <v>25</v>
      </c>
      <c r="E3" s="11">
        <v>20</v>
      </c>
      <c r="F3" s="11">
        <f>SUM(C3:E3)</f>
        <v>70</v>
      </c>
      <c r="G3" s="11">
        <f>AVERAGE(C3:E3)</f>
        <v>23.333333333333332</v>
      </c>
      <c r="H3" s="40" t="str">
        <f>IF(G3&gt;20,"A",IF(G3&gt;15,"B","C"))</f>
        <v>A</v>
      </c>
    </row>
    <row r="4" spans="1:9" x14ac:dyDescent="0.3">
      <c r="B4" s="39" t="s">
        <v>301</v>
      </c>
      <c r="C4" s="11">
        <v>30</v>
      </c>
      <c r="D4" s="11">
        <v>12</v>
      </c>
      <c r="E4" s="11">
        <v>15</v>
      </c>
      <c r="F4" s="11">
        <f t="shared" ref="F4:F11" si="0">SUM(C4:E4)</f>
        <v>57</v>
      </c>
      <c r="G4" s="11">
        <f t="shared" ref="G4:G11" si="1">AVERAGE(C4:E4)</f>
        <v>19</v>
      </c>
      <c r="H4" s="40" t="str">
        <f t="shared" ref="H4:H11" si="2">IF(G4&gt;20,"A",IF(G4&gt;15,"B","C"))</f>
        <v>B</v>
      </c>
    </row>
    <row r="5" spans="1:9" x14ac:dyDescent="0.3">
      <c r="B5" s="39" t="s">
        <v>302</v>
      </c>
      <c r="C5" s="11">
        <v>15</v>
      </c>
      <c r="D5" s="11">
        <v>14</v>
      </c>
      <c r="E5" s="11">
        <v>14</v>
      </c>
      <c r="F5" s="11">
        <f t="shared" si="0"/>
        <v>43</v>
      </c>
      <c r="G5" s="11">
        <f t="shared" si="1"/>
        <v>14.333333333333334</v>
      </c>
      <c r="H5" s="40" t="str">
        <f t="shared" si="2"/>
        <v>C</v>
      </c>
    </row>
    <row r="6" spans="1:9" x14ac:dyDescent="0.3">
      <c r="B6" s="39" t="s">
        <v>361</v>
      </c>
      <c r="C6" s="11">
        <v>12</v>
      </c>
      <c r="D6" s="11">
        <v>17</v>
      </c>
      <c r="E6" s="11">
        <v>17</v>
      </c>
      <c r="F6" s="11">
        <f t="shared" si="0"/>
        <v>46</v>
      </c>
      <c r="G6" s="11">
        <f t="shared" si="1"/>
        <v>15.333333333333334</v>
      </c>
      <c r="H6" s="40" t="str">
        <f t="shared" si="2"/>
        <v>B</v>
      </c>
    </row>
    <row r="7" spans="1:9" x14ac:dyDescent="0.3">
      <c r="B7" s="39" t="s">
        <v>362</v>
      </c>
      <c r="C7" s="11">
        <v>14</v>
      </c>
      <c r="D7" s="11">
        <v>18</v>
      </c>
      <c r="E7" s="11">
        <v>18</v>
      </c>
      <c r="F7" s="11">
        <f t="shared" si="0"/>
        <v>50</v>
      </c>
      <c r="G7" s="11">
        <f t="shared" si="1"/>
        <v>16.666666666666668</v>
      </c>
      <c r="H7" s="40" t="str">
        <f t="shared" si="2"/>
        <v>B</v>
      </c>
    </row>
    <row r="8" spans="1:9" x14ac:dyDescent="0.3">
      <c r="B8" s="39" t="s">
        <v>363</v>
      </c>
      <c r="C8" s="11">
        <v>16</v>
      </c>
      <c r="D8" s="11">
        <v>25</v>
      </c>
      <c r="E8" s="11">
        <v>20</v>
      </c>
      <c r="F8" s="11">
        <f t="shared" si="0"/>
        <v>61</v>
      </c>
      <c r="G8" s="11">
        <f t="shared" si="1"/>
        <v>20.333333333333332</v>
      </c>
      <c r="H8" s="40" t="str">
        <f t="shared" si="2"/>
        <v>A</v>
      </c>
    </row>
    <row r="9" spans="1:9" x14ac:dyDescent="0.3">
      <c r="B9" s="39" t="s">
        <v>364</v>
      </c>
      <c r="C9" s="11">
        <v>18</v>
      </c>
      <c r="D9" s="11">
        <v>21</v>
      </c>
      <c r="E9" s="11">
        <v>22</v>
      </c>
      <c r="F9" s="11">
        <f t="shared" si="0"/>
        <v>61</v>
      </c>
      <c r="G9" s="11">
        <f t="shared" si="1"/>
        <v>20.333333333333332</v>
      </c>
      <c r="H9" s="40" t="str">
        <f t="shared" si="2"/>
        <v>A</v>
      </c>
    </row>
    <row r="10" spans="1:9" x14ac:dyDescent="0.3">
      <c r="B10" s="39" t="s">
        <v>365</v>
      </c>
      <c r="C10" s="11">
        <v>17</v>
      </c>
      <c r="D10" s="11">
        <v>23</v>
      </c>
      <c r="E10" s="11">
        <v>21</v>
      </c>
      <c r="F10" s="11">
        <f t="shared" si="0"/>
        <v>61</v>
      </c>
      <c r="G10" s="11">
        <f t="shared" si="1"/>
        <v>20.333333333333332</v>
      </c>
      <c r="H10" s="40" t="str">
        <f t="shared" si="2"/>
        <v>A</v>
      </c>
    </row>
    <row r="11" spans="1:9" ht="15" thickBot="1" x14ac:dyDescent="0.35">
      <c r="B11" s="41" t="s">
        <v>366</v>
      </c>
      <c r="C11" s="42">
        <v>20</v>
      </c>
      <c r="D11" s="42">
        <v>25</v>
      </c>
      <c r="E11" s="42">
        <v>25</v>
      </c>
      <c r="F11" s="42">
        <f t="shared" si="0"/>
        <v>70</v>
      </c>
      <c r="G11" s="42">
        <f t="shared" si="1"/>
        <v>23.333333333333332</v>
      </c>
      <c r="H11" s="40" t="str">
        <f t="shared" si="2"/>
        <v>A</v>
      </c>
    </row>
    <row r="12" spans="1:9" ht="15" thickBot="1" x14ac:dyDescent="0.35"/>
    <row r="13" spans="1:9" x14ac:dyDescent="0.3">
      <c r="B13" s="36" t="s">
        <v>367</v>
      </c>
      <c r="C13" s="203" t="s">
        <v>246</v>
      </c>
      <c r="D13" s="203"/>
      <c r="E13" s="203"/>
      <c r="F13" s="203"/>
      <c r="G13" s="203"/>
      <c r="H13" s="203"/>
      <c r="I13" s="38" t="s">
        <v>55</v>
      </c>
    </row>
    <row r="14" spans="1:9" x14ac:dyDescent="0.3">
      <c r="B14" s="39" t="s">
        <v>167</v>
      </c>
      <c r="C14" s="199" t="s">
        <v>368</v>
      </c>
      <c r="D14" s="199"/>
      <c r="E14" s="199"/>
      <c r="F14" s="199"/>
      <c r="G14" s="199"/>
      <c r="H14" s="199"/>
      <c r="I14" s="40">
        <f>COUNTA(B3:B11)</f>
        <v>9</v>
      </c>
    </row>
    <row r="15" spans="1:9" x14ac:dyDescent="0.3">
      <c r="B15" s="39" t="s">
        <v>169</v>
      </c>
      <c r="C15" s="199" t="s">
        <v>369</v>
      </c>
      <c r="D15" s="199"/>
      <c r="E15" s="199"/>
      <c r="F15" s="199"/>
      <c r="G15" s="199"/>
      <c r="H15" s="199"/>
      <c r="I15" s="40">
        <f>COUNTIF(C3:C11,"&gt;20")</f>
        <v>2</v>
      </c>
    </row>
    <row r="16" spans="1:9" x14ac:dyDescent="0.3">
      <c r="B16" s="39" t="s">
        <v>171</v>
      </c>
      <c r="C16" s="199" t="s">
        <v>370</v>
      </c>
      <c r="D16" s="199"/>
      <c r="E16" s="199"/>
      <c r="F16" s="199"/>
      <c r="G16" s="199"/>
      <c r="H16" s="199"/>
      <c r="I16" s="49" t="s">
        <v>374</v>
      </c>
    </row>
    <row r="17" spans="2:9" ht="15" thickBot="1" x14ac:dyDescent="0.35">
      <c r="B17" s="41" t="s">
        <v>174</v>
      </c>
      <c r="C17" s="206" t="s">
        <v>371</v>
      </c>
      <c r="D17" s="206"/>
      <c r="E17" s="206"/>
      <c r="F17" s="206"/>
      <c r="G17" s="206"/>
      <c r="H17" s="206"/>
      <c r="I17" s="50" t="s">
        <v>372</v>
      </c>
    </row>
  </sheetData>
  <mergeCells count="5">
    <mergeCell ref="C13:H13"/>
    <mergeCell ref="C14:H14"/>
    <mergeCell ref="C15:H15"/>
    <mergeCell ref="C16:H16"/>
    <mergeCell ref="C17:H17"/>
  </mergeCells>
  <conditionalFormatting sqref="H3:H11">
    <cfRule type="cellIs" dxfId="2" priority="1" operator="equal">
      <formula>"C"</formula>
    </cfRule>
    <cfRule type="cellIs" dxfId="1" priority="2" operator="equal">
      <formula>"B"</formula>
    </cfRule>
    <cfRule type="cellIs" dxfId="0" priority="3" operator="equal">
      <formula>"A"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38C3-4807-4D4B-A490-0A02FDE12495}">
  <dimension ref="B1:J19"/>
  <sheetViews>
    <sheetView zoomScale="72" workbookViewId="0">
      <selection activeCell="K2" sqref="K2"/>
    </sheetView>
  </sheetViews>
  <sheetFormatPr defaultRowHeight="14.4" x14ac:dyDescent="0.3"/>
  <cols>
    <col min="2" max="2" width="12.5546875" bestFit="1" customWidth="1"/>
    <col min="7" max="7" width="11.88671875" bestFit="1" customWidth="1"/>
  </cols>
  <sheetData>
    <row r="1" spans="2:9" ht="15" thickBot="1" x14ac:dyDescent="0.35"/>
    <row r="2" spans="2:9" x14ac:dyDescent="0.3">
      <c r="B2" s="36" t="s">
        <v>384</v>
      </c>
      <c r="C2" s="37" t="s">
        <v>385</v>
      </c>
      <c r="D2" s="37" t="s">
        <v>301</v>
      </c>
      <c r="E2" s="37" t="s">
        <v>361</v>
      </c>
      <c r="F2" s="37" t="s">
        <v>386</v>
      </c>
      <c r="G2" s="37" t="s">
        <v>387</v>
      </c>
      <c r="H2" s="38" t="s">
        <v>388</v>
      </c>
    </row>
    <row r="3" spans="2:9" x14ac:dyDescent="0.3">
      <c r="B3" s="39" t="s">
        <v>389</v>
      </c>
      <c r="C3" s="11">
        <v>80</v>
      </c>
      <c r="D3" s="11">
        <v>75</v>
      </c>
      <c r="E3" s="11">
        <v>85</v>
      </c>
      <c r="F3" s="11">
        <f>SUM(C3:E3)</f>
        <v>240</v>
      </c>
      <c r="G3" s="62">
        <f>F3/300</f>
        <v>0.8</v>
      </c>
      <c r="H3" s="40" t="str">
        <f>IF(G3&gt;70/100,"Excellent",IF(G3&gt;50/100,"Good", "Bad"))</f>
        <v>Excellent</v>
      </c>
    </row>
    <row r="4" spans="2:9" x14ac:dyDescent="0.3">
      <c r="B4" s="39" t="s">
        <v>92</v>
      </c>
      <c r="C4" s="11">
        <v>50</v>
      </c>
      <c r="D4" s="11">
        <v>30</v>
      </c>
      <c r="E4" s="11">
        <v>40</v>
      </c>
      <c r="F4" s="11">
        <f t="shared" ref="F4:F11" si="0">SUM(C4:E4)</f>
        <v>120</v>
      </c>
      <c r="G4" s="62">
        <f t="shared" ref="G4:G11" si="1">F4/300</f>
        <v>0.4</v>
      </c>
      <c r="H4" s="40" t="str">
        <f t="shared" ref="H4:H11" si="2">IF(G4&gt;70/100,"Excellent",IF(G4&gt;50/100,"Good", "Bad"))</f>
        <v>Bad</v>
      </c>
    </row>
    <row r="5" spans="2:9" x14ac:dyDescent="0.3">
      <c r="B5" s="39" t="s">
        <v>218</v>
      </c>
      <c r="C5" s="11">
        <v>60</v>
      </c>
      <c r="D5" s="11">
        <v>70</v>
      </c>
      <c r="E5" s="61" t="s">
        <v>402</v>
      </c>
      <c r="F5" s="11">
        <f t="shared" si="0"/>
        <v>130</v>
      </c>
      <c r="G5" s="62">
        <f t="shared" si="1"/>
        <v>0.43333333333333335</v>
      </c>
      <c r="H5" s="40" t="str">
        <f t="shared" si="2"/>
        <v>Bad</v>
      </c>
    </row>
    <row r="6" spans="2:9" x14ac:dyDescent="0.3">
      <c r="B6" s="39" t="s">
        <v>36</v>
      </c>
      <c r="C6" s="11">
        <v>90</v>
      </c>
      <c r="D6" s="11">
        <v>85</v>
      </c>
      <c r="E6" s="11">
        <v>95</v>
      </c>
      <c r="F6" s="11">
        <f t="shared" si="0"/>
        <v>270</v>
      </c>
      <c r="G6" s="62">
        <f t="shared" si="1"/>
        <v>0.9</v>
      </c>
      <c r="H6" s="40" t="str">
        <f t="shared" si="2"/>
        <v>Excellent</v>
      </c>
    </row>
    <row r="7" spans="2:9" x14ac:dyDescent="0.3">
      <c r="B7" s="39" t="s">
        <v>390</v>
      </c>
      <c r="C7" s="11">
        <v>20</v>
      </c>
      <c r="D7" s="11">
        <v>30</v>
      </c>
      <c r="E7" s="61" t="s">
        <v>402</v>
      </c>
      <c r="F7" s="11">
        <f t="shared" si="0"/>
        <v>50</v>
      </c>
      <c r="G7" s="62">
        <f t="shared" si="1"/>
        <v>0.16666666666666666</v>
      </c>
      <c r="H7" s="40" t="str">
        <f t="shared" si="2"/>
        <v>Bad</v>
      </c>
    </row>
    <row r="8" spans="2:9" x14ac:dyDescent="0.3">
      <c r="B8" s="39" t="s">
        <v>391</v>
      </c>
      <c r="C8" s="11">
        <v>10</v>
      </c>
      <c r="D8" s="11">
        <v>90</v>
      </c>
      <c r="E8" s="11">
        <v>80</v>
      </c>
      <c r="F8" s="11">
        <f t="shared" si="0"/>
        <v>180</v>
      </c>
      <c r="G8" s="62">
        <f t="shared" si="1"/>
        <v>0.6</v>
      </c>
      <c r="H8" s="40" t="str">
        <f t="shared" si="2"/>
        <v>Good</v>
      </c>
    </row>
    <row r="9" spans="2:9" x14ac:dyDescent="0.3">
      <c r="B9" s="39" t="s">
        <v>392</v>
      </c>
      <c r="C9" s="11">
        <v>80</v>
      </c>
      <c r="D9" s="11">
        <v>60</v>
      </c>
      <c r="E9" s="11">
        <v>80</v>
      </c>
      <c r="F9" s="11">
        <f t="shared" si="0"/>
        <v>220</v>
      </c>
      <c r="G9" s="62">
        <f t="shared" si="1"/>
        <v>0.73333333333333328</v>
      </c>
      <c r="H9" s="40" t="str">
        <f t="shared" si="2"/>
        <v>Excellent</v>
      </c>
    </row>
    <row r="10" spans="2:9" x14ac:dyDescent="0.3">
      <c r="B10" s="39" t="s">
        <v>393</v>
      </c>
      <c r="C10" s="11">
        <v>30</v>
      </c>
      <c r="D10" s="11">
        <v>10</v>
      </c>
      <c r="E10" s="11">
        <v>20</v>
      </c>
      <c r="F10" s="11">
        <f t="shared" si="0"/>
        <v>60</v>
      </c>
      <c r="G10" s="62">
        <f t="shared" si="1"/>
        <v>0.2</v>
      </c>
      <c r="H10" s="40" t="str">
        <f t="shared" si="2"/>
        <v>Bad</v>
      </c>
    </row>
    <row r="11" spans="2:9" ht="15" thickBot="1" x14ac:dyDescent="0.35">
      <c r="B11" s="41" t="s">
        <v>394</v>
      </c>
      <c r="C11" s="42">
        <v>10</v>
      </c>
      <c r="D11" s="42">
        <v>20</v>
      </c>
      <c r="E11" s="42">
        <v>30</v>
      </c>
      <c r="F11" s="11">
        <f t="shared" si="0"/>
        <v>60</v>
      </c>
      <c r="G11" s="62">
        <f t="shared" si="1"/>
        <v>0.2</v>
      </c>
      <c r="H11" s="40" t="str">
        <f t="shared" si="2"/>
        <v>Bad</v>
      </c>
    </row>
    <row r="12" spans="2:9" ht="15" thickBot="1" x14ac:dyDescent="0.35"/>
    <row r="13" spans="2:9" x14ac:dyDescent="0.3">
      <c r="B13" s="36" t="s">
        <v>395</v>
      </c>
      <c r="C13" s="203" t="s">
        <v>246</v>
      </c>
      <c r="D13" s="203"/>
      <c r="E13" s="203"/>
      <c r="F13" s="203"/>
      <c r="G13" s="203"/>
      <c r="H13" s="203"/>
      <c r="I13" s="38" t="s">
        <v>55</v>
      </c>
    </row>
    <row r="14" spans="2:9" x14ac:dyDescent="0.3">
      <c r="B14" s="39" t="s">
        <v>167</v>
      </c>
      <c r="C14" s="199" t="s">
        <v>396</v>
      </c>
      <c r="D14" s="199"/>
      <c r="E14" s="199"/>
      <c r="F14" s="199"/>
      <c r="G14" s="199"/>
      <c r="H14" s="199"/>
      <c r="I14" s="40">
        <f>COUNTA(B3:B11)</f>
        <v>9</v>
      </c>
    </row>
    <row r="15" spans="2:9" x14ac:dyDescent="0.3">
      <c r="B15" s="39" t="s">
        <v>169</v>
      </c>
      <c r="C15" s="199" t="s">
        <v>397</v>
      </c>
      <c r="D15" s="199"/>
      <c r="E15" s="199"/>
      <c r="F15" s="199"/>
      <c r="G15" s="199"/>
      <c r="H15" s="199"/>
      <c r="I15" s="40">
        <f>COUNTIF(G3:G11,"&gt;0.5")</f>
        <v>4</v>
      </c>
    </row>
    <row r="16" spans="2:9" x14ac:dyDescent="0.3">
      <c r="B16" s="39" t="s">
        <v>171</v>
      </c>
      <c r="C16" s="199" t="s">
        <v>398</v>
      </c>
      <c r="D16" s="199"/>
      <c r="E16" s="199"/>
      <c r="F16" s="199"/>
      <c r="G16" s="199"/>
      <c r="H16" s="199"/>
      <c r="I16" s="40">
        <f>SUM(SUMIF(B3:B11,"BOB",F3:F11),SUMIF(B3:B11,"Eric",F3:F11))</f>
        <v>170</v>
      </c>
    </row>
    <row r="17" spans="2:10" ht="15" thickBot="1" x14ac:dyDescent="0.35">
      <c r="B17" s="39" t="s">
        <v>174</v>
      </c>
      <c r="C17" s="199" t="s">
        <v>399</v>
      </c>
      <c r="D17" s="199"/>
      <c r="E17" s="199"/>
      <c r="F17" s="199"/>
      <c r="G17" s="199"/>
      <c r="H17" s="199"/>
      <c r="I17" s="63" t="s">
        <v>403</v>
      </c>
    </row>
    <row r="18" spans="2:10" ht="15" thickBot="1" x14ac:dyDescent="0.35">
      <c r="B18" s="39" t="s">
        <v>177</v>
      </c>
      <c r="C18" s="199" t="s">
        <v>400</v>
      </c>
      <c r="D18" s="199"/>
      <c r="E18" s="199"/>
      <c r="F18" s="199"/>
      <c r="G18" s="199"/>
      <c r="H18" s="199"/>
      <c r="I18" s="11">
        <f>COUNTIF(H3:H11,"Good")</f>
        <v>1</v>
      </c>
      <c r="J18" s="65">
        <f>COUNTIF(H3:H11,"Bad")</f>
        <v>5</v>
      </c>
    </row>
    <row r="19" spans="2:10" ht="15" thickBot="1" x14ac:dyDescent="0.35">
      <c r="B19" s="41" t="s">
        <v>179</v>
      </c>
      <c r="C19" s="206" t="s">
        <v>401</v>
      </c>
      <c r="D19" s="206"/>
      <c r="E19" s="206"/>
      <c r="F19" s="206"/>
      <c r="G19" s="206"/>
      <c r="H19" s="206"/>
      <c r="I19" s="64">
        <f>COUNT(E3:E11)</f>
        <v>7</v>
      </c>
    </row>
  </sheetData>
  <mergeCells count="7">
    <mergeCell ref="C19:H19"/>
    <mergeCell ref="C13:H13"/>
    <mergeCell ref="C14:H14"/>
    <mergeCell ref="C15:H15"/>
    <mergeCell ref="C16:H16"/>
    <mergeCell ref="C17:H17"/>
    <mergeCell ref="C18:H18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E108-18F0-4BC6-8121-CDE4D69E6DB7}">
  <dimension ref="B1:H20"/>
  <sheetViews>
    <sheetView workbookViewId="0">
      <selection activeCell="H3" sqref="H3"/>
    </sheetView>
  </sheetViews>
  <sheetFormatPr defaultRowHeight="14.4" x14ac:dyDescent="0.3"/>
  <cols>
    <col min="2" max="2" width="11.21875" bestFit="1" customWidth="1"/>
    <col min="3" max="3" width="11.5546875" bestFit="1" customWidth="1"/>
    <col min="7" max="7" width="12.6640625" bestFit="1" customWidth="1"/>
    <col min="8" max="8" width="19.21875" bestFit="1" customWidth="1"/>
  </cols>
  <sheetData>
    <row r="1" spans="2:8" ht="15" thickBot="1" x14ac:dyDescent="0.35"/>
    <row r="2" spans="2:8" x14ac:dyDescent="0.3">
      <c r="B2" s="36" t="s">
        <v>216</v>
      </c>
      <c r="C2" s="37" t="s">
        <v>444</v>
      </c>
      <c r="D2" s="37" t="s">
        <v>445</v>
      </c>
      <c r="E2" s="37" t="s">
        <v>446</v>
      </c>
      <c r="F2" s="37" t="s">
        <v>447</v>
      </c>
      <c r="G2" s="37" t="s">
        <v>448</v>
      </c>
      <c r="H2" s="38" t="s">
        <v>449</v>
      </c>
    </row>
    <row r="3" spans="2:8" x14ac:dyDescent="0.3">
      <c r="B3" s="39" t="s">
        <v>450</v>
      </c>
      <c r="C3" s="32">
        <v>29356</v>
      </c>
      <c r="D3" s="11">
        <f>DAY(C3)</f>
        <v>15</v>
      </c>
      <c r="E3" s="11">
        <f>MONTH(C3)</f>
        <v>5</v>
      </c>
      <c r="F3" s="11">
        <f>YEAR(C3)</f>
        <v>1980</v>
      </c>
      <c r="G3" s="11">
        <f ca="1">YEAR(TODAY()) - F3</f>
        <v>45</v>
      </c>
      <c r="H3" s="40" t="str">
        <f ca="1">IF(G3&gt;20,"Adult","Child")</f>
        <v>Adult</v>
      </c>
    </row>
    <row r="4" spans="2:8" x14ac:dyDescent="0.3">
      <c r="B4" s="39" t="s">
        <v>451</v>
      </c>
      <c r="C4" s="32">
        <v>29818</v>
      </c>
      <c r="D4" s="11">
        <f t="shared" ref="D4:D13" si="0">DAY(C4)</f>
        <v>20</v>
      </c>
      <c r="E4" s="11">
        <f t="shared" ref="E4:E13" si="1">MONTH(C4)</f>
        <v>8</v>
      </c>
      <c r="F4" s="11">
        <f t="shared" ref="F4:F13" si="2">YEAR(C4)</f>
        <v>1981</v>
      </c>
      <c r="G4" s="11">
        <f t="shared" ref="G4:G13" ca="1" si="3">YEAR(TODAY()) - F4</f>
        <v>44</v>
      </c>
      <c r="H4" s="40" t="str">
        <f t="shared" ref="H4:H13" ca="1" si="4">IF(G4&gt;20,"Adult","Child")</f>
        <v>Adult</v>
      </c>
    </row>
    <row r="5" spans="2:8" x14ac:dyDescent="0.3">
      <c r="B5" s="39" t="s">
        <v>452</v>
      </c>
      <c r="C5" s="32">
        <v>37909</v>
      </c>
      <c r="D5" s="11">
        <f t="shared" si="0"/>
        <v>15</v>
      </c>
      <c r="E5" s="11">
        <f t="shared" si="1"/>
        <v>10</v>
      </c>
      <c r="F5" s="11">
        <f t="shared" si="2"/>
        <v>2003</v>
      </c>
      <c r="G5" s="11">
        <f t="shared" ca="1" si="3"/>
        <v>22</v>
      </c>
      <c r="H5" s="40" t="str">
        <f t="shared" ca="1" si="4"/>
        <v>Adult</v>
      </c>
    </row>
    <row r="6" spans="2:8" x14ac:dyDescent="0.3">
      <c r="B6" s="39" t="s">
        <v>162</v>
      </c>
      <c r="C6" s="32">
        <v>33018</v>
      </c>
      <c r="D6" s="11">
        <f t="shared" si="0"/>
        <v>25</v>
      </c>
      <c r="E6" s="11">
        <f t="shared" si="1"/>
        <v>5</v>
      </c>
      <c r="F6" s="11">
        <f t="shared" si="2"/>
        <v>1990</v>
      </c>
      <c r="G6" s="11">
        <f t="shared" ca="1" si="3"/>
        <v>35</v>
      </c>
      <c r="H6" s="40" t="str">
        <f t="shared" ca="1" si="4"/>
        <v>Adult</v>
      </c>
    </row>
    <row r="7" spans="2:8" x14ac:dyDescent="0.3">
      <c r="B7" s="39" t="s">
        <v>159</v>
      </c>
      <c r="C7" s="32">
        <v>33840</v>
      </c>
      <c r="D7" s="11">
        <f t="shared" si="0"/>
        <v>24</v>
      </c>
      <c r="E7" s="11">
        <f t="shared" si="1"/>
        <v>8</v>
      </c>
      <c r="F7" s="11">
        <f t="shared" si="2"/>
        <v>1992</v>
      </c>
      <c r="G7" s="11">
        <f t="shared" ca="1" si="3"/>
        <v>33</v>
      </c>
      <c r="H7" s="40" t="str">
        <f t="shared" ca="1" si="4"/>
        <v>Adult</v>
      </c>
    </row>
    <row r="8" spans="2:8" x14ac:dyDescent="0.3">
      <c r="B8" s="39" t="s">
        <v>158</v>
      </c>
      <c r="C8" s="32">
        <v>36030</v>
      </c>
      <c r="D8" s="11">
        <f t="shared" si="0"/>
        <v>23</v>
      </c>
      <c r="E8" s="11">
        <f t="shared" si="1"/>
        <v>8</v>
      </c>
      <c r="F8" s="11">
        <f t="shared" si="2"/>
        <v>1998</v>
      </c>
      <c r="G8" s="11">
        <f t="shared" ca="1" si="3"/>
        <v>27</v>
      </c>
      <c r="H8" s="40" t="str">
        <f t="shared" ca="1" si="4"/>
        <v>Adult</v>
      </c>
    </row>
    <row r="9" spans="2:8" x14ac:dyDescent="0.3">
      <c r="B9" s="39" t="s">
        <v>453</v>
      </c>
      <c r="C9" s="32">
        <v>29353</v>
      </c>
      <c r="D9" s="11">
        <f t="shared" si="0"/>
        <v>12</v>
      </c>
      <c r="E9" s="11">
        <f t="shared" si="1"/>
        <v>5</v>
      </c>
      <c r="F9" s="11">
        <f t="shared" si="2"/>
        <v>1980</v>
      </c>
      <c r="G9" s="11">
        <f t="shared" ca="1" si="3"/>
        <v>45</v>
      </c>
      <c r="H9" s="40" t="str">
        <f t="shared" ca="1" si="4"/>
        <v>Adult</v>
      </c>
    </row>
    <row r="10" spans="2:8" x14ac:dyDescent="0.3">
      <c r="B10" s="39" t="s">
        <v>454</v>
      </c>
      <c r="C10" s="32">
        <v>38429</v>
      </c>
      <c r="D10" s="11">
        <f t="shared" si="0"/>
        <v>18</v>
      </c>
      <c r="E10" s="11">
        <f t="shared" si="1"/>
        <v>3</v>
      </c>
      <c r="F10" s="11">
        <f t="shared" si="2"/>
        <v>2005</v>
      </c>
      <c r="G10" s="11">
        <f t="shared" ca="1" si="3"/>
        <v>20</v>
      </c>
      <c r="H10" s="40" t="str">
        <f t="shared" ca="1" si="4"/>
        <v>Child</v>
      </c>
    </row>
    <row r="11" spans="2:8" x14ac:dyDescent="0.3">
      <c r="B11" s="39" t="s">
        <v>455</v>
      </c>
      <c r="C11" s="32">
        <v>39309</v>
      </c>
      <c r="D11" s="11">
        <f t="shared" si="0"/>
        <v>15</v>
      </c>
      <c r="E11" s="11">
        <f t="shared" si="1"/>
        <v>8</v>
      </c>
      <c r="F11" s="11">
        <f t="shared" si="2"/>
        <v>2007</v>
      </c>
      <c r="G11" s="11">
        <f t="shared" ca="1" si="3"/>
        <v>18</v>
      </c>
      <c r="H11" s="40" t="str">
        <f t="shared" ca="1" si="4"/>
        <v>Child</v>
      </c>
    </row>
    <row r="12" spans="2:8" x14ac:dyDescent="0.3">
      <c r="B12" s="39" t="s">
        <v>456</v>
      </c>
      <c r="C12" s="32">
        <v>40323</v>
      </c>
      <c r="D12" s="11">
        <f t="shared" si="0"/>
        <v>25</v>
      </c>
      <c r="E12" s="11">
        <f t="shared" si="1"/>
        <v>5</v>
      </c>
      <c r="F12" s="11">
        <f t="shared" si="2"/>
        <v>2010</v>
      </c>
      <c r="G12" s="11">
        <f t="shared" ca="1" si="3"/>
        <v>15</v>
      </c>
      <c r="H12" s="40" t="str">
        <f t="shared" ca="1" si="4"/>
        <v>Child</v>
      </c>
    </row>
    <row r="13" spans="2:8" ht="15" thickBot="1" x14ac:dyDescent="0.35">
      <c r="B13" s="41" t="s">
        <v>457</v>
      </c>
      <c r="C13" s="68">
        <v>34206</v>
      </c>
      <c r="D13" s="11">
        <f t="shared" si="0"/>
        <v>25</v>
      </c>
      <c r="E13" s="11">
        <f t="shared" si="1"/>
        <v>8</v>
      </c>
      <c r="F13" s="11">
        <f t="shared" si="2"/>
        <v>1993</v>
      </c>
      <c r="G13" s="11">
        <f t="shared" ca="1" si="3"/>
        <v>32</v>
      </c>
      <c r="H13" s="40" t="str">
        <f t="shared" ca="1" si="4"/>
        <v>Adult</v>
      </c>
    </row>
    <row r="14" spans="2:8" ht="15" thickBot="1" x14ac:dyDescent="0.35"/>
    <row r="15" spans="2:8" x14ac:dyDescent="0.3">
      <c r="B15" s="36" t="s">
        <v>395</v>
      </c>
      <c r="C15" s="203" t="s">
        <v>246</v>
      </c>
      <c r="D15" s="203"/>
      <c r="E15" s="203"/>
      <c r="F15" s="203"/>
      <c r="G15" s="203"/>
      <c r="H15" s="38" t="s">
        <v>55</v>
      </c>
    </row>
    <row r="16" spans="2:8" x14ac:dyDescent="0.3">
      <c r="B16" s="39" t="s">
        <v>167</v>
      </c>
      <c r="C16" s="199" t="s">
        <v>396</v>
      </c>
      <c r="D16" s="199"/>
      <c r="E16" s="199"/>
      <c r="F16" s="199"/>
      <c r="G16" s="199"/>
      <c r="H16" s="40">
        <f>COUNTA(B3:B13)</f>
        <v>11</v>
      </c>
    </row>
    <row r="17" spans="2:8" x14ac:dyDescent="0.3">
      <c r="B17" s="39" t="s">
        <v>169</v>
      </c>
      <c r="C17" s="199" t="s">
        <v>458</v>
      </c>
      <c r="D17" s="199"/>
      <c r="E17" s="199"/>
      <c r="F17" s="199"/>
      <c r="G17" s="199"/>
      <c r="H17" s="40">
        <f ca="1">G12</f>
        <v>15</v>
      </c>
    </row>
    <row r="18" spans="2:8" x14ac:dyDescent="0.3">
      <c r="B18" s="39" t="s">
        <v>171</v>
      </c>
      <c r="C18" s="199" t="s">
        <v>459</v>
      </c>
      <c r="D18" s="199"/>
      <c r="E18" s="199"/>
      <c r="F18" s="199"/>
      <c r="G18" s="199"/>
      <c r="H18" s="40">
        <f ca="1">COUNTIF(G3:G13,"&gt;20")</f>
        <v>8</v>
      </c>
    </row>
    <row r="19" spans="2:8" x14ac:dyDescent="0.3">
      <c r="B19" s="39" t="s">
        <v>174</v>
      </c>
      <c r="C19" s="199" t="s">
        <v>460</v>
      </c>
      <c r="D19" s="199"/>
      <c r="E19" s="199"/>
      <c r="F19" s="199"/>
      <c r="G19" s="199"/>
      <c r="H19" s="49" t="s">
        <v>374</v>
      </c>
    </row>
    <row r="20" spans="2:8" ht="15" thickBot="1" x14ac:dyDescent="0.35">
      <c r="B20" s="41" t="s">
        <v>177</v>
      </c>
      <c r="C20" s="206" t="s">
        <v>461</v>
      </c>
      <c r="D20" s="206"/>
      <c r="E20" s="206"/>
      <c r="F20" s="206"/>
      <c r="G20" s="206"/>
      <c r="H20" s="43">
        <f ca="1">COUNTIF(G3:G13,"&gt;=25")</f>
        <v>7</v>
      </c>
    </row>
  </sheetData>
  <mergeCells count="6">
    <mergeCell ref="C20:G20"/>
    <mergeCell ref="C15:G15"/>
    <mergeCell ref="C16:G16"/>
    <mergeCell ref="C17:G17"/>
    <mergeCell ref="C18:G18"/>
    <mergeCell ref="C19:G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D505-7636-47E6-9F36-33F1C9D22E3A}">
  <dimension ref="B1:H11"/>
  <sheetViews>
    <sheetView workbookViewId="0">
      <selection activeCell="I16" sqref="I16"/>
    </sheetView>
  </sheetViews>
  <sheetFormatPr defaultRowHeight="14.4" x14ac:dyDescent="0.3"/>
  <cols>
    <col min="4" max="4" width="10.5546875" bestFit="1" customWidth="1"/>
  </cols>
  <sheetData>
    <row r="1" spans="2:8" ht="15" thickBot="1" x14ac:dyDescent="0.35"/>
    <row r="2" spans="2:8" x14ac:dyDescent="0.3">
      <c r="B2" s="36" t="s">
        <v>463</v>
      </c>
      <c r="C2" s="37" t="s">
        <v>483</v>
      </c>
      <c r="D2" s="37" t="s">
        <v>484</v>
      </c>
      <c r="E2" s="37" t="s">
        <v>485</v>
      </c>
      <c r="F2" s="37" t="s">
        <v>486</v>
      </c>
      <c r="G2" s="203" t="s">
        <v>487</v>
      </c>
      <c r="H2" s="239"/>
    </row>
    <row r="3" spans="2:8" x14ac:dyDescent="0.3">
      <c r="B3" s="39" t="s">
        <v>488</v>
      </c>
      <c r="C3" s="11" t="s">
        <v>489</v>
      </c>
      <c r="D3" s="11" t="s">
        <v>489</v>
      </c>
      <c r="E3" s="11" t="s">
        <v>490</v>
      </c>
      <c r="F3" s="11" t="s">
        <v>489</v>
      </c>
      <c r="G3" s="235" t="str">
        <f>IF(AND(C3 = "PASS", D3 = "PASS", E3 = "PASS", F3 = "PASS"), "YES", "NO")</f>
        <v>NO</v>
      </c>
      <c r="H3" s="236"/>
    </row>
    <row r="4" spans="2:8" x14ac:dyDescent="0.3">
      <c r="B4" s="39" t="s">
        <v>491</v>
      </c>
      <c r="C4" s="11" t="s">
        <v>489</v>
      </c>
      <c r="D4" s="11" t="s">
        <v>489</v>
      </c>
      <c r="E4" s="11" t="s">
        <v>489</v>
      </c>
      <c r="F4" s="11" t="s">
        <v>489</v>
      </c>
      <c r="G4" s="235" t="str">
        <f t="shared" ref="G4:G11" si="0">IF(AND(C4 = "PASS", D4 = "PASS", E4 = "PASS", F4 = "PASS"), "YES", "NO")</f>
        <v>YES</v>
      </c>
      <c r="H4" s="236"/>
    </row>
    <row r="5" spans="2:8" x14ac:dyDescent="0.3">
      <c r="B5" s="39" t="s">
        <v>492</v>
      </c>
      <c r="C5" s="11" t="s">
        <v>489</v>
      </c>
      <c r="D5" s="11" t="s">
        <v>490</v>
      </c>
      <c r="E5" s="11" t="s">
        <v>489</v>
      </c>
      <c r="F5" s="11" t="s">
        <v>489</v>
      </c>
      <c r="G5" s="235" t="str">
        <f t="shared" si="0"/>
        <v>NO</v>
      </c>
      <c r="H5" s="236"/>
    </row>
    <row r="6" spans="2:8" x14ac:dyDescent="0.3">
      <c r="B6" s="39" t="s">
        <v>493</v>
      </c>
      <c r="C6" s="11" t="s">
        <v>489</v>
      </c>
      <c r="D6" s="11" t="s">
        <v>489</v>
      </c>
      <c r="E6" s="11" t="s">
        <v>489</v>
      </c>
      <c r="F6" s="11" t="s">
        <v>489</v>
      </c>
      <c r="G6" s="235" t="str">
        <f t="shared" si="0"/>
        <v>YES</v>
      </c>
      <c r="H6" s="236"/>
    </row>
    <row r="7" spans="2:8" x14ac:dyDescent="0.3">
      <c r="B7" s="39" t="s">
        <v>494</v>
      </c>
      <c r="C7" s="11" t="s">
        <v>489</v>
      </c>
      <c r="D7" s="11" t="s">
        <v>490</v>
      </c>
      <c r="E7" s="11" t="s">
        <v>489</v>
      </c>
      <c r="F7" s="11" t="s">
        <v>489</v>
      </c>
      <c r="G7" s="235" t="str">
        <f t="shared" si="0"/>
        <v>NO</v>
      </c>
      <c r="H7" s="236"/>
    </row>
    <row r="8" spans="2:8" x14ac:dyDescent="0.3">
      <c r="B8" s="39" t="s">
        <v>495</v>
      </c>
      <c r="C8" s="11" t="s">
        <v>490</v>
      </c>
      <c r="D8" s="11" t="s">
        <v>489</v>
      </c>
      <c r="E8" s="11" t="s">
        <v>489</v>
      </c>
      <c r="F8" s="11" t="s">
        <v>489</v>
      </c>
      <c r="G8" s="235" t="str">
        <f t="shared" si="0"/>
        <v>NO</v>
      </c>
      <c r="H8" s="236"/>
    </row>
    <row r="9" spans="2:8" x14ac:dyDescent="0.3">
      <c r="B9" s="39" t="s">
        <v>496</v>
      </c>
      <c r="C9" s="11" t="s">
        <v>489</v>
      </c>
      <c r="D9" s="11" t="s">
        <v>489</v>
      </c>
      <c r="E9" s="11" t="s">
        <v>489</v>
      </c>
      <c r="F9" s="11" t="s">
        <v>490</v>
      </c>
      <c r="G9" s="235" t="str">
        <f t="shared" si="0"/>
        <v>NO</v>
      </c>
      <c r="H9" s="236"/>
    </row>
    <row r="10" spans="2:8" x14ac:dyDescent="0.3">
      <c r="B10" s="39" t="s">
        <v>497</v>
      </c>
      <c r="C10" s="11" t="s">
        <v>489</v>
      </c>
      <c r="D10" s="11" t="s">
        <v>489</v>
      </c>
      <c r="E10" s="11" t="s">
        <v>489</v>
      </c>
      <c r="F10" s="11" t="s">
        <v>490</v>
      </c>
      <c r="G10" s="235" t="str">
        <f t="shared" si="0"/>
        <v>NO</v>
      </c>
      <c r="H10" s="236"/>
    </row>
    <row r="11" spans="2:8" ht="15" thickBot="1" x14ac:dyDescent="0.35">
      <c r="B11" s="41" t="s">
        <v>498</v>
      </c>
      <c r="C11" s="42" t="s">
        <v>489</v>
      </c>
      <c r="D11" s="42" t="s">
        <v>489</v>
      </c>
      <c r="E11" s="42" t="s">
        <v>489</v>
      </c>
      <c r="F11" s="42" t="s">
        <v>489</v>
      </c>
      <c r="G11" s="237" t="str">
        <f t="shared" si="0"/>
        <v>YES</v>
      </c>
      <c r="H11" s="238"/>
    </row>
  </sheetData>
  <mergeCells count="10">
    <mergeCell ref="G8:H8"/>
    <mergeCell ref="G9:H9"/>
    <mergeCell ref="G10:H10"/>
    <mergeCell ref="G11:H11"/>
    <mergeCell ref="G2:H2"/>
    <mergeCell ref="G3:H3"/>
    <mergeCell ref="G4:H4"/>
    <mergeCell ref="G5:H5"/>
    <mergeCell ref="G6:H6"/>
    <mergeCell ref="G7:H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B0A7-5413-4F7D-B3B3-41C9230BBAC0}">
  <dimension ref="B1:P24"/>
  <sheetViews>
    <sheetView zoomScale="78" workbookViewId="0">
      <selection activeCell="G11" sqref="G11"/>
    </sheetView>
  </sheetViews>
  <sheetFormatPr defaultRowHeight="14.4" x14ac:dyDescent="0.3"/>
  <cols>
    <col min="2" max="2" width="13.21875" bestFit="1" customWidth="1"/>
    <col min="3" max="3" width="11.21875" bestFit="1" customWidth="1"/>
    <col min="6" max="6" width="11" customWidth="1"/>
    <col min="7" max="7" width="11.6640625" customWidth="1"/>
    <col min="10" max="10" width="8.88671875" customWidth="1"/>
    <col min="11" max="11" width="13.5546875" bestFit="1" customWidth="1"/>
  </cols>
  <sheetData>
    <row r="1" spans="2:16" ht="15" thickBot="1" x14ac:dyDescent="0.35"/>
    <row r="2" spans="2:16" ht="15" thickBot="1" x14ac:dyDescent="0.35">
      <c r="B2" s="193" t="s">
        <v>501</v>
      </c>
      <c r="C2" s="201"/>
      <c r="J2" s="193" t="s">
        <v>534</v>
      </c>
      <c r="K2" s="200"/>
      <c r="L2" s="201"/>
    </row>
    <row r="3" spans="2:16" x14ac:dyDescent="0.3">
      <c r="B3" s="79" t="s">
        <v>473</v>
      </c>
      <c r="C3" s="80" t="s">
        <v>499</v>
      </c>
      <c r="E3" s="202" t="s">
        <v>246</v>
      </c>
      <c r="F3" s="203"/>
      <c r="G3" s="38" t="s">
        <v>55</v>
      </c>
      <c r="J3" s="44" t="s">
        <v>516</v>
      </c>
      <c r="K3" s="35" t="s">
        <v>517</v>
      </c>
      <c r="L3" s="45" t="s">
        <v>27</v>
      </c>
      <c r="N3" s="202" t="s">
        <v>246</v>
      </c>
      <c r="O3" s="203"/>
      <c r="P3" s="38" t="s">
        <v>55</v>
      </c>
    </row>
    <row r="4" spans="2:16" ht="15" thickBot="1" x14ac:dyDescent="0.35">
      <c r="B4" s="39" t="s">
        <v>126</v>
      </c>
      <c r="C4" s="40">
        <v>250</v>
      </c>
      <c r="E4" s="241" t="s">
        <v>502</v>
      </c>
      <c r="F4" s="235"/>
      <c r="G4" s="40">
        <f>AVERAGEIF(B4:B15, "B", C4:C15)</f>
        <v>37.5</v>
      </c>
      <c r="J4" s="39" t="s">
        <v>518</v>
      </c>
      <c r="K4" s="11" t="s">
        <v>519</v>
      </c>
      <c r="L4" s="40">
        <v>25000</v>
      </c>
      <c r="N4" s="240" t="s">
        <v>535</v>
      </c>
      <c r="O4" s="237"/>
      <c r="P4" s="43">
        <f>AVERAGEIF(J3:J15, "West", L3:L15)</f>
        <v>8233.3333333333339</v>
      </c>
    </row>
    <row r="5" spans="2:16" x14ac:dyDescent="0.3">
      <c r="B5" s="39" t="s">
        <v>128</v>
      </c>
      <c r="C5" s="40">
        <v>110</v>
      </c>
      <c r="E5" s="241" t="s">
        <v>503</v>
      </c>
      <c r="F5" s="235"/>
      <c r="G5" s="81">
        <f>AVERAGEIF(B4:B15, "D", C4:C15)</f>
        <v>194.33333333333334</v>
      </c>
      <c r="J5" s="39" t="s">
        <v>520</v>
      </c>
      <c r="K5" s="11" t="s">
        <v>521</v>
      </c>
      <c r="L5" s="40">
        <v>12000</v>
      </c>
    </row>
    <row r="6" spans="2:16" x14ac:dyDescent="0.3">
      <c r="B6" s="39" t="s">
        <v>500</v>
      </c>
      <c r="C6" s="40">
        <v>300</v>
      </c>
      <c r="E6" s="77" t="s">
        <v>536</v>
      </c>
      <c r="F6" s="11"/>
      <c r="G6" s="40">
        <f>AVERAGEIF(C3:C15, "&lt;250", C3:C15)</f>
        <v>46.375</v>
      </c>
      <c r="J6" s="39" t="s">
        <v>522</v>
      </c>
      <c r="K6" s="11" t="s">
        <v>523</v>
      </c>
      <c r="L6" s="40">
        <v>4200</v>
      </c>
    </row>
    <row r="7" spans="2:16" ht="15" thickBot="1" x14ac:dyDescent="0.35">
      <c r="B7" s="39" t="s">
        <v>129</v>
      </c>
      <c r="C7" s="40">
        <v>50</v>
      </c>
      <c r="E7" s="78" t="s">
        <v>537</v>
      </c>
      <c r="F7" s="42"/>
      <c r="G7" s="43">
        <f>AVERAGEIF(C3:C15, "&lt;100", C3:C15)</f>
        <v>37.285714285714285</v>
      </c>
      <c r="J7" s="39" t="s">
        <v>522</v>
      </c>
      <c r="K7" s="11" t="s">
        <v>524</v>
      </c>
      <c r="L7" s="40">
        <v>5600</v>
      </c>
    </row>
    <row r="8" spans="2:16" x14ac:dyDescent="0.3">
      <c r="B8" s="39" t="s">
        <v>127</v>
      </c>
      <c r="C8" s="40">
        <v>25</v>
      </c>
      <c r="J8" s="39" t="s">
        <v>525</v>
      </c>
      <c r="K8" s="11" t="s">
        <v>526</v>
      </c>
      <c r="L8" s="40">
        <v>15000</v>
      </c>
    </row>
    <row r="9" spans="2:16" x14ac:dyDescent="0.3">
      <c r="B9" s="39" t="s">
        <v>128</v>
      </c>
      <c r="C9" s="40">
        <v>23</v>
      </c>
      <c r="J9" s="39" t="s">
        <v>520</v>
      </c>
      <c r="K9" s="11" t="s">
        <v>527</v>
      </c>
      <c r="L9" s="40">
        <v>7000</v>
      </c>
    </row>
    <row r="10" spans="2:16" x14ac:dyDescent="0.3">
      <c r="B10" s="39" t="s">
        <v>91</v>
      </c>
      <c r="C10" s="40">
        <v>25</v>
      </c>
      <c r="J10" s="39" t="s">
        <v>518</v>
      </c>
      <c r="K10" s="11" t="s">
        <v>528</v>
      </c>
      <c r="L10" s="40">
        <v>5200</v>
      </c>
    </row>
    <row r="11" spans="2:16" x14ac:dyDescent="0.3">
      <c r="B11" s="39" t="s">
        <v>126</v>
      </c>
      <c r="C11" s="40">
        <v>90</v>
      </c>
      <c r="J11" s="39" t="s">
        <v>522</v>
      </c>
      <c r="K11" s="11" t="s">
        <v>529</v>
      </c>
      <c r="L11" s="40">
        <v>6000</v>
      </c>
    </row>
    <row r="12" spans="2:16" x14ac:dyDescent="0.3">
      <c r="B12" s="39" t="s">
        <v>128</v>
      </c>
      <c r="C12" s="40">
        <v>450</v>
      </c>
      <c r="J12" s="39" t="s">
        <v>525</v>
      </c>
      <c r="K12" s="11" t="s">
        <v>530</v>
      </c>
      <c r="L12" s="40">
        <v>8500</v>
      </c>
    </row>
    <row r="13" spans="2:16" x14ac:dyDescent="0.3">
      <c r="B13" s="39" t="s">
        <v>127</v>
      </c>
      <c r="C13" s="40">
        <v>23</v>
      </c>
      <c r="J13" s="39" t="s">
        <v>518</v>
      </c>
      <c r="K13" s="11" t="s">
        <v>531</v>
      </c>
      <c r="L13" s="40">
        <v>12000</v>
      </c>
    </row>
    <row r="14" spans="2:16" x14ac:dyDescent="0.3">
      <c r="B14" s="39" t="s">
        <v>126</v>
      </c>
      <c r="C14" s="40">
        <v>250</v>
      </c>
      <c r="J14" s="39" t="s">
        <v>522</v>
      </c>
      <c r="K14" s="11" t="s">
        <v>532</v>
      </c>
      <c r="L14" s="40">
        <v>4300</v>
      </c>
    </row>
    <row r="15" spans="2:16" ht="15" thickBot="1" x14ac:dyDescent="0.35">
      <c r="B15" s="41" t="s">
        <v>129</v>
      </c>
      <c r="C15" s="43">
        <v>25</v>
      </c>
      <c r="J15" s="41" t="s">
        <v>525</v>
      </c>
      <c r="K15" s="42" t="s">
        <v>533</v>
      </c>
      <c r="L15" s="43">
        <v>1200</v>
      </c>
    </row>
    <row r="16" spans="2:16" ht="15" thickBot="1" x14ac:dyDescent="0.35"/>
    <row r="17" spans="2:8" ht="15" thickBot="1" x14ac:dyDescent="0.35">
      <c r="B17" s="193" t="s">
        <v>515</v>
      </c>
      <c r="C17" s="200"/>
      <c r="D17" s="201"/>
    </row>
    <row r="18" spans="2:8" x14ac:dyDescent="0.3">
      <c r="B18" s="44" t="s">
        <v>149</v>
      </c>
      <c r="C18" s="35" t="s">
        <v>504</v>
      </c>
      <c r="D18" s="45" t="s">
        <v>505</v>
      </c>
      <c r="F18" s="202" t="s">
        <v>246</v>
      </c>
      <c r="G18" s="203"/>
      <c r="H18" s="38" t="s">
        <v>55</v>
      </c>
    </row>
    <row r="19" spans="2:8" x14ac:dyDescent="0.3">
      <c r="B19" s="39" t="s">
        <v>26</v>
      </c>
      <c r="C19" s="11" t="s">
        <v>506</v>
      </c>
      <c r="D19" s="40">
        <v>90</v>
      </c>
      <c r="F19" s="241" t="s">
        <v>513</v>
      </c>
      <c r="G19" s="235"/>
      <c r="H19" s="40">
        <f>AVERAGEIF(C18:C24, "Second", D18:D24)</f>
        <v>80</v>
      </c>
    </row>
    <row r="20" spans="2:8" ht="15" thickBot="1" x14ac:dyDescent="0.35">
      <c r="B20" s="39" t="s">
        <v>507</v>
      </c>
      <c r="C20" s="11" t="s">
        <v>508</v>
      </c>
      <c r="D20" s="40">
        <v>70</v>
      </c>
      <c r="F20" s="240" t="s">
        <v>514</v>
      </c>
      <c r="G20" s="237"/>
      <c r="H20" s="43">
        <f>AVERAGEIF(C18:C24, "Third", D18:D24)</f>
        <v>61.666666666666664</v>
      </c>
    </row>
    <row r="21" spans="2:8" x14ac:dyDescent="0.3">
      <c r="B21" s="39" t="s">
        <v>509</v>
      </c>
      <c r="C21" s="11" t="s">
        <v>506</v>
      </c>
      <c r="D21" s="40">
        <v>85</v>
      </c>
    </row>
    <row r="22" spans="2:8" x14ac:dyDescent="0.3">
      <c r="B22" s="39" t="s">
        <v>510</v>
      </c>
      <c r="C22" s="11" t="s">
        <v>506</v>
      </c>
      <c r="D22" s="40">
        <v>65</v>
      </c>
    </row>
    <row r="23" spans="2:8" x14ac:dyDescent="0.3">
      <c r="B23" s="39" t="s">
        <v>511</v>
      </c>
      <c r="C23" s="11" t="s">
        <v>508</v>
      </c>
      <c r="D23" s="40">
        <v>60</v>
      </c>
    </row>
    <row r="24" spans="2:8" ht="15" thickBot="1" x14ac:dyDescent="0.35">
      <c r="B24" s="41" t="s">
        <v>512</v>
      </c>
      <c r="C24" s="42" t="s">
        <v>508</v>
      </c>
      <c r="D24" s="43">
        <v>55</v>
      </c>
    </row>
  </sheetData>
  <mergeCells count="11">
    <mergeCell ref="F20:G20"/>
    <mergeCell ref="B17:D17"/>
    <mergeCell ref="J2:L2"/>
    <mergeCell ref="N3:O3"/>
    <mergeCell ref="N4:O4"/>
    <mergeCell ref="B2:C2"/>
    <mergeCell ref="E3:F3"/>
    <mergeCell ref="E4:F4"/>
    <mergeCell ref="E5:F5"/>
    <mergeCell ref="F18:G18"/>
    <mergeCell ref="F19:G1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BEE5-CF97-4E42-B97E-66B1FFF2EE7C}">
  <dimension ref="B1:E9"/>
  <sheetViews>
    <sheetView workbookViewId="0">
      <selection activeCell="H8" sqref="H8"/>
    </sheetView>
  </sheetViews>
  <sheetFormatPr defaultRowHeight="14.4" x14ac:dyDescent="0.3"/>
  <cols>
    <col min="3" max="3" width="9.88671875" bestFit="1" customWidth="1"/>
    <col min="4" max="4" width="9.77734375" bestFit="1" customWidth="1"/>
    <col min="5" max="5" width="17.33203125" bestFit="1" customWidth="1"/>
  </cols>
  <sheetData>
    <row r="1" spans="2:5" ht="15" thickBot="1" x14ac:dyDescent="0.35"/>
    <row r="2" spans="2:5" x14ac:dyDescent="0.3">
      <c r="B2" s="193" t="s">
        <v>558</v>
      </c>
      <c r="C2" s="200"/>
      <c r="D2" s="200"/>
      <c r="E2" s="201"/>
    </row>
    <row r="3" spans="2:5" x14ac:dyDescent="0.3">
      <c r="B3" s="44" t="s">
        <v>538</v>
      </c>
      <c r="C3" s="35" t="s">
        <v>23</v>
      </c>
      <c r="D3" s="35" t="s">
        <v>539</v>
      </c>
      <c r="E3" s="45" t="s">
        <v>540</v>
      </c>
    </row>
    <row r="4" spans="2:5" x14ac:dyDescent="0.3">
      <c r="B4" s="39" t="s">
        <v>541</v>
      </c>
      <c r="C4" s="11" t="s">
        <v>542</v>
      </c>
      <c r="D4" s="11" t="s">
        <v>543</v>
      </c>
      <c r="E4" s="40" t="str">
        <f>_xlfn.CONCAT(C4, " ", D4)</f>
        <v>Vishal Mohan</v>
      </c>
    </row>
    <row r="5" spans="2:5" x14ac:dyDescent="0.3">
      <c r="B5" s="39" t="s">
        <v>544</v>
      </c>
      <c r="C5" s="11" t="s">
        <v>26</v>
      </c>
      <c r="D5" s="11" t="s">
        <v>545</v>
      </c>
      <c r="E5" s="40" t="str">
        <f t="shared" ref="E5:E9" si="0">_xlfn.CONCAT(C5, " ", D5)</f>
        <v>John Mathew</v>
      </c>
    </row>
    <row r="6" spans="2:5" x14ac:dyDescent="0.3">
      <c r="B6" s="39" t="s">
        <v>546</v>
      </c>
      <c r="C6" s="11" t="s">
        <v>547</v>
      </c>
      <c r="D6" s="11" t="s">
        <v>548</v>
      </c>
      <c r="E6" s="40" t="str">
        <f t="shared" si="0"/>
        <v>Jameenah Powel</v>
      </c>
    </row>
    <row r="7" spans="2:5" x14ac:dyDescent="0.3">
      <c r="B7" s="39" t="s">
        <v>549</v>
      </c>
      <c r="C7" s="11" t="s">
        <v>550</v>
      </c>
      <c r="D7" s="11" t="s">
        <v>551</v>
      </c>
      <c r="E7" s="40" t="str">
        <f t="shared" si="0"/>
        <v>Arundhati Savannah</v>
      </c>
    </row>
    <row r="8" spans="2:5" x14ac:dyDescent="0.3">
      <c r="B8" s="39" t="s">
        <v>552</v>
      </c>
      <c r="C8" s="11" t="s">
        <v>553</v>
      </c>
      <c r="D8" s="11" t="s">
        <v>554</v>
      </c>
      <c r="E8" s="40" t="str">
        <f t="shared" si="0"/>
        <v>Peter Potter</v>
      </c>
    </row>
    <row r="9" spans="2:5" ht="15" thickBot="1" x14ac:dyDescent="0.35">
      <c r="B9" s="41" t="s">
        <v>555</v>
      </c>
      <c r="C9" s="42" t="s">
        <v>556</v>
      </c>
      <c r="D9" s="42" t="s">
        <v>557</v>
      </c>
      <c r="E9" s="43" t="str">
        <f t="shared" si="0"/>
        <v>Roger Williams</v>
      </c>
    </row>
  </sheetData>
  <mergeCells count="1">
    <mergeCell ref="B2:E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A1E6-B3E0-4C41-8419-AD22EC4A0DAE}">
  <dimension ref="B1:S27"/>
  <sheetViews>
    <sheetView zoomScale="95" workbookViewId="0">
      <selection activeCell="W11" sqref="W11"/>
    </sheetView>
  </sheetViews>
  <sheetFormatPr defaultRowHeight="14.4" x14ac:dyDescent="0.3"/>
  <cols>
    <col min="3" max="3" width="9.88671875" bestFit="1" customWidth="1"/>
    <col min="5" max="5" width="10.77734375" bestFit="1" customWidth="1"/>
    <col min="13" max="14" width="10.21875" bestFit="1" customWidth="1"/>
    <col min="15" max="15" width="11.21875" bestFit="1" customWidth="1"/>
    <col min="16" max="16" width="9.21875" customWidth="1"/>
  </cols>
  <sheetData>
    <row r="1" spans="2:19" ht="15" thickBot="1" x14ac:dyDescent="0.35"/>
    <row r="2" spans="2:19" x14ac:dyDescent="0.3">
      <c r="B2" s="193" t="s">
        <v>619</v>
      </c>
      <c r="C2" s="200"/>
      <c r="D2" s="200"/>
      <c r="E2" s="201"/>
      <c r="G2" s="193" t="s">
        <v>471</v>
      </c>
      <c r="H2" s="201"/>
      <c r="K2" s="85"/>
      <c r="M2" s="193" t="s">
        <v>619</v>
      </c>
      <c r="N2" s="200"/>
      <c r="O2" s="200"/>
      <c r="P2" s="201"/>
      <c r="R2" s="193" t="s">
        <v>635</v>
      </c>
      <c r="S2" s="201"/>
    </row>
    <row r="3" spans="2:19" x14ac:dyDescent="0.3">
      <c r="B3" s="44" t="s">
        <v>538</v>
      </c>
      <c r="C3" s="35" t="s">
        <v>582</v>
      </c>
      <c r="D3" s="35" t="s">
        <v>87</v>
      </c>
      <c r="E3" s="45" t="s">
        <v>24</v>
      </c>
      <c r="G3" s="44" t="s">
        <v>538</v>
      </c>
      <c r="H3" s="45" t="s">
        <v>87</v>
      </c>
      <c r="K3" s="85"/>
      <c r="M3" s="44" t="s">
        <v>582</v>
      </c>
      <c r="N3" s="35" t="s">
        <v>87</v>
      </c>
      <c r="O3" s="35" t="s">
        <v>24</v>
      </c>
      <c r="P3" s="45" t="s">
        <v>538</v>
      </c>
      <c r="R3" s="44" t="s">
        <v>538</v>
      </c>
      <c r="S3" s="45" t="s">
        <v>87</v>
      </c>
    </row>
    <row r="4" spans="2:19" x14ac:dyDescent="0.3">
      <c r="B4" s="39" t="s">
        <v>584</v>
      </c>
      <c r="C4" s="11" t="s">
        <v>583</v>
      </c>
      <c r="D4" s="89">
        <v>92671</v>
      </c>
      <c r="E4" s="40" t="s">
        <v>27</v>
      </c>
      <c r="G4" s="86" t="s">
        <v>584</v>
      </c>
      <c r="H4" s="91">
        <f>VLOOKUP(G4, $B$3:$E$22, 3, 0)</f>
        <v>92671</v>
      </c>
      <c r="K4" s="85"/>
      <c r="M4" s="39" t="s">
        <v>583</v>
      </c>
      <c r="N4" s="89">
        <v>92671</v>
      </c>
      <c r="O4" s="11" t="s">
        <v>27</v>
      </c>
      <c r="P4" s="40" t="s">
        <v>584</v>
      </c>
      <c r="R4" s="86" t="s">
        <v>584</v>
      </c>
      <c r="S4" s="91">
        <f>INDEX($M$4:$P$22, MATCH(R4, $P$4:$P$22, 0), MATCH("Salary", $M$3:$P$3, 0))</f>
        <v>92671</v>
      </c>
    </row>
    <row r="5" spans="2:19" x14ac:dyDescent="0.3">
      <c r="B5" s="39" t="s">
        <v>586</v>
      </c>
      <c r="C5" s="11" t="s">
        <v>585</v>
      </c>
      <c r="D5" s="89">
        <v>84120</v>
      </c>
      <c r="E5" s="40" t="s">
        <v>415</v>
      </c>
      <c r="G5" s="39" t="s">
        <v>586</v>
      </c>
      <c r="H5" s="91">
        <f t="shared" ref="H5:H22" si="0">VLOOKUP(G5, $B$3:$E$22, 3, 0)</f>
        <v>84120</v>
      </c>
      <c r="K5" s="85"/>
      <c r="M5" s="39" t="s">
        <v>585</v>
      </c>
      <c r="N5" s="89">
        <v>84120</v>
      </c>
      <c r="O5" s="11" t="s">
        <v>415</v>
      </c>
      <c r="P5" s="40" t="s">
        <v>586</v>
      </c>
      <c r="R5" s="39" t="s">
        <v>586</v>
      </c>
      <c r="S5" s="91">
        <f t="shared" ref="S5:S22" si="1">INDEX($M$4:$P$22, MATCH(R5, $P$4:$P$22, 0), MATCH("Salary", $M$3:$P$3, 0))</f>
        <v>84120</v>
      </c>
    </row>
    <row r="6" spans="2:19" x14ac:dyDescent="0.3">
      <c r="B6" s="39" t="s">
        <v>588</v>
      </c>
      <c r="C6" s="11" t="s">
        <v>587</v>
      </c>
      <c r="D6" s="89">
        <v>50793</v>
      </c>
      <c r="E6" s="40" t="s">
        <v>29</v>
      </c>
      <c r="G6" s="39" t="s">
        <v>588</v>
      </c>
      <c r="H6" s="91">
        <f t="shared" si="0"/>
        <v>50793</v>
      </c>
      <c r="K6" s="85"/>
      <c r="M6" s="39" t="s">
        <v>587</v>
      </c>
      <c r="N6" s="89">
        <v>50793</v>
      </c>
      <c r="O6" s="11" t="s">
        <v>29</v>
      </c>
      <c r="P6" s="40" t="s">
        <v>588</v>
      </c>
      <c r="R6" s="39" t="s">
        <v>588</v>
      </c>
      <c r="S6" s="91">
        <f t="shared" si="1"/>
        <v>50793</v>
      </c>
    </row>
    <row r="7" spans="2:19" x14ac:dyDescent="0.3">
      <c r="B7" s="39" t="s">
        <v>590</v>
      </c>
      <c r="C7" s="11" t="s">
        <v>589</v>
      </c>
      <c r="D7" s="89">
        <v>77833</v>
      </c>
      <c r="E7" s="40" t="s">
        <v>33</v>
      </c>
      <c r="G7" s="39" t="s">
        <v>590</v>
      </c>
      <c r="H7" s="91">
        <f t="shared" si="0"/>
        <v>77833</v>
      </c>
      <c r="K7" s="85"/>
      <c r="M7" s="39" t="s">
        <v>589</v>
      </c>
      <c r="N7" s="89">
        <v>77833</v>
      </c>
      <c r="O7" s="11" t="s">
        <v>33</v>
      </c>
      <c r="P7" s="40" t="s">
        <v>590</v>
      </c>
      <c r="R7" s="39" t="s">
        <v>590</v>
      </c>
      <c r="S7" s="91">
        <f t="shared" si="1"/>
        <v>77833</v>
      </c>
    </row>
    <row r="8" spans="2:19" x14ac:dyDescent="0.3">
      <c r="B8" s="39" t="s">
        <v>592</v>
      </c>
      <c r="C8" s="11" t="s">
        <v>591</v>
      </c>
      <c r="D8" s="89">
        <v>58914</v>
      </c>
      <c r="E8" s="40" t="s">
        <v>37</v>
      </c>
      <c r="G8" s="39" t="s">
        <v>592</v>
      </c>
      <c r="H8" s="91">
        <f t="shared" si="0"/>
        <v>58914</v>
      </c>
      <c r="K8" s="85"/>
      <c r="M8" s="39" t="s">
        <v>591</v>
      </c>
      <c r="N8" s="89">
        <v>58914</v>
      </c>
      <c r="O8" s="11" t="s">
        <v>37</v>
      </c>
      <c r="P8" s="40" t="s">
        <v>592</v>
      </c>
      <c r="R8" s="39" t="s">
        <v>592</v>
      </c>
      <c r="S8" s="91">
        <f t="shared" si="1"/>
        <v>58914</v>
      </c>
    </row>
    <row r="9" spans="2:19" x14ac:dyDescent="0.3">
      <c r="B9" s="39" t="s">
        <v>594</v>
      </c>
      <c r="C9" s="11" t="s">
        <v>593</v>
      </c>
      <c r="D9" s="89">
        <v>51096</v>
      </c>
      <c r="E9" s="40" t="s">
        <v>31</v>
      </c>
      <c r="G9" s="39" t="s">
        <v>594</v>
      </c>
      <c r="H9" s="91">
        <f t="shared" si="0"/>
        <v>51096</v>
      </c>
      <c r="K9" s="85"/>
      <c r="M9" s="39" t="s">
        <v>593</v>
      </c>
      <c r="N9" s="89">
        <v>51096</v>
      </c>
      <c r="O9" s="11" t="s">
        <v>31</v>
      </c>
      <c r="P9" s="40" t="s">
        <v>594</v>
      </c>
      <c r="R9" s="39" t="s">
        <v>594</v>
      </c>
      <c r="S9" s="91">
        <f t="shared" si="1"/>
        <v>51096</v>
      </c>
    </row>
    <row r="10" spans="2:19" x14ac:dyDescent="0.3">
      <c r="B10" s="39" t="s">
        <v>596</v>
      </c>
      <c r="C10" s="11" t="s">
        <v>595</v>
      </c>
      <c r="D10" s="89">
        <v>74418</v>
      </c>
      <c r="E10" s="40" t="s">
        <v>31</v>
      </c>
      <c r="G10" s="39" t="s">
        <v>596</v>
      </c>
      <c r="H10" s="91">
        <f t="shared" si="0"/>
        <v>74418</v>
      </c>
      <c r="K10" s="85"/>
      <c r="M10" s="39" t="s">
        <v>595</v>
      </c>
      <c r="N10" s="89">
        <v>74418</v>
      </c>
      <c r="O10" s="11" t="s">
        <v>31</v>
      </c>
      <c r="P10" s="40" t="s">
        <v>596</v>
      </c>
      <c r="R10" s="39" t="s">
        <v>596</v>
      </c>
      <c r="S10" s="91">
        <f t="shared" si="1"/>
        <v>74418</v>
      </c>
    </row>
    <row r="11" spans="2:19" x14ac:dyDescent="0.3">
      <c r="B11" s="39" t="s">
        <v>598</v>
      </c>
      <c r="C11" s="11" t="s">
        <v>597</v>
      </c>
      <c r="D11" s="89">
        <v>51366</v>
      </c>
      <c r="E11" s="40" t="s">
        <v>27</v>
      </c>
      <c r="G11" s="39" t="s">
        <v>598</v>
      </c>
      <c r="H11" s="91">
        <f t="shared" si="0"/>
        <v>51366</v>
      </c>
      <c r="K11" s="85"/>
      <c r="M11" s="39" t="s">
        <v>597</v>
      </c>
      <c r="N11" s="89">
        <v>51366</v>
      </c>
      <c r="O11" s="11" t="s">
        <v>27</v>
      </c>
      <c r="P11" s="40" t="s">
        <v>598</v>
      </c>
      <c r="R11" s="39" t="s">
        <v>598</v>
      </c>
      <c r="S11" s="91">
        <f t="shared" si="1"/>
        <v>51366</v>
      </c>
    </row>
    <row r="12" spans="2:19" x14ac:dyDescent="0.3">
      <c r="B12" s="39" t="s">
        <v>600</v>
      </c>
      <c r="C12" s="11" t="s">
        <v>599</v>
      </c>
      <c r="D12" s="89">
        <v>54600</v>
      </c>
      <c r="E12" s="40" t="s">
        <v>37</v>
      </c>
      <c r="G12" s="39" t="s">
        <v>600</v>
      </c>
      <c r="H12" s="91">
        <f t="shared" si="0"/>
        <v>54600</v>
      </c>
      <c r="K12" s="85"/>
      <c r="M12" s="39" t="s">
        <v>599</v>
      </c>
      <c r="N12" s="89">
        <v>54600</v>
      </c>
      <c r="O12" s="11" t="s">
        <v>37</v>
      </c>
      <c r="P12" s="40" t="s">
        <v>600</v>
      </c>
      <c r="R12" s="39" t="s">
        <v>600</v>
      </c>
      <c r="S12" s="91">
        <f t="shared" si="1"/>
        <v>54600</v>
      </c>
    </row>
    <row r="13" spans="2:19" x14ac:dyDescent="0.3">
      <c r="B13" s="39" t="s">
        <v>602</v>
      </c>
      <c r="C13" s="11" t="s">
        <v>601</v>
      </c>
      <c r="D13" s="89">
        <v>93509</v>
      </c>
      <c r="E13" s="40" t="s">
        <v>415</v>
      </c>
      <c r="G13" s="39" t="s">
        <v>602</v>
      </c>
      <c r="H13" s="91">
        <f t="shared" si="0"/>
        <v>93509</v>
      </c>
      <c r="K13" s="85"/>
      <c r="M13" s="39" t="s">
        <v>601</v>
      </c>
      <c r="N13" s="89">
        <v>93509</v>
      </c>
      <c r="O13" s="11" t="s">
        <v>415</v>
      </c>
      <c r="P13" s="40" t="s">
        <v>602</v>
      </c>
      <c r="R13" s="39" t="s">
        <v>602</v>
      </c>
      <c r="S13" s="91">
        <f t="shared" si="1"/>
        <v>93509</v>
      </c>
    </row>
    <row r="14" spans="2:19" x14ac:dyDescent="0.3">
      <c r="B14" s="39" t="s">
        <v>604</v>
      </c>
      <c r="C14" s="11" t="s">
        <v>603</v>
      </c>
      <c r="D14" s="89">
        <v>82105</v>
      </c>
      <c r="E14" s="40" t="s">
        <v>37</v>
      </c>
      <c r="G14" s="39" t="s">
        <v>604</v>
      </c>
      <c r="H14" s="91">
        <f t="shared" si="0"/>
        <v>82105</v>
      </c>
      <c r="K14" s="85"/>
      <c r="M14" s="39" t="s">
        <v>603</v>
      </c>
      <c r="N14" s="89">
        <v>82105</v>
      </c>
      <c r="O14" s="11" t="s">
        <v>37</v>
      </c>
      <c r="P14" s="40" t="s">
        <v>604</v>
      </c>
      <c r="R14" s="39" t="s">
        <v>604</v>
      </c>
      <c r="S14" s="91">
        <f t="shared" si="1"/>
        <v>82105</v>
      </c>
    </row>
    <row r="15" spans="2:19" x14ac:dyDescent="0.3">
      <c r="B15" s="39" t="s">
        <v>606</v>
      </c>
      <c r="C15" s="11" t="s">
        <v>605</v>
      </c>
      <c r="D15" s="89">
        <v>64306</v>
      </c>
      <c r="E15" s="40" t="s">
        <v>29</v>
      </c>
      <c r="G15" s="39" t="s">
        <v>606</v>
      </c>
      <c r="H15" s="91">
        <f t="shared" si="0"/>
        <v>64306</v>
      </c>
      <c r="K15" s="85"/>
      <c r="M15" s="39" t="s">
        <v>605</v>
      </c>
      <c r="N15" s="89">
        <v>64306</v>
      </c>
      <c r="O15" s="11" t="s">
        <v>29</v>
      </c>
      <c r="P15" s="40" t="s">
        <v>606</v>
      </c>
      <c r="R15" s="39" t="s">
        <v>606</v>
      </c>
      <c r="S15" s="91">
        <f t="shared" si="1"/>
        <v>64306</v>
      </c>
    </row>
    <row r="16" spans="2:19" x14ac:dyDescent="0.3">
      <c r="B16" s="39" t="s">
        <v>608</v>
      </c>
      <c r="C16" s="11" t="s">
        <v>607</v>
      </c>
      <c r="D16" s="89">
        <v>76260</v>
      </c>
      <c r="E16" s="40" t="s">
        <v>27</v>
      </c>
      <c r="G16" s="39" t="s">
        <v>608</v>
      </c>
      <c r="H16" s="91">
        <f t="shared" si="0"/>
        <v>76260</v>
      </c>
      <c r="K16" s="85"/>
      <c r="M16" s="39" t="s">
        <v>607</v>
      </c>
      <c r="N16" s="89">
        <v>76260</v>
      </c>
      <c r="O16" s="11" t="s">
        <v>27</v>
      </c>
      <c r="P16" s="40" t="s">
        <v>608</v>
      </c>
      <c r="R16" s="39" t="s">
        <v>608</v>
      </c>
      <c r="S16" s="91">
        <f t="shared" si="1"/>
        <v>76260</v>
      </c>
    </row>
    <row r="17" spans="2:19" x14ac:dyDescent="0.3">
      <c r="B17" s="39" t="s">
        <v>610</v>
      </c>
      <c r="C17" s="11" t="s">
        <v>609</v>
      </c>
      <c r="D17" s="89">
        <v>88965</v>
      </c>
      <c r="E17" s="40" t="s">
        <v>31</v>
      </c>
      <c r="G17" s="39" t="s">
        <v>610</v>
      </c>
      <c r="H17" s="91">
        <f t="shared" si="0"/>
        <v>88965</v>
      </c>
      <c r="K17" s="85"/>
      <c r="M17" s="39" t="s">
        <v>609</v>
      </c>
      <c r="N17" s="89">
        <v>88965</v>
      </c>
      <c r="O17" s="11" t="s">
        <v>31</v>
      </c>
      <c r="P17" s="40" t="s">
        <v>610</v>
      </c>
      <c r="R17" s="39" t="s">
        <v>610</v>
      </c>
      <c r="S17" s="91">
        <f t="shared" si="1"/>
        <v>88965</v>
      </c>
    </row>
    <row r="18" spans="2:19" x14ac:dyDescent="0.3">
      <c r="B18" s="39" t="s">
        <v>612</v>
      </c>
      <c r="C18" s="11" t="s">
        <v>611</v>
      </c>
      <c r="D18" s="89">
        <v>68283</v>
      </c>
      <c r="E18" s="40" t="s">
        <v>415</v>
      </c>
      <c r="G18" s="39" t="s">
        <v>612</v>
      </c>
      <c r="H18" s="91">
        <f t="shared" si="0"/>
        <v>68283</v>
      </c>
      <c r="K18" s="85"/>
      <c r="M18" s="39" t="s">
        <v>611</v>
      </c>
      <c r="N18" s="89">
        <v>68283</v>
      </c>
      <c r="O18" s="11" t="s">
        <v>415</v>
      </c>
      <c r="P18" s="40" t="s">
        <v>612</v>
      </c>
      <c r="R18" s="39" t="s">
        <v>612</v>
      </c>
      <c r="S18" s="91">
        <f t="shared" si="1"/>
        <v>68283</v>
      </c>
    </row>
    <row r="19" spans="2:19" x14ac:dyDescent="0.3">
      <c r="B19" s="39" t="s">
        <v>614</v>
      </c>
      <c r="C19" s="11" t="s">
        <v>613</v>
      </c>
      <c r="D19" s="89">
        <v>45742</v>
      </c>
      <c r="E19" s="40" t="s">
        <v>27</v>
      </c>
      <c r="G19" s="39" t="s">
        <v>614</v>
      </c>
      <c r="H19" s="91">
        <f t="shared" si="0"/>
        <v>45742</v>
      </c>
      <c r="K19" s="85"/>
      <c r="M19" s="39" t="s">
        <v>613</v>
      </c>
      <c r="N19" s="89">
        <v>45742</v>
      </c>
      <c r="O19" s="11" t="s">
        <v>27</v>
      </c>
      <c r="P19" s="40" t="s">
        <v>614</v>
      </c>
      <c r="R19" s="39" t="s">
        <v>614</v>
      </c>
      <c r="S19" s="91">
        <f t="shared" si="1"/>
        <v>45742</v>
      </c>
    </row>
    <row r="20" spans="2:19" x14ac:dyDescent="0.3">
      <c r="B20" s="39" t="s">
        <v>615</v>
      </c>
      <c r="C20" s="11" t="s">
        <v>36</v>
      </c>
      <c r="D20" s="89">
        <v>88354</v>
      </c>
      <c r="E20" s="40" t="s">
        <v>29</v>
      </c>
      <c r="G20" s="39" t="s">
        <v>615</v>
      </c>
      <c r="H20" s="91">
        <f t="shared" si="0"/>
        <v>88354</v>
      </c>
      <c r="K20" s="85"/>
      <c r="M20" s="39" t="s">
        <v>36</v>
      </c>
      <c r="N20" s="89">
        <v>88354</v>
      </c>
      <c r="O20" s="11" t="s">
        <v>29</v>
      </c>
      <c r="P20" s="40" t="s">
        <v>615</v>
      </c>
      <c r="R20" s="39" t="s">
        <v>615</v>
      </c>
      <c r="S20" s="91">
        <f t="shared" si="1"/>
        <v>88354</v>
      </c>
    </row>
    <row r="21" spans="2:19" x14ac:dyDescent="0.3">
      <c r="B21" s="39" t="s">
        <v>617</v>
      </c>
      <c r="C21" s="11" t="s">
        <v>616</v>
      </c>
      <c r="D21" s="89">
        <v>76641</v>
      </c>
      <c r="E21" s="40" t="s">
        <v>33</v>
      </c>
      <c r="G21" s="39" t="s">
        <v>617</v>
      </c>
      <c r="H21" s="91">
        <f t="shared" si="0"/>
        <v>76641</v>
      </c>
      <c r="K21" s="85"/>
      <c r="M21" s="39" t="s">
        <v>616</v>
      </c>
      <c r="N21" s="89">
        <v>76641</v>
      </c>
      <c r="O21" s="11" t="s">
        <v>33</v>
      </c>
      <c r="P21" s="40" t="s">
        <v>617</v>
      </c>
      <c r="R21" s="39" t="s">
        <v>617</v>
      </c>
      <c r="S21" s="91">
        <f t="shared" si="1"/>
        <v>76641</v>
      </c>
    </row>
    <row r="22" spans="2:19" ht="15" thickBot="1" x14ac:dyDescent="0.35">
      <c r="B22" s="41" t="s">
        <v>618</v>
      </c>
      <c r="C22" s="42" t="s">
        <v>553</v>
      </c>
      <c r="D22" s="90">
        <v>61678</v>
      </c>
      <c r="E22" s="43" t="s">
        <v>27</v>
      </c>
      <c r="G22" s="41" t="s">
        <v>618</v>
      </c>
      <c r="H22" s="92">
        <f t="shared" si="0"/>
        <v>61678</v>
      </c>
      <c r="K22" s="85"/>
      <c r="M22" s="41" t="s">
        <v>553</v>
      </c>
      <c r="N22" s="90">
        <v>61678</v>
      </c>
      <c r="O22" s="42" t="s">
        <v>27</v>
      </c>
      <c r="P22" s="43" t="s">
        <v>618</v>
      </c>
      <c r="R22" s="41" t="s">
        <v>618</v>
      </c>
      <c r="S22" s="92">
        <f t="shared" si="1"/>
        <v>61678</v>
      </c>
    </row>
    <row r="23" spans="2:19" ht="15" thickBot="1" x14ac:dyDescent="0.35">
      <c r="K23" s="85"/>
    </row>
    <row r="24" spans="2:19" x14ac:dyDescent="0.3">
      <c r="B24" s="202" t="s">
        <v>246</v>
      </c>
      <c r="C24" s="203"/>
      <c r="D24" s="203"/>
      <c r="E24" s="203"/>
      <c r="F24" s="203"/>
      <c r="G24" s="203"/>
      <c r="H24" s="203"/>
      <c r="I24" s="203"/>
      <c r="J24" s="38" t="s">
        <v>55</v>
      </c>
      <c r="K24" s="85"/>
    </row>
    <row r="25" spans="2:19" x14ac:dyDescent="0.3">
      <c r="B25" s="198" t="s">
        <v>620</v>
      </c>
      <c r="C25" s="199"/>
      <c r="D25" s="199"/>
      <c r="E25" s="199"/>
      <c r="F25" s="199"/>
      <c r="G25" s="199"/>
      <c r="H25" s="199"/>
      <c r="I25" s="199"/>
      <c r="J25" s="40" cm="1">
        <f t="array" ref="J25">SUM(COUNTIF(E3:E22, {"HR","IT","Marketing"}))</f>
        <v>8</v>
      </c>
      <c r="K25" s="85"/>
    </row>
    <row r="26" spans="2:19" x14ac:dyDescent="0.3">
      <c r="B26" s="198" t="s">
        <v>621</v>
      </c>
      <c r="C26" s="199"/>
      <c r="D26" s="199"/>
      <c r="E26" s="199"/>
      <c r="F26" s="199"/>
      <c r="G26" s="199"/>
      <c r="H26" s="199"/>
      <c r="I26" s="199"/>
      <c r="J26" s="40">
        <f>VLOOKUP("Santosh", C3:E22, 2, 0)</f>
        <v>93509</v>
      </c>
      <c r="K26" s="85"/>
    </row>
    <row r="27" spans="2:19" ht="15" thickBot="1" x14ac:dyDescent="0.35">
      <c r="B27" s="207" t="s">
        <v>622</v>
      </c>
      <c r="C27" s="206"/>
      <c r="D27" s="206"/>
      <c r="E27" s="206"/>
      <c r="F27" s="206"/>
      <c r="G27" s="206"/>
      <c r="H27" s="206"/>
      <c r="I27" s="206"/>
      <c r="J27" s="43" cm="1">
        <f t="array" ref="J27">SUM(SUMIF(E3:E22,{"IT","Marketing"},D3:D22))</f>
        <v>417932</v>
      </c>
      <c r="K27" s="85"/>
    </row>
  </sheetData>
  <mergeCells count="8">
    <mergeCell ref="B27:I27"/>
    <mergeCell ref="M2:P2"/>
    <mergeCell ref="R2:S2"/>
    <mergeCell ref="B2:E2"/>
    <mergeCell ref="G2:H2"/>
    <mergeCell ref="B24:I24"/>
    <mergeCell ref="B25:I25"/>
    <mergeCell ref="B26:I26"/>
  </mergeCells>
  <phoneticPr fontId="1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EE24-BF67-44A0-AB5B-A47394095FB4}">
  <dimension ref="B1:E19"/>
  <sheetViews>
    <sheetView workbookViewId="0">
      <selection activeCell="E19" sqref="E19"/>
    </sheetView>
  </sheetViews>
  <sheetFormatPr defaultRowHeight="14.4" x14ac:dyDescent="0.3"/>
  <sheetData>
    <row r="1" spans="2:5" ht="15" thickBot="1" x14ac:dyDescent="0.35"/>
    <row r="2" spans="2:5" x14ac:dyDescent="0.3">
      <c r="B2" s="193" t="s">
        <v>630</v>
      </c>
      <c r="C2" s="200"/>
      <c r="D2" s="200"/>
      <c r="E2" s="201"/>
    </row>
    <row r="3" spans="2:5" x14ac:dyDescent="0.3">
      <c r="B3" s="44" t="s">
        <v>624</v>
      </c>
      <c r="C3" s="35" t="s">
        <v>625</v>
      </c>
      <c r="D3" s="35" t="s">
        <v>626</v>
      </c>
      <c r="E3" s="45" t="s">
        <v>627</v>
      </c>
    </row>
    <row r="4" spans="2:5" x14ac:dyDescent="0.3">
      <c r="B4" s="39" t="s">
        <v>522</v>
      </c>
      <c r="C4" s="89">
        <v>5535</v>
      </c>
      <c r="D4" s="89">
        <v>5414</v>
      </c>
      <c r="E4" s="93">
        <v>9027</v>
      </c>
    </row>
    <row r="5" spans="2:5" x14ac:dyDescent="0.3">
      <c r="B5" s="39" t="s">
        <v>518</v>
      </c>
      <c r="C5" s="89">
        <v>5013</v>
      </c>
      <c r="D5" s="89">
        <v>5107</v>
      </c>
      <c r="E5" s="93">
        <v>11667</v>
      </c>
    </row>
    <row r="6" spans="2:5" x14ac:dyDescent="0.3">
      <c r="B6" s="39" t="s">
        <v>520</v>
      </c>
      <c r="C6" s="89">
        <v>6597</v>
      </c>
      <c r="D6" s="89">
        <v>3858</v>
      </c>
      <c r="E6" s="93">
        <v>1507</v>
      </c>
    </row>
    <row r="7" spans="2:5" ht="15" thickBot="1" x14ac:dyDescent="0.35">
      <c r="B7" s="41" t="s">
        <v>525</v>
      </c>
      <c r="C7" s="90">
        <v>3195</v>
      </c>
      <c r="D7" s="90">
        <v>3654</v>
      </c>
      <c r="E7" s="94">
        <v>7225</v>
      </c>
    </row>
    <row r="8" spans="2:5" ht="15" thickBot="1" x14ac:dyDescent="0.35"/>
    <row r="9" spans="2:5" x14ac:dyDescent="0.3">
      <c r="B9" s="193" t="s">
        <v>631</v>
      </c>
      <c r="C9" s="200"/>
      <c r="D9" s="201"/>
    </row>
    <row r="10" spans="2:5" x14ac:dyDescent="0.3">
      <c r="B10" s="44" t="s">
        <v>624</v>
      </c>
      <c r="C10" s="35" t="s">
        <v>628</v>
      </c>
      <c r="D10" s="45" t="s">
        <v>629</v>
      </c>
    </row>
    <row r="11" spans="2:5" x14ac:dyDescent="0.3">
      <c r="B11" s="39" t="s">
        <v>520</v>
      </c>
      <c r="C11" s="11" t="s">
        <v>627</v>
      </c>
      <c r="D11" s="93">
        <f>INDEX($B$4:$E$7, MATCH(B11, $B$4:$B$7, 0), MATCH(C11, $B$3:$E$3, 0))</f>
        <v>1507</v>
      </c>
    </row>
    <row r="12" spans="2:5" x14ac:dyDescent="0.3">
      <c r="B12" s="39" t="s">
        <v>525</v>
      </c>
      <c r="C12" s="11" t="s">
        <v>626</v>
      </c>
      <c r="D12" s="93">
        <f t="shared" ref="D12:D14" si="0">INDEX($B$4:$E$7, MATCH(B12, $B$4:$B$7, 0), MATCH(C12, $B$3:$E$3, 0))</f>
        <v>3654</v>
      </c>
    </row>
    <row r="13" spans="2:5" x14ac:dyDescent="0.3">
      <c r="B13" s="39" t="s">
        <v>518</v>
      </c>
      <c r="C13" s="11" t="s">
        <v>625</v>
      </c>
      <c r="D13" s="93">
        <f t="shared" si="0"/>
        <v>5013</v>
      </c>
    </row>
    <row r="14" spans="2:5" ht="15" thickBot="1" x14ac:dyDescent="0.35">
      <c r="B14" s="41" t="s">
        <v>522</v>
      </c>
      <c r="C14" s="42" t="s">
        <v>627</v>
      </c>
      <c r="D14" s="94">
        <f t="shared" si="0"/>
        <v>9027</v>
      </c>
    </row>
    <row r="19" spans="5:5" x14ac:dyDescent="0.3">
      <c r="E19" s="100" t="s">
        <v>633</v>
      </c>
    </row>
  </sheetData>
  <mergeCells count="2">
    <mergeCell ref="B2:E2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 Validation</vt:lpstr>
      <vt:lpstr>Text Functions</vt:lpstr>
      <vt:lpstr>Text Functions 2</vt:lpstr>
      <vt:lpstr>Conditionals</vt:lpstr>
      <vt:lpstr>Random-Round</vt:lpstr>
      <vt:lpstr>Minifs-Maxifs</vt:lpstr>
      <vt:lpstr>Database Functions</vt:lpstr>
      <vt:lpstr>Logical Functions &amp; IF</vt:lpstr>
      <vt:lpstr>Financial Functions</vt:lpstr>
      <vt:lpstr>Date Functions</vt:lpstr>
      <vt:lpstr>Vlookup-Hlookup</vt:lpstr>
      <vt:lpstr>Index &amp; Match</vt:lpstr>
      <vt:lpstr>Power Query</vt:lpstr>
      <vt:lpstr>Power Query (Messy Data)</vt:lpstr>
      <vt:lpstr>Assignment 1</vt:lpstr>
      <vt:lpstr>Assignment 2</vt:lpstr>
      <vt:lpstr>Assignment 3</vt:lpstr>
      <vt:lpstr>Assignment 4</vt:lpstr>
      <vt:lpstr>Assignment 5</vt:lpstr>
      <vt:lpstr>Assignment 6</vt:lpstr>
      <vt:lpstr>Assignment 7</vt:lpstr>
      <vt:lpstr>Assignment 8</vt:lpstr>
      <vt:lpstr>Assignment 9</vt:lpstr>
      <vt:lpstr>Assignment 10</vt:lpstr>
      <vt:lpstr>Assignment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Quastech</dc:creator>
  <cp:lastModifiedBy>Deepak Chavda</cp:lastModifiedBy>
  <dcterms:created xsi:type="dcterms:W3CDTF">2015-06-05T18:17:20Z</dcterms:created>
  <dcterms:modified xsi:type="dcterms:W3CDTF">2025-09-22T07:31:14Z</dcterms:modified>
</cp:coreProperties>
</file>